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109-50ms-XSens-Posi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400" i="1" l="1"/>
  <c r="P3400" i="1"/>
  <c r="O3400" i="1"/>
  <c r="Q3399" i="1"/>
  <c r="P3399" i="1"/>
  <c r="O3399" i="1"/>
  <c r="Q3398" i="1"/>
  <c r="P3398" i="1"/>
  <c r="O3398" i="1"/>
  <c r="Q3397" i="1"/>
  <c r="P3397" i="1"/>
  <c r="O3397" i="1"/>
  <c r="Q3396" i="1"/>
  <c r="P3396" i="1"/>
  <c r="O3396" i="1"/>
  <c r="Q3395" i="1"/>
  <c r="P3395" i="1"/>
  <c r="O3395" i="1"/>
  <c r="Q3394" i="1"/>
  <c r="P3394" i="1"/>
  <c r="O3394" i="1"/>
  <c r="Q3393" i="1"/>
  <c r="P3393" i="1"/>
  <c r="O3393" i="1"/>
  <c r="Q3392" i="1"/>
  <c r="P3392" i="1"/>
  <c r="O3392" i="1"/>
  <c r="Q3391" i="1"/>
  <c r="P3391" i="1"/>
  <c r="O3391" i="1"/>
  <c r="Q3390" i="1"/>
  <c r="P3390" i="1"/>
  <c r="O3390" i="1"/>
  <c r="Q3389" i="1"/>
  <c r="P3389" i="1"/>
  <c r="O3389" i="1"/>
  <c r="Q3388" i="1"/>
  <c r="P3388" i="1"/>
  <c r="O3388" i="1"/>
  <c r="Q3387" i="1"/>
  <c r="P3387" i="1"/>
  <c r="O3387" i="1"/>
  <c r="Q3386" i="1"/>
  <c r="P3386" i="1"/>
  <c r="O3386" i="1"/>
  <c r="Q3385" i="1"/>
  <c r="P3385" i="1"/>
  <c r="O3385" i="1"/>
  <c r="Q3384" i="1"/>
  <c r="P3384" i="1"/>
  <c r="O3384" i="1"/>
  <c r="Q3383" i="1"/>
  <c r="P3383" i="1"/>
  <c r="O3383" i="1"/>
  <c r="Q3382" i="1"/>
  <c r="P3382" i="1"/>
  <c r="O3382" i="1"/>
  <c r="Q3381" i="1"/>
  <c r="P3381" i="1"/>
  <c r="O3381" i="1"/>
  <c r="Q3380" i="1"/>
  <c r="P3380" i="1"/>
  <c r="O3380" i="1"/>
  <c r="Q3379" i="1"/>
  <c r="P3379" i="1"/>
  <c r="O3379" i="1"/>
  <c r="Q3378" i="1"/>
  <c r="P3378" i="1"/>
  <c r="O3378" i="1"/>
  <c r="Q3377" i="1"/>
  <c r="P3377" i="1"/>
  <c r="O3377" i="1"/>
  <c r="Q3376" i="1"/>
  <c r="P3376" i="1"/>
  <c r="O3376" i="1"/>
  <c r="Q3375" i="1"/>
  <c r="P3375" i="1"/>
  <c r="O3375" i="1"/>
  <c r="Q3374" i="1"/>
  <c r="P3374" i="1"/>
  <c r="O3374" i="1"/>
  <c r="Q3373" i="1"/>
  <c r="P3373" i="1"/>
  <c r="O3373" i="1"/>
  <c r="Q3372" i="1"/>
  <c r="P3372" i="1"/>
  <c r="O3372" i="1"/>
  <c r="Q3371" i="1"/>
  <c r="P3371" i="1"/>
  <c r="O3371" i="1"/>
  <c r="Q3370" i="1"/>
  <c r="P3370" i="1"/>
  <c r="O3370" i="1"/>
  <c r="Q3369" i="1"/>
  <c r="P3369" i="1"/>
  <c r="O3369" i="1"/>
  <c r="Q3368" i="1"/>
  <c r="P3368" i="1"/>
  <c r="O3368" i="1"/>
  <c r="Q3367" i="1"/>
  <c r="P3367" i="1"/>
  <c r="O3367" i="1"/>
  <c r="Q3366" i="1"/>
  <c r="P3366" i="1"/>
  <c r="O3366" i="1"/>
  <c r="Q3365" i="1"/>
  <c r="P3365" i="1"/>
  <c r="O3365" i="1"/>
  <c r="Q3364" i="1"/>
  <c r="P3364" i="1"/>
  <c r="O3364" i="1"/>
  <c r="Q3363" i="1"/>
  <c r="P3363" i="1"/>
  <c r="O3363" i="1"/>
  <c r="Q3362" i="1"/>
  <c r="P3362" i="1"/>
  <c r="O3362" i="1"/>
  <c r="Q3361" i="1"/>
  <c r="P3361" i="1"/>
  <c r="O3361" i="1"/>
  <c r="Q3360" i="1"/>
  <c r="P3360" i="1"/>
  <c r="O3360" i="1"/>
  <c r="Q3359" i="1"/>
  <c r="P3359" i="1"/>
  <c r="O3359" i="1"/>
  <c r="Q3358" i="1"/>
  <c r="P3358" i="1"/>
  <c r="O3358" i="1"/>
  <c r="Q3357" i="1"/>
  <c r="P3357" i="1"/>
  <c r="O3357" i="1"/>
  <c r="Q3356" i="1"/>
  <c r="P3356" i="1"/>
  <c r="O3356" i="1"/>
  <c r="Q3355" i="1"/>
  <c r="P3355" i="1"/>
  <c r="O3355" i="1"/>
  <c r="Q3354" i="1"/>
  <c r="P3354" i="1"/>
  <c r="O3354" i="1"/>
  <c r="Q3353" i="1"/>
  <c r="P3353" i="1"/>
  <c r="O3353" i="1"/>
  <c r="Q3352" i="1"/>
  <c r="P3352" i="1"/>
  <c r="O3352" i="1"/>
  <c r="Q3351" i="1"/>
  <c r="P3351" i="1"/>
  <c r="O3351" i="1"/>
  <c r="Q3350" i="1"/>
  <c r="P3350" i="1"/>
  <c r="O3350" i="1"/>
  <c r="Q3349" i="1"/>
  <c r="P3349" i="1"/>
  <c r="O3349" i="1"/>
  <c r="Q3348" i="1"/>
  <c r="P3348" i="1"/>
  <c r="O3348" i="1"/>
  <c r="Q3347" i="1"/>
  <c r="P3347" i="1"/>
  <c r="O3347" i="1"/>
  <c r="Q3346" i="1"/>
  <c r="P3346" i="1"/>
  <c r="O3346" i="1"/>
  <c r="Q3345" i="1"/>
  <c r="P3345" i="1"/>
  <c r="O3345" i="1"/>
  <c r="Q3344" i="1"/>
  <c r="P3344" i="1"/>
  <c r="O3344" i="1"/>
  <c r="Q3343" i="1"/>
  <c r="P3343" i="1"/>
  <c r="O3343" i="1"/>
  <c r="Q3342" i="1"/>
  <c r="P3342" i="1"/>
  <c r="O3342" i="1"/>
  <c r="Q3341" i="1"/>
  <c r="P3341" i="1"/>
  <c r="O3341" i="1"/>
  <c r="Q3340" i="1"/>
  <c r="P3340" i="1"/>
  <c r="O3340" i="1"/>
  <c r="Q3339" i="1"/>
  <c r="P3339" i="1"/>
  <c r="O3339" i="1"/>
  <c r="Q3338" i="1"/>
  <c r="P3338" i="1"/>
  <c r="O3338" i="1"/>
  <c r="Q3337" i="1"/>
  <c r="P3337" i="1"/>
  <c r="O3337" i="1"/>
  <c r="Q3336" i="1"/>
  <c r="P3336" i="1"/>
  <c r="O3336" i="1"/>
  <c r="Q3335" i="1"/>
  <c r="P3335" i="1"/>
  <c r="O3335" i="1"/>
  <c r="Q3334" i="1"/>
  <c r="P3334" i="1"/>
  <c r="O3334" i="1"/>
  <c r="Q3333" i="1"/>
  <c r="P3333" i="1"/>
  <c r="O3333" i="1"/>
  <c r="Q3332" i="1"/>
  <c r="P3332" i="1"/>
  <c r="O3332" i="1"/>
  <c r="Q3331" i="1"/>
  <c r="P3331" i="1"/>
  <c r="O3331" i="1"/>
  <c r="Q3330" i="1"/>
  <c r="P3330" i="1"/>
  <c r="O3330" i="1"/>
  <c r="Q3329" i="1"/>
  <c r="P3329" i="1"/>
  <c r="O3329" i="1"/>
  <c r="Q3328" i="1"/>
  <c r="P3328" i="1"/>
  <c r="O3328" i="1"/>
  <c r="Q3327" i="1"/>
  <c r="P3327" i="1"/>
  <c r="O3327" i="1"/>
  <c r="Q3326" i="1"/>
  <c r="P3326" i="1"/>
  <c r="O3326" i="1"/>
  <c r="Q3325" i="1"/>
  <c r="P3325" i="1"/>
  <c r="O3325" i="1"/>
  <c r="Q3324" i="1"/>
  <c r="P3324" i="1"/>
  <c r="O3324" i="1"/>
  <c r="Q3323" i="1"/>
  <c r="P3323" i="1"/>
  <c r="O3323" i="1"/>
  <c r="Q3322" i="1"/>
  <c r="P3322" i="1"/>
  <c r="O3322" i="1"/>
  <c r="Q3321" i="1"/>
  <c r="P3321" i="1"/>
  <c r="O3321" i="1"/>
  <c r="Q3320" i="1"/>
  <c r="P3320" i="1"/>
  <c r="O3320" i="1"/>
  <c r="Q3319" i="1"/>
  <c r="P3319" i="1"/>
  <c r="O3319" i="1"/>
  <c r="Q3318" i="1"/>
  <c r="P3318" i="1"/>
  <c r="O3318" i="1"/>
  <c r="Q3317" i="1"/>
  <c r="P3317" i="1"/>
  <c r="O3317" i="1"/>
  <c r="Q3316" i="1"/>
  <c r="P3316" i="1"/>
  <c r="O3316" i="1"/>
  <c r="Q3315" i="1"/>
  <c r="P3315" i="1"/>
  <c r="O3315" i="1"/>
  <c r="Q3314" i="1"/>
  <c r="P3314" i="1"/>
  <c r="O3314" i="1"/>
  <c r="Q3313" i="1"/>
  <c r="P3313" i="1"/>
  <c r="O3313" i="1"/>
  <c r="Q3312" i="1"/>
  <c r="P3312" i="1"/>
  <c r="O3312" i="1"/>
  <c r="Q3311" i="1"/>
  <c r="P3311" i="1"/>
  <c r="O3311" i="1"/>
  <c r="Q3310" i="1"/>
  <c r="P3310" i="1"/>
  <c r="O3310" i="1"/>
  <c r="Q3309" i="1"/>
  <c r="P3309" i="1"/>
  <c r="O3309" i="1"/>
  <c r="Q3308" i="1"/>
  <c r="P3308" i="1"/>
  <c r="O3308" i="1"/>
  <c r="Q3307" i="1"/>
  <c r="P3307" i="1"/>
  <c r="O3307" i="1"/>
  <c r="Q3306" i="1"/>
  <c r="P3306" i="1"/>
  <c r="O3306" i="1"/>
  <c r="Q3305" i="1"/>
  <c r="P3305" i="1"/>
  <c r="O3305" i="1"/>
  <c r="Q3304" i="1"/>
  <c r="P3304" i="1"/>
  <c r="O3304" i="1"/>
  <c r="Q3303" i="1"/>
  <c r="P3303" i="1"/>
  <c r="O3303" i="1"/>
  <c r="Q3302" i="1"/>
  <c r="P3302" i="1"/>
  <c r="O3302" i="1"/>
  <c r="Q3301" i="1"/>
  <c r="P3301" i="1"/>
  <c r="O3301" i="1"/>
  <c r="Q3300" i="1"/>
  <c r="P3300" i="1"/>
  <c r="O3300" i="1"/>
  <c r="Q3299" i="1"/>
  <c r="P3299" i="1"/>
  <c r="O3299" i="1"/>
  <c r="Q3298" i="1"/>
  <c r="P3298" i="1"/>
  <c r="O3298" i="1"/>
  <c r="Q3297" i="1"/>
  <c r="P3297" i="1"/>
  <c r="O3297" i="1"/>
  <c r="Q3296" i="1"/>
  <c r="P3296" i="1"/>
  <c r="O3296" i="1"/>
  <c r="Q3295" i="1"/>
  <c r="P3295" i="1"/>
  <c r="O3295" i="1"/>
  <c r="Q3294" i="1"/>
  <c r="P3294" i="1"/>
  <c r="O3294" i="1"/>
  <c r="Q3293" i="1"/>
  <c r="P3293" i="1"/>
  <c r="O3293" i="1"/>
  <c r="Q3292" i="1"/>
  <c r="P3292" i="1"/>
  <c r="O3292" i="1"/>
  <c r="Q3291" i="1"/>
  <c r="P3291" i="1"/>
  <c r="O3291" i="1"/>
  <c r="Q3290" i="1"/>
  <c r="P3290" i="1"/>
  <c r="O3290" i="1"/>
  <c r="Q3289" i="1"/>
  <c r="P3289" i="1"/>
  <c r="O3289" i="1"/>
  <c r="Q3288" i="1"/>
  <c r="P3288" i="1"/>
  <c r="O3288" i="1"/>
  <c r="Q3287" i="1"/>
  <c r="P3287" i="1"/>
  <c r="O3287" i="1"/>
  <c r="Q3286" i="1"/>
  <c r="P3286" i="1"/>
  <c r="O3286" i="1"/>
  <c r="Q3285" i="1"/>
  <c r="P3285" i="1"/>
  <c r="O3285" i="1"/>
  <c r="Q3284" i="1"/>
  <c r="P3284" i="1"/>
  <c r="O3284" i="1"/>
  <c r="Q3283" i="1"/>
  <c r="P3283" i="1"/>
  <c r="O3283" i="1"/>
  <c r="Q3282" i="1"/>
  <c r="P3282" i="1"/>
  <c r="O3282" i="1"/>
  <c r="Q3281" i="1"/>
  <c r="P3281" i="1"/>
  <c r="O3281" i="1"/>
  <c r="Q3280" i="1"/>
  <c r="P3280" i="1"/>
  <c r="O3280" i="1"/>
  <c r="Q3279" i="1"/>
  <c r="P3279" i="1"/>
  <c r="O3279" i="1"/>
  <c r="Q3278" i="1"/>
  <c r="P3278" i="1"/>
  <c r="O3278" i="1"/>
  <c r="Q3277" i="1"/>
  <c r="P3277" i="1"/>
  <c r="O3277" i="1"/>
  <c r="Q3276" i="1"/>
  <c r="P3276" i="1"/>
  <c r="O3276" i="1"/>
  <c r="Q3275" i="1"/>
  <c r="P3275" i="1"/>
  <c r="O3275" i="1"/>
  <c r="Q3274" i="1"/>
  <c r="P3274" i="1"/>
  <c r="O3274" i="1"/>
  <c r="Q3273" i="1"/>
  <c r="P3273" i="1"/>
  <c r="O3273" i="1"/>
  <c r="Q3272" i="1"/>
  <c r="P3272" i="1"/>
  <c r="O3272" i="1"/>
  <c r="Q3271" i="1"/>
  <c r="P3271" i="1"/>
  <c r="O3271" i="1"/>
  <c r="Q3270" i="1"/>
  <c r="P3270" i="1"/>
  <c r="O3270" i="1"/>
  <c r="Q3269" i="1"/>
  <c r="P3269" i="1"/>
  <c r="O3269" i="1"/>
  <c r="Q3268" i="1"/>
  <c r="P3268" i="1"/>
  <c r="O3268" i="1"/>
  <c r="Q3267" i="1"/>
  <c r="P3267" i="1"/>
  <c r="O3267" i="1"/>
  <c r="Q3266" i="1"/>
  <c r="P3266" i="1"/>
  <c r="O3266" i="1"/>
  <c r="Q3265" i="1"/>
  <c r="P3265" i="1"/>
  <c r="O3265" i="1"/>
  <c r="Q3264" i="1"/>
  <c r="P3264" i="1"/>
  <c r="O3264" i="1"/>
  <c r="Q3263" i="1"/>
  <c r="P3263" i="1"/>
  <c r="O3263" i="1"/>
  <c r="Q3262" i="1"/>
  <c r="P3262" i="1"/>
  <c r="O3262" i="1"/>
  <c r="Q3261" i="1"/>
  <c r="P3261" i="1"/>
  <c r="O3261" i="1"/>
  <c r="Q3260" i="1"/>
  <c r="P3260" i="1"/>
  <c r="O3260" i="1"/>
  <c r="Q3259" i="1"/>
  <c r="P3259" i="1"/>
  <c r="O3259" i="1"/>
  <c r="Q3258" i="1"/>
  <c r="P3258" i="1"/>
  <c r="O3258" i="1"/>
  <c r="Q3257" i="1"/>
  <c r="P3257" i="1"/>
  <c r="O3257" i="1"/>
  <c r="Q3256" i="1"/>
  <c r="P3256" i="1"/>
  <c r="O3256" i="1"/>
  <c r="Q3255" i="1"/>
  <c r="P3255" i="1"/>
  <c r="O3255" i="1"/>
  <c r="Q3254" i="1"/>
  <c r="P3254" i="1"/>
  <c r="O3254" i="1"/>
  <c r="Q3253" i="1"/>
  <c r="P3253" i="1"/>
  <c r="O3253" i="1"/>
  <c r="Q3252" i="1"/>
  <c r="P3252" i="1"/>
  <c r="O3252" i="1"/>
  <c r="Q3251" i="1"/>
  <c r="P3251" i="1"/>
  <c r="O3251" i="1"/>
  <c r="Q3250" i="1"/>
  <c r="P3250" i="1"/>
  <c r="O3250" i="1"/>
  <c r="Q3249" i="1"/>
  <c r="P3249" i="1"/>
  <c r="O3249" i="1"/>
  <c r="Q3248" i="1"/>
  <c r="P3248" i="1"/>
  <c r="O3248" i="1"/>
  <c r="Q3247" i="1"/>
  <c r="P3247" i="1"/>
  <c r="O3247" i="1"/>
  <c r="Q3246" i="1"/>
  <c r="P3246" i="1"/>
  <c r="O3246" i="1"/>
  <c r="Q3245" i="1"/>
  <c r="P3245" i="1"/>
  <c r="O3245" i="1"/>
  <c r="Q3244" i="1"/>
  <c r="P3244" i="1"/>
  <c r="O3244" i="1"/>
  <c r="Q3243" i="1"/>
  <c r="P3243" i="1"/>
  <c r="O3243" i="1"/>
  <c r="Q3242" i="1"/>
  <c r="P3242" i="1"/>
  <c r="O3242" i="1"/>
  <c r="Q3241" i="1"/>
  <c r="P3241" i="1"/>
  <c r="O3241" i="1"/>
  <c r="Q3240" i="1"/>
  <c r="P3240" i="1"/>
  <c r="O3240" i="1"/>
  <c r="Q3239" i="1"/>
  <c r="P3239" i="1"/>
  <c r="O3239" i="1"/>
  <c r="Q3238" i="1"/>
  <c r="P3238" i="1"/>
  <c r="O3238" i="1"/>
  <c r="Q3237" i="1"/>
  <c r="P3237" i="1"/>
  <c r="O3237" i="1"/>
  <c r="Q3236" i="1"/>
  <c r="P3236" i="1"/>
  <c r="O3236" i="1"/>
  <c r="Q3235" i="1"/>
  <c r="P3235" i="1"/>
  <c r="O3235" i="1"/>
  <c r="Q3234" i="1"/>
  <c r="P3234" i="1"/>
  <c r="O3234" i="1"/>
  <c r="Q3233" i="1"/>
  <c r="P3233" i="1"/>
  <c r="O3233" i="1"/>
  <c r="Q3232" i="1"/>
  <c r="P3232" i="1"/>
  <c r="O3232" i="1"/>
  <c r="Q3231" i="1"/>
  <c r="P3231" i="1"/>
  <c r="O3231" i="1"/>
  <c r="Q3230" i="1"/>
  <c r="P3230" i="1"/>
  <c r="O3230" i="1"/>
  <c r="Q3229" i="1"/>
  <c r="P3229" i="1"/>
  <c r="O3229" i="1"/>
  <c r="Q3228" i="1"/>
  <c r="P3228" i="1"/>
  <c r="O3228" i="1"/>
  <c r="Q3227" i="1"/>
  <c r="P3227" i="1"/>
  <c r="O3227" i="1"/>
  <c r="Q3226" i="1"/>
  <c r="P3226" i="1"/>
  <c r="O3226" i="1"/>
  <c r="Q3225" i="1"/>
  <c r="P3225" i="1"/>
  <c r="O3225" i="1"/>
  <c r="Q3224" i="1"/>
  <c r="P3224" i="1"/>
  <c r="O3224" i="1"/>
  <c r="Q3223" i="1"/>
  <c r="P3223" i="1"/>
  <c r="O3223" i="1"/>
  <c r="Q3222" i="1"/>
  <c r="P3222" i="1"/>
  <c r="O3222" i="1"/>
  <c r="Q3221" i="1"/>
  <c r="P3221" i="1"/>
  <c r="O3221" i="1"/>
  <c r="Q3220" i="1"/>
  <c r="P3220" i="1"/>
  <c r="O3220" i="1"/>
  <c r="Q3219" i="1"/>
  <c r="P3219" i="1"/>
  <c r="O3219" i="1"/>
  <c r="Q3218" i="1"/>
  <c r="P3218" i="1"/>
  <c r="O3218" i="1"/>
  <c r="Q3217" i="1"/>
  <c r="P3217" i="1"/>
  <c r="O3217" i="1"/>
  <c r="Q3216" i="1"/>
  <c r="P3216" i="1"/>
  <c r="O3216" i="1"/>
  <c r="Q3215" i="1"/>
  <c r="P3215" i="1"/>
  <c r="O3215" i="1"/>
  <c r="Q3214" i="1"/>
  <c r="P3214" i="1"/>
  <c r="O3214" i="1"/>
  <c r="Q3213" i="1"/>
  <c r="P3213" i="1"/>
  <c r="O3213" i="1"/>
  <c r="Q3212" i="1"/>
  <c r="P3212" i="1"/>
  <c r="O3212" i="1"/>
  <c r="Q3211" i="1"/>
  <c r="P3211" i="1"/>
  <c r="O3211" i="1"/>
  <c r="Q3210" i="1"/>
  <c r="P3210" i="1"/>
  <c r="O3210" i="1"/>
  <c r="Q3209" i="1"/>
  <c r="P3209" i="1"/>
  <c r="O3209" i="1"/>
  <c r="Q3208" i="1"/>
  <c r="P3208" i="1"/>
  <c r="O3208" i="1"/>
  <c r="Q3207" i="1"/>
  <c r="P3207" i="1"/>
  <c r="O3207" i="1"/>
  <c r="Q3206" i="1"/>
  <c r="P3206" i="1"/>
  <c r="O3206" i="1"/>
  <c r="Q3205" i="1"/>
  <c r="P3205" i="1"/>
  <c r="O3205" i="1"/>
  <c r="Q3204" i="1"/>
  <c r="P3204" i="1"/>
  <c r="O3204" i="1"/>
  <c r="Q3203" i="1"/>
  <c r="P3203" i="1"/>
  <c r="O3203" i="1"/>
  <c r="Q3202" i="1"/>
  <c r="P3202" i="1"/>
  <c r="O3202" i="1"/>
  <c r="Q3201" i="1"/>
  <c r="P3201" i="1"/>
  <c r="O3201" i="1"/>
  <c r="Q3200" i="1"/>
  <c r="P3200" i="1"/>
  <c r="O3200" i="1"/>
  <c r="Q3199" i="1"/>
  <c r="P3199" i="1"/>
  <c r="O3199" i="1"/>
  <c r="Q3198" i="1"/>
  <c r="P3198" i="1"/>
  <c r="O3198" i="1"/>
  <c r="Q3197" i="1"/>
  <c r="P3197" i="1"/>
  <c r="O3197" i="1"/>
  <c r="Q3196" i="1"/>
  <c r="P3196" i="1"/>
  <c r="O3196" i="1"/>
  <c r="Q3195" i="1"/>
  <c r="P3195" i="1"/>
  <c r="O3195" i="1"/>
  <c r="Q3194" i="1"/>
  <c r="P3194" i="1"/>
  <c r="O3194" i="1"/>
  <c r="Q3193" i="1"/>
  <c r="P3193" i="1"/>
  <c r="O3193" i="1"/>
  <c r="Q3192" i="1"/>
  <c r="P3192" i="1"/>
  <c r="O3192" i="1"/>
  <c r="Q3191" i="1"/>
  <c r="P3191" i="1"/>
  <c r="O3191" i="1"/>
  <c r="Q3190" i="1"/>
  <c r="P3190" i="1"/>
  <c r="O3190" i="1"/>
  <c r="Q3189" i="1"/>
  <c r="P3189" i="1"/>
  <c r="O3189" i="1"/>
  <c r="Q3188" i="1"/>
  <c r="P3188" i="1"/>
  <c r="O3188" i="1"/>
  <c r="Q3187" i="1"/>
  <c r="P3187" i="1"/>
  <c r="O3187" i="1"/>
  <c r="Q3186" i="1"/>
  <c r="P3186" i="1"/>
  <c r="O3186" i="1"/>
  <c r="Q3185" i="1"/>
  <c r="P3185" i="1"/>
  <c r="O3185" i="1"/>
  <c r="Q3184" i="1"/>
  <c r="P3184" i="1"/>
  <c r="O3184" i="1"/>
  <c r="Q3183" i="1"/>
  <c r="P3183" i="1"/>
  <c r="O3183" i="1"/>
  <c r="Q3182" i="1"/>
  <c r="P3182" i="1"/>
  <c r="O3182" i="1"/>
  <c r="Q3181" i="1"/>
  <c r="P3181" i="1"/>
  <c r="O3181" i="1"/>
  <c r="Q3180" i="1"/>
  <c r="P3180" i="1"/>
  <c r="O3180" i="1"/>
  <c r="Q3179" i="1"/>
  <c r="P3179" i="1"/>
  <c r="O3179" i="1"/>
  <c r="Q3178" i="1"/>
  <c r="P3178" i="1"/>
  <c r="O3178" i="1"/>
  <c r="Q3177" i="1"/>
  <c r="P3177" i="1"/>
  <c r="O3177" i="1"/>
  <c r="Q3176" i="1"/>
  <c r="P3176" i="1"/>
  <c r="O3176" i="1"/>
  <c r="Q3175" i="1"/>
  <c r="P3175" i="1"/>
  <c r="O3175" i="1"/>
  <c r="Q3174" i="1"/>
  <c r="P3174" i="1"/>
  <c r="O3174" i="1"/>
  <c r="Q3173" i="1"/>
  <c r="P3173" i="1"/>
  <c r="O3173" i="1"/>
  <c r="Q3172" i="1"/>
  <c r="P3172" i="1"/>
  <c r="O3172" i="1"/>
  <c r="Q3171" i="1"/>
  <c r="P3171" i="1"/>
  <c r="O3171" i="1"/>
  <c r="Q3170" i="1"/>
  <c r="P3170" i="1"/>
  <c r="Q3169" i="1"/>
  <c r="P3169" i="1"/>
  <c r="Q3168" i="1"/>
  <c r="P3168" i="1"/>
  <c r="O3168" i="1"/>
  <c r="Q3167" i="1"/>
  <c r="P3167" i="1"/>
  <c r="O3167" i="1"/>
  <c r="Q3166" i="1"/>
  <c r="P3166" i="1"/>
  <c r="O3166" i="1"/>
  <c r="Q3165" i="1"/>
  <c r="P3165" i="1"/>
  <c r="O3165" i="1"/>
  <c r="Q3164" i="1"/>
  <c r="P3164" i="1"/>
  <c r="O3164" i="1"/>
  <c r="Q3163" i="1"/>
  <c r="P3163" i="1"/>
  <c r="O3163" i="1"/>
  <c r="Q3162" i="1"/>
  <c r="P3162" i="1"/>
  <c r="O3162" i="1"/>
  <c r="Q3161" i="1"/>
  <c r="P3161" i="1"/>
  <c r="Q3160" i="1"/>
  <c r="P3160" i="1"/>
  <c r="Q3159" i="1"/>
  <c r="P3159" i="1"/>
  <c r="Q3158" i="1"/>
  <c r="P3158" i="1"/>
  <c r="Q3157" i="1"/>
  <c r="P3157" i="1"/>
  <c r="Q3156" i="1"/>
  <c r="P3156" i="1"/>
  <c r="Q3155" i="1"/>
  <c r="P3155" i="1"/>
  <c r="Q3154" i="1"/>
  <c r="P3154" i="1"/>
  <c r="Q3153" i="1"/>
  <c r="P3153" i="1"/>
  <c r="Q3036" i="1"/>
  <c r="Q3035" i="1"/>
  <c r="Q3034" i="1"/>
  <c r="Q3033" i="1"/>
  <c r="Q3032" i="1"/>
  <c r="Q3031" i="1"/>
  <c r="Q3030" i="1"/>
  <c r="Q3029" i="1"/>
  <c r="Q3028" i="1"/>
  <c r="Q3027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Q2942" i="1"/>
  <c r="P2942" i="1"/>
  <c r="Q2941" i="1"/>
  <c r="P2941" i="1"/>
  <c r="Q2940" i="1"/>
  <c r="P2940" i="1"/>
  <c r="Q2939" i="1"/>
  <c r="P2939" i="1"/>
  <c r="Q2938" i="1"/>
  <c r="P2938" i="1"/>
  <c r="O2938" i="1"/>
  <c r="Q2937" i="1"/>
  <c r="P2937" i="1"/>
  <c r="O2937" i="1"/>
  <c r="Q2936" i="1"/>
  <c r="P2936" i="1"/>
  <c r="O2936" i="1"/>
  <c r="Q2935" i="1"/>
  <c r="P2935" i="1"/>
  <c r="O2935" i="1"/>
  <c r="Q2934" i="1"/>
  <c r="P2934" i="1"/>
  <c r="O2934" i="1"/>
  <c r="Q2933" i="1"/>
  <c r="P2933" i="1"/>
  <c r="O2933" i="1"/>
  <c r="Q2932" i="1"/>
  <c r="P2932" i="1"/>
  <c r="O2932" i="1"/>
  <c r="Q2931" i="1"/>
  <c r="P2931" i="1"/>
  <c r="O2931" i="1"/>
  <c r="Q2930" i="1"/>
  <c r="P2930" i="1"/>
  <c r="O2930" i="1"/>
  <c r="Q2929" i="1"/>
  <c r="P2929" i="1"/>
  <c r="O2929" i="1"/>
  <c r="Q2928" i="1"/>
  <c r="P2928" i="1"/>
  <c r="O2928" i="1"/>
  <c r="V2927" i="1"/>
  <c r="Q2927" i="1"/>
  <c r="P2927" i="1"/>
  <c r="O2927" i="1"/>
  <c r="V2926" i="1"/>
  <c r="Q2926" i="1"/>
  <c r="P2926" i="1"/>
  <c r="O2926" i="1"/>
  <c r="V2925" i="1"/>
  <c r="Q2925" i="1"/>
  <c r="P2925" i="1"/>
  <c r="O2925" i="1"/>
  <c r="V2924" i="1"/>
  <c r="Q2924" i="1"/>
  <c r="P2924" i="1"/>
  <c r="O2924" i="1"/>
  <c r="V2923" i="1"/>
  <c r="Q2923" i="1"/>
  <c r="P2923" i="1"/>
  <c r="O2923" i="1"/>
  <c r="V2922" i="1"/>
  <c r="Q2922" i="1"/>
  <c r="P2922" i="1"/>
  <c r="O2922" i="1"/>
  <c r="V2921" i="1"/>
  <c r="Q2921" i="1"/>
  <c r="P2921" i="1"/>
  <c r="O2921" i="1"/>
  <c r="V2920" i="1"/>
  <c r="Q2920" i="1"/>
  <c r="P2920" i="1"/>
  <c r="O2920" i="1"/>
  <c r="N2920" i="1"/>
  <c r="V2919" i="1"/>
  <c r="Q2919" i="1"/>
  <c r="P2919" i="1"/>
  <c r="O2919" i="1"/>
  <c r="N2919" i="1"/>
  <c r="V2918" i="1"/>
  <c r="Q2918" i="1"/>
  <c r="P2918" i="1"/>
  <c r="O2918" i="1"/>
  <c r="N2918" i="1"/>
  <c r="I2918" i="1"/>
  <c r="H2918" i="1"/>
  <c r="V2917" i="1"/>
  <c r="Q2917" i="1"/>
  <c r="P2917" i="1"/>
  <c r="O2917" i="1"/>
  <c r="N2917" i="1"/>
  <c r="I2917" i="1"/>
  <c r="H2917" i="1"/>
  <c r="G2917" i="1"/>
  <c r="V2916" i="1"/>
  <c r="Q2916" i="1"/>
  <c r="P2916" i="1"/>
  <c r="O2916" i="1"/>
  <c r="N2916" i="1"/>
  <c r="I2916" i="1"/>
  <c r="H2916" i="1"/>
  <c r="G2916" i="1"/>
  <c r="F2916" i="1"/>
  <c r="E2916" i="1"/>
  <c r="D2916" i="1"/>
  <c r="C2916" i="1"/>
  <c r="V2915" i="1"/>
  <c r="Q2915" i="1"/>
  <c r="P2915" i="1"/>
  <c r="O2915" i="1"/>
  <c r="N2915" i="1"/>
  <c r="I2915" i="1"/>
  <c r="H2915" i="1"/>
  <c r="G2915" i="1"/>
  <c r="F2915" i="1"/>
  <c r="E2915" i="1"/>
  <c r="D2915" i="1"/>
  <c r="C2915" i="1"/>
  <c r="V2914" i="1"/>
  <c r="Q2914" i="1"/>
  <c r="P2914" i="1"/>
  <c r="O2914" i="1"/>
  <c r="N2914" i="1"/>
  <c r="I2914" i="1"/>
  <c r="H2914" i="1"/>
  <c r="G2914" i="1"/>
  <c r="F2914" i="1"/>
  <c r="E2914" i="1"/>
  <c r="D2914" i="1"/>
  <c r="C2914" i="1"/>
  <c r="V2913" i="1"/>
  <c r="Q2913" i="1"/>
  <c r="P2913" i="1"/>
  <c r="O2913" i="1"/>
  <c r="N2913" i="1"/>
  <c r="J2913" i="1"/>
  <c r="I2913" i="1"/>
  <c r="H2913" i="1"/>
  <c r="G2913" i="1"/>
  <c r="F2913" i="1"/>
  <c r="E2913" i="1"/>
  <c r="D2913" i="1"/>
  <c r="C2913" i="1"/>
  <c r="V2912" i="1"/>
  <c r="Q2912" i="1"/>
  <c r="P2912" i="1"/>
  <c r="O2912" i="1"/>
  <c r="N2912" i="1"/>
  <c r="J2912" i="1"/>
  <c r="I2912" i="1"/>
  <c r="H2912" i="1"/>
  <c r="G2912" i="1"/>
  <c r="F2912" i="1"/>
  <c r="E2912" i="1"/>
  <c r="D2912" i="1"/>
  <c r="C2912" i="1"/>
  <c r="V2911" i="1"/>
  <c r="Q2911" i="1"/>
  <c r="P2911" i="1"/>
  <c r="O2911" i="1"/>
  <c r="N2911" i="1"/>
  <c r="J2911" i="1"/>
  <c r="I2911" i="1"/>
  <c r="H2911" i="1"/>
  <c r="G2911" i="1"/>
  <c r="F2911" i="1"/>
  <c r="E2911" i="1"/>
  <c r="D2911" i="1"/>
  <c r="C2911" i="1"/>
  <c r="V2910" i="1"/>
  <c r="Q2910" i="1"/>
  <c r="P2910" i="1"/>
  <c r="O2910" i="1"/>
  <c r="N2910" i="1"/>
  <c r="J2910" i="1"/>
  <c r="I2910" i="1"/>
  <c r="H2910" i="1"/>
  <c r="G2910" i="1"/>
  <c r="F2910" i="1"/>
  <c r="E2910" i="1"/>
  <c r="D2910" i="1"/>
  <c r="C2910" i="1"/>
  <c r="V2909" i="1"/>
  <c r="Q2909" i="1"/>
  <c r="P2909" i="1"/>
  <c r="O2909" i="1"/>
  <c r="N2909" i="1"/>
  <c r="J2909" i="1"/>
  <c r="I2909" i="1"/>
  <c r="H2909" i="1"/>
  <c r="G2909" i="1"/>
  <c r="F2909" i="1"/>
  <c r="E2909" i="1"/>
  <c r="D2909" i="1"/>
  <c r="C2909" i="1"/>
  <c r="V2908" i="1"/>
  <c r="Q2908" i="1"/>
  <c r="P2908" i="1"/>
  <c r="O2908" i="1"/>
  <c r="N2908" i="1"/>
  <c r="J2908" i="1"/>
  <c r="I2908" i="1"/>
  <c r="H2908" i="1"/>
  <c r="G2908" i="1"/>
  <c r="F2908" i="1"/>
  <c r="E2908" i="1"/>
  <c r="D2908" i="1"/>
  <c r="C2908" i="1"/>
  <c r="V2907" i="1"/>
  <c r="Q2907" i="1"/>
  <c r="P2907" i="1"/>
  <c r="O2907" i="1"/>
  <c r="N2907" i="1"/>
  <c r="J2907" i="1"/>
  <c r="I2907" i="1"/>
  <c r="H2907" i="1"/>
  <c r="G2907" i="1"/>
  <c r="F2907" i="1"/>
  <c r="E2907" i="1"/>
  <c r="D2907" i="1"/>
  <c r="C2907" i="1"/>
  <c r="V2906" i="1"/>
  <c r="Q2906" i="1"/>
  <c r="P2906" i="1"/>
  <c r="O2906" i="1"/>
  <c r="N2906" i="1"/>
  <c r="J2906" i="1"/>
  <c r="I2906" i="1"/>
  <c r="H2906" i="1"/>
  <c r="G2906" i="1"/>
  <c r="F2906" i="1"/>
  <c r="E2906" i="1"/>
  <c r="D2906" i="1"/>
  <c r="C2906" i="1"/>
  <c r="V2905" i="1"/>
  <c r="Q2905" i="1"/>
  <c r="P2905" i="1"/>
  <c r="O2905" i="1"/>
  <c r="N2905" i="1"/>
  <c r="J2905" i="1"/>
  <c r="I2905" i="1"/>
  <c r="H2905" i="1"/>
  <c r="G2905" i="1"/>
  <c r="F2905" i="1"/>
  <c r="E2905" i="1"/>
  <c r="D2905" i="1"/>
  <c r="C2905" i="1"/>
  <c r="V2904" i="1"/>
  <c r="Q2904" i="1"/>
  <c r="P2904" i="1"/>
  <c r="O2904" i="1"/>
  <c r="N2904" i="1"/>
  <c r="J2904" i="1"/>
  <c r="I2904" i="1"/>
  <c r="H2904" i="1"/>
  <c r="G2904" i="1"/>
  <c r="F2904" i="1"/>
  <c r="E2904" i="1"/>
  <c r="D2904" i="1"/>
  <c r="C2904" i="1"/>
  <c r="V2903" i="1"/>
  <c r="Q2903" i="1"/>
  <c r="P2903" i="1"/>
  <c r="O2903" i="1"/>
  <c r="N2903" i="1"/>
  <c r="J2903" i="1"/>
  <c r="I2903" i="1"/>
  <c r="H2903" i="1"/>
  <c r="G2903" i="1"/>
  <c r="F2903" i="1"/>
  <c r="E2903" i="1"/>
  <c r="D2903" i="1"/>
  <c r="C2903" i="1"/>
  <c r="V2902" i="1"/>
  <c r="Q2902" i="1"/>
  <c r="P2902" i="1"/>
  <c r="O2902" i="1"/>
  <c r="N2902" i="1"/>
  <c r="J2902" i="1"/>
  <c r="I2902" i="1"/>
  <c r="H2902" i="1"/>
  <c r="G2902" i="1"/>
  <c r="F2902" i="1"/>
  <c r="E2902" i="1"/>
  <c r="D2902" i="1"/>
  <c r="C2902" i="1"/>
  <c r="V2901" i="1"/>
  <c r="Q2901" i="1"/>
  <c r="P2901" i="1"/>
  <c r="O2901" i="1"/>
  <c r="N2901" i="1"/>
  <c r="J2901" i="1"/>
  <c r="I2901" i="1"/>
  <c r="H2901" i="1"/>
  <c r="G2901" i="1"/>
  <c r="F2901" i="1"/>
  <c r="E2901" i="1"/>
  <c r="D2901" i="1"/>
  <c r="C2901" i="1"/>
  <c r="V2900" i="1"/>
  <c r="Q2900" i="1"/>
  <c r="P2900" i="1"/>
  <c r="O2900" i="1"/>
  <c r="N2900" i="1"/>
  <c r="J2900" i="1"/>
  <c r="I2900" i="1"/>
  <c r="H2900" i="1"/>
  <c r="G2900" i="1"/>
  <c r="F2900" i="1"/>
  <c r="E2900" i="1"/>
  <c r="D2900" i="1"/>
  <c r="C2900" i="1"/>
  <c r="V2899" i="1"/>
  <c r="Q2899" i="1"/>
  <c r="P2899" i="1"/>
  <c r="O2899" i="1"/>
  <c r="N2899" i="1"/>
  <c r="J2899" i="1"/>
  <c r="I2899" i="1"/>
  <c r="H2899" i="1"/>
  <c r="G2899" i="1"/>
  <c r="F2899" i="1"/>
  <c r="E2899" i="1"/>
  <c r="D2899" i="1"/>
  <c r="C2899" i="1"/>
  <c r="V2898" i="1"/>
  <c r="Q2898" i="1"/>
  <c r="P2898" i="1"/>
  <c r="O2898" i="1"/>
  <c r="N2898" i="1"/>
  <c r="J2898" i="1"/>
  <c r="I2898" i="1"/>
  <c r="H2898" i="1"/>
  <c r="G2898" i="1"/>
  <c r="F2898" i="1"/>
  <c r="E2898" i="1"/>
  <c r="D2898" i="1"/>
  <c r="C2898" i="1"/>
  <c r="V2897" i="1"/>
  <c r="Q2897" i="1"/>
  <c r="P2897" i="1"/>
  <c r="O2897" i="1"/>
  <c r="N2897" i="1"/>
  <c r="J2897" i="1"/>
  <c r="I2897" i="1"/>
  <c r="H2897" i="1"/>
  <c r="G2897" i="1"/>
  <c r="F2897" i="1"/>
  <c r="E2897" i="1"/>
  <c r="D2897" i="1"/>
  <c r="C2897" i="1"/>
  <c r="V2896" i="1"/>
  <c r="Q2896" i="1"/>
  <c r="P2896" i="1"/>
  <c r="O2896" i="1"/>
  <c r="N2896" i="1"/>
  <c r="J2896" i="1"/>
  <c r="I2896" i="1"/>
  <c r="H2896" i="1"/>
  <c r="G2896" i="1"/>
  <c r="F2896" i="1"/>
  <c r="E2896" i="1"/>
  <c r="D2896" i="1"/>
  <c r="C2896" i="1"/>
  <c r="V2895" i="1"/>
  <c r="Q2895" i="1"/>
  <c r="P2895" i="1"/>
  <c r="O2895" i="1"/>
  <c r="N2895" i="1"/>
  <c r="J2895" i="1"/>
  <c r="I2895" i="1"/>
  <c r="H2895" i="1"/>
  <c r="G2895" i="1"/>
  <c r="F2895" i="1"/>
  <c r="E2895" i="1"/>
  <c r="D2895" i="1"/>
  <c r="C2895" i="1"/>
  <c r="V2894" i="1"/>
  <c r="Q2894" i="1"/>
  <c r="P2894" i="1"/>
  <c r="O2894" i="1"/>
  <c r="N2894" i="1"/>
  <c r="J2894" i="1"/>
  <c r="I2894" i="1"/>
  <c r="H2894" i="1"/>
  <c r="G2894" i="1"/>
  <c r="F2894" i="1"/>
  <c r="E2894" i="1"/>
  <c r="D2894" i="1"/>
  <c r="C2894" i="1"/>
  <c r="V2893" i="1"/>
  <c r="Q2893" i="1"/>
  <c r="P2893" i="1"/>
  <c r="O2893" i="1"/>
  <c r="N2893" i="1"/>
  <c r="J2893" i="1"/>
  <c r="I2893" i="1"/>
  <c r="H2893" i="1"/>
  <c r="G2893" i="1"/>
  <c r="F2893" i="1"/>
  <c r="E2893" i="1"/>
  <c r="D2893" i="1"/>
  <c r="C2893" i="1"/>
  <c r="V2892" i="1"/>
  <c r="Q2892" i="1"/>
  <c r="P2892" i="1"/>
  <c r="O2892" i="1"/>
  <c r="N2892" i="1"/>
  <c r="J2892" i="1"/>
  <c r="I2892" i="1"/>
  <c r="H2892" i="1"/>
  <c r="G2892" i="1"/>
  <c r="F2892" i="1"/>
  <c r="E2892" i="1"/>
  <c r="D2892" i="1"/>
  <c r="C2892" i="1"/>
  <c r="V2891" i="1"/>
  <c r="Q2891" i="1"/>
  <c r="P2891" i="1"/>
  <c r="O2891" i="1"/>
  <c r="N2891" i="1"/>
  <c r="J2891" i="1"/>
  <c r="I2891" i="1"/>
  <c r="H2891" i="1"/>
  <c r="G2891" i="1"/>
  <c r="F2891" i="1"/>
  <c r="E2891" i="1"/>
  <c r="D2891" i="1"/>
  <c r="C2891" i="1"/>
  <c r="V2890" i="1"/>
  <c r="Q2890" i="1"/>
  <c r="P2890" i="1"/>
  <c r="O2890" i="1"/>
  <c r="N2890" i="1"/>
  <c r="J2890" i="1"/>
  <c r="I2890" i="1"/>
  <c r="H2890" i="1"/>
  <c r="G2890" i="1"/>
  <c r="F2890" i="1"/>
  <c r="E2890" i="1"/>
  <c r="D2890" i="1"/>
  <c r="C2890" i="1"/>
  <c r="V2889" i="1"/>
  <c r="Q2889" i="1"/>
  <c r="P2889" i="1"/>
  <c r="O2889" i="1"/>
  <c r="N2889" i="1"/>
  <c r="J2889" i="1"/>
  <c r="I2889" i="1"/>
  <c r="H2889" i="1"/>
  <c r="G2889" i="1"/>
  <c r="F2889" i="1"/>
  <c r="E2889" i="1"/>
  <c r="D2889" i="1"/>
  <c r="C2889" i="1"/>
  <c r="V2888" i="1"/>
  <c r="Q2888" i="1"/>
  <c r="P2888" i="1"/>
  <c r="O2888" i="1"/>
  <c r="N2888" i="1"/>
  <c r="J2888" i="1"/>
  <c r="I2888" i="1"/>
  <c r="H2888" i="1"/>
  <c r="G2888" i="1"/>
  <c r="F2888" i="1"/>
  <c r="E2888" i="1"/>
  <c r="D2888" i="1"/>
  <c r="C2888" i="1"/>
  <c r="V2887" i="1"/>
  <c r="Q2887" i="1"/>
  <c r="P2887" i="1"/>
  <c r="O2887" i="1"/>
  <c r="N2887" i="1"/>
  <c r="J2887" i="1"/>
  <c r="I2887" i="1"/>
  <c r="H2887" i="1"/>
  <c r="G2887" i="1"/>
  <c r="F2887" i="1"/>
  <c r="E2887" i="1"/>
  <c r="D2887" i="1"/>
  <c r="C2887" i="1"/>
  <c r="V2886" i="1"/>
  <c r="Q2886" i="1"/>
  <c r="P2886" i="1"/>
  <c r="O2886" i="1"/>
  <c r="N2886" i="1"/>
  <c r="J2886" i="1"/>
  <c r="I2886" i="1"/>
  <c r="H2886" i="1"/>
  <c r="G2886" i="1"/>
  <c r="F2886" i="1"/>
  <c r="E2886" i="1"/>
  <c r="D2886" i="1"/>
  <c r="C2886" i="1"/>
  <c r="V2885" i="1"/>
  <c r="Q2885" i="1"/>
  <c r="P2885" i="1"/>
  <c r="O2885" i="1"/>
  <c r="N2885" i="1"/>
  <c r="J2885" i="1"/>
  <c r="I2885" i="1"/>
  <c r="H2885" i="1"/>
  <c r="G2885" i="1"/>
  <c r="F2885" i="1"/>
  <c r="E2885" i="1"/>
  <c r="D2885" i="1"/>
  <c r="C2885" i="1"/>
  <c r="V2884" i="1"/>
  <c r="Q2884" i="1"/>
  <c r="P2884" i="1"/>
  <c r="O2884" i="1"/>
  <c r="N2884" i="1"/>
  <c r="J2884" i="1"/>
  <c r="I2884" i="1"/>
  <c r="H2884" i="1"/>
  <c r="G2884" i="1"/>
  <c r="F2884" i="1"/>
  <c r="E2884" i="1"/>
  <c r="D2884" i="1"/>
  <c r="C2884" i="1"/>
  <c r="V2883" i="1"/>
  <c r="Q2883" i="1"/>
  <c r="P2883" i="1"/>
  <c r="O2883" i="1"/>
  <c r="N2883" i="1"/>
  <c r="J2883" i="1"/>
  <c r="I2883" i="1"/>
  <c r="H2883" i="1"/>
  <c r="G2883" i="1"/>
  <c r="F2883" i="1"/>
  <c r="E2883" i="1"/>
  <c r="D2883" i="1"/>
  <c r="C2883" i="1"/>
  <c r="V2882" i="1"/>
  <c r="Q2882" i="1"/>
  <c r="P2882" i="1"/>
  <c r="O2882" i="1"/>
  <c r="N2882" i="1"/>
  <c r="J2882" i="1"/>
  <c r="I2882" i="1"/>
  <c r="H2882" i="1"/>
  <c r="G2882" i="1"/>
  <c r="F2882" i="1"/>
  <c r="E2882" i="1"/>
  <c r="D2882" i="1"/>
  <c r="C2882" i="1"/>
  <c r="V2881" i="1"/>
  <c r="Q2881" i="1"/>
  <c r="P2881" i="1"/>
  <c r="O2881" i="1"/>
  <c r="N2881" i="1"/>
  <c r="J2881" i="1"/>
  <c r="I2881" i="1"/>
  <c r="H2881" i="1"/>
  <c r="G2881" i="1"/>
  <c r="F2881" i="1"/>
  <c r="E2881" i="1"/>
  <c r="D2881" i="1"/>
  <c r="C2881" i="1"/>
  <c r="V2880" i="1"/>
  <c r="Q2880" i="1"/>
  <c r="P2880" i="1"/>
  <c r="O2880" i="1"/>
  <c r="N2880" i="1"/>
  <c r="J2880" i="1"/>
  <c r="I2880" i="1"/>
  <c r="H2880" i="1"/>
  <c r="G2880" i="1"/>
  <c r="F2880" i="1"/>
  <c r="E2880" i="1"/>
  <c r="D2880" i="1"/>
  <c r="C2880" i="1"/>
  <c r="V2879" i="1"/>
  <c r="Q2879" i="1"/>
  <c r="P2879" i="1"/>
  <c r="O2879" i="1"/>
  <c r="N2879" i="1"/>
  <c r="J2879" i="1"/>
  <c r="I2879" i="1"/>
  <c r="H2879" i="1"/>
  <c r="G2879" i="1"/>
  <c r="F2879" i="1"/>
  <c r="E2879" i="1"/>
  <c r="D2879" i="1"/>
  <c r="C2879" i="1"/>
  <c r="V2878" i="1"/>
  <c r="Q2878" i="1"/>
  <c r="P2878" i="1"/>
  <c r="O2878" i="1"/>
  <c r="N2878" i="1"/>
  <c r="J2878" i="1"/>
  <c r="I2878" i="1"/>
  <c r="H2878" i="1"/>
  <c r="G2878" i="1"/>
  <c r="F2878" i="1"/>
  <c r="E2878" i="1"/>
  <c r="D2878" i="1"/>
  <c r="C2878" i="1"/>
  <c r="V2877" i="1"/>
  <c r="Q2877" i="1"/>
  <c r="P2877" i="1"/>
  <c r="O2877" i="1"/>
  <c r="N2877" i="1"/>
  <c r="J2877" i="1"/>
  <c r="I2877" i="1"/>
  <c r="H2877" i="1"/>
  <c r="G2877" i="1"/>
  <c r="F2877" i="1"/>
  <c r="E2877" i="1"/>
  <c r="D2877" i="1"/>
  <c r="C2877" i="1"/>
  <c r="V2876" i="1"/>
  <c r="Q2876" i="1"/>
  <c r="P2876" i="1"/>
  <c r="O2876" i="1"/>
  <c r="N2876" i="1"/>
  <c r="J2876" i="1"/>
  <c r="I2876" i="1"/>
  <c r="H2876" i="1"/>
  <c r="G2876" i="1"/>
  <c r="F2876" i="1"/>
  <c r="E2876" i="1"/>
  <c r="D2876" i="1"/>
  <c r="C2876" i="1"/>
  <c r="V2875" i="1"/>
  <c r="Q2875" i="1"/>
  <c r="P2875" i="1"/>
  <c r="O2875" i="1"/>
  <c r="N2875" i="1"/>
  <c r="J2875" i="1"/>
  <c r="I2875" i="1"/>
  <c r="H2875" i="1"/>
  <c r="G2875" i="1"/>
  <c r="F2875" i="1"/>
  <c r="E2875" i="1"/>
  <c r="D2875" i="1"/>
  <c r="C2875" i="1"/>
  <c r="V2874" i="1"/>
  <c r="Q2874" i="1"/>
  <c r="P2874" i="1"/>
  <c r="O2874" i="1"/>
  <c r="N2874" i="1"/>
  <c r="J2874" i="1"/>
  <c r="I2874" i="1"/>
  <c r="H2874" i="1"/>
  <c r="G2874" i="1"/>
  <c r="F2874" i="1"/>
  <c r="E2874" i="1"/>
  <c r="D2874" i="1"/>
  <c r="C2874" i="1"/>
  <c r="V2873" i="1"/>
  <c r="Q2873" i="1"/>
  <c r="P2873" i="1"/>
  <c r="O2873" i="1"/>
  <c r="N2873" i="1"/>
  <c r="J2873" i="1"/>
  <c r="I2873" i="1"/>
  <c r="H2873" i="1"/>
  <c r="G2873" i="1"/>
  <c r="F2873" i="1"/>
  <c r="E2873" i="1"/>
  <c r="D2873" i="1"/>
  <c r="C2873" i="1"/>
  <c r="V2872" i="1"/>
  <c r="Q2872" i="1"/>
  <c r="P2872" i="1"/>
  <c r="O2872" i="1"/>
  <c r="N2872" i="1"/>
  <c r="J2872" i="1"/>
  <c r="I2872" i="1"/>
  <c r="H2872" i="1"/>
  <c r="G2872" i="1"/>
  <c r="F2872" i="1"/>
  <c r="E2872" i="1"/>
  <c r="D2872" i="1"/>
  <c r="C2872" i="1"/>
  <c r="V2871" i="1"/>
  <c r="Q2871" i="1"/>
  <c r="P2871" i="1"/>
  <c r="O2871" i="1"/>
  <c r="N2871" i="1"/>
  <c r="J2871" i="1"/>
  <c r="I2871" i="1"/>
  <c r="H2871" i="1"/>
  <c r="G2871" i="1"/>
  <c r="F2871" i="1"/>
  <c r="E2871" i="1"/>
  <c r="D2871" i="1"/>
  <c r="C2871" i="1"/>
  <c r="V2870" i="1"/>
  <c r="Q2870" i="1"/>
  <c r="P2870" i="1"/>
  <c r="O2870" i="1"/>
  <c r="N2870" i="1"/>
  <c r="J2870" i="1"/>
  <c r="I2870" i="1"/>
  <c r="H2870" i="1"/>
  <c r="G2870" i="1"/>
  <c r="F2870" i="1"/>
  <c r="E2870" i="1"/>
  <c r="D2870" i="1"/>
  <c r="C2870" i="1"/>
  <c r="V2869" i="1"/>
  <c r="Q2869" i="1"/>
  <c r="P2869" i="1"/>
  <c r="O2869" i="1"/>
  <c r="N2869" i="1"/>
  <c r="J2869" i="1"/>
  <c r="I2869" i="1"/>
  <c r="H2869" i="1"/>
  <c r="G2869" i="1"/>
  <c r="F2869" i="1"/>
  <c r="E2869" i="1"/>
  <c r="D2869" i="1"/>
  <c r="C2869" i="1"/>
  <c r="V2868" i="1"/>
  <c r="Q2868" i="1"/>
  <c r="P2868" i="1"/>
  <c r="O2868" i="1"/>
  <c r="N2868" i="1"/>
  <c r="J2868" i="1"/>
  <c r="I2868" i="1"/>
  <c r="H2868" i="1"/>
  <c r="G2868" i="1"/>
  <c r="F2868" i="1"/>
  <c r="E2868" i="1"/>
  <c r="D2868" i="1"/>
  <c r="C2868" i="1"/>
  <c r="V2867" i="1"/>
  <c r="Q2867" i="1"/>
  <c r="P2867" i="1"/>
  <c r="O2867" i="1"/>
  <c r="N2867" i="1"/>
  <c r="J2867" i="1"/>
  <c r="I2867" i="1"/>
  <c r="H2867" i="1"/>
  <c r="G2867" i="1"/>
  <c r="F2867" i="1"/>
  <c r="E2867" i="1"/>
  <c r="D2867" i="1"/>
  <c r="C2867" i="1"/>
  <c r="V2866" i="1"/>
  <c r="Q2866" i="1"/>
  <c r="P2866" i="1"/>
  <c r="O2866" i="1"/>
  <c r="N2866" i="1"/>
  <c r="J2866" i="1"/>
  <c r="I2866" i="1"/>
  <c r="H2866" i="1"/>
  <c r="G2866" i="1"/>
  <c r="F2866" i="1"/>
  <c r="E2866" i="1"/>
  <c r="D2866" i="1"/>
  <c r="C2866" i="1"/>
  <c r="V2865" i="1"/>
  <c r="Q2865" i="1"/>
  <c r="P2865" i="1"/>
  <c r="O2865" i="1"/>
  <c r="N2865" i="1"/>
  <c r="J2865" i="1"/>
  <c r="I2865" i="1"/>
  <c r="H2865" i="1"/>
  <c r="G2865" i="1"/>
  <c r="F2865" i="1"/>
  <c r="E2865" i="1"/>
  <c r="D2865" i="1"/>
  <c r="C2865" i="1"/>
  <c r="V2864" i="1"/>
  <c r="Q2864" i="1"/>
  <c r="P2864" i="1"/>
  <c r="O2864" i="1"/>
  <c r="N2864" i="1"/>
  <c r="J2864" i="1"/>
  <c r="I2864" i="1"/>
  <c r="H2864" i="1"/>
  <c r="G2864" i="1"/>
  <c r="F2864" i="1"/>
  <c r="E2864" i="1"/>
  <c r="D2864" i="1"/>
  <c r="C2864" i="1"/>
  <c r="V2863" i="1"/>
  <c r="Q2863" i="1"/>
  <c r="P2863" i="1"/>
  <c r="O2863" i="1"/>
  <c r="N2863" i="1"/>
  <c r="J2863" i="1"/>
  <c r="I2863" i="1"/>
  <c r="H2863" i="1"/>
  <c r="G2863" i="1"/>
  <c r="F2863" i="1"/>
  <c r="E2863" i="1"/>
  <c r="D2863" i="1"/>
  <c r="C2863" i="1"/>
  <c r="V2862" i="1"/>
  <c r="Q2862" i="1"/>
  <c r="P2862" i="1"/>
  <c r="O2862" i="1"/>
  <c r="N2862" i="1"/>
  <c r="J2862" i="1"/>
  <c r="I2862" i="1"/>
  <c r="H2862" i="1"/>
  <c r="G2862" i="1"/>
  <c r="F2862" i="1"/>
  <c r="E2862" i="1"/>
  <c r="D2862" i="1"/>
  <c r="C2862" i="1"/>
  <c r="V2861" i="1"/>
  <c r="Q2861" i="1"/>
  <c r="P2861" i="1"/>
  <c r="O2861" i="1"/>
  <c r="N2861" i="1"/>
  <c r="J2861" i="1"/>
  <c r="I2861" i="1"/>
  <c r="H2861" i="1"/>
  <c r="G2861" i="1"/>
  <c r="F2861" i="1"/>
  <c r="E2861" i="1"/>
  <c r="D2861" i="1"/>
  <c r="C2861" i="1"/>
  <c r="V2860" i="1"/>
  <c r="Q2860" i="1"/>
  <c r="P2860" i="1"/>
  <c r="O2860" i="1"/>
  <c r="N2860" i="1"/>
  <c r="J2860" i="1"/>
  <c r="I2860" i="1"/>
  <c r="H2860" i="1"/>
  <c r="G2860" i="1"/>
  <c r="F2860" i="1"/>
  <c r="E2860" i="1"/>
  <c r="D2860" i="1"/>
  <c r="C2860" i="1"/>
  <c r="V2859" i="1"/>
  <c r="Q2859" i="1"/>
  <c r="P2859" i="1"/>
  <c r="O2859" i="1"/>
  <c r="N2859" i="1"/>
  <c r="J2859" i="1"/>
  <c r="I2859" i="1"/>
  <c r="H2859" i="1"/>
  <c r="G2859" i="1"/>
  <c r="F2859" i="1"/>
  <c r="E2859" i="1"/>
  <c r="D2859" i="1"/>
  <c r="C2859" i="1"/>
  <c r="V2858" i="1"/>
  <c r="Q2858" i="1"/>
  <c r="P2858" i="1"/>
  <c r="O2858" i="1"/>
  <c r="N2858" i="1"/>
  <c r="J2858" i="1"/>
  <c r="I2858" i="1"/>
  <c r="H2858" i="1"/>
  <c r="G2858" i="1"/>
  <c r="F2858" i="1"/>
  <c r="E2858" i="1"/>
  <c r="D2858" i="1"/>
  <c r="C2858" i="1"/>
  <c r="V2857" i="1"/>
  <c r="Q2857" i="1"/>
  <c r="P2857" i="1"/>
  <c r="O2857" i="1"/>
  <c r="N2857" i="1"/>
  <c r="J2857" i="1"/>
  <c r="I2857" i="1"/>
  <c r="H2857" i="1"/>
  <c r="G2857" i="1"/>
  <c r="F2857" i="1"/>
  <c r="E2857" i="1"/>
  <c r="D2857" i="1"/>
  <c r="C2857" i="1"/>
  <c r="V2856" i="1"/>
  <c r="Q2856" i="1"/>
  <c r="P2856" i="1"/>
  <c r="O2856" i="1"/>
  <c r="N2856" i="1"/>
  <c r="J2856" i="1"/>
  <c r="I2856" i="1"/>
  <c r="H2856" i="1"/>
  <c r="G2856" i="1"/>
  <c r="F2856" i="1"/>
  <c r="E2856" i="1"/>
  <c r="D2856" i="1"/>
  <c r="C2856" i="1"/>
  <c r="V2855" i="1"/>
  <c r="Q2855" i="1"/>
  <c r="P2855" i="1"/>
  <c r="O2855" i="1"/>
  <c r="N2855" i="1"/>
  <c r="J2855" i="1"/>
  <c r="I2855" i="1"/>
  <c r="H2855" i="1"/>
  <c r="G2855" i="1"/>
  <c r="F2855" i="1"/>
  <c r="E2855" i="1"/>
  <c r="D2855" i="1"/>
  <c r="C2855" i="1"/>
  <c r="V2854" i="1"/>
  <c r="Q2854" i="1"/>
  <c r="P2854" i="1"/>
  <c r="O2854" i="1"/>
  <c r="N2854" i="1"/>
  <c r="J2854" i="1"/>
  <c r="I2854" i="1"/>
  <c r="H2854" i="1"/>
  <c r="G2854" i="1"/>
  <c r="F2854" i="1"/>
  <c r="E2854" i="1"/>
  <c r="D2854" i="1"/>
  <c r="C2854" i="1"/>
  <c r="V2853" i="1"/>
  <c r="Q2853" i="1"/>
  <c r="P2853" i="1"/>
  <c r="O2853" i="1"/>
  <c r="N2853" i="1"/>
  <c r="J2853" i="1"/>
  <c r="I2853" i="1"/>
  <c r="H2853" i="1"/>
  <c r="G2853" i="1"/>
  <c r="F2853" i="1"/>
  <c r="E2853" i="1"/>
  <c r="D2853" i="1"/>
  <c r="C2853" i="1"/>
  <c r="V2852" i="1"/>
  <c r="Q2852" i="1"/>
  <c r="P2852" i="1"/>
  <c r="O2852" i="1"/>
  <c r="N2852" i="1"/>
  <c r="J2852" i="1"/>
  <c r="I2852" i="1"/>
  <c r="H2852" i="1"/>
  <c r="G2852" i="1"/>
  <c r="F2852" i="1"/>
  <c r="E2852" i="1"/>
  <c r="D2852" i="1"/>
  <c r="C2852" i="1"/>
  <c r="V2851" i="1"/>
  <c r="Q2851" i="1"/>
  <c r="P2851" i="1"/>
  <c r="O2851" i="1"/>
  <c r="N2851" i="1"/>
  <c r="J2851" i="1"/>
  <c r="I2851" i="1"/>
  <c r="H2851" i="1"/>
  <c r="G2851" i="1"/>
  <c r="F2851" i="1"/>
  <c r="E2851" i="1"/>
  <c r="D2851" i="1"/>
  <c r="C2851" i="1"/>
  <c r="V2850" i="1"/>
  <c r="Q2850" i="1"/>
  <c r="P2850" i="1"/>
  <c r="O2850" i="1"/>
  <c r="N2850" i="1"/>
  <c r="J2850" i="1"/>
  <c r="I2850" i="1"/>
  <c r="H2850" i="1"/>
  <c r="G2850" i="1"/>
  <c r="F2850" i="1"/>
  <c r="E2850" i="1"/>
  <c r="D2850" i="1"/>
  <c r="C2850" i="1"/>
  <c r="V2849" i="1"/>
  <c r="Q2849" i="1"/>
  <c r="P2849" i="1"/>
  <c r="O2849" i="1"/>
  <c r="N2849" i="1"/>
  <c r="J2849" i="1"/>
  <c r="I2849" i="1"/>
  <c r="H2849" i="1"/>
  <c r="G2849" i="1"/>
  <c r="F2849" i="1"/>
  <c r="E2849" i="1"/>
  <c r="D2849" i="1"/>
  <c r="C2849" i="1"/>
  <c r="V2848" i="1"/>
  <c r="Q2848" i="1"/>
  <c r="P2848" i="1"/>
  <c r="O2848" i="1"/>
  <c r="N2848" i="1"/>
  <c r="J2848" i="1"/>
  <c r="I2848" i="1"/>
  <c r="H2848" i="1"/>
  <c r="G2848" i="1"/>
  <c r="F2848" i="1"/>
  <c r="E2848" i="1"/>
  <c r="D2848" i="1"/>
  <c r="C2848" i="1"/>
  <c r="V2847" i="1"/>
  <c r="Q2847" i="1"/>
  <c r="P2847" i="1"/>
  <c r="O2847" i="1"/>
  <c r="N2847" i="1"/>
  <c r="J2847" i="1"/>
  <c r="I2847" i="1"/>
  <c r="H2847" i="1"/>
  <c r="G2847" i="1"/>
  <c r="F2847" i="1"/>
  <c r="E2847" i="1"/>
  <c r="D2847" i="1"/>
  <c r="C2847" i="1"/>
  <c r="V2846" i="1"/>
  <c r="Q2846" i="1"/>
  <c r="P2846" i="1"/>
  <c r="O2846" i="1"/>
  <c r="N2846" i="1"/>
  <c r="J2846" i="1"/>
  <c r="I2846" i="1"/>
  <c r="H2846" i="1"/>
  <c r="G2846" i="1"/>
  <c r="F2846" i="1"/>
  <c r="E2846" i="1"/>
  <c r="D2846" i="1"/>
  <c r="C2846" i="1"/>
  <c r="V2845" i="1"/>
  <c r="Q2845" i="1"/>
  <c r="P2845" i="1"/>
  <c r="O2845" i="1"/>
  <c r="N2845" i="1"/>
  <c r="J2845" i="1"/>
  <c r="I2845" i="1"/>
  <c r="H2845" i="1"/>
  <c r="G2845" i="1"/>
  <c r="F2845" i="1"/>
  <c r="E2845" i="1"/>
  <c r="D2845" i="1"/>
  <c r="C2845" i="1"/>
  <c r="V2844" i="1"/>
  <c r="Q2844" i="1"/>
  <c r="P2844" i="1"/>
  <c r="O2844" i="1"/>
  <c r="N2844" i="1"/>
  <c r="J2844" i="1"/>
  <c r="I2844" i="1"/>
  <c r="H2844" i="1"/>
  <c r="G2844" i="1"/>
  <c r="F2844" i="1"/>
  <c r="E2844" i="1"/>
  <c r="D2844" i="1"/>
  <c r="C2844" i="1"/>
  <c r="V2843" i="1"/>
  <c r="Q2843" i="1"/>
  <c r="P2843" i="1"/>
  <c r="O2843" i="1"/>
  <c r="N2843" i="1"/>
  <c r="J2843" i="1"/>
  <c r="I2843" i="1"/>
  <c r="H2843" i="1"/>
  <c r="G2843" i="1"/>
  <c r="F2843" i="1"/>
  <c r="E2843" i="1"/>
  <c r="D2843" i="1"/>
  <c r="C2843" i="1"/>
  <c r="V2842" i="1"/>
  <c r="Q2842" i="1"/>
  <c r="P2842" i="1"/>
  <c r="O2842" i="1"/>
  <c r="N2842" i="1"/>
  <c r="J2842" i="1"/>
  <c r="I2842" i="1"/>
  <c r="H2842" i="1"/>
  <c r="G2842" i="1"/>
  <c r="F2842" i="1"/>
  <c r="E2842" i="1"/>
  <c r="D2842" i="1"/>
  <c r="C2842" i="1"/>
  <c r="V2841" i="1"/>
  <c r="Q2841" i="1"/>
  <c r="P2841" i="1"/>
  <c r="O2841" i="1"/>
  <c r="N2841" i="1"/>
  <c r="J2841" i="1"/>
  <c r="I2841" i="1"/>
  <c r="H2841" i="1"/>
  <c r="G2841" i="1"/>
  <c r="F2841" i="1"/>
  <c r="E2841" i="1"/>
  <c r="D2841" i="1"/>
  <c r="C2841" i="1"/>
  <c r="V2840" i="1"/>
  <c r="Q2840" i="1"/>
  <c r="P2840" i="1"/>
  <c r="O2840" i="1"/>
  <c r="N2840" i="1"/>
  <c r="J2840" i="1"/>
  <c r="I2840" i="1"/>
  <c r="H2840" i="1"/>
  <c r="G2840" i="1"/>
  <c r="F2840" i="1"/>
  <c r="E2840" i="1"/>
  <c r="D2840" i="1"/>
  <c r="C2840" i="1"/>
  <c r="V2839" i="1"/>
  <c r="Q2839" i="1"/>
  <c r="P2839" i="1"/>
  <c r="O2839" i="1"/>
  <c r="N2839" i="1"/>
  <c r="J2839" i="1"/>
  <c r="I2839" i="1"/>
  <c r="H2839" i="1"/>
  <c r="G2839" i="1"/>
  <c r="F2839" i="1"/>
  <c r="E2839" i="1"/>
  <c r="D2839" i="1"/>
  <c r="C2839" i="1"/>
  <c r="V2838" i="1"/>
  <c r="Q2838" i="1"/>
  <c r="P2838" i="1"/>
  <c r="O2838" i="1"/>
  <c r="N2838" i="1"/>
  <c r="J2838" i="1"/>
  <c r="I2838" i="1"/>
  <c r="H2838" i="1"/>
  <c r="G2838" i="1"/>
  <c r="F2838" i="1"/>
  <c r="E2838" i="1"/>
  <c r="D2838" i="1"/>
  <c r="C2838" i="1"/>
  <c r="V2837" i="1"/>
  <c r="Q2837" i="1"/>
  <c r="P2837" i="1"/>
  <c r="O2837" i="1"/>
  <c r="N2837" i="1"/>
  <c r="J2837" i="1"/>
  <c r="I2837" i="1"/>
  <c r="H2837" i="1"/>
  <c r="G2837" i="1"/>
  <c r="F2837" i="1"/>
  <c r="E2837" i="1"/>
  <c r="D2837" i="1"/>
  <c r="C2837" i="1"/>
  <c r="V2836" i="1"/>
  <c r="Q2836" i="1"/>
  <c r="P2836" i="1"/>
  <c r="O2836" i="1"/>
  <c r="N2836" i="1"/>
  <c r="J2836" i="1"/>
  <c r="I2836" i="1"/>
  <c r="H2836" i="1"/>
  <c r="G2836" i="1"/>
  <c r="F2836" i="1"/>
  <c r="E2836" i="1"/>
  <c r="D2836" i="1"/>
  <c r="C2836" i="1"/>
  <c r="V2835" i="1"/>
  <c r="Q2835" i="1"/>
  <c r="P2835" i="1"/>
  <c r="O2835" i="1"/>
  <c r="N2835" i="1"/>
  <c r="J2835" i="1"/>
  <c r="I2835" i="1"/>
  <c r="H2835" i="1"/>
  <c r="G2835" i="1"/>
  <c r="F2835" i="1"/>
  <c r="E2835" i="1"/>
  <c r="D2835" i="1"/>
  <c r="C2835" i="1"/>
  <c r="V2834" i="1"/>
  <c r="Q2834" i="1"/>
  <c r="P2834" i="1"/>
  <c r="O2834" i="1"/>
  <c r="N2834" i="1"/>
  <c r="J2834" i="1"/>
  <c r="I2834" i="1"/>
  <c r="H2834" i="1"/>
  <c r="G2834" i="1"/>
  <c r="F2834" i="1"/>
  <c r="E2834" i="1"/>
  <c r="D2834" i="1"/>
  <c r="C2834" i="1"/>
  <c r="V2833" i="1"/>
  <c r="Q2833" i="1"/>
  <c r="P2833" i="1"/>
  <c r="O2833" i="1"/>
  <c r="N2833" i="1"/>
  <c r="J2833" i="1"/>
  <c r="I2833" i="1"/>
  <c r="H2833" i="1"/>
  <c r="G2833" i="1"/>
  <c r="F2833" i="1"/>
  <c r="E2833" i="1"/>
  <c r="D2833" i="1"/>
  <c r="C2833" i="1"/>
  <c r="V2832" i="1"/>
  <c r="Q2832" i="1"/>
  <c r="P2832" i="1"/>
  <c r="O2832" i="1"/>
  <c r="N2832" i="1"/>
  <c r="J2832" i="1"/>
  <c r="I2832" i="1"/>
  <c r="H2832" i="1"/>
  <c r="G2832" i="1"/>
  <c r="F2832" i="1"/>
  <c r="E2832" i="1"/>
  <c r="D2832" i="1"/>
  <c r="C2832" i="1"/>
  <c r="V2831" i="1"/>
  <c r="Q2831" i="1"/>
  <c r="P2831" i="1"/>
  <c r="O2831" i="1"/>
  <c r="N2831" i="1"/>
  <c r="J2831" i="1"/>
  <c r="I2831" i="1"/>
  <c r="H2831" i="1"/>
  <c r="G2831" i="1"/>
  <c r="F2831" i="1"/>
  <c r="E2831" i="1"/>
  <c r="D2831" i="1"/>
  <c r="C2831" i="1"/>
  <c r="V2830" i="1"/>
  <c r="Q2830" i="1"/>
  <c r="P2830" i="1"/>
  <c r="O2830" i="1"/>
  <c r="N2830" i="1"/>
  <c r="J2830" i="1"/>
  <c r="I2830" i="1"/>
  <c r="H2830" i="1"/>
  <c r="G2830" i="1"/>
  <c r="F2830" i="1"/>
  <c r="E2830" i="1"/>
  <c r="D2830" i="1"/>
  <c r="C2830" i="1"/>
  <c r="V2829" i="1"/>
  <c r="Q2829" i="1"/>
  <c r="P2829" i="1"/>
  <c r="O2829" i="1"/>
  <c r="N2829" i="1"/>
  <c r="J2829" i="1"/>
  <c r="I2829" i="1"/>
  <c r="H2829" i="1"/>
  <c r="G2829" i="1"/>
  <c r="F2829" i="1"/>
  <c r="E2829" i="1"/>
  <c r="D2829" i="1"/>
  <c r="C2829" i="1"/>
  <c r="V2828" i="1"/>
  <c r="Q2828" i="1"/>
  <c r="P2828" i="1"/>
  <c r="O2828" i="1"/>
  <c r="N2828" i="1"/>
  <c r="J2828" i="1"/>
  <c r="I2828" i="1"/>
  <c r="H2828" i="1"/>
  <c r="G2828" i="1"/>
  <c r="F2828" i="1"/>
  <c r="E2828" i="1"/>
  <c r="D2828" i="1"/>
  <c r="C2828" i="1"/>
  <c r="V2827" i="1"/>
  <c r="Q2827" i="1"/>
  <c r="P2827" i="1"/>
  <c r="O2827" i="1"/>
  <c r="N2827" i="1"/>
  <c r="J2827" i="1"/>
  <c r="I2827" i="1"/>
  <c r="H2827" i="1"/>
  <c r="G2827" i="1"/>
  <c r="F2827" i="1"/>
  <c r="E2827" i="1"/>
  <c r="D2827" i="1"/>
  <c r="C2827" i="1"/>
  <c r="V2826" i="1"/>
  <c r="Q2826" i="1"/>
  <c r="P2826" i="1"/>
  <c r="O2826" i="1"/>
  <c r="N2826" i="1"/>
  <c r="J2826" i="1"/>
  <c r="I2826" i="1"/>
  <c r="H2826" i="1"/>
  <c r="G2826" i="1"/>
  <c r="F2826" i="1"/>
  <c r="E2826" i="1"/>
  <c r="D2826" i="1"/>
  <c r="C2826" i="1"/>
  <c r="V2825" i="1"/>
  <c r="Q2825" i="1"/>
  <c r="P2825" i="1"/>
  <c r="O2825" i="1"/>
  <c r="N2825" i="1"/>
  <c r="J2825" i="1"/>
  <c r="I2825" i="1"/>
  <c r="H2825" i="1"/>
  <c r="G2825" i="1"/>
  <c r="F2825" i="1"/>
  <c r="E2825" i="1"/>
  <c r="D2825" i="1"/>
  <c r="C2825" i="1"/>
  <c r="V2824" i="1"/>
  <c r="Q2824" i="1"/>
  <c r="P2824" i="1"/>
  <c r="O2824" i="1"/>
  <c r="N2824" i="1"/>
  <c r="J2824" i="1"/>
  <c r="I2824" i="1"/>
  <c r="H2824" i="1"/>
  <c r="G2824" i="1"/>
  <c r="F2824" i="1"/>
  <c r="E2824" i="1"/>
  <c r="D2824" i="1"/>
  <c r="C2824" i="1"/>
  <c r="V2823" i="1"/>
  <c r="Q2823" i="1"/>
  <c r="P2823" i="1"/>
  <c r="O2823" i="1"/>
  <c r="N2823" i="1"/>
  <c r="J2823" i="1"/>
  <c r="I2823" i="1"/>
  <c r="H2823" i="1"/>
  <c r="G2823" i="1"/>
  <c r="F2823" i="1"/>
  <c r="E2823" i="1"/>
  <c r="D2823" i="1"/>
  <c r="C2823" i="1"/>
  <c r="V2822" i="1"/>
  <c r="Q2822" i="1"/>
  <c r="P2822" i="1"/>
  <c r="O2822" i="1"/>
  <c r="N2822" i="1"/>
  <c r="J2822" i="1"/>
  <c r="I2822" i="1"/>
  <c r="H2822" i="1"/>
  <c r="G2822" i="1"/>
  <c r="F2822" i="1"/>
  <c r="E2822" i="1"/>
  <c r="D2822" i="1"/>
  <c r="C2822" i="1"/>
  <c r="V2821" i="1"/>
  <c r="Q2821" i="1"/>
  <c r="P2821" i="1"/>
  <c r="O2821" i="1"/>
  <c r="N2821" i="1"/>
  <c r="J2821" i="1"/>
  <c r="I2821" i="1"/>
  <c r="H2821" i="1"/>
  <c r="G2821" i="1"/>
  <c r="F2821" i="1"/>
  <c r="E2821" i="1"/>
  <c r="D2821" i="1"/>
  <c r="C2821" i="1"/>
  <c r="V2820" i="1"/>
  <c r="Q2820" i="1"/>
  <c r="P2820" i="1"/>
  <c r="O2820" i="1"/>
  <c r="N2820" i="1"/>
  <c r="J2820" i="1"/>
  <c r="I2820" i="1"/>
  <c r="H2820" i="1"/>
  <c r="G2820" i="1"/>
  <c r="F2820" i="1"/>
  <c r="E2820" i="1"/>
  <c r="D2820" i="1"/>
  <c r="C2820" i="1"/>
  <c r="V2819" i="1"/>
  <c r="Q2819" i="1"/>
  <c r="P2819" i="1"/>
  <c r="O2819" i="1"/>
  <c r="N2819" i="1"/>
  <c r="J2819" i="1"/>
  <c r="I2819" i="1"/>
  <c r="H2819" i="1"/>
  <c r="G2819" i="1"/>
  <c r="F2819" i="1"/>
  <c r="E2819" i="1"/>
  <c r="D2819" i="1"/>
  <c r="C2819" i="1"/>
  <c r="V2818" i="1"/>
  <c r="Q2818" i="1"/>
  <c r="P2818" i="1"/>
  <c r="O2818" i="1"/>
  <c r="N2818" i="1"/>
  <c r="J2818" i="1"/>
  <c r="I2818" i="1"/>
  <c r="H2818" i="1"/>
  <c r="G2818" i="1"/>
  <c r="F2818" i="1"/>
  <c r="E2818" i="1"/>
  <c r="D2818" i="1"/>
  <c r="C2818" i="1"/>
  <c r="V2817" i="1"/>
  <c r="Q2817" i="1"/>
  <c r="P2817" i="1"/>
  <c r="O2817" i="1"/>
  <c r="N2817" i="1"/>
  <c r="J2817" i="1"/>
  <c r="I2817" i="1"/>
  <c r="H2817" i="1"/>
  <c r="G2817" i="1"/>
  <c r="F2817" i="1"/>
  <c r="E2817" i="1"/>
  <c r="D2817" i="1"/>
  <c r="C2817" i="1"/>
  <c r="V2816" i="1"/>
  <c r="Q2816" i="1"/>
  <c r="P2816" i="1"/>
  <c r="O2816" i="1"/>
  <c r="N2816" i="1"/>
  <c r="J2816" i="1"/>
  <c r="I2816" i="1"/>
  <c r="H2816" i="1"/>
  <c r="G2816" i="1"/>
  <c r="F2816" i="1"/>
  <c r="E2816" i="1"/>
  <c r="D2816" i="1"/>
  <c r="C2816" i="1"/>
  <c r="V2815" i="1"/>
  <c r="Q2815" i="1"/>
  <c r="P2815" i="1"/>
  <c r="O2815" i="1"/>
  <c r="N2815" i="1"/>
  <c r="J2815" i="1"/>
  <c r="I2815" i="1"/>
  <c r="H2815" i="1"/>
  <c r="G2815" i="1"/>
  <c r="F2815" i="1"/>
  <c r="E2815" i="1"/>
  <c r="D2815" i="1"/>
  <c r="C2815" i="1"/>
  <c r="V2814" i="1"/>
  <c r="Q2814" i="1"/>
  <c r="P2814" i="1"/>
  <c r="O2814" i="1"/>
  <c r="N2814" i="1"/>
  <c r="J2814" i="1"/>
  <c r="I2814" i="1"/>
  <c r="H2814" i="1"/>
  <c r="G2814" i="1"/>
  <c r="F2814" i="1"/>
  <c r="E2814" i="1"/>
  <c r="D2814" i="1"/>
  <c r="C2814" i="1"/>
  <c r="V2813" i="1"/>
  <c r="Q2813" i="1"/>
  <c r="P2813" i="1"/>
  <c r="O2813" i="1"/>
  <c r="N2813" i="1"/>
  <c r="J2813" i="1"/>
  <c r="I2813" i="1"/>
  <c r="H2813" i="1"/>
  <c r="G2813" i="1"/>
  <c r="F2813" i="1"/>
  <c r="E2813" i="1"/>
  <c r="D2813" i="1"/>
  <c r="C2813" i="1"/>
  <c r="V2812" i="1"/>
  <c r="Q2812" i="1"/>
  <c r="P2812" i="1"/>
  <c r="O2812" i="1"/>
  <c r="N2812" i="1"/>
  <c r="J2812" i="1"/>
  <c r="I2812" i="1"/>
  <c r="H2812" i="1"/>
  <c r="G2812" i="1"/>
  <c r="F2812" i="1"/>
  <c r="E2812" i="1"/>
  <c r="D2812" i="1"/>
  <c r="C2812" i="1"/>
  <c r="V2811" i="1"/>
  <c r="Q2811" i="1"/>
  <c r="P2811" i="1"/>
  <c r="O2811" i="1"/>
  <c r="N2811" i="1"/>
  <c r="J2811" i="1"/>
  <c r="I2811" i="1"/>
  <c r="H2811" i="1"/>
  <c r="G2811" i="1"/>
  <c r="F2811" i="1"/>
  <c r="E2811" i="1"/>
  <c r="D2811" i="1"/>
  <c r="C2811" i="1"/>
  <c r="V2810" i="1"/>
  <c r="Q2810" i="1"/>
  <c r="P2810" i="1"/>
  <c r="O2810" i="1"/>
  <c r="N2810" i="1"/>
  <c r="J2810" i="1"/>
  <c r="I2810" i="1"/>
  <c r="H2810" i="1"/>
  <c r="G2810" i="1"/>
  <c r="F2810" i="1"/>
  <c r="E2810" i="1"/>
  <c r="D2810" i="1"/>
  <c r="C2810" i="1"/>
  <c r="V2809" i="1"/>
  <c r="Q2809" i="1"/>
  <c r="P2809" i="1"/>
  <c r="O2809" i="1"/>
  <c r="N2809" i="1"/>
  <c r="J2809" i="1"/>
  <c r="I2809" i="1"/>
  <c r="H2809" i="1"/>
  <c r="G2809" i="1"/>
  <c r="F2809" i="1"/>
  <c r="E2809" i="1"/>
  <c r="D2809" i="1"/>
  <c r="C2809" i="1"/>
  <c r="V2808" i="1"/>
  <c r="Q2808" i="1"/>
  <c r="P2808" i="1"/>
  <c r="O2808" i="1"/>
  <c r="N2808" i="1"/>
  <c r="J2808" i="1"/>
  <c r="I2808" i="1"/>
  <c r="H2808" i="1"/>
  <c r="G2808" i="1"/>
  <c r="F2808" i="1"/>
  <c r="E2808" i="1"/>
  <c r="D2808" i="1"/>
  <c r="C2808" i="1"/>
  <c r="V2807" i="1"/>
  <c r="Q2807" i="1"/>
  <c r="P2807" i="1"/>
  <c r="O2807" i="1"/>
  <c r="N2807" i="1"/>
  <c r="J2807" i="1"/>
  <c r="I2807" i="1"/>
  <c r="H2807" i="1"/>
  <c r="G2807" i="1"/>
  <c r="F2807" i="1"/>
  <c r="E2807" i="1"/>
  <c r="D2807" i="1"/>
  <c r="C2807" i="1"/>
  <c r="V2806" i="1"/>
  <c r="Q2806" i="1"/>
  <c r="P2806" i="1"/>
  <c r="O2806" i="1"/>
  <c r="N2806" i="1"/>
  <c r="J2806" i="1"/>
  <c r="I2806" i="1"/>
  <c r="H2806" i="1"/>
  <c r="G2806" i="1"/>
  <c r="F2806" i="1"/>
  <c r="E2806" i="1"/>
  <c r="D2806" i="1"/>
  <c r="C2806" i="1"/>
  <c r="V2805" i="1"/>
  <c r="Q2805" i="1"/>
  <c r="P2805" i="1"/>
  <c r="O2805" i="1"/>
  <c r="N2805" i="1"/>
  <c r="J2805" i="1"/>
  <c r="I2805" i="1"/>
  <c r="H2805" i="1"/>
  <c r="G2805" i="1"/>
  <c r="F2805" i="1"/>
  <c r="E2805" i="1"/>
  <c r="D2805" i="1"/>
  <c r="C2805" i="1"/>
  <c r="V2804" i="1"/>
  <c r="Q2804" i="1"/>
  <c r="P2804" i="1"/>
  <c r="O2804" i="1"/>
  <c r="N2804" i="1"/>
  <c r="J2804" i="1"/>
  <c r="I2804" i="1"/>
  <c r="H2804" i="1"/>
  <c r="G2804" i="1"/>
  <c r="F2804" i="1"/>
  <c r="E2804" i="1"/>
  <c r="D2804" i="1"/>
  <c r="C2804" i="1"/>
  <c r="V2803" i="1"/>
  <c r="Q2803" i="1"/>
  <c r="P2803" i="1"/>
  <c r="O2803" i="1"/>
  <c r="N2803" i="1"/>
  <c r="J2803" i="1"/>
  <c r="I2803" i="1"/>
  <c r="H2803" i="1"/>
  <c r="G2803" i="1"/>
  <c r="F2803" i="1"/>
  <c r="E2803" i="1"/>
  <c r="D2803" i="1"/>
  <c r="C2803" i="1"/>
  <c r="V2802" i="1"/>
  <c r="Q2802" i="1"/>
  <c r="P2802" i="1"/>
  <c r="O2802" i="1"/>
  <c r="N2802" i="1"/>
  <c r="J2802" i="1"/>
  <c r="I2802" i="1"/>
  <c r="H2802" i="1"/>
  <c r="G2802" i="1"/>
  <c r="F2802" i="1"/>
  <c r="E2802" i="1"/>
  <c r="D2802" i="1"/>
  <c r="C2802" i="1"/>
  <c r="V2801" i="1"/>
  <c r="Q2801" i="1"/>
  <c r="P2801" i="1"/>
  <c r="O2801" i="1"/>
  <c r="N2801" i="1"/>
  <c r="J2801" i="1"/>
  <c r="I2801" i="1"/>
  <c r="H2801" i="1"/>
  <c r="G2801" i="1"/>
  <c r="F2801" i="1"/>
  <c r="E2801" i="1"/>
  <c r="D2801" i="1"/>
  <c r="C2801" i="1"/>
  <c r="V2800" i="1"/>
  <c r="Q2800" i="1"/>
  <c r="P2800" i="1"/>
  <c r="O2800" i="1"/>
  <c r="N2800" i="1"/>
  <c r="J2800" i="1"/>
  <c r="I2800" i="1"/>
  <c r="H2800" i="1"/>
  <c r="G2800" i="1"/>
  <c r="F2800" i="1"/>
  <c r="E2800" i="1"/>
  <c r="D2800" i="1"/>
  <c r="C2800" i="1"/>
  <c r="V2799" i="1"/>
  <c r="Q2799" i="1"/>
  <c r="P2799" i="1"/>
  <c r="O2799" i="1"/>
  <c r="N2799" i="1"/>
  <c r="J2799" i="1"/>
  <c r="I2799" i="1"/>
  <c r="H2799" i="1"/>
  <c r="G2799" i="1"/>
  <c r="F2799" i="1"/>
  <c r="E2799" i="1"/>
  <c r="D2799" i="1"/>
  <c r="C2799" i="1"/>
  <c r="V2798" i="1"/>
  <c r="Q2798" i="1"/>
  <c r="P2798" i="1"/>
  <c r="O2798" i="1"/>
  <c r="N2798" i="1"/>
  <c r="J2798" i="1"/>
  <c r="I2798" i="1"/>
  <c r="H2798" i="1"/>
  <c r="G2798" i="1"/>
  <c r="F2798" i="1"/>
  <c r="E2798" i="1"/>
  <c r="D2798" i="1"/>
  <c r="C2798" i="1"/>
  <c r="V2797" i="1"/>
  <c r="Q2797" i="1"/>
  <c r="P2797" i="1"/>
  <c r="O2797" i="1"/>
  <c r="N2797" i="1"/>
  <c r="J2797" i="1"/>
  <c r="I2797" i="1"/>
  <c r="H2797" i="1"/>
  <c r="G2797" i="1"/>
  <c r="F2797" i="1"/>
  <c r="E2797" i="1"/>
  <c r="D2797" i="1"/>
  <c r="C2797" i="1"/>
  <c r="V2796" i="1"/>
  <c r="Q2796" i="1"/>
  <c r="P2796" i="1"/>
  <c r="O2796" i="1"/>
  <c r="N2796" i="1"/>
  <c r="J2796" i="1"/>
  <c r="I2796" i="1"/>
  <c r="H2796" i="1"/>
  <c r="G2796" i="1"/>
  <c r="F2796" i="1"/>
  <c r="E2796" i="1"/>
  <c r="D2796" i="1"/>
  <c r="C2796" i="1"/>
  <c r="V2795" i="1"/>
  <c r="Q2795" i="1"/>
  <c r="P2795" i="1"/>
  <c r="O2795" i="1"/>
  <c r="N2795" i="1"/>
  <c r="J2795" i="1"/>
  <c r="I2795" i="1"/>
  <c r="H2795" i="1"/>
  <c r="G2795" i="1"/>
  <c r="F2795" i="1"/>
  <c r="E2795" i="1"/>
  <c r="D2795" i="1"/>
  <c r="C2795" i="1"/>
  <c r="V2794" i="1"/>
  <c r="Q2794" i="1"/>
  <c r="P2794" i="1"/>
  <c r="O2794" i="1"/>
  <c r="N2794" i="1"/>
  <c r="J2794" i="1"/>
  <c r="I2794" i="1"/>
  <c r="H2794" i="1"/>
  <c r="G2794" i="1"/>
  <c r="F2794" i="1"/>
  <c r="E2794" i="1"/>
  <c r="D2794" i="1"/>
  <c r="C2794" i="1"/>
  <c r="V2793" i="1"/>
  <c r="Q2793" i="1"/>
  <c r="P2793" i="1"/>
  <c r="O2793" i="1"/>
  <c r="N2793" i="1"/>
  <c r="J2793" i="1"/>
  <c r="I2793" i="1"/>
  <c r="H2793" i="1"/>
  <c r="G2793" i="1"/>
  <c r="F2793" i="1"/>
  <c r="E2793" i="1"/>
  <c r="D2793" i="1"/>
  <c r="C2793" i="1"/>
  <c r="V2792" i="1"/>
  <c r="Q2792" i="1"/>
  <c r="P2792" i="1"/>
  <c r="O2792" i="1"/>
  <c r="N2792" i="1"/>
  <c r="J2792" i="1"/>
  <c r="I2792" i="1"/>
  <c r="H2792" i="1"/>
  <c r="G2792" i="1"/>
  <c r="F2792" i="1"/>
  <c r="E2792" i="1"/>
  <c r="D2792" i="1"/>
  <c r="C2792" i="1"/>
  <c r="V2791" i="1"/>
  <c r="Q2791" i="1"/>
  <c r="P2791" i="1"/>
  <c r="O2791" i="1"/>
  <c r="N2791" i="1"/>
  <c r="J2791" i="1"/>
  <c r="I2791" i="1"/>
  <c r="H2791" i="1"/>
  <c r="G2791" i="1"/>
  <c r="F2791" i="1"/>
  <c r="E2791" i="1"/>
  <c r="D2791" i="1"/>
  <c r="C2791" i="1"/>
  <c r="V2790" i="1"/>
  <c r="Q2790" i="1"/>
  <c r="P2790" i="1"/>
  <c r="O2790" i="1"/>
  <c r="N2790" i="1"/>
  <c r="J2790" i="1"/>
  <c r="I2790" i="1"/>
  <c r="H2790" i="1"/>
  <c r="G2790" i="1"/>
  <c r="F2790" i="1"/>
  <c r="E2790" i="1"/>
  <c r="D2790" i="1"/>
  <c r="C2790" i="1"/>
  <c r="V2789" i="1"/>
  <c r="Q2789" i="1"/>
  <c r="P2789" i="1"/>
  <c r="O2789" i="1"/>
  <c r="N2789" i="1"/>
  <c r="J2789" i="1"/>
  <c r="I2789" i="1"/>
  <c r="H2789" i="1"/>
  <c r="G2789" i="1"/>
  <c r="F2789" i="1"/>
  <c r="E2789" i="1"/>
  <c r="D2789" i="1"/>
  <c r="C2789" i="1"/>
  <c r="V2788" i="1"/>
  <c r="Q2788" i="1"/>
  <c r="P2788" i="1"/>
  <c r="O2788" i="1"/>
  <c r="N2788" i="1"/>
  <c r="J2788" i="1"/>
  <c r="I2788" i="1"/>
  <c r="H2788" i="1"/>
  <c r="G2788" i="1"/>
  <c r="F2788" i="1"/>
  <c r="E2788" i="1"/>
  <c r="D2788" i="1"/>
  <c r="C2788" i="1"/>
  <c r="V2787" i="1"/>
  <c r="Q2787" i="1"/>
  <c r="P2787" i="1"/>
  <c r="O2787" i="1"/>
  <c r="N2787" i="1"/>
  <c r="J2787" i="1"/>
  <c r="I2787" i="1"/>
  <c r="H2787" i="1"/>
  <c r="G2787" i="1"/>
  <c r="F2787" i="1"/>
  <c r="E2787" i="1"/>
  <c r="D2787" i="1"/>
  <c r="C2787" i="1"/>
  <c r="V2786" i="1"/>
  <c r="Q2786" i="1"/>
  <c r="P2786" i="1"/>
  <c r="O2786" i="1"/>
  <c r="N2786" i="1"/>
  <c r="J2786" i="1"/>
  <c r="I2786" i="1"/>
  <c r="H2786" i="1"/>
  <c r="G2786" i="1"/>
  <c r="F2786" i="1"/>
  <c r="E2786" i="1"/>
  <c r="D2786" i="1"/>
  <c r="C2786" i="1"/>
  <c r="V2785" i="1"/>
  <c r="Q2785" i="1"/>
  <c r="P2785" i="1"/>
  <c r="O2785" i="1"/>
  <c r="N2785" i="1"/>
  <c r="J2785" i="1"/>
  <c r="I2785" i="1"/>
  <c r="H2785" i="1"/>
  <c r="G2785" i="1"/>
  <c r="F2785" i="1"/>
  <c r="E2785" i="1"/>
  <c r="D2785" i="1"/>
  <c r="C2785" i="1"/>
  <c r="V2784" i="1"/>
  <c r="Q2784" i="1"/>
  <c r="P2784" i="1"/>
  <c r="O2784" i="1"/>
  <c r="N2784" i="1"/>
  <c r="J2784" i="1"/>
  <c r="I2784" i="1"/>
  <c r="H2784" i="1"/>
  <c r="G2784" i="1"/>
  <c r="F2784" i="1"/>
  <c r="E2784" i="1"/>
  <c r="D2784" i="1"/>
  <c r="C2784" i="1"/>
  <c r="V2783" i="1"/>
  <c r="Q2783" i="1"/>
  <c r="P2783" i="1"/>
  <c r="O2783" i="1"/>
  <c r="N2783" i="1"/>
  <c r="J2783" i="1"/>
  <c r="I2783" i="1"/>
  <c r="H2783" i="1"/>
  <c r="G2783" i="1"/>
  <c r="F2783" i="1"/>
  <c r="E2783" i="1"/>
  <c r="D2783" i="1"/>
  <c r="C2783" i="1"/>
  <c r="V2782" i="1"/>
  <c r="Q2782" i="1"/>
  <c r="P2782" i="1"/>
  <c r="O2782" i="1"/>
  <c r="N2782" i="1"/>
  <c r="J2782" i="1"/>
  <c r="I2782" i="1"/>
  <c r="H2782" i="1"/>
  <c r="G2782" i="1"/>
  <c r="F2782" i="1"/>
  <c r="E2782" i="1"/>
  <c r="D2782" i="1"/>
  <c r="C2782" i="1"/>
  <c r="V2781" i="1"/>
  <c r="Q2781" i="1"/>
  <c r="P2781" i="1"/>
  <c r="O2781" i="1"/>
  <c r="N2781" i="1"/>
  <c r="J2781" i="1"/>
  <c r="I2781" i="1"/>
  <c r="H2781" i="1"/>
  <c r="G2781" i="1"/>
  <c r="F2781" i="1"/>
  <c r="E2781" i="1"/>
  <c r="D2781" i="1"/>
  <c r="C2781" i="1"/>
  <c r="V2780" i="1"/>
  <c r="Q2780" i="1"/>
  <c r="P2780" i="1"/>
  <c r="O2780" i="1"/>
  <c r="N2780" i="1"/>
  <c r="J2780" i="1"/>
  <c r="I2780" i="1"/>
  <c r="H2780" i="1"/>
  <c r="G2780" i="1"/>
  <c r="F2780" i="1"/>
  <c r="E2780" i="1"/>
  <c r="D2780" i="1"/>
  <c r="C2780" i="1"/>
  <c r="V2779" i="1"/>
  <c r="Q2779" i="1"/>
  <c r="P2779" i="1"/>
  <c r="O2779" i="1"/>
  <c r="N2779" i="1"/>
  <c r="J2779" i="1"/>
  <c r="I2779" i="1"/>
  <c r="H2779" i="1"/>
  <c r="G2779" i="1"/>
  <c r="F2779" i="1"/>
  <c r="E2779" i="1"/>
  <c r="D2779" i="1"/>
  <c r="C2779" i="1"/>
  <c r="V2778" i="1"/>
  <c r="Q2778" i="1"/>
  <c r="P2778" i="1"/>
  <c r="O2778" i="1"/>
  <c r="N2778" i="1"/>
  <c r="J2778" i="1"/>
  <c r="I2778" i="1"/>
  <c r="H2778" i="1"/>
  <c r="G2778" i="1"/>
  <c r="F2778" i="1"/>
  <c r="E2778" i="1"/>
  <c r="D2778" i="1"/>
  <c r="C2778" i="1"/>
  <c r="V2777" i="1"/>
  <c r="Q2777" i="1"/>
  <c r="P2777" i="1"/>
  <c r="O2777" i="1"/>
  <c r="N2777" i="1"/>
  <c r="J2777" i="1"/>
  <c r="I2777" i="1"/>
  <c r="H2777" i="1"/>
  <c r="G2777" i="1"/>
  <c r="F2777" i="1"/>
  <c r="E2777" i="1"/>
  <c r="D2777" i="1"/>
  <c r="C2777" i="1"/>
  <c r="V2776" i="1"/>
  <c r="Q2776" i="1"/>
  <c r="P2776" i="1"/>
  <c r="O2776" i="1"/>
  <c r="N2776" i="1"/>
  <c r="J2776" i="1"/>
  <c r="I2776" i="1"/>
  <c r="H2776" i="1"/>
  <c r="G2776" i="1"/>
  <c r="F2776" i="1"/>
  <c r="E2776" i="1"/>
  <c r="D2776" i="1"/>
  <c r="C2776" i="1"/>
  <c r="V2775" i="1"/>
  <c r="Q2775" i="1"/>
  <c r="P2775" i="1"/>
  <c r="O2775" i="1"/>
  <c r="N2775" i="1"/>
  <c r="J2775" i="1"/>
  <c r="I2775" i="1"/>
  <c r="H2775" i="1"/>
  <c r="G2775" i="1"/>
  <c r="F2775" i="1"/>
  <c r="E2775" i="1"/>
  <c r="D2775" i="1"/>
  <c r="C2775" i="1"/>
  <c r="V2774" i="1"/>
  <c r="Q2774" i="1"/>
  <c r="P2774" i="1"/>
  <c r="O2774" i="1"/>
  <c r="N2774" i="1"/>
  <c r="J2774" i="1"/>
  <c r="I2774" i="1"/>
  <c r="H2774" i="1"/>
  <c r="G2774" i="1"/>
  <c r="F2774" i="1"/>
  <c r="E2774" i="1"/>
  <c r="D2774" i="1"/>
  <c r="C2774" i="1"/>
  <c r="V2773" i="1"/>
  <c r="Q2773" i="1"/>
  <c r="P2773" i="1"/>
  <c r="O2773" i="1"/>
  <c r="N2773" i="1"/>
  <c r="J2773" i="1"/>
  <c r="I2773" i="1"/>
  <c r="H2773" i="1"/>
  <c r="G2773" i="1"/>
  <c r="F2773" i="1"/>
  <c r="E2773" i="1"/>
  <c r="D2773" i="1"/>
  <c r="C2773" i="1"/>
  <c r="V2772" i="1"/>
  <c r="Q2772" i="1"/>
  <c r="P2772" i="1"/>
  <c r="O2772" i="1"/>
  <c r="N2772" i="1"/>
  <c r="J2772" i="1"/>
  <c r="I2772" i="1"/>
  <c r="H2772" i="1"/>
  <c r="G2772" i="1"/>
  <c r="F2772" i="1"/>
  <c r="E2772" i="1"/>
  <c r="D2772" i="1"/>
  <c r="C2772" i="1"/>
  <c r="V2771" i="1"/>
  <c r="Q2771" i="1"/>
  <c r="P2771" i="1"/>
  <c r="O2771" i="1"/>
  <c r="N2771" i="1"/>
  <c r="J2771" i="1"/>
  <c r="I2771" i="1"/>
  <c r="H2771" i="1"/>
  <c r="G2771" i="1"/>
  <c r="F2771" i="1"/>
  <c r="E2771" i="1"/>
  <c r="D2771" i="1"/>
  <c r="C2771" i="1"/>
  <c r="V2770" i="1"/>
  <c r="Q2770" i="1"/>
  <c r="P2770" i="1"/>
  <c r="O2770" i="1"/>
  <c r="N2770" i="1"/>
  <c r="J2770" i="1"/>
  <c r="I2770" i="1"/>
  <c r="H2770" i="1"/>
  <c r="G2770" i="1"/>
  <c r="F2770" i="1"/>
  <c r="E2770" i="1"/>
  <c r="D2770" i="1"/>
  <c r="C2770" i="1"/>
  <c r="V2769" i="1"/>
  <c r="Q2769" i="1"/>
  <c r="P2769" i="1"/>
  <c r="O2769" i="1"/>
  <c r="N2769" i="1"/>
  <c r="J2769" i="1"/>
  <c r="I2769" i="1"/>
  <c r="H2769" i="1"/>
  <c r="G2769" i="1"/>
  <c r="F2769" i="1"/>
  <c r="E2769" i="1"/>
  <c r="D2769" i="1"/>
  <c r="C2769" i="1"/>
  <c r="V2768" i="1"/>
  <c r="Q2768" i="1"/>
  <c r="P2768" i="1"/>
  <c r="O2768" i="1"/>
  <c r="N2768" i="1"/>
  <c r="J2768" i="1"/>
  <c r="I2768" i="1"/>
  <c r="H2768" i="1"/>
  <c r="G2768" i="1"/>
  <c r="F2768" i="1"/>
  <c r="E2768" i="1"/>
  <c r="D2768" i="1"/>
  <c r="C2768" i="1"/>
  <c r="V2767" i="1"/>
  <c r="Q2767" i="1"/>
  <c r="P2767" i="1"/>
  <c r="O2767" i="1"/>
  <c r="N2767" i="1"/>
  <c r="J2767" i="1"/>
  <c r="I2767" i="1"/>
  <c r="H2767" i="1"/>
  <c r="G2767" i="1"/>
  <c r="F2767" i="1"/>
  <c r="E2767" i="1"/>
  <c r="D2767" i="1"/>
  <c r="C2767" i="1"/>
  <c r="V2766" i="1"/>
  <c r="Q2766" i="1"/>
  <c r="P2766" i="1"/>
  <c r="O2766" i="1"/>
  <c r="N2766" i="1"/>
  <c r="J2766" i="1"/>
  <c r="I2766" i="1"/>
  <c r="H2766" i="1"/>
  <c r="G2766" i="1"/>
  <c r="F2766" i="1"/>
  <c r="E2766" i="1"/>
  <c r="D2766" i="1"/>
  <c r="C2766" i="1"/>
  <c r="V2765" i="1"/>
  <c r="Q2765" i="1"/>
  <c r="P2765" i="1"/>
  <c r="O2765" i="1"/>
  <c r="N2765" i="1"/>
  <c r="J2765" i="1"/>
  <c r="I2765" i="1"/>
  <c r="H2765" i="1"/>
  <c r="G2765" i="1"/>
  <c r="F2765" i="1"/>
  <c r="E2765" i="1"/>
  <c r="D2765" i="1"/>
  <c r="C2765" i="1"/>
  <c r="V2764" i="1"/>
  <c r="Q2764" i="1"/>
  <c r="P2764" i="1"/>
  <c r="O2764" i="1"/>
  <c r="N2764" i="1"/>
  <c r="J2764" i="1"/>
  <c r="I2764" i="1"/>
  <c r="H2764" i="1"/>
  <c r="G2764" i="1"/>
  <c r="F2764" i="1"/>
  <c r="E2764" i="1"/>
  <c r="D2764" i="1"/>
  <c r="C2764" i="1"/>
  <c r="V2763" i="1"/>
  <c r="Q2763" i="1"/>
  <c r="P2763" i="1"/>
  <c r="O2763" i="1"/>
  <c r="N2763" i="1"/>
  <c r="J2763" i="1"/>
  <c r="I2763" i="1"/>
  <c r="H2763" i="1"/>
  <c r="G2763" i="1"/>
  <c r="F2763" i="1"/>
  <c r="E2763" i="1"/>
  <c r="D2763" i="1"/>
  <c r="C2763" i="1"/>
  <c r="V2762" i="1"/>
  <c r="Q2762" i="1"/>
  <c r="P2762" i="1"/>
  <c r="O2762" i="1"/>
  <c r="N2762" i="1"/>
  <c r="J2762" i="1"/>
  <c r="I2762" i="1"/>
  <c r="H2762" i="1"/>
  <c r="G2762" i="1"/>
  <c r="F2762" i="1"/>
  <c r="E2762" i="1"/>
  <c r="D2762" i="1"/>
  <c r="C2762" i="1"/>
  <c r="V2761" i="1"/>
  <c r="Q2761" i="1"/>
  <c r="P2761" i="1"/>
  <c r="O2761" i="1"/>
  <c r="N2761" i="1"/>
  <c r="J2761" i="1"/>
  <c r="I2761" i="1"/>
  <c r="H2761" i="1"/>
  <c r="G2761" i="1"/>
  <c r="F2761" i="1"/>
  <c r="E2761" i="1"/>
  <c r="D2761" i="1"/>
  <c r="C2761" i="1"/>
  <c r="V2760" i="1"/>
  <c r="Q2760" i="1"/>
  <c r="P2760" i="1"/>
  <c r="O2760" i="1"/>
  <c r="N2760" i="1"/>
  <c r="J2760" i="1"/>
  <c r="I2760" i="1"/>
  <c r="H2760" i="1"/>
  <c r="G2760" i="1"/>
  <c r="F2760" i="1"/>
  <c r="E2760" i="1"/>
  <c r="D2760" i="1"/>
  <c r="C2760" i="1"/>
  <c r="V2759" i="1"/>
  <c r="Q2759" i="1"/>
  <c r="P2759" i="1"/>
  <c r="O2759" i="1"/>
  <c r="N2759" i="1"/>
  <c r="J2759" i="1"/>
  <c r="I2759" i="1"/>
  <c r="H2759" i="1"/>
  <c r="G2759" i="1"/>
  <c r="F2759" i="1"/>
  <c r="E2759" i="1"/>
  <c r="D2759" i="1"/>
  <c r="C2759" i="1"/>
  <c r="V2758" i="1"/>
  <c r="Q2758" i="1"/>
  <c r="P2758" i="1"/>
  <c r="O2758" i="1"/>
  <c r="N2758" i="1"/>
  <c r="J2758" i="1"/>
  <c r="I2758" i="1"/>
  <c r="H2758" i="1"/>
  <c r="G2758" i="1"/>
  <c r="F2758" i="1"/>
  <c r="E2758" i="1"/>
  <c r="D2758" i="1"/>
  <c r="C2758" i="1"/>
  <c r="V2757" i="1"/>
  <c r="Q2757" i="1"/>
  <c r="P2757" i="1"/>
  <c r="O2757" i="1"/>
  <c r="N2757" i="1"/>
  <c r="J2757" i="1"/>
  <c r="I2757" i="1"/>
  <c r="H2757" i="1"/>
  <c r="G2757" i="1"/>
  <c r="F2757" i="1"/>
  <c r="E2757" i="1"/>
  <c r="D2757" i="1"/>
  <c r="C2757" i="1"/>
  <c r="V2756" i="1"/>
  <c r="Q2756" i="1"/>
  <c r="P2756" i="1"/>
  <c r="O2756" i="1"/>
  <c r="N2756" i="1"/>
  <c r="J2756" i="1"/>
  <c r="I2756" i="1"/>
  <c r="H2756" i="1"/>
  <c r="G2756" i="1"/>
  <c r="F2756" i="1"/>
  <c r="E2756" i="1"/>
  <c r="D2756" i="1"/>
  <c r="C2756" i="1"/>
  <c r="V2755" i="1"/>
  <c r="Q2755" i="1"/>
  <c r="P2755" i="1"/>
  <c r="O2755" i="1"/>
  <c r="N2755" i="1"/>
  <c r="J2755" i="1"/>
  <c r="I2755" i="1"/>
  <c r="H2755" i="1"/>
  <c r="G2755" i="1"/>
  <c r="F2755" i="1"/>
  <c r="E2755" i="1"/>
  <c r="D2755" i="1"/>
  <c r="C2755" i="1"/>
  <c r="V2754" i="1"/>
  <c r="Q2754" i="1"/>
  <c r="P2754" i="1"/>
  <c r="O2754" i="1"/>
  <c r="N2754" i="1"/>
  <c r="I2754" i="1"/>
  <c r="H2754" i="1"/>
  <c r="G2754" i="1"/>
  <c r="F2754" i="1"/>
  <c r="E2754" i="1"/>
  <c r="D2754" i="1"/>
  <c r="C2754" i="1"/>
  <c r="V2753" i="1"/>
  <c r="Q2753" i="1"/>
  <c r="P2753" i="1"/>
  <c r="O2753" i="1"/>
  <c r="N2753" i="1"/>
  <c r="I2753" i="1"/>
  <c r="H2753" i="1"/>
  <c r="G2753" i="1"/>
  <c r="F2753" i="1"/>
  <c r="E2753" i="1"/>
  <c r="D2753" i="1"/>
  <c r="C2753" i="1"/>
  <c r="V2752" i="1"/>
  <c r="Q2752" i="1"/>
  <c r="P2752" i="1"/>
  <c r="O2752" i="1"/>
  <c r="N2752" i="1"/>
  <c r="I2752" i="1"/>
  <c r="H2752" i="1"/>
  <c r="G2752" i="1"/>
  <c r="F2752" i="1"/>
  <c r="E2752" i="1"/>
  <c r="D2752" i="1"/>
  <c r="C2752" i="1"/>
  <c r="V2751" i="1"/>
  <c r="Q2751" i="1"/>
  <c r="P2751" i="1"/>
  <c r="O2751" i="1"/>
  <c r="N2751" i="1"/>
  <c r="I2751" i="1"/>
  <c r="H2751" i="1"/>
  <c r="G2751" i="1"/>
  <c r="F2751" i="1"/>
  <c r="E2751" i="1"/>
  <c r="D2751" i="1"/>
  <c r="C2751" i="1"/>
  <c r="V2750" i="1"/>
  <c r="Q2750" i="1"/>
  <c r="P2750" i="1"/>
  <c r="O2750" i="1"/>
  <c r="N2750" i="1"/>
  <c r="I2750" i="1"/>
  <c r="H2750" i="1"/>
  <c r="G2750" i="1"/>
  <c r="F2750" i="1"/>
  <c r="E2750" i="1"/>
  <c r="D2750" i="1"/>
  <c r="C2750" i="1"/>
  <c r="V2749" i="1"/>
  <c r="Q2749" i="1"/>
  <c r="P2749" i="1"/>
  <c r="O2749" i="1"/>
  <c r="N2749" i="1"/>
  <c r="J2749" i="1"/>
  <c r="I2749" i="1"/>
  <c r="H2749" i="1"/>
  <c r="G2749" i="1"/>
  <c r="F2749" i="1"/>
  <c r="E2749" i="1"/>
  <c r="D2749" i="1"/>
  <c r="C2749" i="1"/>
  <c r="V2748" i="1"/>
  <c r="Q2748" i="1"/>
  <c r="P2748" i="1"/>
  <c r="O2748" i="1"/>
  <c r="N2748" i="1"/>
  <c r="J2748" i="1"/>
  <c r="I2748" i="1"/>
  <c r="H2748" i="1"/>
  <c r="G2748" i="1"/>
  <c r="F2748" i="1"/>
  <c r="E2748" i="1"/>
  <c r="D2748" i="1"/>
  <c r="C2748" i="1"/>
  <c r="V2747" i="1"/>
  <c r="Q2747" i="1"/>
  <c r="P2747" i="1"/>
  <c r="O2747" i="1"/>
  <c r="N2747" i="1"/>
  <c r="J2747" i="1"/>
  <c r="I2747" i="1"/>
  <c r="H2747" i="1"/>
  <c r="G2747" i="1"/>
  <c r="F2747" i="1"/>
  <c r="E2747" i="1"/>
  <c r="D2747" i="1"/>
  <c r="C2747" i="1"/>
  <c r="V2746" i="1"/>
  <c r="Q2746" i="1"/>
  <c r="P2746" i="1"/>
  <c r="O2746" i="1"/>
  <c r="N2746" i="1"/>
  <c r="J2746" i="1"/>
  <c r="I2746" i="1"/>
  <c r="H2746" i="1"/>
  <c r="G2746" i="1"/>
  <c r="F2746" i="1"/>
  <c r="E2746" i="1"/>
  <c r="D2746" i="1"/>
  <c r="C2746" i="1"/>
  <c r="V2745" i="1"/>
  <c r="Q2745" i="1"/>
  <c r="P2745" i="1"/>
  <c r="O2745" i="1"/>
  <c r="N2745" i="1"/>
  <c r="J2745" i="1"/>
  <c r="I2745" i="1"/>
  <c r="H2745" i="1"/>
  <c r="G2745" i="1"/>
  <c r="F2745" i="1"/>
  <c r="E2745" i="1"/>
  <c r="D2745" i="1"/>
  <c r="C2745" i="1"/>
  <c r="V2744" i="1"/>
  <c r="Q2744" i="1"/>
  <c r="P2744" i="1"/>
  <c r="O2744" i="1"/>
  <c r="N2744" i="1"/>
  <c r="J2744" i="1"/>
  <c r="I2744" i="1"/>
  <c r="H2744" i="1"/>
  <c r="G2744" i="1"/>
  <c r="F2744" i="1"/>
  <c r="E2744" i="1"/>
  <c r="D2744" i="1"/>
  <c r="C2744" i="1"/>
  <c r="V2743" i="1"/>
  <c r="Q2743" i="1"/>
  <c r="P2743" i="1"/>
  <c r="O2743" i="1"/>
  <c r="N2743" i="1"/>
  <c r="I2743" i="1"/>
  <c r="H2743" i="1"/>
  <c r="G2743" i="1"/>
  <c r="F2743" i="1"/>
  <c r="E2743" i="1"/>
  <c r="D2743" i="1"/>
  <c r="C2743" i="1"/>
  <c r="V2742" i="1"/>
  <c r="Q2742" i="1"/>
  <c r="P2742" i="1"/>
  <c r="O2742" i="1"/>
  <c r="N2742" i="1"/>
  <c r="I2742" i="1"/>
  <c r="H2742" i="1"/>
  <c r="G2742" i="1"/>
  <c r="F2742" i="1"/>
  <c r="E2742" i="1"/>
  <c r="D2742" i="1"/>
  <c r="V2741" i="1"/>
  <c r="Q2741" i="1"/>
  <c r="P2741" i="1"/>
  <c r="O2741" i="1"/>
  <c r="N2741" i="1"/>
  <c r="I2741" i="1"/>
  <c r="H2741" i="1"/>
  <c r="G2741" i="1"/>
  <c r="F2741" i="1"/>
  <c r="E2741" i="1"/>
  <c r="V2740" i="1"/>
  <c r="Q2740" i="1"/>
  <c r="P2740" i="1"/>
  <c r="O2740" i="1"/>
  <c r="N2740" i="1"/>
  <c r="I2740" i="1"/>
  <c r="H2740" i="1"/>
  <c r="G2740" i="1"/>
  <c r="F2740" i="1"/>
  <c r="V2739" i="1"/>
  <c r="Q2739" i="1"/>
  <c r="P2739" i="1"/>
  <c r="O2739" i="1"/>
  <c r="N2739" i="1"/>
  <c r="I2739" i="1"/>
  <c r="H2739" i="1"/>
  <c r="G2739" i="1"/>
  <c r="V2738" i="1"/>
  <c r="Q2738" i="1"/>
  <c r="P2738" i="1"/>
  <c r="O2738" i="1"/>
  <c r="N2738" i="1"/>
  <c r="I2738" i="1"/>
  <c r="H2738" i="1"/>
  <c r="V2737" i="1"/>
  <c r="Q2737" i="1"/>
  <c r="P2737" i="1"/>
  <c r="O2737" i="1"/>
  <c r="N2737" i="1"/>
  <c r="I2737" i="1"/>
  <c r="V2736" i="1"/>
  <c r="Q2736" i="1"/>
  <c r="P2736" i="1"/>
  <c r="O2736" i="1"/>
  <c r="N2736" i="1"/>
  <c r="I2736" i="1"/>
  <c r="V2735" i="1"/>
  <c r="Q2735" i="1"/>
  <c r="P2735" i="1"/>
  <c r="O2735" i="1"/>
  <c r="N2735" i="1"/>
  <c r="V2734" i="1"/>
  <c r="Q2734" i="1"/>
  <c r="P2734" i="1"/>
  <c r="O2734" i="1"/>
  <c r="N2734" i="1"/>
  <c r="V2733" i="1"/>
  <c r="Q2733" i="1"/>
  <c r="P2733" i="1"/>
  <c r="O2733" i="1"/>
  <c r="V2732" i="1"/>
  <c r="Q2732" i="1"/>
  <c r="P2732" i="1"/>
  <c r="O2732" i="1"/>
  <c r="V2731" i="1"/>
  <c r="Q2731" i="1"/>
  <c r="P2731" i="1"/>
  <c r="O2731" i="1"/>
  <c r="V2730" i="1"/>
  <c r="Q2730" i="1"/>
  <c r="P2730" i="1"/>
  <c r="O2730" i="1"/>
  <c r="V2729" i="1"/>
  <c r="Q2729" i="1"/>
  <c r="P2729" i="1"/>
  <c r="O2729" i="1"/>
  <c r="V2728" i="1"/>
  <c r="Q2728" i="1"/>
  <c r="P2728" i="1"/>
  <c r="O2728" i="1"/>
  <c r="V2727" i="1"/>
  <c r="Q2727" i="1"/>
  <c r="P2727" i="1"/>
  <c r="O2727" i="1"/>
  <c r="V2726" i="1"/>
  <c r="Q2726" i="1"/>
  <c r="P2726" i="1"/>
  <c r="O2726" i="1"/>
  <c r="V2725" i="1"/>
  <c r="Q2725" i="1"/>
  <c r="P2725" i="1"/>
  <c r="O2725" i="1"/>
  <c r="V2724" i="1"/>
  <c r="Q2724" i="1"/>
  <c r="P2724" i="1"/>
  <c r="O2724" i="1"/>
  <c r="V2723" i="1"/>
  <c r="Q2723" i="1"/>
  <c r="P2723" i="1"/>
  <c r="O2723" i="1"/>
  <c r="V2722" i="1"/>
  <c r="Q2722" i="1"/>
  <c r="P2722" i="1"/>
  <c r="O2722" i="1"/>
  <c r="V2721" i="1"/>
  <c r="Q2721" i="1"/>
  <c r="P2721" i="1"/>
  <c r="O2721" i="1"/>
  <c r="V2720" i="1"/>
  <c r="Q2720" i="1"/>
  <c r="P2720" i="1"/>
  <c r="O2720" i="1"/>
  <c r="V2719" i="1"/>
  <c r="Q2719" i="1"/>
  <c r="P2719" i="1"/>
  <c r="O2719" i="1"/>
  <c r="V2718" i="1"/>
  <c r="Q2718" i="1"/>
  <c r="P2718" i="1"/>
  <c r="O2718" i="1"/>
  <c r="V2717" i="1"/>
  <c r="Q2717" i="1"/>
  <c r="P2717" i="1"/>
  <c r="O2717" i="1"/>
  <c r="V2716" i="1"/>
  <c r="Q2716" i="1"/>
  <c r="P2716" i="1"/>
  <c r="O2716" i="1"/>
  <c r="V2715" i="1"/>
  <c r="P2715" i="1"/>
  <c r="O2715" i="1"/>
  <c r="V2714" i="1"/>
  <c r="Q2714" i="1"/>
  <c r="P2714" i="1"/>
  <c r="O2714" i="1"/>
  <c r="V2713" i="1"/>
  <c r="Q2713" i="1"/>
  <c r="P2713" i="1"/>
  <c r="O2713" i="1"/>
  <c r="V2712" i="1"/>
  <c r="Q2712" i="1"/>
  <c r="P2712" i="1"/>
  <c r="O2712" i="1"/>
  <c r="V2711" i="1"/>
  <c r="Q2711" i="1"/>
  <c r="P2711" i="1"/>
  <c r="O2711" i="1"/>
  <c r="V2710" i="1"/>
  <c r="Q2710" i="1"/>
  <c r="P2710" i="1"/>
  <c r="O2710" i="1"/>
  <c r="V2709" i="1"/>
  <c r="Q2709" i="1"/>
  <c r="P2709" i="1"/>
  <c r="O2709" i="1"/>
  <c r="V2708" i="1"/>
  <c r="Q2708" i="1"/>
  <c r="P2708" i="1"/>
  <c r="O2708" i="1"/>
  <c r="V2707" i="1"/>
  <c r="Q2707" i="1"/>
  <c r="P2707" i="1"/>
  <c r="O2707" i="1"/>
  <c r="V2706" i="1"/>
  <c r="Q2706" i="1"/>
  <c r="P2706" i="1"/>
  <c r="O2706" i="1"/>
  <c r="V2705" i="1"/>
  <c r="Q2705" i="1"/>
  <c r="P2705" i="1"/>
  <c r="O2705" i="1"/>
  <c r="V2704" i="1"/>
  <c r="Q2704" i="1"/>
  <c r="P2704" i="1"/>
  <c r="O2704" i="1"/>
  <c r="V2703" i="1"/>
  <c r="Q2703" i="1"/>
  <c r="P2703" i="1"/>
  <c r="O2703" i="1"/>
  <c r="V2702" i="1"/>
  <c r="Q2702" i="1"/>
  <c r="P2702" i="1"/>
  <c r="O2702" i="1"/>
  <c r="V2701" i="1"/>
  <c r="Q2701" i="1"/>
  <c r="P2701" i="1"/>
  <c r="O2701" i="1"/>
  <c r="V2700" i="1"/>
  <c r="Q2700" i="1"/>
  <c r="P2700" i="1"/>
  <c r="O2700" i="1"/>
  <c r="V2699" i="1"/>
  <c r="Q2699" i="1"/>
  <c r="P2699" i="1"/>
  <c r="O2699" i="1"/>
  <c r="V2698" i="1"/>
  <c r="Q2698" i="1"/>
  <c r="P2698" i="1"/>
  <c r="O2698" i="1"/>
  <c r="V2697" i="1"/>
  <c r="Q2697" i="1"/>
  <c r="P2697" i="1"/>
  <c r="O2697" i="1"/>
  <c r="V2696" i="1"/>
  <c r="Q2696" i="1"/>
  <c r="P2696" i="1"/>
  <c r="O2696" i="1"/>
  <c r="V2695" i="1"/>
  <c r="Q2695" i="1"/>
  <c r="P2695" i="1"/>
  <c r="O2695" i="1"/>
  <c r="V2694" i="1"/>
  <c r="Q2694" i="1"/>
  <c r="P2694" i="1"/>
  <c r="O2694" i="1"/>
  <c r="V2693" i="1"/>
  <c r="Q2693" i="1"/>
  <c r="P2693" i="1"/>
  <c r="O2693" i="1"/>
  <c r="V2692" i="1"/>
  <c r="Q2692" i="1"/>
  <c r="P2692" i="1"/>
  <c r="O2692" i="1"/>
  <c r="V2691" i="1"/>
  <c r="Q2691" i="1"/>
  <c r="P2691" i="1"/>
  <c r="O2691" i="1"/>
  <c r="V2690" i="1"/>
  <c r="Q2690" i="1"/>
  <c r="P2690" i="1"/>
  <c r="O2690" i="1"/>
  <c r="V2689" i="1"/>
  <c r="Q2689" i="1"/>
  <c r="P2689" i="1"/>
  <c r="O2689" i="1"/>
  <c r="V2688" i="1"/>
  <c r="Q2688" i="1"/>
  <c r="P2688" i="1"/>
  <c r="O2688" i="1"/>
  <c r="V2687" i="1"/>
  <c r="Q2687" i="1"/>
  <c r="P2687" i="1"/>
  <c r="O2687" i="1"/>
  <c r="V2686" i="1"/>
  <c r="Q2686" i="1"/>
  <c r="P2686" i="1"/>
  <c r="O2686" i="1"/>
  <c r="V2685" i="1"/>
  <c r="Q2685" i="1"/>
  <c r="P2685" i="1"/>
  <c r="O2685" i="1"/>
  <c r="V2684" i="1"/>
  <c r="Q2684" i="1"/>
  <c r="P2684" i="1"/>
  <c r="O2684" i="1"/>
  <c r="V2683" i="1"/>
  <c r="Q2683" i="1"/>
  <c r="P2683" i="1"/>
  <c r="O2683" i="1"/>
  <c r="V2682" i="1"/>
  <c r="Q2682" i="1"/>
  <c r="P2682" i="1"/>
  <c r="O2682" i="1"/>
  <c r="V2681" i="1"/>
  <c r="Q2681" i="1"/>
  <c r="P2681" i="1"/>
  <c r="O2681" i="1"/>
  <c r="V2680" i="1"/>
  <c r="Q2680" i="1"/>
  <c r="P2680" i="1"/>
  <c r="O2680" i="1"/>
  <c r="V2679" i="1"/>
  <c r="Q2679" i="1"/>
  <c r="P2679" i="1"/>
  <c r="O2679" i="1"/>
  <c r="Q2678" i="1"/>
  <c r="P2678" i="1"/>
  <c r="O2678" i="1"/>
  <c r="Q2677" i="1"/>
  <c r="P2677" i="1"/>
  <c r="O2677" i="1"/>
  <c r="Q2676" i="1"/>
  <c r="P2676" i="1"/>
  <c r="O2676" i="1"/>
  <c r="Q2675" i="1"/>
  <c r="P2675" i="1"/>
  <c r="O2675" i="1"/>
  <c r="Q2674" i="1"/>
  <c r="P2674" i="1"/>
  <c r="O2674" i="1"/>
  <c r="Q2673" i="1"/>
  <c r="P2673" i="1"/>
  <c r="O2673" i="1"/>
  <c r="Q2672" i="1"/>
  <c r="P2672" i="1"/>
  <c r="O2672" i="1"/>
  <c r="Q2671" i="1"/>
  <c r="P2671" i="1"/>
  <c r="O2671" i="1"/>
  <c r="Q2670" i="1"/>
  <c r="P2670" i="1"/>
  <c r="O2670" i="1"/>
  <c r="Q2669" i="1"/>
  <c r="P2669" i="1"/>
  <c r="O2669" i="1"/>
  <c r="Q2668" i="1"/>
  <c r="P2668" i="1"/>
  <c r="O2668" i="1"/>
  <c r="Q2667" i="1"/>
  <c r="P2667" i="1"/>
  <c r="O2667" i="1"/>
  <c r="Q2666" i="1"/>
  <c r="P2666" i="1"/>
  <c r="O2666" i="1"/>
  <c r="V2665" i="1"/>
  <c r="Q2665" i="1"/>
  <c r="P2665" i="1"/>
  <c r="O2665" i="1"/>
  <c r="V2664" i="1"/>
  <c r="Q2664" i="1"/>
  <c r="P2664" i="1"/>
  <c r="O2664" i="1"/>
  <c r="V2663" i="1"/>
  <c r="Q2663" i="1"/>
  <c r="P2663" i="1"/>
  <c r="O2663" i="1"/>
  <c r="V2662" i="1"/>
  <c r="Q2662" i="1"/>
  <c r="P2662" i="1"/>
  <c r="O2662" i="1"/>
  <c r="V2661" i="1"/>
  <c r="Q2661" i="1"/>
  <c r="P2661" i="1"/>
  <c r="O2661" i="1"/>
  <c r="V2660" i="1"/>
  <c r="Q2660" i="1"/>
  <c r="P2660" i="1"/>
  <c r="O2660" i="1"/>
  <c r="V2659" i="1"/>
  <c r="Q2659" i="1"/>
  <c r="P2659" i="1"/>
  <c r="O2659" i="1"/>
  <c r="V2658" i="1"/>
  <c r="Q2658" i="1"/>
  <c r="P2658" i="1"/>
  <c r="O2658" i="1"/>
  <c r="V2657" i="1"/>
  <c r="Q2657" i="1"/>
  <c r="P2657" i="1"/>
  <c r="O2657" i="1"/>
  <c r="V2656" i="1"/>
  <c r="P2656" i="1"/>
  <c r="O2656" i="1"/>
  <c r="V2655" i="1"/>
  <c r="P2655" i="1"/>
  <c r="O2655" i="1"/>
  <c r="V2654" i="1"/>
  <c r="P2654" i="1"/>
  <c r="O2654" i="1"/>
  <c r="V2653" i="1"/>
  <c r="P2653" i="1"/>
  <c r="O2653" i="1"/>
  <c r="V2652" i="1"/>
  <c r="Q2652" i="1"/>
  <c r="P2652" i="1"/>
  <c r="O2652" i="1"/>
  <c r="V2651" i="1"/>
  <c r="Q2651" i="1"/>
  <c r="P2651" i="1"/>
  <c r="O2651" i="1"/>
  <c r="Q2650" i="1"/>
  <c r="P2650" i="1"/>
  <c r="O2650" i="1"/>
  <c r="Q2649" i="1"/>
  <c r="P2649" i="1"/>
  <c r="O2649" i="1"/>
  <c r="Q2648" i="1"/>
  <c r="P2648" i="1"/>
  <c r="O2648" i="1"/>
  <c r="Q2647" i="1"/>
  <c r="P2647" i="1"/>
  <c r="O2647" i="1"/>
  <c r="Q2646" i="1"/>
  <c r="P2646" i="1"/>
  <c r="O2646" i="1"/>
  <c r="Q2645" i="1"/>
  <c r="P2645" i="1"/>
  <c r="O2645" i="1"/>
  <c r="Q2644" i="1"/>
  <c r="P2644" i="1"/>
  <c r="O2644" i="1"/>
  <c r="Q2643" i="1"/>
  <c r="P2643" i="1"/>
  <c r="O2643" i="1"/>
  <c r="Q2642" i="1"/>
  <c r="P2642" i="1"/>
  <c r="O2642" i="1"/>
  <c r="Q2641" i="1"/>
  <c r="P2641" i="1"/>
  <c r="O2641" i="1"/>
  <c r="Q2640" i="1"/>
  <c r="P2640" i="1"/>
  <c r="O2640" i="1"/>
  <c r="Q2639" i="1"/>
  <c r="P2639" i="1"/>
  <c r="O2639" i="1"/>
  <c r="Q2638" i="1"/>
  <c r="P2638" i="1"/>
  <c r="O2638" i="1"/>
  <c r="Q2637" i="1"/>
  <c r="P2637" i="1"/>
  <c r="O2637" i="1"/>
  <c r="Q2636" i="1"/>
  <c r="P2636" i="1"/>
  <c r="O2636" i="1"/>
  <c r="Q2635" i="1"/>
  <c r="P2635" i="1"/>
  <c r="O2635" i="1"/>
  <c r="Q2634" i="1"/>
  <c r="P2634" i="1"/>
  <c r="O2634" i="1"/>
  <c r="Q2633" i="1"/>
  <c r="P2633" i="1"/>
  <c r="O2633" i="1"/>
  <c r="Q2632" i="1"/>
  <c r="P2632" i="1"/>
  <c r="O2632" i="1"/>
  <c r="Q2631" i="1"/>
  <c r="P2631" i="1"/>
  <c r="O2631" i="1"/>
  <c r="Q2630" i="1"/>
  <c r="P2630" i="1"/>
  <c r="O2630" i="1"/>
  <c r="Q2629" i="1"/>
  <c r="P2629" i="1"/>
  <c r="O2629" i="1"/>
  <c r="Q2628" i="1"/>
  <c r="P2628" i="1"/>
  <c r="O2628" i="1"/>
  <c r="Q2627" i="1"/>
  <c r="P2627" i="1"/>
  <c r="O2627" i="1"/>
  <c r="Q2626" i="1"/>
  <c r="P2626" i="1"/>
  <c r="O2626" i="1"/>
  <c r="Q2625" i="1"/>
  <c r="P2625" i="1"/>
  <c r="O2625" i="1"/>
  <c r="Q2624" i="1"/>
  <c r="P2624" i="1"/>
  <c r="O2624" i="1"/>
  <c r="Q2623" i="1"/>
  <c r="P2623" i="1"/>
  <c r="O2623" i="1"/>
  <c r="Q2622" i="1"/>
  <c r="P2622" i="1"/>
  <c r="O2622" i="1"/>
  <c r="Q2621" i="1"/>
  <c r="P2621" i="1"/>
  <c r="O2621" i="1"/>
  <c r="Q2620" i="1"/>
  <c r="P2620" i="1"/>
  <c r="O2620" i="1"/>
  <c r="Q2619" i="1"/>
  <c r="P2619" i="1"/>
  <c r="O2619" i="1"/>
  <c r="Q2618" i="1"/>
  <c r="P2618" i="1"/>
  <c r="O2618" i="1"/>
  <c r="Q2617" i="1"/>
  <c r="P2617" i="1"/>
  <c r="O2617" i="1"/>
  <c r="Q2616" i="1"/>
  <c r="P2616" i="1"/>
  <c r="O2616" i="1"/>
  <c r="Q2615" i="1"/>
  <c r="P2615" i="1"/>
  <c r="O2615" i="1"/>
  <c r="Q2614" i="1"/>
  <c r="P2614" i="1"/>
  <c r="O2614" i="1"/>
  <c r="Q2613" i="1"/>
  <c r="P2613" i="1"/>
  <c r="O2613" i="1"/>
  <c r="Q2612" i="1"/>
  <c r="P2612" i="1"/>
  <c r="O2612" i="1"/>
  <c r="Q2611" i="1"/>
  <c r="P2611" i="1"/>
  <c r="O2611" i="1"/>
  <c r="Q2610" i="1"/>
  <c r="P2610" i="1"/>
  <c r="O2610" i="1"/>
  <c r="Q2609" i="1"/>
  <c r="P2609" i="1"/>
  <c r="O2609" i="1"/>
  <c r="Q2608" i="1"/>
  <c r="P2608" i="1"/>
  <c r="O2608" i="1"/>
  <c r="Q2607" i="1"/>
  <c r="P2607" i="1"/>
  <c r="O2607" i="1"/>
  <c r="P2606" i="1"/>
  <c r="O2606" i="1"/>
  <c r="P2605" i="1"/>
  <c r="O2605" i="1"/>
  <c r="Q2604" i="1"/>
  <c r="P2604" i="1"/>
  <c r="O2604" i="1"/>
  <c r="Q2603" i="1"/>
  <c r="P2603" i="1"/>
  <c r="O2603" i="1"/>
  <c r="P2602" i="1"/>
  <c r="O2602" i="1"/>
  <c r="P2601" i="1"/>
  <c r="O2601" i="1"/>
  <c r="Q2600" i="1"/>
  <c r="P2600" i="1"/>
  <c r="O2600" i="1"/>
  <c r="Q2599" i="1"/>
  <c r="P2599" i="1"/>
  <c r="O2599" i="1"/>
  <c r="Q2598" i="1"/>
  <c r="P2598" i="1"/>
  <c r="O2598" i="1"/>
  <c r="Q2597" i="1"/>
  <c r="P2597" i="1"/>
  <c r="O2597" i="1"/>
  <c r="Q2596" i="1"/>
  <c r="P2596" i="1"/>
  <c r="O2596" i="1"/>
  <c r="Q2595" i="1"/>
  <c r="P2595" i="1"/>
  <c r="O2595" i="1"/>
  <c r="Q2594" i="1"/>
  <c r="P2594" i="1"/>
  <c r="O2594" i="1"/>
  <c r="Q2593" i="1"/>
  <c r="P2593" i="1"/>
  <c r="O2593" i="1"/>
  <c r="Q2592" i="1"/>
  <c r="P2592" i="1"/>
  <c r="O2592" i="1"/>
  <c r="Q2591" i="1"/>
  <c r="P2591" i="1"/>
  <c r="O2591" i="1"/>
  <c r="Q2590" i="1"/>
  <c r="P2590" i="1"/>
  <c r="O2590" i="1"/>
  <c r="Q2589" i="1"/>
  <c r="P2589" i="1"/>
  <c r="O2589" i="1"/>
  <c r="Q2588" i="1"/>
  <c r="P2588" i="1"/>
  <c r="O2588" i="1"/>
  <c r="Q2587" i="1"/>
  <c r="P2587" i="1"/>
  <c r="O2587" i="1"/>
  <c r="Q2586" i="1"/>
  <c r="P2586" i="1"/>
  <c r="O2586" i="1"/>
  <c r="Q2585" i="1"/>
  <c r="P2585" i="1"/>
  <c r="O2585" i="1"/>
  <c r="Q2584" i="1"/>
  <c r="P2584" i="1"/>
  <c r="O2584" i="1"/>
  <c r="Q2583" i="1"/>
  <c r="P2583" i="1"/>
  <c r="O2583" i="1"/>
  <c r="Q2582" i="1"/>
  <c r="P2582" i="1"/>
  <c r="O2582" i="1"/>
  <c r="Q2581" i="1"/>
  <c r="P2581" i="1"/>
  <c r="O2581" i="1"/>
  <c r="Q2580" i="1"/>
  <c r="P2580" i="1"/>
  <c r="O2580" i="1"/>
  <c r="Q2579" i="1"/>
  <c r="P2579" i="1"/>
  <c r="O2579" i="1"/>
  <c r="Q2578" i="1"/>
  <c r="P2578" i="1"/>
  <c r="O2578" i="1"/>
  <c r="Q2577" i="1"/>
  <c r="P2577" i="1"/>
  <c r="O2577" i="1"/>
  <c r="Q2576" i="1"/>
  <c r="P2576" i="1"/>
  <c r="O2576" i="1"/>
  <c r="Q2575" i="1"/>
  <c r="P2575" i="1"/>
  <c r="O2575" i="1"/>
  <c r="Q2574" i="1"/>
  <c r="P2574" i="1"/>
  <c r="O2574" i="1"/>
  <c r="Q2573" i="1"/>
  <c r="P2573" i="1"/>
  <c r="O2573" i="1"/>
  <c r="Q2572" i="1"/>
  <c r="P2572" i="1"/>
  <c r="O2572" i="1"/>
  <c r="Q2571" i="1"/>
  <c r="P2571" i="1"/>
  <c r="O2571" i="1"/>
  <c r="Q2570" i="1"/>
  <c r="P2570" i="1"/>
  <c r="O2570" i="1"/>
  <c r="Q2569" i="1"/>
  <c r="P2569" i="1"/>
  <c r="O2569" i="1"/>
  <c r="Q2568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Q2555" i="1"/>
  <c r="P2555" i="1"/>
  <c r="O2555" i="1"/>
  <c r="Q2554" i="1"/>
  <c r="P2554" i="1"/>
  <c r="O2554" i="1"/>
  <c r="Q2553" i="1"/>
  <c r="P2553" i="1"/>
  <c r="O2553" i="1"/>
  <c r="Q2552" i="1"/>
  <c r="P2552" i="1"/>
  <c r="O2552" i="1"/>
  <c r="Q2551" i="1"/>
  <c r="P2551" i="1"/>
  <c r="O2551" i="1"/>
  <c r="Q2550" i="1"/>
  <c r="P2550" i="1"/>
  <c r="O2550" i="1"/>
  <c r="Q2549" i="1"/>
  <c r="P2549" i="1"/>
  <c r="O2549" i="1"/>
  <c r="Q2548" i="1"/>
  <c r="P2548" i="1"/>
  <c r="O2548" i="1"/>
  <c r="Q2547" i="1"/>
  <c r="P2547" i="1"/>
  <c r="O2547" i="1"/>
  <c r="Q2546" i="1"/>
  <c r="P2546" i="1"/>
  <c r="O2546" i="1"/>
  <c r="Q2545" i="1"/>
  <c r="P2545" i="1"/>
  <c r="O2545" i="1"/>
  <c r="Q2544" i="1"/>
  <c r="P2544" i="1"/>
  <c r="O2544" i="1"/>
  <c r="Q2543" i="1"/>
  <c r="P2543" i="1"/>
  <c r="O2543" i="1"/>
  <c r="Q2542" i="1"/>
  <c r="P2542" i="1"/>
  <c r="O2542" i="1"/>
  <c r="Q2541" i="1"/>
  <c r="P2541" i="1"/>
  <c r="O2541" i="1"/>
  <c r="Q2540" i="1"/>
  <c r="P2540" i="1"/>
  <c r="O2540" i="1"/>
  <c r="Q2539" i="1"/>
  <c r="P2539" i="1"/>
  <c r="O2539" i="1"/>
  <c r="Q2538" i="1"/>
  <c r="P2538" i="1"/>
  <c r="O2538" i="1"/>
  <c r="Q2537" i="1"/>
  <c r="P2537" i="1"/>
  <c r="O2537" i="1"/>
  <c r="Q2536" i="1"/>
  <c r="P2536" i="1"/>
  <c r="O2536" i="1"/>
  <c r="Q2535" i="1"/>
  <c r="P2535" i="1"/>
  <c r="O2535" i="1"/>
  <c r="Q2534" i="1"/>
  <c r="P2534" i="1"/>
  <c r="O2534" i="1"/>
  <c r="Q2533" i="1"/>
  <c r="P2533" i="1"/>
  <c r="O2533" i="1"/>
  <c r="Q2532" i="1"/>
  <c r="P2532" i="1"/>
  <c r="O2532" i="1"/>
  <c r="Q2531" i="1"/>
  <c r="P2531" i="1"/>
  <c r="O2531" i="1"/>
  <c r="Q2530" i="1"/>
  <c r="P2530" i="1"/>
  <c r="O2530" i="1"/>
  <c r="Q2529" i="1"/>
  <c r="P2529" i="1"/>
  <c r="O2529" i="1"/>
  <c r="Q2528" i="1"/>
  <c r="P2528" i="1"/>
  <c r="O2528" i="1"/>
  <c r="Q2527" i="1"/>
  <c r="P2527" i="1"/>
  <c r="O2527" i="1"/>
  <c r="Q2526" i="1"/>
  <c r="P2526" i="1"/>
  <c r="O2526" i="1"/>
  <c r="Q2525" i="1"/>
  <c r="P2525" i="1"/>
  <c r="O2525" i="1"/>
  <c r="Q2524" i="1"/>
  <c r="P2524" i="1"/>
  <c r="O2524" i="1"/>
  <c r="Q2523" i="1"/>
  <c r="P2523" i="1"/>
  <c r="O2523" i="1"/>
  <c r="Q2522" i="1"/>
  <c r="P2522" i="1"/>
  <c r="O2522" i="1"/>
  <c r="Q2521" i="1"/>
  <c r="P2521" i="1"/>
  <c r="O2521" i="1"/>
  <c r="Q2520" i="1"/>
  <c r="P2520" i="1"/>
  <c r="O2520" i="1"/>
  <c r="Q2519" i="1"/>
  <c r="P2519" i="1"/>
  <c r="O2519" i="1"/>
  <c r="Q2518" i="1"/>
  <c r="P2518" i="1"/>
  <c r="O2518" i="1"/>
  <c r="Q2517" i="1"/>
  <c r="P2517" i="1"/>
  <c r="O2517" i="1"/>
  <c r="Q2516" i="1"/>
  <c r="P2516" i="1"/>
  <c r="O2516" i="1"/>
  <c r="Q2515" i="1"/>
  <c r="P2515" i="1"/>
  <c r="O2515" i="1"/>
  <c r="Q2514" i="1"/>
  <c r="P2514" i="1"/>
  <c r="O2514" i="1"/>
  <c r="Q2513" i="1"/>
  <c r="P2513" i="1"/>
  <c r="O2513" i="1"/>
  <c r="Q2512" i="1"/>
  <c r="P2512" i="1"/>
  <c r="O2512" i="1"/>
  <c r="Q2511" i="1"/>
  <c r="P2511" i="1"/>
  <c r="O2511" i="1"/>
  <c r="Q2510" i="1"/>
  <c r="P2510" i="1"/>
  <c r="O2510" i="1"/>
  <c r="Q2509" i="1"/>
  <c r="P2509" i="1"/>
  <c r="O2509" i="1"/>
  <c r="Q2508" i="1"/>
  <c r="P2508" i="1"/>
  <c r="O2508" i="1"/>
  <c r="Q2507" i="1"/>
  <c r="P2507" i="1"/>
  <c r="O2507" i="1"/>
  <c r="Q2506" i="1"/>
  <c r="P2506" i="1"/>
  <c r="O2506" i="1"/>
  <c r="Q2505" i="1"/>
  <c r="P2505" i="1"/>
  <c r="O2505" i="1"/>
  <c r="Q2504" i="1"/>
  <c r="P2504" i="1"/>
  <c r="O2504" i="1"/>
  <c r="Q2503" i="1"/>
  <c r="P2503" i="1"/>
  <c r="O2503" i="1"/>
  <c r="Q2502" i="1"/>
  <c r="P2502" i="1"/>
  <c r="O2502" i="1"/>
  <c r="Q2501" i="1"/>
  <c r="P2501" i="1"/>
  <c r="O2501" i="1"/>
  <c r="Q2500" i="1"/>
  <c r="P2500" i="1"/>
  <c r="O2500" i="1"/>
  <c r="Q2499" i="1"/>
  <c r="P2499" i="1"/>
  <c r="O2499" i="1"/>
  <c r="Q2498" i="1"/>
  <c r="P2498" i="1"/>
  <c r="O2498" i="1"/>
  <c r="Q2497" i="1"/>
  <c r="P2497" i="1"/>
  <c r="O2497" i="1"/>
  <c r="Q2496" i="1"/>
  <c r="P2496" i="1"/>
  <c r="O2496" i="1"/>
  <c r="Q2495" i="1"/>
  <c r="P2495" i="1"/>
  <c r="O2495" i="1"/>
  <c r="Q2494" i="1"/>
  <c r="P2494" i="1"/>
  <c r="O2494" i="1"/>
  <c r="Q2493" i="1"/>
  <c r="P2493" i="1"/>
  <c r="O2493" i="1"/>
  <c r="Q2492" i="1"/>
  <c r="P2492" i="1"/>
  <c r="O2492" i="1"/>
  <c r="Q2491" i="1"/>
  <c r="P2491" i="1"/>
  <c r="O2491" i="1"/>
  <c r="Q2490" i="1"/>
  <c r="P2490" i="1"/>
  <c r="O2490" i="1"/>
  <c r="Q2489" i="1"/>
  <c r="P2489" i="1"/>
  <c r="O2489" i="1"/>
  <c r="Q2488" i="1"/>
  <c r="P2488" i="1"/>
  <c r="O2488" i="1"/>
  <c r="Q2487" i="1"/>
  <c r="P2487" i="1"/>
  <c r="O2487" i="1"/>
  <c r="Q2486" i="1"/>
  <c r="P2486" i="1"/>
  <c r="O2486" i="1"/>
  <c r="Q2485" i="1"/>
  <c r="P2485" i="1"/>
  <c r="O2485" i="1"/>
  <c r="Q2484" i="1"/>
  <c r="P2484" i="1"/>
  <c r="O2484" i="1"/>
  <c r="Q2483" i="1"/>
  <c r="P2483" i="1"/>
  <c r="O2483" i="1"/>
  <c r="Q2482" i="1"/>
  <c r="P2482" i="1"/>
  <c r="O2482" i="1"/>
  <c r="Q2481" i="1"/>
  <c r="P2481" i="1"/>
  <c r="O2481" i="1"/>
  <c r="Q2480" i="1"/>
  <c r="P2480" i="1"/>
  <c r="O2480" i="1"/>
  <c r="Q2479" i="1"/>
  <c r="P2479" i="1"/>
  <c r="O2479" i="1"/>
  <c r="Q2478" i="1"/>
  <c r="P2478" i="1"/>
  <c r="O2478" i="1"/>
  <c r="Q2477" i="1"/>
  <c r="P2477" i="1"/>
  <c r="O2477" i="1"/>
  <c r="Q2476" i="1"/>
  <c r="P2476" i="1"/>
  <c r="O2476" i="1"/>
  <c r="Q2475" i="1"/>
  <c r="P2475" i="1"/>
  <c r="O2475" i="1"/>
  <c r="Q2474" i="1"/>
  <c r="P2474" i="1"/>
  <c r="O2474" i="1"/>
  <c r="Q2473" i="1"/>
  <c r="P2473" i="1"/>
  <c r="O2473" i="1"/>
  <c r="Q2472" i="1"/>
  <c r="P2472" i="1"/>
  <c r="O2472" i="1"/>
  <c r="Q2471" i="1"/>
  <c r="P2471" i="1"/>
  <c r="O2471" i="1"/>
  <c r="Q2470" i="1"/>
  <c r="P2470" i="1"/>
  <c r="O2470" i="1"/>
  <c r="Q2469" i="1"/>
  <c r="P2469" i="1"/>
  <c r="O2469" i="1"/>
  <c r="Q2468" i="1"/>
  <c r="P2468" i="1"/>
  <c r="O2468" i="1"/>
  <c r="Q2467" i="1"/>
  <c r="P2467" i="1"/>
  <c r="O2467" i="1"/>
  <c r="Q2466" i="1"/>
  <c r="P2466" i="1"/>
  <c r="O2466" i="1"/>
  <c r="Q2465" i="1"/>
  <c r="P2465" i="1"/>
  <c r="O2465" i="1"/>
  <c r="Q2464" i="1"/>
  <c r="P2464" i="1"/>
  <c r="O2464" i="1"/>
  <c r="Q2463" i="1"/>
  <c r="P2463" i="1"/>
  <c r="O2463" i="1"/>
  <c r="Q2462" i="1"/>
  <c r="P2462" i="1"/>
  <c r="O2462" i="1"/>
  <c r="Q2461" i="1"/>
  <c r="P2461" i="1"/>
  <c r="O2461" i="1"/>
  <c r="Q2460" i="1"/>
  <c r="P2460" i="1"/>
  <c r="O2460" i="1"/>
  <c r="Q2459" i="1"/>
  <c r="P2459" i="1"/>
  <c r="O2459" i="1"/>
  <c r="Q2458" i="1"/>
  <c r="P2458" i="1"/>
  <c r="O2458" i="1"/>
  <c r="Q2457" i="1"/>
  <c r="P2457" i="1"/>
  <c r="O2457" i="1"/>
  <c r="Q2456" i="1"/>
  <c r="P2456" i="1"/>
  <c r="O2456" i="1"/>
  <c r="Q2455" i="1"/>
  <c r="P2455" i="1"/>
  <c r="O2455" i="1"/>
  <c r="Q2454" i="1"/>
  <c r="P2454" i="1"/>
  <c r="O2454" i="1"/>
  <c r="Q2453" i="1"/>
  <c r="P2453" i="1"/>
  <c r="O2453" i="1"/>
  <c r="Q2452" i="1"/>
  <c r="P2452" i="1"/>
  <c r="O2452" i="1"/>
  <c r="Q2451" i="1"/>
  <c r="P2451" i="1"/>
  <c r="O2451" i="1"/>
  <c r="Q2450" i="1"/>
  <c r="P2450" i="1"/>
  <c r="O2450" i="1"/>
  <c r="Q2449" i="1"/>
  <c r="P2449" i="1"/>
  <c r="O2449" i="1"/>
  <c r="Q2448" i="1"/>
  <c r="P2448" i="1"/>
  <c r="O2448" i="1"/>
  <c r="Q2447" i="1"/>
  <c r="P2447" i="1"/>
  <c r="O2447" i="1"/>
  <c r="Q2446" i="1"/>
  <c r="P2446" i="1"/>
  <c r="O2446" i="1"/>
  <c r="Q2445" i="1"/>
  <c r="P2445" i="1"/>
  <c r="O2445" i="1"/>
  <c r="Q2444" i="1"/>
  <c r="P2444" i="1"/>
  <c r="O2444" i="1"/>
  <c r="Q2443" i="1"/>
  <c r="P2443" i="1"/>
  <c r="O2443" i="1"/>
  <c r="Q2442" i="1"/>
  <c r="P2442" i="1"/>
  <c r="O2442" i="1"/>
  <c r="Q2441" i="1"/>
  <c r="P2441" i="1"/>
  <c r="O2441" i="1"/>
  <c r="Q2440" i="1"/>
  <c r="P2440" i="1"/>
  <c r="O2440" i="1"/>
  <c r="Q2439" i="1"/>
  <c r="P2439" i="1"/>
  <c r="O2439" i="1"/>
  <c r="Q2438" i="1"/>
  <c r="P2438" i="1"/>
  <c r="O2438" i="1"/>
  <c r="Q2437" i="1"/>
  <c r="P2437" i="1"/>
  <c r="O2437" i="1"/>
  <c r="Q2436" i="1"/>
  <c r="P2436" i="1"/>
  <c r="O2436" i="1"/>
  <c r="Q2435" i="1"/>
  <c r="P2435" i="1"/>
  <c r="O2435" i="1"/>
  <c r="Q2434" i="1"/>
  <c r="P2434" i="1"/>
  <c r="O2434" i="1"/>
  <c r="Q2433" i="1"/>
  <c r="P2433" i="1"/>
  <c r="O2433" i="1"/>
  <c r="Q2432" i="1"/>
  <c r="P2432" i="1"/>
  <c r="O2432" i="1"/>
  <c r="Q2431" i="1"/>
  <c r="P2431" i="1"/>
  <c r="O2431" i="1"/>
  <c r="Q2430" i="1"/>
  <c r="P2430" i="1"/>
  <c r="O2430" i="1"/>
  <c r="Q2429" i="1"/>
  <c r="P2429" i="1"/>
  <c r="O2429" i="1"/>
  <c r="Q2428" i="1"/>
  <c r="P2428" i="1"/>
  <c r="O2428" i="1"/>
  <c r="Q2427" i="1"/>
  <c r="P2427" i="1"/>
  <c r="O2427" i="1"/>
  <c r="Q2426" i="1"/>
  <c r="P2426" i="1"/>
  <c r="O2426" i="1"/>
  <c r="Q2425" i="1"/>
  <c r="P2425" i="1"/>
  <c r="O2425" i="1"/>
  <c r="Q2424" i="1"/>
  <c r="P2424" i="1"/>
  <c r="O2424" i="1"/>
  <c r="Q2423" i="1"/>
  <c r="P2423" i="1"/>
  <c r="O2423" i="1"/>
  <c r="Q2422" i="1"/>
  <c r="P2422" i="1"/>
  <c r="O2422" i="1"/>
  <c r="Q2421" i="1"/>
  <c r="P2421" i="1"/>
  <c r="O2421" i="1"/>
  <c r="Q2420" i="1"/>
  <c r="P2420" i="1"/>
  <c r="O2420" i="1"/>
  <c r="Q2419" i="1"/>
  <c r="P2419" i="1"/>
  <c r="O2419" i="1"/>
  <c r="Q2418" i="1"/>
  <c r="P2418" i="1"/>
  <c r="O2418" i="1"/>
  <c r="Q2417" i="1"/>
  <c r="P2417" i="1"/>
  <c r="O2417" i="1"/>
  <c r="Q2416" i="1"/>
  <c r="P2416" i="1"/>
  <c r="O2416" i="1"/>
  <c r="Q2415" i="1"/>
  <c r="P2415" i="1"/>
  <c r="O2415" i="1"/>
  <c r="Q2414" i="1"/>
  <c r="P2414" i="1"/>
  <c r="O2414" i="1"/>
  <c r="Q2413" i="1"/>
  <c r="P2413" i="1"/>
  <c r="O2413" i="1"/>
  <c r="Q2412" i="1"/>
  <c r="P2412" i="1"/>
  <c r="O2412" i="1"/>
  <c r="Q2411" i="1"/>
  <c r="P2411" i="1"/>
  <c r="O2411" i="1"/>
  <c r="Q2410" i="1"/>
  <c r="P2410" i="1"/>
  <c r="O2410" i="1"/>
  <c r="Q2409" i="1"/>
  <c r="P2409" i="1"/>
  <c r="O2409" i="1"/>
  <c r="Q2408" i="1"/>
  <c r="P2408" i="1"/>
  <c r="O2408" i="1"/>
  <c r="Q2407" i="1"/>
  <c r="P2407" i="1"/>
  <c r="O2407" i="1"/>
  <c r="Q2406" i="1"/>
  <c r="P2406" i="1"/>
  <c r="O2406" i="1"/>
  <c r="Q2405" i="1"/>
  <c r="P2405" i="1"/>
  <c r="O2405" i="1"/>
  <c r="Q2404" i="1"/>
  <c r="P2404" i="1"/>
  <c r="O2404" i="1"/>
  <c r="Q2403" i="1"/>
  <c r="P2403" i="1"/>
  <c r="O2403" i="1"/>
  <c r="Q2402" i="1"/>
  <c r="P2402" i="1"/>
  <c r="O2402" i="1"/>
  <c r="Q2401" i="1"/>
  <c r="P2401" i="1"/>
  <c r="O2401" i="1"/>
  <c r="Q2400" i="1"/>
  <c r="P2400" i="1"/>
  <c r="O2400" i="1"/>
  <c r="Q2399" i="1"/>
  <c r="P2399" i="1"/>
  <c r="O2399" i="1"/>
  <c r="Q2398" i="1"/>
  <c r="P2398" i="1"/>
  <c r="O2398" i="1"/>
  <c r="Q2397" i="1"/>
  <c r="P2397" i="1"/>
  <c r="O2397" i="1"/>
  <c r="Q2396" i="1"/>
  <c r="P2396" i="1"/>
  <c r="O2396" i="1"/>
  <c r="Q2395" i="1"/>
  <c r="P2395" i="1"/>
  <c r="O2395" i="1"/>
  <c r="Q2394" i="1"/>
  <c r="P2394" i="1"/>
  <c r="O2394" i="1"/>
  <c r="Q2393" i="1"/>
  <c r="P2393" i="1"/>
  <c r="O2393" i="1"/>
  <c r="Q2392" i="1"/>
  <c r="P2392" i="1"/>
  <c r="O2392" i="1"/>
  <c r="Q2391" i="1"/>
  <c r="P2391" i="1"/>
  <c r="O2391" i="1"/>
  <c r="Q2390" i="1"/>
  <c r="P2390" i="1"/>
  <c r="O2390" i="1"/>
  <c r="Q2389" i="1"/>
  <c r="P2389" i="1"/>
  <c r="O2389" i="1"/>
  <c r="Q2388" i="1"/>
  <c r="P2388" i="1"/>
  <c r="O2388" i="1"/>
  <c r="Q2387" i="1"/>
  <c r="P2387" i="1"/>
  <c r="O2387" i="1"/>
  <c r="P2386" i="1"/>
  <c r="O2386" i="1"/>
  <c r="P2385" i="1"/>
  <c r="O2385" i="1"/>
  <c r="Q2384" i="1"/>
  <c r="P2384" i="1"/>
  <c r="O2384" i="1"/>
  <c r="Q2383" i="1"/>
  <c r="P2383" i="1"/>
  <c r="O2383" i="1"/>
  <c r="Q2382" i="1"/>
  <c r="P2382" i="1"/>
  <c r="O2382" i="1"/>
  <c r="Q2381" i="1"/>
  <c r="P2381" i="1"/>
  <c r="O2381" i="1"/>
  <c r="Q2380" i="1"/>
  <c r="P2380" i="1"/>
  <c r="O2380" i="1"/>
  <c r="Q2379" i="1"/>
  <c r="P2379" i="1"/>
  <c r="O2379" i="1"/>
  <c r="Q2378" i="1"/>
  <c r="P2378" i="1"/>
  <c r="O2378" i="1"/>
  <c r="Q2377" i="1"/>
  <c r="P2377" i="1"/>
  <c r="O2377" i="1"/>
  <c r="Q2376" i="1"/>
  <c r="P2376" i="1"/>
  <c r="O2376" i="1"/>
  <c r="Q2375" i="1"/>
  <c r="P2375" i="1"/>
  <c r="O2375" i="1"/>
  <c r="P2374" i="1"/>
  <c r="O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Q2358" i="1"/>
  <c r="P2358" i="1"/>
  <c r="Q2357" i="1"/>
  <c r="P2357" i="1"/>
  <c r="Q2356" i="1"/>
  <c r="P2356" i="1"/>
  <c r="O2356" i="1"/>
  <c r="Q2355" i="1"/>
  <c r="P2355" i="1"/>
  <c r="O2355" i="1"/>
  <c r="Q2354" i="1"/>
  <c r="P2354" i="1"/>
  <c r="O2354" i="1"/>
  <c r="Q2353" i="1"/>
  <c r="P2353" i="1"/>
  <c r="O2353" i="1"/>
  <c r="Q2352" i="1"/>
  <c r="P2352" i="1"/>
  <c r="O2352" i="1"/>
  <c r="Q2351" i="1"/>
  <c r="P2351" i="1"/>
  <c r="O2351" i="1"/>
  <c r="Q2350" i="1"/>
  <c r="P2350" i="1"/>
  <c r="O2350" i="1"/>
  <c r="Q2349" i="1"/>
  <c r="P2349" i="1"/>
  <c r="O2349" i="1"/>
  <c r="Q2348" i="1"/>
  <c r="P2348" i="1"/>
  <c r="O2348" i="1"/>
  <c r="Q2347" i="1"/>
  <c r="P2347" i="1"/>
  <c r="O2347" i="1"/>
  <c r="Q2346" i="1"/>
  <c r="P2346" i="1"/>
  <c r="O2346" i="1"/>
  <c r="Q2345" i="1"/>
  <c r="P2345" i="1"/>
  <c r="O2345" i="1"/>
  <c r="Q2344" i="1"/>
  <c r="P2344" i="1"/>
  <c r="O2344" i="1"/>
  <c r="Q2343" i="1"/>
  <c r="P2343" i="1"/>
  <c r="O2343" i="1"/>
  <c r="Q2342" i="1"/>
  <c r="P2342" i="1"/>
  <c r="O2342" i="1"/>
  <c r="Q2341" i="1"/>
  <c r="P2341" i="1"/>
  <c r="O2341" i="1"/>
  <c r="Q2340" i="1"/>
  <c r="P2340" i="1"/>
  <c r="O2340" i="1"/>
  <c r="Q2339" i="1"/>
  <c r="P2339" i="1"/>
  <c r="O2339" i="1"/>
  <c r="Q2338" i="1"/>
  <c r="P2338" i="1"/>
  <c r="O2338" i="1"/>
  <c r="Q2337" i="1"/>
  <c r="P2337" i="1"/>
  <c r="O2337" i="1"/>
  <c r="Q2336" i="1"/>
  <c r="P2336" i="1"/>
  <c r="O2336" i="1"/>
  <c r="Q2335" i="1"/>
  <c r="P2335" i="1"/>
  <c r="O2335" i="1"/>
  <c r="Q2334" i="1"/>
  <c r="P2334" i="1"/>
  <c r="O2334" i="1"/>
  <c r="Q2333" i="1"/>
  <c r="P2333" i="1"/>
  <c r="O2333" i="1"/>
  <c r="Q2332" i="1"/>
  <c r="P2332" i="1"/>
  <c r="O2332" i="1"/>
  <c r="Q2331" i="1"/>
  <c r="P2331" i="1"/>
  <c r="O2331" i="1"/>
  <c r="Q2330" i="1"/>
  <c r="P2330" i="1"/>
  <c r="O2330" i="1"/>
  <c r="Q2329" i="1"/>
  <c r="P2329" i="1"/>
  <c r="O2329" i="1"/>
  <c r="Q2328" i="1"/>
  <c r="P2328" i="1"/>
  <c r="O2328" i="1"/>
  <c r="Q2327" i="1"/>
  <c r="P2327" i="1"/>
  <c r="O2327" i="1"/>
  <c r="Q2326" i="1"/>
  <c r="P2326" i="1"/>
  <c r="O2326" i="1"/>
  <c r="Q2325" i="1"/>
  <c r="P2325" i="1"/>
  <c r="O2325" i="1"/>
  <c r="Q2324" i="1"/>
  <c r="P2324" i="1"/>
  <c r="O2324" i="1"/>
  <c r="Q2323" i="1"/>
  <c r="P2323" i="1"/>
  <c r="O2323" i="1"/>
  <c r="Q2322" i="1"/>
  <c r="P2322" i="1"/>
  <c r="O2322" i="1"/>
  <c r="Q2321" i="1"/>
  <c r="P2321" i="1"/>
  <c r="O2321" i="1"/>
  <c r="Q2320" i="1"/>
  <c r="P2320" i="1"/>
  <c r="O2320" i="1"/>
  <c r="Q2319" i="1"/>
  <c r="P2319" i="1"/>
  <c r="O2319" i="1"/>
  <c r="Q2318" i="1"/>
  <c r="P2318" i="1"/>
  <c r="O2318" i="1"/>
  <c r="Q2317" i="1"/>
  <c r="P2317" i="1"/>
  <c r="O2317" i="1"/>
  <c r="Q2316" i="1"/>
  <c r="P2316" i="1"/>
  <c r="O2316" i="1"/>
  <c r="Q2315" i="1"/>
  <c r="P2315" i="1"/>
  <c r="O2315" i="1"/>
  <c r="Q2314" i="1"/>
  <c r="P2314" i="1"/>
  <c r="O2314" i="1"/>
  <c r="Q2313" i="1"/>
  <c r="P2313" i="1"/>
  <c r="O2313" i="1"/>
  <c r="Q2312" i="1"/>
  <c r="P2312" i="1"/>
  <c r="O2312" i="1"/>
  <c r="Q2311" i="1"/>
  <c r="P2311" i="1"/>
  <c r="O2311" i="1"/>
  <c r="Q2310" i="1"/>
  <c r="P2310" i="1"/>
  <c r="O2310" i="1"/>
  <c r="Q2309" i="1"/>
  <c r="P2309" i="1"/>
  <c r="O2309" i="1"/>
  <c r="Q2308" i="1"/>
  <c r="P2308" i="1"/>
  <c r="O2308" i="1"/>
  <c r="Q2307" i="1"/>
  <c r="P2307" i="1"/>
  <c r="O2307" i="1"/>
  <c r="Q2306" i="1"/>
  <c r="P2306" i="1"/>
  <c r="O2306" i="1"/>
  <c r="Q2305" i="1"/>
  <c r="P2305" i="1"/>
  <c r="O2305" i="1"/>
  <c r="Q2304" i="1"/>
  <c r="P2304" i="1"/>
  <c r="O2304" i="1"/>
  <c r="Q2303" i="1"/>
  <c r="P2303" i="1"/>
  <c r="O2303" i="1"/>
  <c r="Q2302" i="1"/>
  <c r="P2302" i="1"/>
  <c r="O2302" i="1"/>
  <c r="Q2301" i="1"/>
  <c r="P2301" i="1"/>
  <c r="O2301" i="1"/>
  <c r="Q2300" i="1"/>
  <c r="P2300" i="1"/>
  <c r="O2300" i="1"/>
  <c r="Q2299" i="1"/>
  <c r="P2299" i="1"/>
  <c r="O2299" i="1"/>
  <c r="Q2298" i="1"/>
  <c r="P2298" i="1"/>
  <c r="O2298" i="1"/>
  <c r="Q2297" i="1"/>
  <c r="P2297" i="1"/>
  <c r="O2297" i="1"/>
  <c r="Q2296" i="1"/>
  <c r="P2296" i="1"/>
  <c r="O2296" i="1"/>
  <c r="Q2295" i="1"/>
  <c r="P2295" i="1"/>
  <c r="O2295" i="1"/>
  <c r="Q2294" i="1"/>
  <c r="P2294" i="1"/>
  <c r="O2294" i="1"/>
  <c r="Q2293" i="1"/>
  <c r="P2293" i="1"/>
  <c r="O2293" i="1"/>
  <c r="Q2292" i="1"/>
  <c r="P2292" i="1"/>
  <c r="O2292" i="1"/>
  <c r="Q2291" i="1"/>
  <c r="P2291" i="1"/>
  <c r="O2291" i="1"/>
  <c r="Q2290" i="1"/>
  <c r="P2290" i="1"/>
  <c r="O2290" i="1"/>
  <c r="Q2289" i="1"/>
  <c r="P2289" i="1"/>
  <c r="O2289" i="1"/>
  <c r="Q2288" i="1"/>
  <c r="P2288" i="1"/>
  <c r="O2288" i="1"/>
  <c r="Q2287" i="1"/>
  <c r="P2287" i="1"/>
  <c r="O2287" i="1"/>
  <c r="Q2286" i="1"/>
  <c r="P2286" i="1"/>
  <c r="O2286" i="1"/>
  <c r="Q2285" i="1"/>
  <c r="P2285" i="1"/>
  <c r="O2285" i="1"/>
  <c r="Q2284" i="1"/>
  <c r="P2284" i="1"/>
  <c r="O2284" i="1"/>
  <c r="Q2283" i="1"/>
  <c r="P2283" i="1"/>
  <c r="O2283" i="1"/>
  <c r="Q2282" i="1"/>
  <c r="P2282" i="1"/>
  <c r="O2282" i="1"/>
  <c r="Q2281" i="1"/>
  <c r="P2281" i="1"/>
  <c r="O2281" i="1"/>
  <c r="Q2280" i="1"/>
  <c r="P2280" i="1"/>
  <c r="O2280" i="1"/>
  <c r="Q2279" i="1"/>
  <c r="P2279" i="1"/>
  <c r="O2279" i="1"/>
  <c r="Q2278" i="1"/>
  <c r="P2278" i="1"/>
  <c r="O2278" i="1"/>
  <c r="Q2277" i="1"/>
  <c r="P2277" i="1"/>
  <c r="O2277" i="1"/>
  <c r="Q2276" i="1"/>
  <c r="P2276" i="1"/>
  <c r="O2276" i="1"/>
  <c r="Q2275" i="1"/>
  <c r="P2275" i="1"/>
  <c r="O2275" i="1"/>
  <c r="Q2274" i="1"/>
  <c r="P2274" i="1"/>
  <c r="O2274" i="1"/>
  <c r="Q2273" i="1"/>
  <c r="P2273" i="1"/>
  <c r="O2273" i="1"/>
  <c r="Q2272" i="1"/>
  <c r="P2272" i="1"/>
  <c r="O2272" i="1"/>
  <c r="Q2271" i="1"/>
  <c r="P2271" i="1"/>
  <c r="O2271" i="1"/>
  <c r="Q2270" i="1"/>
  <c r="P2270" i="1"/>
  <c r="O2270" i="1"/>
  <c r="Q2269" i="1"/>
  <c r="P2269" i="1"/>
  <c r="O2269" i="1"/>
  <c r="Q2268" i="1"/>
  <c r="P2268" i="1"/>
  <c r="O2268" i="1"/>
  <c r="Q2267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Q2244" i="1"/>
  <c r="P2244" i="1"/>
  <c r="O2244" i="1"/>
  <c r="Q2243" i="1"/>
  <c r="P2243" i="1"/>
  <c r="O2243" i="1"/>
  <c r="Q2242" i="1"/>
  <c r="P2242" i="1"/>
  <c r="O2242" i="1"/>
  <c r="Q2241" i="1"/>
  <c r="P2241" i="1"/>
  <c r="O2241" i="1"/>
  <c r="Q2240" i="1"/>
  <c r="P2240" i="1"/>
  <c r="O2240" i="1"/>
  <c r="Q2239" i="1"/>
  <c r="P2239" i="1"/>
  <c r="O2239" i="1"/>
  <c r="Q2238" i="1"/>
  <c r="P2238" i="1"/>
  <c r="O2238" i="1"/>
  <c r="Q2237" i="1"/>
  <c r="P2237" i="1"/>
  <c r="O2237" i="1"/>
  <c r="Q2236" i="1"/>
  <c r="P2236" i="1"/>
  <c r="O2236" i="1"/>
  <c r="Q2235" i="1"/>
  <c r="P2235" i="1"/>
  <c r="O2235" i="1"/>
  <c r="Q2234" i="1"/>
  <c r="P2234" i="1"/>
  <c r="O2234" i="1"/>
  <c r="Q2233" i="1"/>
  <c r="P2233" i="1"/>
  <c r="O2233" i="1"/>
  <c r="Q2232" i="1"/>
  <c r="P2232" i="1"/>
  <c r="O2232" i="1"/>
  <c r="Q2231" i="1"/>
  <c r="P2231" i="1"/>
  <c r="O2231" i="1"/>
  <c r="Q2230" i="1"/>
  <c r="P2230" i="1"/>
  <c r="O2230" i="1"/>
  <c r="Q2229" i="1"/>
  <c r="P2229" i="1"/>
  <c r="O2229" i="1"/>
  <c r="Q2228" i="1"/>
  <c r="P2228" i="1"/>
  <c r="O2228" i="1"/>
  <c r="Q2227" i="1"/>
  <c r="P2227" i="1"/>
  <c r="O2227" i="1"/>
  <c r="Q2226" i="1"/>
  <c r="P2226" i="1"/>
  <c r="O2226" i="1"/>
  <c r="Q2225" i="1"/>
  <c r="P2225" i="1"/>
  <c r="O2225" i="1"/>
  <c r="Q2224" i="1"/>
  <c r="P2224" i="1"/>
  <c r="O2224" i="1"/>
  <c r="Q2223" i="1"/>
  <c r="P2223" i="1"/>
  <c r="O2223" i="1"/>
  <c r="Q2222" i="1"/>
  <c r="P2222" i="1"/>
  <c r="O2222" i="1"/>
  <c r="Q2221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Q2214" i="1"/>
  <c r="P2214" i="1"/>
  <c r="O2214" i="1"/>
  <c r="Q2213" i="1"/>
  <c r="P2213" i="1"/>
  <c r="O2213" i="1"/>
  <c r="Q2212" i="1"/>
  <c r="P2212" i="1"/>
  <c r="O2212" i="1"/>
  <c r="Q2211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Q2204" i="1"/>
  <c r="P2204" i="1"/>
  <c r="O2204" i="1"/>
  <c r="Q2203" i="1"/>
  <c r="P2203" i="1"/>
  <c r="O2203" i="1"/>
  <c r="Q2202" i="1"/>
  <c r="P2202" i="1"/>
  <c r="O2202" i="1"/>
  <c r="Q2201" i="1"/>
  <c r="P2201" i="1"/>
  <c r="O2201" i="1"/>
  <c r="Q2200" i="1"/>
  <c r="P2200" i="1"/>
  <c r="O2200" i="1"/>
  <c r="Q2199" i="1"/>
  <c r="P2199" i="1"/>
  <c r="O2199" i="1"/>
  <c r="Q2198" i="1"/>
  <c r="P2198" i="1"/>
  <c r="O2198" i="1"/>
  <c r="Q2197" i="1"/>
  <c r="P2197" i="1"/>
  <c r="O2197" i="1"/>
  <c r="Q2196" i="1"/>
  <c r="P2196" i="1"/>
  <c r="O2196" i="1"/>
  <c r="Q2195" i="1"/>
  <c r="P2195" i="1"/>
  <c r="O2195" i="1"/>
  <c r="Q2194" i="1"/>
  <c r="P2194" i="1"/>
  <c r="O2194" i="1"/>
  <c r="Q2193" i="1"/>
  <c r="P2193" i="1"/>
  <c r="O2193" i="1"/>
  <c r="Q2192" i="1"/>
  <c r="P2192" i="1"/>
  <c r="O2192" i="1"/>
  <c r="Q2191" i="1"/>
  <c r="P2191" i="1"/>
  <c r="O2191" i="1"/>
  <c r="Q2190" i="1"/>
  <c r="P2190" i="1"/>
  <c r="O2190" i="1"/>
  <c r="Q2189" i="1"/>
  <c r="P2189" i="1"/>
  <c r="O2189" i="1"/>
  <c r="Q2188" i="1"/>
  <c r="P2188" i="1"/>
  <c r="O2188" i="1"/>
  <c r="Q2187" i="1"/>
  <c r="P2187" i="1"/>
  <c r="O2187" i="1"/>
  <c r="Q2186" i="1"/>
  <c r="P2186" i="1"/>
  <c r="O2186" i="1"/>
  <c r="Q2185" i="1"/>
  <c r="P2185" i="1"/>
  <c r="O2185" i="1"/>
  <c r="Q2184" i="1"/>
  <c r="P2184" i="1"/>
  <c r="O2184" i="1"/>
  <c r="Q2183" i="1"/>
  <c r="P2183" i="1"/>
  <c r="O2183" i="1"/>
  <c r="Q2182" i="1"/>
  <c r="P2182" i="1"/>
  <c r="O2182" i="1"/>
  <c r="Q2181" i="1"/>
  <c r="P2181" i="1"/>
  <c r="O2181" i="1"/>
  <c r="Q2180" i="1"/>
  <c r="P2180" i="1"/>
  <c r="O2180" i="1"/>
  <c r="Q2179" i="1"/>
  <c r="P2179" i="1"/>
  <c r="O2179" i="1"/>
  <c r="Q2178" i="1"/>
  <c r="P2178" i="1"/>
  <c r="O2178" i="1"/>
  <c r="Q2177" i="1"/>
  <c r="P2177" i="1"/>
  <c r="O2177" i="1"/>
  <c r="Q2176" i="1"/>
  <c r="P2176" i="1"/>
  <c r="O2176" i="1"/>
  <c r="Q2175" i="1"/>
  <c r="P2175" i="1"/>
  <c r="O2175" i="1"/>
  <c r="Q2174" i="1"/>
  <c r="P2174" i="1"/>
  <c r="O2174" i="1"/>
  <c r="Q2173" i="1"/>
  <c r="P2173" i="1"/>
  <c r="O2173" i="1"/>
  <c r="Q2172" i="1"/>
  <c r="P2172" i="1"/>
  <c r="O2172" i="1"/>
  <c r="Q2171" i="1"/>
  <c r="P2171" i="1"/>
  <c r="O2171" i="1"/>
  <c r="Q2170" i="1"/>
  <c r="P2170" i="1"/>
  <c r="O2170" i="1"/>
  <c r="Q2169" i="1"/>
  <c r="P2169" i="1"/>
  <c r="O2169" i="1"/>
  <c r="Q2168" i="1"/>
  <c r="P2168" i="1"/>
  <c r="O2168" i="1"/>
  <c r="Q2167" i="1"/>
  <c r="P2167" i="1"/>
  <c r="O2167" i="1"/>
  <c r="Q2166" i="1"/>
  <c r="P2166" i="1"/>
  <c r="O2166" i="1"/>
  <c r="Q2165" i="1"/>
  <c r="P2165" i="1"/>
  <c r="O2165" i="1"/>
  <c r="Q2164" i="1"/>
  <c r="P2164" i="1"/>
  <c r="O2164" i="1"/>
  <c r="Q2163" i="1"/>
  <c r="P2163" i="1"/>
  <c r="O2163" i="1"/>
  <c r="Q2162" i="1"/>
  <c r="P2162" i="1"/>
  <c r="O2162" i="1"/>
  <c r="Q2161" i="1"/>
  <c r="P2161" i="1"/>
  <c r="O2161" i="1"/>
  <c r="Q2160" i="1"/>
  <c r="P2160" i="1"/>
  <c r="O2160" i="1"/>
  <c r="Q2159" i="1"/>
  <c r="P2159" i="1"/>
  <c r="O2159" i="1"/>
  <c r="Q2158" i="1"/>
  <c r="P2158" i="1"/>
  <c r="O2158" i="1"/>
  <c r="Q2157" i="1"/>
  <c r="P2157" i="1"/>
  <c r="O2157" i="1"/>
  <c r="Q2156" i="1"/>
  <c r="P2156" i="1"/>
  <c r="O2156" i="1"/>
  <c r="Q2155" i="1"/>
  <c r="P2155" i="1"/>
  <c r="O2155" i="1"/>
  <c r="Q2154" i="1"/>
  <c r="P2154" i="1"/>
  <c r="O2154" i="1"/>
  <c r="Q2153" i="1"/>
  <c r="P2153" i="1"/>
  <c r="O2153" i="1"/>
  <c r="Q2152" i="1"/>
  <c r="P2152" i="1"/>
  <c r="O2152" i="1"/>
  <c r="Q2151" i="1"/>
  <c r="P2151" i="1"/>
  <c r="O2151" i="1"/>
  <c r="Q2150" i="1"/>
  <c r="P2150" i="1"/>
  <c r="O2150" i="1"/>
  <c r="Q2149" i="1"/>
  <c r="P2149" i="1"/>
  <c r="O2149" i="1"/>
  <c r="Q2148" i="1"/>
  <c r="P2148" i="1"/>
  <c r="O2148" i="1"/>
  <c r="Q2147" i="1"/>
  <c r="P2147" i="1"/>
  <c r="O2147" i="1"/>
  <c r="Q2146" i="1"/>
  <c r="P2146" i="1"/>
  <c r="O2146" i="1"/>
  <c r="Q2145" i="1"/>
  <c r="P2145" i="1"/>
  <c r="O2145" i="1"/>
  <c r="Q2144" i="1"/>
  <c r="P2144" i="1"/>
  <c r="O2144" i="1"/>
  <c r="Q2143" i="1"/>
  <c r="P2143" i="1"/>
  <c r="O2143" i="1"/>
  <c r="Q2142" i="1"/>
  <c r="P2142" i="1"/>
  <c r="O2142" i="1"/>
  <c r="Q2141" i="1"/>
  <c r="P2141" i="1"/>
  <c r="O2141" i="1"/>
  <c r="Q2140" i="1"/>
  <c r="P2140" i="1"/>
  <c r="O2140" i="1"/>
  <c r="Q2139" i="1"/>
  <c r="P2139" i="1"/>
  <c r="O2139" i="1"/>
  <c r="Q2138" i="1"/>
  <c r="P2138" i="1"/>
  <c r="O2138" i="1"/>
  <c r="Q2137" i="1"/>
  <c r="P2137" i="1"/>
  <c r="O2137" i="1"/>
  <c r="Q2136" i="1"/>
  <c r="P2136" i="1"/>
  <c r="O2136" i="1"/>
  <c r="Q2135" i="1"/>
  <c r="P2135" i="1"/>
  <c r="O2135" i="1"/>
  <c r="Q2134" i="1"/>
  <c r="P2134" i="1"/>
  <c r="O2134" i="1"/>
  <c r="Q2133" i="1"/>
  <c r="P2133" i="1"/>
  <c r="O2133" i="1"/>
  <c r="Q2132" i="1"/>
  <c r="P2132" i="1"/>
  <c r="O2132" i="1"/>
  <c r="Q2131" i="1"/>
  <c r="P2131" i="1"/>
  <c r="O2131" i="1"/>
  <c r="Q2130" i="1"/>
  <c r="P2130" i="1"/>
  <c r="O2130" i="1"/>
  <c r="Q2129" i="1"/>
  <c r="P2129" i="1"/>
  <c r="O2129" i="1"/>
  <c r="Q2128" i="1"/>
  <c r="P2128" i="1"/>
  <c r="O2128" i="1"/>
  <c r="Q2127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P2049" i="1"/>
  <c r="P2048" i="1"/>
  <c r="Q2047" i="1"/>
  <c r="P2047" i="1"/>
  <c r="O2047" i="1"/>
  <c r="Q2046" i="1"/>
  <c r="P2046" i="1"/>
  <c r="O2046" i="1"/>
  <c r="Q2045" i="1"/>
  <c r="P2045" i="1"/>
  <c r="O2045" i="1"/>
  <c r="Q2044" i="1"/>
  <c r="P2044" i="1"/>
  <c r="O2044" i="1"/>
  <c r="Q2043" i="1"/>
  <c r="P2043" i="1"/>
  <c r="O2043" i="1"/>
  <c r="Q2042" i="1"/>
  <c r="P2042" i="1"/>
  <c r="O2042" i="1"/>
  <c r="Q2041" i="1"/>
  <c r="P2041" i="1"/>
  <c r="O2041" i="1"/>
  <c r="Q2040" i="1"/>
  <c r="P2040" i="1"/>
  <c r="O2040" i="1"/>
  <c r="Q2039" i="1"/>
  <c r="P2039" i="1"/>
  <c r="O2039" i="1"/>
  <c r="Q2038" i="1"/>
  <c r="P2038" i="1"/>
  <c r="O2038" i="1"/>
  <c r="Q2037" i="1"/>
  <c r="P2037" i="1"/>
  <c r="O2037" i="1"/>
  <c r="V2036" i="1"/>
  <c r="Q2036" i="1"/>
  <c r="P2036" i="1"/>
  <c r="O2036" i="1"/>
  <c r="V2035" i="1"/>
  <c r="Q2035" i="1"/>
  <c r="P2035" i="1"/>
  <c r="O2035" i="1"/>
  <c r="V2034" i="1"/>
  <c r="Q2034" i="1"/>
  <c r="P2034" i="1"/>
  <c r="O2034" i="1"/>
  <c r="V2033" i="1"/>
  <c r="Q2033" i="1"/>
  <c r="P2033" i="1"/>
  <c r="O2033" i="1"/>
  <c r="N2033" i="1"/>
  <c r="V2032" i="1"/>
  <c r="Q2032" i="1"/>
  <c r="P2032" i="1"/>
  <c r="O2032" i="1"/>
  <c r="N2032" i="1"/>
  <c r="V2031" i="1"/>
  <c r="Q2031" i="1"/>
  <c r="P2031" i="1"/>
  <c r="O2031" i="1"/>
  <c r="N2031" i="1"/>
  <c r="I2031" i="1"/>
  <c r="H2031" i="1"/>
  <c r="V2030" i="1"/>
  <c r="Q2030" i="1"/>
  <c r="P2030" i="1"/>
  <c r="O2030" i="1"/>
  <c r="N2030" i="1"/>
  <c r="I2030" i="1"/>
  <c r="H2030" i="1"/>
  <c r="G2030" i="1"/>
  <c r="V2029" i="1"/>
  <c r="Q2029" i="1"/>
  <c r="P2029" i="1"/>
  <c r="O2029" i="1"/>
  <c r="N2029" i="1"/>
  <c r="I2029" i="1"/>
  <c r="H2029" i="1"/>
  <c r="G2029" i="1"/>
  <c r="F2029" i="1"/>
  <c r="V2028" i="1"/>
  <c r="Q2028" i="1"/>
  <c r="P2028" i="1"/>
  <c r="O2028" i="1"/>
  <c r="N2028" i="1"/>
  <c r="I2028" i="1"/>
  <c r="H2028" i="1"/>
  <c r="G2028" i="1"/>
  <c r="F2028" i="1"/>
  <c r="V2027" i="1"/>
  <c r="Q2027" i="1"/>
  <c r="P2027" i="1"/>
  <c r="O2027" i="1"/>
  <c r="N2027" i="1"/>
  <c r="I2027" i="1"/>
  <c r="H2027" i="1"/>
  <c r="G2027" i="1"/>
  <c r="F2027" i="1"/>
  <c r="V2026" i="1"/>
  <c r="Q2026" i="1"/>
  <c r="P2026" i="1"/>
  <c r="O2026" i="1"/>
  <c r="N2026" i="1"/>
  <c r="I2026" i="1"/>
  <c r="H2026" i="1"/>
  <c r="G2026" i="1"/>
  <c r="F2026" i="1"/>
  <c r="V2025" i="1"/>
  <c r="Q2025" i="1"/>
  <c r="P2025" i="1"/>
  <c r="O2025" i="1"/>
  <c r="N2025" i="1"/>
  <c r="I2025" i="1"/>
  <c r="H2025" i="1"/>
  <c r="G2025" i="1"/>
  <c r="F2025" i="1"/>
  <c r="V2024" i="1"/>
  <c r="Q2024" i="1"/>
  <c r="P2024" i="1"/>
  <c r="O2024" i="1"/>
  <c r="N2024" i="1"/>
  <c r="I2024" i="1"/>
  <c r="H2024" i="1"/>
  <c r="G2024" i="1"/>
  <c r="F2024" i="1"/>
  <c r="V2023" i="1"/>
  <c r="Q2023" i="1"/>
  <c r="P2023" i="1"/>
  <c r="O2023" i="1"/>
  <c r="N2023" i="1"/>
  <c r="I2023" i="1"/>
  <c r="H2023" i="1"/>
  <c r="G2023" i="1"/>
  <c r="V2022" i="1"/>
  <c r="Q2022" i="1"/>
  <c r="P2022" i="1"/>
  <c r="O2022" i="1"/>
  <c r="N2022" i="1"/>
  <c r="I2022" i="1"/>
  <c r="H2022" i="1"/>
  <c r="G2022" i="1"/>
  <c r="V2021" i="1"/>
  <c r="Q2021" i="1"/>
  <c r="P2021" i="1"/>
  <c r="O2021" i="1"/>
  <c r="N2021" i="1"/>
  <c r="I2021" i="1"/>
  <c r="H2021" i="1"/>
  <c r="G2021" i="1"/>
  <c r="V2020" i="1"/>
  <c r="Q2020" i="1"/>
  <c r="P2020" i="1"/>
  <c r="O2020" i="1"/>
  <c r="N2020" i="1"/>
  <c r="I2020" i="1"/>
  <c r="H2020" i="1"/>
  <c r="V2019" i="1"/>
  <c r="Q2019" i="1"/>
  <c r="P2019" i="1"/>
  <c r="O2019" i="1"/>
  <c r="N2019" i="1"/>
  <c r="I2019" i="1"/>
  <c r="H2019" i="1"/>
  <c r="V2018" i="1"/>
  <c r="Q2018" i="1"/>
  <c r="P2018" i="1"/>
  <c r="O2018" i="1"/>
  <c r="N2018" i="1"/>
  <c r="I2018" i="1"/>
  <c r="V2017" i="1"/>
  <c r="Q2017" i="1"/>
  <c r="P2017" i="1"/>
  <c r="O2017" i="1"/>
  <c r="N2017" i="1"/>
  <c r="I2017" i="1"/>
  <c r="Q2016" i="1"/>
  <c r="P2016" i="1"/>
  <c r="O2016" i="1"/>
  <c r="I2016" i="1"/>
  <c r="Q2015" i="1"/>
  <c r="P2015" i="1"/>
  <c r="O2015" i="1"/>
  <c r="Q2014" i="1"/>
  <c r="P2014" i="1"/>
  <c r="O2014" i="1"/>
  <c r="Q2013" i="1"/>
  <c r="P2013" i="1"/>
  <c r="O2013" i="1"/>
  <c r="Q2012" i="1"/>
  <c r="P2012" i="1"/>
  <c r="O2012" i="1"/>
  <c r="Q2011" i="1"/>
  <c r="P2011" i="1"/>
  <c r="O2011" i="1"/>
  <c r="Q2010" i="1"/>
  <c r="P2010" i="1"/>
  <c r="O2010" i="1"/>
  <c r="Q2009" i="1"/>
  <c r="P2009" i="1"/>
  <c r="O2009" i="1"/>
  <c r="Q2008" i="1"/>
  <c r="P2008" i="1"/>
  <c r="O2008" i="1"/>
  <c r="Q2007" i="1"/>
  <c r="P2007" i="1"/>
  <c r="O2007" i="1"/>
  <c r="Q2006" i="1"/>
  <c r="P2006" i="1"/>
  <c r="O2006" i="1"/>
  <c r="Q2005" i="1"/>
  <c r="P2005" i="1"/>
  <c r="O2005" i="1"/>
  <c r="Q2004" i="1"/>
  <c r="P2004" i="1"/>
  <c r="O2004" i="1"/>
  <c r="Q2003" i="1"/>
  <c r="P2003" i="1"/>
  <c r="O2003" i="1"/>
  <c r="Q2002" i="1"/>
  <c r="P2002" i="1"/>
  <c r="O2002" i="1"/>
  <c r="Q2001" i="1"/>
  <c r="P2001" i="1"/>
  <c r="O2001" i="1"/>
  <c r="Q2000" i="1"/>
  <c r="P2000" i="1"/>
  <c r="O2000" i="1"/>
  <c r="Q1999" i="1"/>
  <c r="P1999" i="1"/>
  <c r="O1999" i="1"/>
  <c r="Q1998" i="1"/>
  <c r="P1998" i="1"/>
  <c r="O1998" i="1"/>
  <c r="Q1997" i="1"/>
  <c r="P1997" i="1"/>
  <c r="O1997" i="1"/>
  <c r="Q1996" i="1"/>
  <c r="P1996" i="1"/>
  <c r="O1996" i="1"/>
  <c r="Q1995" i="1"/>
  <c r="P1995" i="1"/>
  <c r="O1995" i="1"/>
  <c r="Q1994" i="1"/>
  <c r="P1994" i="1"/>
  <c r="O1994" i="1"/>
  <c r="Q1993" i="1"/>
  <c r="P1993" i="1"/>
  <c r="O1993" i="1"/>
  <c r="Q1992" i="1"/>
  <c r="P1992" i="1"/>
  <c r="O1992" i="1"/>
  <c r="Q1991" i="1"/>
  <c r="P1991" i="1"/>
  <c r="O1991" i="1"/>
  <c r="Q1990" i="1"/>
  <c r="P1990" i="1"/>
  <c r="O1990" i="1"/>
  <c r="Q1989" i="1"/>
  <c r="P1989" i="1"/>
  <c r="O1989" i="1"/>
  <c r="Q1988" i="1"/>
  <c r="P1988" i="1"/>
  <c r="O1988" i="1"/>
  <c r="Q1987" i="1"/>
  <c r="O1987" i="1"/>
  <c r="Q1986" i="1"/>
  <c r="O1986" i="1"/>
  <c r="Q1985" i="1"/>
  <c r="O1985" i="1"/>
  <c r="Q1984" i="1"/>
  <c r="O1984" i="1"/>
  <c r="Q1983" i="1"/>
  <c r="P1983" i="1"/>
  <c r="O1983" i="1"/>
  <c r="Q1982" i="1"/>
  <c r="P1982" i="1"/>
  <c r="O1982" i="1"/>
  <c r="Q1981" i="1"/>
  <c r="P1981" i="1"/>
  <c r="O1981" i="1"/>
  <c r="Q1980" i="1"/>
  <c r="P1980" i="1"/>
  <c r="O1980" i="1"/>
  <c r="Q1979" i="1"/>
  <c r="P1979" i="1"/>
  <c r="O1979" i="1"/>
  <c r="Q1978" i="1"/>
  <c r="P1978" i="1"/>
  <c r="O1978" i="1"/>
  <c r="Q1977" i="1"/>
  <c r="P1977" i="1"/>
  <c r="O1977" i="1"/>
  <c r="Q1976" i="1"/>
  <c r="P1976" i="1"/>
  <c r="O1976" i="1"/>
  <c r="Q1975" i="1"/>
  <c r="P1975" i="1"/>
  <c r="O1975" i="1"/>
  <c r="Q1974" i="1"/>
  <c r="P1974" i="1"/>
  <c r="O1974" i="1"/>
  <c r="Q1973" i="1"/>
  <c r="P1973" i="1"/>
  <c r="O1973" i="1"/>
  <c r="Q1972" i="1"/>
  <c r="P1972" i="1"/>
  <c r="O1972" i="1"/>
  <c r="Q1971" i="1"/>
  <c r="P1971" i="1"/>
  <c r="O1971" i="1"/>
  <c r="Q1970" i="1"/>
  <c r="P1970" i="1"/>
  <c r="O1970" i="1"/>
  <c r="Q1969" i="1"/>
  <c r="P1969" i="1"/>
  <c r="O1969" i="1"/>
  <c r="Q1968" i="1"/>
  <c r="P1968" i="1"/>
  <c r="O1968" i="1"/>
  <c r="Q1967" i="1"/>
  <c r="P1967" i="1"/>
  <c r="O1967" i="1"/>
  <c r="Q1966" i="1"/>
  <c r="P1966" i="1"/>
  <c r="O1966" i="1"/>
  <c r="Q1965" i="1"/>
  <c r="P1965" i="1"/>
  <c r="O1965" i="1"/>
  <c r="Q1964" i="1"/>
  <c r="P1964" i="1"/>
  <c r="O1964" i="1"/>
  <c r="Q1963" i="1"/>
  <c r="P1963" i="1"/>
  <c r="O1963" i="1"/>
  <c r="Q1962" i="1"/>
  <c r="P1962" i="1"/>
  <c r="O1962" i="1"/>
  <c r="Q1961" i="1"/>
  <c r="P1961" i="1"/>
  <c r="O1961" i="1"/>
  <c r="Q1960" i="1"/>
  <c r="P1960" i="1"/>
  <c r="O1960" i="1"/>
  <c r="Q1959" i="1"/>
  <c r="P1959" i="1"/>
  <c r="O1959" i="1"/>
  <c r="Q1958" i="1"/>
  <c r="P1958" i="1"/>
  <c r="O1958" i="1"/>
  <c r="Q1957" i="1"/>
  <c r="P1957" i="1"/>
  <c r="O1957" i="1"/>
  <c r="Q1956" i="1"/>
  <c r="P1956" i="1"/>
  <c r="O1956" i="1"/>
  <c r="Q1955" i="1"/>
  <c r="P1955" i="1"/>
  <c r="O1955" i="1"/>
  <c r="Q1954" i="1"/>
  <c r="P1954" i="1"/>
  <c r="O1954" i="1"/>
  <c r="Q1953" i="1"/>
  <c r="P1953" i="1"/>
  <c r="O1953" i="1"/>
  <c r="Q1952" i="1"/>
  <c r="P1952" i="1"/>
  <c r="Q1951" i="1"/>
  <c r="P1951" i="1"/>
  <c r="Q1950" i="1"/>
  <c r="P1950" i="1"/>
  <c r="Q1949" i="1"/>
  <c r="P1949" i="1"/>
  <c r="Q1948" i="1"/>
  <c r="P1948" i="1"/>
  <c r="Q1947" i="1"/>
  <c r="P1947" i="1"/>
  <c r="Q1946" i="1"/>
  <c r="P1946" i="1"/>
  <c r="Q1945" i="1"/>
  <c r="P1945" i="1"/>
  <c r="Q1944" i="1"/>
  <c r="P1944" i="1"/>
  <c r="Q1943" i="1"/>
  <c r="P1943" i="1"/>
  <c r="Q1942" i="1"/>
  <c r="P1942" i="1"/>
  <c r="Q1941" i="1"/>
  <c r="P1941" i="1"/>
  <c r="Q1940" i="1"/>
  <c r="P1940" i="1"/>
  <c r="Q1939" i="1"/>
  <c r="P1939" i="1"/>
  <c r="Q1938" i="1"/>
  <c r="P1938" i="1"/>
  <c r="Q1937" i="1"/>
  <c r="P1937" i="1"/>
  <c r="Q1936" i="1"/>
  <c r="P1936" i="1"/>
  <c r="Q1935" i="1"/>
  <c r="P1935" i="1"/>
  <c r="Q1934" i="1"/>
  <c r="P1934" i="1"/>
  <c r="Q1933" i="1"/>
  <c r="P1933" i="1"/>
  <c r="Q1932" i="1"/>
  <c r="P1932" i="1"/>
  <c r="Q1931" i="1"/>
  <c r="P1931" i="1"/>
  <c r="Q1930" i="1"/>
  <c r="P1930" i="1"/>
  <c r="Q1929" i="1"/>
  <c r="P1929" i="1"/>
  <c r="Q1928" i="1"/>
  <c r="P1928" i="1"/>
  <c r="Q1927" i="1"/>
  <c r="P1927" i="1"/>
  <c r="Q1926" i="1"/>
  <c r="P1926" i="1"/>
  <c r="Q1925" i="1"/>
  <c r="P1925" i="1"/>
  <c r="Q1924" i="1"/>
  <c r="P1924" i="1"/>
  <c r="Q1923" i="1"/>
  <c r="P1923" i="1"/>
  <c r="Q1922" i="1"/>
  <c r="P1922" i="1"/>
  <c r="O1922" i="1"/>
  <c r="Q1921" i="1"/>
  <c r="P1921" i="1"/>
  <c r="O1921" i="1"/>
  <c r="Q1920" i="1"/>
  <c r="P1920" i="1"/>
  <c r="O1920" i="1"/>
  <c r="Q1919" i="1"/>
  <c r="P1919" i="1"/>
  <c r="O1919" i="1"/>
  <c r="Q1918" i="1"/>
  <c r="P1918" i="1"/>
  <c r="O1918" i="1"/>
  <c r="Q1917" i="1"/>
  <c r="P1917" i="1"/>
  <c r="O1917" i="1"/>
  <c r="Q1916" i="1"/>
  <c r="P1916" i="1"/>
  <c r="O1916" i="1"/>
  <c r="Q1915" i="1"/>
  <c r="P1915" i="1"/>
  <c r="O1915" i="1"/>
  <c r="Q1914" i="1"/>
  <c r="P1914" i="1"/>
  <c r="O1914" i="1"/>
  <c r="Q1913" i="1"/>
  <c r="P1913" i="1"/>
  <c r="O1913" i="1"/>
  <c r="Q1912" i="1"/>
  <c r="P1912" i="1"/>
  <c r="O1912" i="1"/>
  <c r="Q1911" i="1"/>
  <c r="P1911" i="1"/>
  <c r="O1911" i="1"/>
  <c r="Q1910" i="1"/>
  <c r="P1910" i="1"/>
  <c r="O1910" i="1"/>
  <c r="Q1909" i="1"/>
  <c r="P1909" i="1"/>
  <c r="O1909" i="1"/>
  <c r="Q1908" i="1"/>
  <c r="P1908" i="1"/>
  <c r="O1908" i="1"/>
  <c r="Q1907" i="1"/>
  <c r="P1907" i="1"/>
  <c r="O1907" i="1"/>
  <c r="Q1906" i="1"/>
  <c r="P1906" i="1"/>
  <c r="O1906" i="1"/>
  <c r="Q1905" i="1"/>
  <c r="P1905" i="1"/>
  <c r="O1905" i="1"/>
  <c r="Q1904" i="1"/>
  <c r="P1904" i="1"/>
  <c r="O1904" i="1"/>
  <c r="Q1903" i="1"/>
  <c r="P1903" i="1"/>
  <c r="O1903" i="1"/>
  <c r="Q1902" i="1"/>
  <c r="P1902" i="1"/>
  <c r="O1902" i="1"/>
  <c r="Q1901" i="1"/>
  <c r="P1901" i="1"/>
  <c r="O1901" i="1"/>
  <c r="Q1900" i="1"/>
  <c r="P1900" i="1"/>
  <c r="O1900" i="1"/>
  <c r="Q1899" i="1"/>
  <c r="P1899" i="1"/>
  <c r="O1899" i="1"/>
  <c r="Q1898" i="1"/>
  <c r="P1898" i="1"/>
  <c r="O1898" i="1"/>
  <c r="Q1897" i="1"/>
  <c r="P1897" i="1"/>
  <c r="O1897" i="1"/>
  <c r="Q1896" i="1"/>
  <c r="P1896" i="1"/>
  <c r="O1896" i="1"/>
  <c r="Q1895" i="1"/>
  <c r="P1895" i="1"/>
  <c r="O1895" i="1"/>
  <c r="Q1894" i="1"/>
  <c r="P1894" i="1"/>
  <c r="O1894" i="1"/>
  <c r="Q1893" i="1"/>
  <c r="P1893" i="1"/>
  <c r="O1893" i="1"/>
  <c r="Q1892" i="1"/>
  <c r="P1892" i="1"/>
  <c r="O1892" i="1"/>
  <c r="Q1891" i="1"/>
  <c r="P1891" i="1"/>
  <c r="O1891" i="1"/>
  <c r="Q1890" i="1"/>
  <c r="P1890" i="1"/>
  <c r="O1890" i="1"/>
  <c r="Q1889" i="1"/>
  <c r="P1889" i="1"/>
  <c r="O1889" i="1"/>
  <c r="Q1888" i="1"/>
  <c r="P1888" i="1"/>
  <c r="O1888" i="1"/>
  <c r="Q1887" i="1"/>
  <c r="P1887" i="1"/>
  <c r="O1887" i="1"/>
  <c r="Q1886" i="1"/>
  <c r="P1886" i="1"/>
  <c r="O1886" i="1"/>
  <c r="Q1885" i="1"/>
  <c r="P1885" i="1"/>
  <c r="O1885" i="1"/>
  <c r="Q1884" i="1"/>
  <c r="P1884" i="1"/>
  <c r="O1884" i="1"/>
  <c r="Q1883" i="1"/>
  <c r="P1883" i="1"/>
  <c r="O1883" i="1"/>
  <c r="Q1882" i="1"/>
  <c r="P1882" i="1"/>
  <c r="O1882" i="1"/>
  <c r="Q1881" i="1"/>
  <c r="P1881" i="1"/>
  <c r="O1881" i="1"/>
  <c r="Q1880" i="1"/>
  <c r="P1880" i="1"/>
  <c r="O1880" i="1"/>
  <c r="Q1879" i="1"/>
  <c r="P1879" i="1"/>
  <c r="O1879" i="1"/>
  <c r="Q1878" i="1"/>
  <c r="P1878" i="1"/>
  <c r="O1878" i="1"/>
  <c r="Q1877" i="1"/>
  <c r="P1877" i="1"/>
  <c r="O1877" i="1"/>
  <c r="Q1876" i="1"/>
  <c r="P1876" i="1"/>
  <c r="O1876" i="1"/>
  <c r="Q1875" i="1"/>
  <c r="P1875" i="1"/>
  <c r="O1875" i="1"/>
  <c r="Q1874" i="1"/>
  <c r="P1874" i="1"/>
  <c r="O1874" i="1"/>
  <c r="Q1873" i="1"/>
  <c r="P1873" i="1"/>
  <c r="O1873" i="1"/>
  <c r="Q1872" i="1"/>
  <c r="P1872" i="1"/>
  <c r="O1872" i="1"/>
  <c r="Q1871" i="1"/>
  <c r="P1871" i="1"/>
  <c r="O1871" i="1"/>
  <c r="Q1870" i="1"/>
  <c r="P1870" i="1"/>
  <c r="O1870" i="1"/>
  <c r="Q1869" i="1"/>
  <c r="P1869" i="1"/>
  <c r="O1869" i="1"/>
  <c r="Q1868" i="1"/>
  <c r="P1868" i="1"/>
  <c r="O1868" i="1"/>
  <c r="Q1867" i="1"/>
  <c r="P1867" i="1"/>
  <c r="O1867" i="1"/>
  <c r="Q1866" i="1"/>
  <c r="P1866" i="1"/>
  <c r="O1866" i="1"/>
  <c r="Q1865" i="1"/>
  <c r="P1865" i="1"/>
  <c r="O1865" i="1"/>
  <c r="Q1864" i="1"/>
  <c r="P1864" i="1"/>
  <c r="O1864" i="1"/>
  <c r="Q1863" i="1"/>
  <c r="P1863" i="1"/>
  <c r="O1863" i="1"/>
  <c r="Q1862" i="1"/>
  <c r="P1862" i="1"/>
  <c r="O1862" i="1"/>
  <c r="Q1861" i="1"/>
  <c r="P1861" i="1"/>
  <c r="O1861" i="1"/>
  <c r="Q1860" i="1"/>
  <c r="P1860" i="1"/>
  <c r="O1860" i="1"/>
  <c r="Q1859" i="1"/>
  <c r="P1859" i="1"/>
  <c r="O1859" i="1"/>
  <c r="Q1858" i="1"/>
  <c r="P1858" i="1"/>
  <c r="O1858" i="1"/>
  <c r="Q1857" i="1"/>
  <c r="P1857" i="1"/>
  <c r="O1857" i="1"/>
  <c r="Q1856" i="1"/>
  <c r="P1856" i="1"/>
  <c r="O1856" i="1"/>
  <c r="Q1855" i="1"/>
  <c r="P1855" i="1"/>
  <c r="O1855" i="1"/>
  <c r="Q1854" i="1"/>
  <c r="P1854" i="1"/>
  <c r="O1854" i="1"/>
  <c r="Q1853" i="1"/>
  <c r="P1853" i="1"/>
  <c r="O1853" i="1"/>
  <c r="Q1852" i="1"/>
  <c r="P1852" i="1"/>
  <c r="O1852" i="1"/>
  <c r="Q1851" i="1"/>
  <c r="P1851" i="1"/>
  <c r="O1851" i="1"/>
  <c r="Q1850" i="1"/>
  <c r="P1850" i="1"/>
  <c r="O1850" i="1"/>
  <c r="Q1849" i="1"/>
  <c r="P1849" i="1"/>
  <c r="O1849" i="1"/>
  <c r="Q1848" i="1"/>
  <c r="P1848" i="1"/>
  <c r="O1848" i="1"/>
  <c r="Q1847" i="1"/>
  <c r="P1847" i="1"/>
  <c r="O1847" i="1"/>
  <c r="Q1846" i="1"/>
  <c r="P1846" i="1"/>
  <c r="O1846" i="1"/>
  <c r="Q1845" i="1"/>
  <c r="P1845" i="1"/>
  <c r="O1845" i="1"/>
  <c r="Q1844" i="1"/>
  <c r="P1844" i="1"/>
  <c r="O1844" i="1"/>
  <c r="Q1843" i="1"/>
  <c r="P1843" i="1"/>
  <c r="O1843" i="1"/>
  <c r="Q1842" i="1"/>
  <c r="P1842" i="1"/>
  <c r="O1842" i="1"/>
  <c r="Q1841" i="1"/>
  <c r="P1841" i="1"/>
  <c r="O1841" i="1"/>
  <c r="Q1840" i="1"/>
  <c r="P1840" i="1"/>
  <c r="O1840" i="1"/>
  <c r="Q1839" i="1"/>
  <c r="P1839" i="1"/>
  <c r="O1839" i="1"/>
  <c r="Q1838" i="1"/>
  <c r="P1838" i="1"/>
  <c r="O1838" i="1"/>
  <c r="Q1837" i="1"/>
  <c r="P1837" i="1"/>
  <c r="O1837" i="1"/>
  <c r="Q1836" i="1"/>
  <c r="P1836" i="1"/>
  <c r="O1836" i="1"/>
  <c r="Q1835" i="1"/>
  <c r="P1835" i="1"/>
  <c r="O1835" i="1"/>
  <c r="Q1834" i="1"/>
  <c r="P1834" i="1"/>
  <c r="O1834" i="1"/>
  <c r="Q1833" i="1"/>
  <c r="P1833" i="1"/>
  <c r="O1833" i="1"/>
  <c r="Q1832" i="1"/>
  <c r="P1832" i="1"/>
  <c r="O1832" i="1"/>
  <c r="Q1831" i="1"/>
  <c r="P1831" i="1"/>
  <c r="O1831" i="1"/>
  <c r="Q1830" i="1"/>
  <c r="P1830" i="1"/>
  <c r="O1830" i="1"/>
  <c r="Q1829" i="1"/>
  <c r="P1829" i="1"/>
  <c r="O1829" i="1"/>
  <c r="Q1828" i="1"/>
  <c r="P1828" i="1"/>
  <c r="O1828" i="1"/>
  <c r="Q1827" i="1"/>
  <c r="P1827" i="1"/>
  <c r="O1827" i="1"/>
  <c r="Q1826" i="1"/>
  <c r="P1826" i="1"/>
  <c r="O1826" i="1"/>
  <c r="Q1825" i="1"/>
  <c r="P1825" i="1"/>
  <c r="O1825" i="1"/>
  <c r="Q1824" i="1"/>
  <c r="P1824" i="1"/>
  <c r="O1824" i="1"/>
  <c r="Q1823" i="1"/>
  <c r="P1823" i="1"/>
  <c r="O1823" i="1"/>
  <c r="Q1822" i="1"/>
  <c r="P1822" i="1"/>
  <c r="O1822" i="1"/>
  <c r="Q1821" i="1"/>
  <c r="P1821" i="1"/>
  <c r="O1821" i="1"/>
  <c r="Q1820" i="1"/>
  <c r="P1820" i="1"/>
  <c r="O1820" i="1"/>
  <c r="Q1819" i="1"/>
  <c r="P1819" i="1"/>
  <c r="O1819" i="1"/>
  <c r="Q1818" i="1"/>
  <c r="P1818" i="1"/>
  <c r="O1818" i="1"/>
  <c r="Q1817" i="1"/>
  <c r="P1817" i="1"/>
  <c r="O1817" i="1"/>
  <c r="Q1816" i="1"/>
  <c r="P1816" i="1"/>
  <c r="O1816" i="1"/>
  <c r="Q1815" i="1"/>
  <c r="P1815" i="1"/>
  <c r="O1815" i="1"/>
  <c r="Q1814" i="1"/>
  <c r="P1814" i="1"/>
  <c r="O1814" i="1"/>
  <c r="Q1813" i="1"/>
  <c r="P1813" i="1"/>
  <c r="O1813" i="1"/>
  <c r="Q1812" i="1"/>
  <c r="P1812" i="1"/>
  <c r="O1812" i="1"/>
  <c r="Q1811" i="1"/>
  <c r="P1811" i="1"/>
  <c r="O1811" i="1"/>
  <c r="Q1810" i="1"/>
  <c r="P1810" i="1"/>
  <c r="O1810" i="1"/>
  <c r="Q1809" i="1"/>
  <c r="P1809" i="1"/>
  <c r="O1809" i="1"/>
  <c r="Q1808" i="1"/>
  <c r="P1808" i="1"/>
  <c r="O1808" i="1"/>
  <c r="Q1807" i="1"/>
  <c r="P1807" i="1"/>
  <c r="O1807" i="1"/>
  <c r="Q1806" i="1"/>
  <c r="P1806" i="1"/>
  <c r="O1806" i="1"/>
  <c r="Q1805" i="1"/>
  <c r="P1805" i="1"/>
  <c r="O1805" i="1"/>
  <c r="Q1804" i="1"/>
  <c r="P1804" i="1"/>
  <c r="O1804" i="1"/>
  <c r="Q1803" i="1"/>
  <c r="P1803" i="1"/>
  <c r="O1803" i="1"/>
  <c r="Q1802" i="1"/>
  <c r="P1802" i="1"/>
  <c r="O1802" i="1"/>
  <c r="Q1801" i="1"/>
  <c r="P1801" i="1"/>
  <c r="O1801" i="1"/>
  <c r="Q1800" i="1"/>
  <c r="P1800" i="1"/>
  <c r="O1800" i="1"/>
  <c r="Q1799" i="1"/>
  <c r="P1799" i="1"/>
  <c r="O1799" i="1"/>
  <c r="Q1798" i="1"/>
  <c r="P1798" i="1"/>
  <c r="O1798" i="1"/>
  <c r="Q1797" i="1"/>
  <c r="P1797" i="1"/>
  <c r="O1797" i="1"/>
  <c r="Q1796" i="1"/>
  <c r="P1796" i="1"/>
  <c r="O1796" i="1"/>
  <c r="Q1795" i="1"/>
  <c r="P1795" i="1"/>
  <c r="O1795" i="1"/>
  <c r="Q1794" i="1"/>
  <c r="P1794" i="1"/>
  <c r="O1794" i="1"/>
  <c r="Q1793" i="1"/>
  <c r="P1793" i="1"/>
  <c r="O1793" i="1"/>
  <c r="Q1792" i="1"/>
  <c r="P1792" i="1"/>
  <c r="O1792" i="1"/>
  <c r="Q1791" i="1"/>
  <c r="P1791" i="1"/>
  <c r="O1791" i="1"/>
  <c r="Q1790" i="1"/>
  <c r="P1790" i="1"/>
  <c r="O1790" i="1"/>
  <c r="Q1789" i="1"/>
  <c r="P1789" i="1"/>
  <c r="O1789" i="1"/>
  <c r="Q1788" i="1"/>
  <c r="P1788" i="1"/>
  <c r="O1788" i="1"/>
  <c r="Q1787" i="1"/>
  <c r="P1787" i="1"/>
  <c r="O1787" i="1"/>
  <c r="Q1786" i="1"/>
  <c r="P1786" i="1"/>
  <c r="O1786" i="1"/>
  <c r="Q1785" i="1"/>
  <c r="P1785" i="1"/>
  <c r="O1785" i="1"/>
  <c r="Q1784" i="1"/>
  <c r="P1784" i="1"/>
  <c r="O1784" i="1"/>
  <c r="Q1783" i="1"/>
  <c r="P1783" i="1"/>
  <c r="O1783" i="1"/>
  <c r="Q1782" i="1"/>
  <c r="P1782" i="1"/>
  <c r="Q1781" i="1"/>
  <c r="P1781" i="1"/>
  <c r="Q1780" i="1"/>
  <c r="P1780" i="1"/>
  <c r="Q1779" i="1"/>
  <c r="P1779" i="1"/>
  <c r="Q1778" i="1"/>
  <c r="P1778" i="1"/>
  <c r="Q1777" i="1"/>
  <c r="P1777" i="1"/>
  <c r="Q1776" i="1"/>
  <c r="P1776" i="1"/>
  <c r="Q1775" i="1"/>
  <c r="P1775" i="1"/>
  <c r="Q1774" i="1"/>
  <c r="P1774" i="1"/>
  <c r="Q1773" i="1"/>
  <c r="P1773" i="1"/>
  <c r="Q1772" i="1"/>
  <c r="P1772" i="1"/>
  <c r="Q1771" i="1"/>
  <c r="P1771" i="1"/>
  <c r="Q1770" i="1"/>
  <c r="P1770" i="1"/>
  <c r="Q1769" i="1"/>
  <c r="P1769" i="1"/>
  <c r="Q1768" i="1"/>
  <c r="P1768" i="1"/>
  <c r="Q1767" i="1"/>
  <c r="P1767" i="1"/>
  <c r="Q1766" i="1"/>
  <c r="P1766" i="1"/>
  <c r="Q1765" i="1"/>
  <c r="P1765" i="1"/>
  <c r="Q1764" i="1"/>
  <c r="P1764" i="1"/>
  <c r="Q1763" i="1"/>
  <c r="P1763" i="1"/>
  <c r="Q1762" i="1"/>
  <c r="P1762" i="1"/>
  <c r="Q1761" i="1"/>
  <c r="P1761" i="1"/>
  <c r="Q1760" i="1"/>
  <c r="P1760" i="1"/>
  <c r="Q1759" i="1"/>
  <c r="P1759" i="1"/>
  <c r="Q1758" i="1"/>
  <c r="P1758" i="1"/>
  <c r="Q1757" i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P1750" i="1"/>
  <c r="Q1749" i="1"/>
  <c r="P1749" i="1"/>
  <c r="Q1748" i="1"/>
  <c r="P1748" i="1"/>
  <c r="Q1747" i="1"/>
  <c r="P1747" i="1"/>
  <c r="Q1746" i="1"/>
  <c r="P1746" i="1"/>
  <c r="Q1745" i="1"/>
  <c r="P1745" i="1"/>
  <c r="Q1744" i="1"/>
  <c r="P1744" i="1"/>
  <c r="Q1743" i="1"/>
  <c r="P1743" i="1"/>
  <c r="Q1742" i="1"/>
  <c r="P1742" i="1"/>
  <c r="Q1741" i="1"/>
  <c r="P1741" i="1"/>
  <c r="Q1740" i="1"/>
  <c r="P1740" i="1"/>
  <c r="Q1739" i="1"/>
  <c r="P1739" i="1"/>
  <c r="Q1738" i="1"/>
  <c r="P1738" i="1"/>
  <c r="Q1737" i="1"/>
  <c r="P1737" i="1"/>
  <c r="Q1736" i="1"/>
  <c r="P1736" i="1"/>
  <c r="Q1735" i="1"/>
  <c r="P1735" i="1"/>
  <c r="Q1734" i="1"/>
  <c r="P1734" i="1"/>
  <c r="Q1733" i="1"/>
  <c r="P1733" i="1"/>
  <c r="Q1732" i="1"/>
  <c r="P1732" i="1"/>
  <c r="Q1731" i="1"/>
  <c r="P1731" i="1"/>
  <c r="Q1730" i="1"/>
  <c r="P1730" i="1"/>
  <c r="Q1729" i="1"/>
  <c r="P1729" i="1"/>
  <c r="Q1728" i="1"/>
  <c r="P1728" i="1"/>
  <c r="Q1727" i="1"/>
  <c r="P1727" i="1"/>
  <c r="Q1726" i="1"/>
  <c r="P1726" i="1"/>
  <c r="Q1725" i="1"/>
  <c r="P1725" i="1"/>
  <c r="Q1724" i="1"/>
  <c r="P1724" i="1"/>
  <c r="Q1723" i="1"/>
  <c r="P1723" i="1"/>
  <c r="Q1722" i="1"/>
  <c r="P1722" i="1"/>
  <c r="Q1721" i="1"/>
  <c r="P1721" i="1"/>
  <c r="Q1720" i="1"/>
  <c r="P1720" i="1"/>
  <c r="Q1719" i="1"/>
  <c r="P1719" i="1"/>
  <c r="Q1718" i="1"/>
  <c r="P1718" i="1"/>
  <c r="Q1717" i="1"/>
  <c r="P1717" i="1"/>
  <c r="Q1716" i="1"/>
  <c r="P1716" i="1"/>
  <c r="Q1715" i="1"/>
  <c r="P1715" i="1"/>
  <c r="Q1714" i="1"/>
  <c r="P1714" i="1"/>
  <c r="Q1713" i="1"/>
  <c r="P1713" i="1"/>
  <c r="Q1712" i="1"/>
  <c r="P1712" i="1"/>
  <c r="Q1711" i="1"/>
  <c r="P1711" i="1"/>
  <c r="Q1710" i="1"/>
  <c r="P1710" i="1"/>
  <c r="Q1709" i="1"/>
  <c r="P1709" i="1"/>
  <c r="Q1708" i="1"/>
  <c r="P1708" i="1"/>
  <c r="Q1707" i="1"/>
  <c r="P1707" i="1"/>
  <c r="Q1706" i="1"/>
  <c r="P1706" i="1"/>
  <c r="Q1705" i="1"/>
  <c r="P1705" i="1"/>
  <c r="Q1704" i="1"/>
  <c r="P1704" i="1"/>
  <c r="Q1703" i="1"/>
  <c r="P1703" i="1"/>
  <c r="Q1702" i="1"/>
  <c r="P1702" i="1"/>
  <c r="Q1701" i="1"/>
  <c r="P1701" i="1"/>
  <c r="Q1700" i="1"/>
  <c r="P1700" i="1"/>
  <c r="Q1699" i="1"/>
  <c r="P1699" i="1"/>
  <c r="Q1698" i="1"/>
  <c r="P1698" i="1"/>
  <c r="Q1697" i="1"/>
  <c r="P1697" i="1"/>
  <c r="Q1696" i="1"/>
  <c r="P1696" i="1"/>
  <c r="Q1695" i="1"/>
  <c r="P1695" i="1"/>
  <c r="Q1694" i="1"/>
  <c r="P1694" i="1"/>
  <c r="Q1693" i="1"/>
  <c r="P1693" i="1"/>
  <c r="Q1692" i="1"/>
  <c r="P1692" i="1"/>
  <c r="Q1691" i="1"/>
  <c r="P1691" i="1"/>
  <c r="Q1690" i="1"/>
  <c r="P1690" i="1"/>
  <c r="Q1689" i="1"/>
  <c r="P1689" i="1"/>
  <c r="Q1688" i="1"/>
  <c r="P1688" i="1"/>
  <c r="Q1687" i="1"/>
  <c r="P1687" i="1"/>
  <c r="Q1686" i="1"/>
  <c r="P1686" i="1"/>
  <c r="Q1685" i="1"/>
  <c r="P1685" i="1"/>
  <c r="Q1684" i="1"/>
  <c r="P1684" i="1"/>
  <c r="Q1683" i="1"/>
  <c r="P1683" i="1"/>
  <c r="Q1682" i="1"/>
  <c r="P1682" i="1"/>
  <c r="Q1681" i="1"/>
  <c r="P1681" i="1"/>
  <c r="Q1680" i="1"/>
  <c r="P1680" i="1"/>
  <c r="Q1679" i="1"/>
  <c r="P1679" i="1"/>
  <c r="Q1678" i="1"/>
  <c r="P1678" i="1"/>
  <c r="Q1677" i="1"/>
  <c r="P1677" i="1"/>
  <c r="Q1676" i="1"/>
  <c r="P1676" i="1"/>
  <c r="Q1675" i="1"/>
  <c r="P1675" i="1"/>
  <c r="Q1674" i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P1667" i="1"/>
  <c r="Q1666" i="1"/>
  <c r="P1666" i="1"/>
  <c r="Q1665" i="1"/>
  <c r="P1665" i="1"/>
  <c r="Q1664" i="1"/>
  <c r="P1664" i="1"/>
  <c r="Q1663" i="1"/>
  <c r="P1663" i="1"/>
  <c r="Q1662" i="1"/>
  <c r="P1662" i="1"/>
  <c r="Q1661" i="1"/>
  <c r="P1661" i="1"/>
  <c r="Q1660" i="1"/>
  <c r="P1660" i="1"/>
  <c r="Q1659" i="1"/>
  <c r="P1659" i="1"/>
  <c r="Q1658" i="1"/>
  <c r="P1658" i="1"/>
  <c r="Q1657" i="1"/>
  <c r="P1657" i="1"/>
  <c r="Q1656" i="1"/>
  <c r="P1656" i="1"/>
  <c r="Q1655" i="1"/>
  <c r="P1655" i="1"/>
  <c r="Q1654" i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3" i="1"/>
  <c r="P1643" i="1"/>
  <c r="Q1642" i="1"/>
  <c r="P1642" i="1"/>
  <c r="Q1641" i="1"/>
  <c r="P1641" i="1"/>
  <c r="Q1640" i="1"/>
  <c r="P1640" i="1"/>
  <c r="Q1639" i="1"/>
  <c r="P1639" i="1"/>
  <c r="Q1638" i="1"/>
  <c r="P1638" i="1"/>
  <c r="Q1637" i="1"/>
  <c r="P1637" i="1"/>
  <c r="Q1636" i="1"/>
  <c r="P1636" i="1"/>
  <c r="Q1635" i="1"/>
  <c r="P1635" i="1"/>
  <c r="Q1634" i="1"/>
  <c r="P1634" i="1"/>
  <c r="O1634" i="1"/>
  <c r="Q1633" i="1"/>
  <c r="P1633" i="1"/>
  <c r="O1633" i="1"/>
  <c r="Q1632" i="1"/>
  <c r="P1632" i="1"/>
  <c r="O1632" i="1"/>
  <c r="Q1631" i="1"/>
  <c r="P1631" i="1"/>
  <c r="O1631" i="1"/>
  <c r="Q1630" i="1"/>
  <c r="P1630" i="1"/>
  <c r="O1630" i="1"/>
  <c r="Q1629" i="1"/>
  <c r="P1629" i="1"/>
  <c r="O1629" i="1"/>
  <c r="Q1628" i="1"/>
  <c r="P1628" i="1"/>
  <c r="O1628" i="1"/>
  <c r="Q1627" i="1"/>
  <c r="P1627" i="1"/>
  <c r="O1627" i="1"/>
  <c r="Q1626" i="1"/>
  <c r="P1626" i="1"/>
  <c r="O1626" i="1"/>
  <c r="Q1625" i="1"/>
  <c r="P1625" i="1"/>
  <c r="O1625" i="1"/>
  <c r="Q1624" i="1"/>
  <c r="P1624" i="1"/>
  <c r="O1624" i="1"/>
  <c r="Q1623" i="1"/>
  <c r="P1623" i="1"/>
  <c r="O1623" i="1"/>
  <c r="Q1622" i="1"/>
  <c r="P1622" i="1"/>
  <c r="O1622" i="1"/>
  <c r="Q1621" i="1"/>
  <c r="P1621" i="1"/>
  <c r="O1621" i="1"/>
  <c r="Q1620" i="1"/>
  <c r="P1620" i="1"/>
  <c r="O1620" i="1"/>
  <c r="Q1619" i="1"/>
  <c r="P1619" i="1"/>
  <c r="O1619" i="1"/>
  <c r="Q1618" i="1"/>
  <c r="P1618" i="1"/>
  <c r="O1618" i="1"/>
  <c r="Q1617" i="1"/>
  <c r="P1617" i="1"/>
  <c r="O1617" i="1"/>
  <c r="Q1616" i="1"/>
  <c r="P1616" i="1"/>
  <c r="O1616" i="1"/>
  <c r="Q1615" i="1"/>
  <c r="P1615" i="1"/>
  <c r="O1615" i="1"/>
  <c r="Q1614" i="1"/>
  <c r="P1614" i="1"/>
  <c r="O1614" i="1"/>
  <c r="Q1613" i="1"/>
  <c r="P1613" i="1"/>
  <c r="O1613" i="1"/>
  <c r="Q1612" i="1"/>
  <c r="P1612" i="1"/>
  <c r="O1612" i="1"/>
  <c r="Q1611" i="1"/>
  <c r="P1611" i="1"/>
  <c r="O1611" i="1"/>
  <c r="Q1610" i="1"/>
  <c r="P1610" i="1"/>
  <c r="O1610" i="1"/>
  <c r="Q1609" i="1"/>
  <c r="P1609" i="1"/>
  <c r="O1609" i="1"/>
  <c r="Q1608" i="1"/>
  <c r="P1608" i="1"/>
  <c r="O1608" i="1"/>
  <c r="Q1607" i="1"/>
  <c r="P1607" i="1"/>
  <c r="O1607" i="1"/>
  <c r="Q1606" i="1"/>
  <c r="P1606" i="1"/>
  <c r="O1606" i="1"/>
  <c r="Q1605" i="1"/>
  <c r="P1605" i="1"/>
  <c r="O1605" i="1"/>
  <c r="Q1604" i="1"/>
  <c r="P1604" i="1"/>
  <c r="O1604" i="1"/>
  <c r="Q1603" i="1"/>
  <c r="P1603" i="1"/>
  <c r="O1603" i="1"/>
  <c r="Q1602" i="1"/>
  <c r="P1602" i="1"/>
  <c r="O1602" i="1"/>
  <c r="Q1601" i="1"/>
  <c r="P1601" i="1"/>
  <c r="O1601" i="1"/>
  <c r="Q1600" i="1"/>
  <c r="P1600" i="1"/>
  <c r="O1600" i="1"/>
  <c r="Q1599" i="1"/>
  <c r="P1599" i="1"/>
  <c r="O1599" i="1"/>
  <c r="Q1598" i="1"/>
  <c r="P1598" i="1"/>
  <c r="O1598" i="1"/>
  <c r="Q1597" i="1"/>
  <c r="P1597" i="1"/>
  <c r="O1597" i="1"/>
  <c r="Q1596" i="1"/>
  <c r="P1596" i="1"/>
  <c r="O1596" i="1"/>
  <c r="Q1595" i="1"/>
  <c r="P1595" i="1"/>
  <c r="O1595" i="1"/>
  <c r="Q1594" i="1"/>
  <c r="P1594" i="1"/>
  <c r="O1594" i="1"/>
  <c r="Q1593" i="1"/>
  <c r="P1593" i="1"/>
  <c r="O1593" i="1"/>
  <c r="Q1592" i="1"/>
  <c r="P1592" i="1"/>
  <c r="O1592" i="1"/>
  <c r="Q1591" i="1"/>
  <c r="P1591" i="1"/>
  <c r="O1591" i="1"/>
  <c r="Q1590" i="1"/>
  <c r="P1590" i="1"/>
  <c r="O1590" i="1"/>
  <c r="Q1589" i="1"/>
  <c r="P1589" i="1"/>
  <c r="O1589" i="1"/>
  <c r="Q1588" i="1"/>
  <c r="P1588" i="1"/>
  <c r="O1588" i="1"/>
  <c r="Q1587" i="1"/>
  <c r="P1587" i="1"/>
  <c r="O1587" i="1"/>
  <c r="Q1586" i="1"/>
  <c r="P1586" i="1"/>
  <c r="O1586" i="1"/>
  <c r="Q1585" i="1"/>
  <c r="P1585" i="1"/>
  <c r="O1585" i="1"/>
  <c r="Q1584" i="1"/>
  <c r="P1584" i="1"/>
  <c r="O1584" i="1"/>
  <c r="Q1583" i="1"/>
  <c r="P1583" i="1"/>
  <c r="O1583" i="1"/>
  <c r="Q1582" i="1"/>
  <c r="P1582" i="1"/>
  <c r="O1582" i="1"/>
  <c r="Q1581" i="1"/>
  <c r="P1581" i="1"/>
  <c r="O1581" i="1"/>
  <c r="Q1580" i="1"/>
  <c r="P1580" i="1"/>
  <c r="O1580" i="1"/>
  <c r="Q1579" i="1"/>
  <c r="P1579" i="1"/>
  <c r="O1579" i="1"/>
  <c r="Q1578" i="1"/>
  <c r="P1578" i="1"/>
  <c r="O1578" i="1"/>
  <c r="Q1577" i="1"/>
  <c r="P1577" i="1"/>
  <c r="O1577" i="1"/>
  <c r="Q1576" i="1"/>
  <c r="P1576" i="1"/>
  <c r="O1576" i="1"/>
  <c r="Q1575" i="1"/>
  <c r="P1575" i="1"/>
  <c r="O1575" i="1"/>
  <c r="Q1574" i="1"/>
  <c r="P1574" i="1"/>
  <c r="O1574" i="1"/>
  <c r="Q1573" i="1"/>
  <c r="P1573" i="1"/>
  <c r="O1573" i="1"/>
  <c r="Q1572" i="1"/>
  <c r="P1572" i="1"/>
  <c r="O1572" i="1"/>
  <c r="Q1571" i="1"/>
  <c r="P1571" i="1"/>
  <c r="O1571" i="1"/>
  <c r="Q1570" i="1"/>
  <c r="P1570" i="1"/>
  <c r="O1570" i="1"/>
  <c r="Q1569" i="1"/>
  <c r="P1569" i="1"/>
  <c r="O1569" i="1"/>
  <c r="Q1568" i="1"/>
  <c r="P1568" i="1"/>
  <c r="O1568" i="1"/>
  <c r="Q1567" i="1"/>
  <c r="P1567" i="1"/>
  <c r="O1567" i="1"/>
  <c r="Q1566" i="1"/>
  <c r="P1566" i="1"/>
  <c r="O1566" i="1"/>
  <c r="Q1565" i="1"/>
  <c r="P1565" i="1"/>
  <c r="O1565" i="1"/>
  <c r="Q1564" i="1"/>
  <c r="P1564" i="1"/>
  <c r="O1564" i="1"/>
  <c r="Q1563" i="1"/>
  <c r="P1563" i="1"/>
  <c r="O1563" i="1"/>
  <c r="Q1562" i="1"/>
  <c r="P1562" i="1"/>
  <c r="O1562" i="1"/>
  <c r="Q1561" i="1"/>
  <c r="P1561" i="1"/>
  <c r="O1561" i="1"/>
  <c r="Q1560" i="1"/>
  <c r="P1560" i="1"/>
  <c r="O1560" i="1"/>
  <c r="Q1559" i="1"/>
  <c r="P1559" i="1"/>
  <c r="O1559" i="1"/>
  <c r="Q1558" i="1"/>
  <c r="P1558" i="1"/>
  <c r="O1558" i="1"/>
  <c r="Q1557" i="1"/>
  <c r="P1557" i="1"/>
  <c r="O1557" i="1"/>
  <c r="Q1556" i="1"/>
  <c r="P1556" i="1"/>
  <c r="O1556" i="1"/>
  <c r="Q1555" i="1"/>
  <c r="P1555" i="1"/>
  <c r="O1555" i="1"/>
  <c r="Q1554" i="1"/>
  <c r="P1554" i="1"/>
  <c r="O1554" i="1"/>
  <c r="Q1553" i="1"/>
  <c r="P1553" i="1"/>
  <c r="O1553" i="1"/>
  <c r="Q1552" i="1"/>
  <c r="P1552" i="1"/>
  <c r="O1552" i="1"/>
  <c r="Q1551" i="1"/>
  <c r="P1551" i="1"/>
  <c r="O1551" i="1"/>
  <c r="Q1550" i="1"/>
  <c r="P1550" i="1"/>
  <c r="O1550" i="1"/>
  <c r="Q1549" i="1"/>
  <c r="P1549" i="1"/>
  <c r="O1549" i="1"/>
  <c r="Q1548" i="1"/>
  <c r="P1548" i="1"/>
  <c r="O1548" i="1"/>
  <c r="Q1547" i="1"/>
  <c r="P1547" i="1"/>
  <c r="O1547" i="1"/>
  <c r="Q1546" i="1"/>
  <c r="P1546" i="1"/>
  <c r="O1546" i="1"/>
  <c r="Q1545" i="1"/>
  <c r="P1545" i="1"/>
  <c r="O1545" i="1"/>
  <c r="Q1544" i="1"/>
  <c r="P1544" i="1"/>
  <c r="O1544" i="1"/>
  <c r="Q1543" i="1"/>
  <c r="P1543" i="1"/>
  <c r="O1543" i="1"/>
  <c r="Q1542" i="1"/>
  <c r="P1542" i="1"/>
  <c r="O1542" i="1"/>
  <c r="Q1541" i="1"/>
  <c r="P1541" i="1"/>
  <c r="O1541" i="1"/>
  <c r="Q1540" i="1"/>
  <c r="P1540" i="1"/>
  <c r="O1540" i="1"/>
  <c r="Q1539" i="1"/>
  <c r="P1539" i="1"/>
  <c r="O1539" i="1"/>
  <c r="Q1538" i="1"/>
  <c r="P1538" i="1"/>
  <c r="O1538" i="1"/>
  <c r="Q1537" i="1"/>
  <c r="P1537" i="1"/>
  <c r="O1537" i="1"/>
  <c r="Q1536" i="1"/>
  <c r="P1536" i="1"/>
  <c r="O1536" i="1"/>
  <c r="Q1535" i="1"/>
  <c r="P1535" i="1"/>
  <c r="O1535" i="1"/>
  <c r="Q1534" i="1"/>
  <c r="P1534" i="1"/>
  <c r="O1534" i="1"/>
  <c r="Q1533" i="1"/>
  <c r="P1533" i="1"/>
  <c r="O1533" i="1"/>
  <c r="Q1532" i="1"/>
  <c r="P1532" i="1"/>
  <c r="O1532" i="1"/>
  <c r="Q1531" i="1"/>
  <c r="P1531" i="1"/>
  <c r="O1531" i="1"/>
  <c r="Q1530" i="1"/>
  <c r="P1530" i="1"/>
  <c r="O1530" i="1"/>
  <c r="Q1529" i="1"/>
  <c r="P1529" i="1"/>
  <c r="O1529" i="1"/>
  <c r="Q1528" i="1"/>
  <c r="P1528" i="1"/>
  <c r="O1528" i="1"/>
  <c r="Q1527" i="1"/>
  <c r="P1527" i="1"/>
  <c r="O1527" i="1"/>
  <c r="Q1526" i="1"/>
  <c r="P1526" i="1"/>
  <c r="O1526" i="1"/>
  <c r="Q1525" i="1"/>
  <c r="P1525" i="1"/>
  <c r="O1525" i="1"/>
  <c r="Q1524" i="1"/>
  <c r="P1524" i="1"/>
  <c r="O1524" i="1"/>
  <c r="Q1523" i="1"/>
  <c r="P1523" i="1"/>
  <c r="O1523" i="1"/>
  <c r="Q1522" i="1"/>
  <c r="P1522" i="1"/>
  <c r="O1522" i="1"/>
  <c r="Q1521" i="1"/>
  <c r="P1521" i="1"/>
  <c r="O1521" i="1"/>
  <c r="Q1520" i="1"/>
  <c r="P1520" i="1"/>
  <c r="O1520" i="1"/>
  <c r="Q1519" i="1"/>
  <c r="P1519" i="1"/>
  <c r="O1519" i="1"/>
  <c r="Q1518" i="1"/>
  <c r="P1518" i="1"/>
  <c r="O1518" i="1"/>
  <c r="Q1517" i="1"/>
  <c r="P1517" i="1"/>
  <c r="O1517" i="1"/>
  <c r="Q1516" i="1"/>
  <c r="P1516" i="1"/>
  <c r="O1516" i="1"/>
  <c r="Q1515" i="1"/>
  <c r="P1515" i="1"/>
  <c r="O1515" i="1"/>
  <c r="Q1514" i="1"/>
  <c r="P1514" i="1"/>
  <c r="O1514" i="1"/>
  <c r="Q1513" i="1"/>
  <c r="P1513" i="1"/>
  <c r="O1513" i="1"/>
  <c r="Q1512" i="1"/>
  <c r="P1512" i="1"/>
  <c r="O1512" i="1"/>
  <c r="Q1511" i="1"/>
  <c r="P1511" i="1"/>
  <c r="O1511" i="1"/>
  <c r="Q1510" i="1"/>
  <c r="P1510" i="1"/>
  <c r="O1510" i="1"/>
  <c r="Q1509" i="1"/>
  <c r="P1509" i="1"/>
  <c r="O1509" i="1"/>
  <c r="Q1508" i="1"/>
  <c r="P1508" i="1"/>
  <c r="O1508" i="1"/>
  <c r="Q1507" i="1"/>
  <c r="P1507" i="1"/>
  <c r="O1507" i="1"/>
  <c r="Q1506" i="1"/>
  <c r="P1506" i="1"/>
  <c r="O1506" i="1"/>
  <c r="Q1505" i="1"/>
  <c r="P1505" i="1"/>
  <c r="O1505" i="1"/>
  <c r="Q1504" i="1"/>
  <c r="P1504" i="1"/>
  <c r="O1504" i="1"/>
  <c r="Q1503" i="1"/>
  <c r="P1503" i="1"/>
  <c r="O1503" i="1"/>
  <c r="Q1502" i="1"/>
  <c r="P1502" i="1"/>
  <c r="O1502" i="1"/>
  <c r="Q1501" i="1"/>
  <c r="P1501" i="1"/>
  <c r="O1501" i="1"/>
  <c r="Q1500" i="1"/>
  <c r="P1500" i="1"/>
  <c r="O1500" i="1"/>
  <c r="Q1499" i="1"/>
  <c r="P1499" i="1"/>
  <c r="O1499" i="1"/>
  <c r="Q1498" i="1"/>
  <c r="P1498" i="1"/>
  <c r="O1498" i="1"/>
  <c r="Q1497" i="1"/>
  <c r="P1497" i="1"/>
  <c r="O1497" i="1"/>
  <c r="Q1496" i="1"/>
  <c r="P1496" i="1"/>
  <c r="O1496" i="1"/>
  <c r="Q1495" i="1"/>
  <c r="P1495" i="1"/>
  <c r="O1495" i="1"/>
  <c r="Q1494" i="1"/>
  <c r="P1494" i="1"/>
  <c r="O1494" i="1"/>
  <c r="Q1493" i="1"/>
  <c r="P1493" i="1"/>
  <c r="O1493" i="1"/>
  <c r="Q1492" i="1"/>
  <c r="P1492" i="1"/>
  <c r="O1492" i="1"/>
  <c r="Q1491" i="1"/>
  <c r="P1491" i="1"/>
  <c r="O1491" i="1"/>
  <c r="Q1490" i="1"/>
  <c r="P1490" i="1"/>
  <c r="O1490" i="1"/>
  <c r="Q1489" i="1"/>
  <c r="P1489" i="1"/>
  <c r="O1489" i="1"/>
  <c r="Q1488" i="1"/>
  <c r="P1488" i="1"/>
  <c r="O1488" i="1"/>
  <c r="Q1487" i="1"/>
  <c r="P1487" i="1"/>
  <c r="O1487" i="1"/>
  <c r="Q1486" i="1"/>
  <c r="P1486" i="1"/>
  <c r="O1486" i="1"/>
  <c r="Q1485" i="1"/>
  <c r="P1485" i="1"/>
  <c r="O1485" i="1"/>
  <c r="Q1484" i="1"/>
  <c r="P1484" i="1"/>
  <c r="O1484" i="1"/>
  <c r="Q1483" i="1"/>
  <c r="P1483" i="1"/>
  <c r="O1483" i="1"/>
  <c r="Q1482" i="1"/>
  <c r="P1482" i="1"/>
  <c r="O1482" i="1"/>
  <c r="Q1481" i="1"/>
  <c r="P1481" i="1"/>
  <c r="O1481" i="1"/>
  <c r="Q1480" i="1"/>
  <c r="P1480" i="1"/>
  <c r="O1480" i="1"/>
  <c r="Q1479" i="1"/>
  <c r="P1479" i="1"/>
  <c r="O1479" i="1"/>
  <c r="Q1478" i="1"/>
  <c r="P1478" i="1"/>
  <c r="O1478" i="1"/>
  <c r="Q1477" i="1"/>
  <c r="P1477" i="1"/>
  <c r="O1477" i="1"/>
  <c r="Q1476" i="1"/>
  <c r="P1476" i="1"/>
  <c r="O1476" i="1"/>
  <c r="Q1475" i="1"/>
  <c r="P1475" i="1"/>
  <c r="O1475" i="1"/>
  <c r="Q1474" i="1"/>
  <c r="P1474" i="1"/>
  <c r="O1474" i="1"/>
  <c r="Q1473" i="1"/>
  <c r="P1473" i="1"/>
  <c r="O1473" i="1"/>
  <c r="Q1472" i="1"/>
  <c r="P1472" i="1"/>
  <c r="O1472" i="1"/>
  <c r="Q1471" i="1"/>
  <c r="P1471" i="1"/>
  <c r="O1471" i="1"/>
  <c r="Q1470" i="1"/>
  <c r="P1470" i="1"/>
  <c r="O1470" i="1"/>
  <c r="Q1469" i="1"/>
  <c r="P1469" i="1"/>
  <c r="O1469" i="1"/>
  <c r="Q1468" i="1"/>
  <c r="P1468" i="1"/>
  <c r="O1468" i="1"/>
  <c r="Q1467" i="1"/>
  <c r="P1467" i="1"/>
  <c r="O1467" i="1"/>
  <c r="Q1466" i="1"/>
  <c r="P1466" i="1"/>
  <c r="O1466" i="1"/>
  <c r="Q1465" i="1"/>
  <c r="P1465" i="1"/>
  <c r="O1465" i="1"/>
  <c r="Q1464" i="1"/>
  <c r="P1464" i="1"/>
  <c r="O1464" i="1"/>
  <c r="Q1463" i="1"/>
  <c r="P1463" i="1"/>
  <c r="O1463" i="1"/>
  <c r="Q1462" i="1"/>
  <c r="P1462" i="1"/>
  <c r="O1462" i="1"/>
  <c r="Q1461" i="1"/>
  <c r="P1461" i="1"/>
  <c r="O1461" i="1"/>
  <c r="Q1460" i="1"/>
  <c r="P1460" i="1"/>
  <c r="O1460" i="1"/>
  <c r="Q1459" i="1"/>
  <c r="P1459" i="1"/>
  <c r="O1459" i="1"/>
  <c r="Q1458" i="1"/>
  <c r="P1458" i="1"/>
  <c r="O1458" i="1"/>
  <c r="Q1457" i="1"/>
  <c r="P1457" i="1"/>
  <c r="O1457" i="1"/>
  <c r="Q1456" i="1"/>
  <c r="P1456" i="1"/>
  <c r="O1456" i="1"/>
  <c r="Q1455" i="1"/>
  <c r="P1455" i="1"/>
  <c r="O1455" i="1"/>
  <c r="Q1454" i="1"/>
  <c r="P1454" i="1"/>
  <c r="O1454" i="1"/>
  <c r="Q1453" i="1"/>
  <c r="P1453" i="1"/>
  <c r="O1453" i="1"/>
  <c r="Q1452" i="1"/>
  <c r="P1452" i="1"/>
  <c r="O1452" i="1"/>
  <c r="Q1451" i="1"/>
  <c r="P1451" i="1"/>
  <c r="O1451" i="1"/>
  <c r="Q1450" i="1"/>
  <c r="P1450" i="1"/>
  <c r="O1450" i="1"/>
  <c r="Q1449" i="1"/>
  <c r="P1449" i="1"/>
  <c r="O1449" i="1"/>
  <c r="Q1448" i="1"/>
  <c r="P1448" i="1"/>
  <c r="O1448" i="1"/>
  <c r="Q1447" i="1"/>
  <c r="P1447" i="1"/>
  <c r="O1447" i="1"/>
  <c r="Q1446" i="1"/>
  <c r="P1446" i="1"/>
  <c r="O1446" i="1"/>
  <c r="Q1445" i="1"/>
  <c r="P1445" i="1"/>
  <c r="O1445" i="1"/>
  <c r="Q1444" i="1"/>
  <c r="P1444" i="1"/>
  <c r="O1444" i="1"/>
  <c r="Q1443" i="1"/>
  <c r="P1443" i="1"/>
  <c r="O1443" i="1"/>
  <c r="Q1442" i="1"/>
  <c r="P1442" i="1"/>
  <c r="O1442" i="1"/>
  <c r="Q1441" i="1"/>
  <c r="P1441" i="1"/>
  <c r="O1441" i="1"/>
  <c r="Q1440" i="1"/>
  <c r="P1440" i="1"/>
  <c r="O1440" i="1"/>
  <c r="Q1439" i="1"/>
  <c r="P1439" i="1"/>
  <c r="O1439" i="1"/>
  <c r="Q1438" i="1"/>
  <c r="P1438" i="1"/>
  <c r="O1438" i="1"/>
  <c r="Q1437" i="1"/>
  <c r="P1437" i="1"/>
  <c r="O1437" i="1"/>
  <c r="Q1436" i="1"/>
  <c r="P1436" i="1"/>
  <c r="O1436" i="1"/>
  <c r="Q1435" i="1"/>
  <c r="P1435" i="1"/>
  <c r="O1435" i="1"/>
  <c r="Q1434" i="1"/>
  <c r="P1434" i="1"/>
  <c r="O1434" i="1"/>
  <c r="Q1433" i="1"/>
  <c r="P1433" i="1"/>
  <c r="O1433" i="1"/>
  <c r="Q1432" i="1"/>
  <c r="P1432" i="1"/>
  <c r="O1432" i="1"/>
  <c r="Q1431" i="1"/>
  <c r="P1431" i="1"/>
  <c r="O1431" i="1"/>
  <c r="Q1430" i="1"/>
  <c r="P1430" i="1"/>
  <c r="O1430" i="1"/>
  <c r="Q1429" i="1"/>
  <c r="P1429" i="1"/>
  <c r="O1429" i="1"/>
  <c r="Q1428" i="1"/>
  <c r="P1428" i="1"/>
  <c r="O1428" i="1"/>
  <c r="Q1427" i="1"/>
  <c r="P1427" i="1"/>
  <c r="O1427" i="1"/>
  <c r="Q1426" i="1"/>
  <c r="P1426" i="1"/>
  <c r="O1426" i="1"/>
  <c r="Q1425" i="1"/>
  <c r="P1425" i="1"/>
  <c r="O1425" i="1"/>
  <c r="Q1424" i="1"/>
  <c r="P1424" i="1"/>
  <c r="O1424" i="1"/>
  <c r="Q1423" i="1"/>
  <c r="P1423" i="1"/>
  <c r="O1423" i="1"/>
  <c r="Q1422" i="1"/>
  <c r="P1422" i="1"/>
  <c r="O1422" i="1"/>
  <c r="Q1421" i="1"/>
  <c r="P1421" i="1"/>
  <c r="O1421" i="1"/>
  <c r="Q1420" i="1"/>
  <c r="P1420" i="1"/>
  <c r="O1420" i="1"/>
  <c r="Q1419" i="1"/>
  <c r="P1419" i="1"/>
  <c r="O1419" i="1"/>
  <c r="Q1418" i="1"/>
  <c r="P1418" i="1"/>
  <c r="O1418" i="1"/>
  <c r="Q1417" i="1"/>
  <c r="P1417" i="1"/>
  <c r="O1417" i="1"/>
  <c r="Q1416" i="1"/>
  <c r="P1416" i="1"/>
  <c r="O1416" i="1"/>
  <c r="Q1415" i="1"/>
  <c r="P1415" i="1"/>
  <c r="O1415" i="1"/>
  <c r="Q1414" i="1"/>
  <c r="P1414" i="1"/>
  <c r="O1414" i="1"/>
  <c r="Q1413" i="1"/>
  <c r="P1413" i="1"/>
  <c r="O1413" i="1"/>
  <c r="Q1412" i="1"/>
  <c r="P1412" i="1"/>
  <c r="O1412" i="1"/>
  <c r="Q1411" i="1"/>
  <c r="P1411" i="1"/>
  <c r="O1411" i="1"/>
  <c r="Q1410" i="1"/>
  <c r="P1410" i="1"/>
  <c r="O1410" i="1"/>
  <c r="Q1409" i="1"/>
  <c r="P1409" i="1"/>
  <c r="O1409" i="1"/>
  <c r="Q1408" i="1"/>
  <c r="P1408" i="1"/>
  <c r="O1408" i="1"/>
  <c r="Q1407" i="1"/>
  <c r="P1407" i="1"/>
  <c r="O1407" i="1"/>
  <c r="Q1406" i="1"/>
  <c r="P1406" i="1"/>
  <c r="O1406" i="1"/>
  <c r="Q1405" i="1"/>
  <c r="P1405" i="1"/>
  <c r="O1405" i="1"/>
  <c r="Q1404" i="1"/>
  <c r="P1404" i="1"/>
  <c r="O1404" i="1"/>
  <c r="Q1403" i="1"/>
  <c r="P1403" i="1"/>
  <c r="O1403" i="1"/>
  <c r="Q1402" i="1"/>
  <c r="P1402" i="1"/>
  <c r="O1402" i="1"/>
  <c r="Q1401" i="1"/>
  <c r="P1401" i="1"/>
  <c r="O1401" i="1"/>
  <c r="Q1400" i="1"/>
  <c r="P1400" i="1"/>
  <c r="O1400" i="1"/>
  <c r="Q1399" i="1"/>
  <c r="P1399" i="1"/>
  <c r="O1399" i="1"/>
  <c r="Q1398" i="1"/>
  <c r="P1398" i="1"/>
  <c r="O1398" i="1"/>
  <c r="Q1397" i="1"/>
  <c r="P1397" i="1"/>
  <c r="O1397" i="1"/>
  <c r="Q1396" i="1"/>
  <c r="P1396" i="1"/>
  <c r="O1396" i="1"/>
  <c r="Q1395" i="1"/>
  <c r="P1395" i="1"/>
  <c r="O1395" i="1"/>
  <c r="Q1394" i="1"/>
  <c r="P1394" i="1"/>
  <c r="O1394" i="1"/>
  <c r="Q1393" i="1"/>
  <c r="P1393" i="1"/>
  <c r="O1393" i="1"/>
  <c r="Q1392" i="1"/>
  <c r="P1392" i="1"/>
  <c r="O1392" i="1"/>
  <c r="Q1391" i="1"/>
  <c r="P1391" i="1"/>
  <c r="O1391" i="1"/>
  <c r="Q1390" i="1"/>
  <c r="P1390" i="1"/>
  <c r="O1390" i="1"/>
  <c r="Q1389" i="1"/>
  <c r="P1389" i="1"/>
  <c r="O1389" i="1"/>
  <c r="Q1388" i="1"/>
  <c r="P1388" i="1"/>
  <c r="O1388" i="1"/>
  <c r="Q1387" i="1"/>
  <c r="P1387" i="1"/>
  <c r="O1387" i="1"/>
  <c r="Q1386" i="1"/>
  <c r="P1386" i="1"/>
  <c r="O1386" i="1"/>
  <c r="Q1385" i="1"/>
  <c r="P1385" i="1"/>
  <c r="O1385" i="1"/>
  <c r="Q1384" i="1"/>
  <c r="P1384" i="1"/>
  <c r="O1384" i="1"/>
  <c r="Q1383" i="1"/>
  <c r="P1383" i="1"/>
  <c r="O1383" i="1"/>
  <c r="Q1382" i="1"/>
  <c r="P1382" i="1"/>
  <c r="O1382" i="1"/>
  <c r="Q1381" i="1"/>
  <c r="P1381" i="1"/>
  <c r="O1381" i="1"/>
  <c r="Q1380" i="1"/>
  <c r="P1380" i="1"/>
  <c r="O1380" i="1"/>
  <c r="Q1379" i="1"/>
  <c r="P1379" i="1"/>
  <c r="O1379" i="1"/>
  <c r="Q1378" i="1"/>
  <c r="P1378" i="1"/>
  <c r="O1378" i="1"/>
  <c r="Q1377" i="1"/>
  <c r="P1377" i="1"/>
  <c r="O1377" i="1"/>
  <c r="Q1376" i="1"/>
  <c r="P1376" i="1"/>
  <c r="O1376" i="1"/>
  <c r="Q1375" i="1"/>
  <c r="P1375" i="1"/>
  <c r="O1375" i="1"/>
  <c r="Q1374" i="1"/>
  <c r="P1374" i="1"/>
  <c r="O1374" i="1"/>
  <c r="V1373" i="1"/>
  <c r="Q1373" i="1"/>
  <c r="P1373" i="1"/>
  <c r="O1373" i="1"/>
  <c r="V1372" i="1"/>
  <c r="Q1372" i="1"/>
  <c r="P1372" i="1"/>
  <c r="O1372" i="1"/>
  <c r="V1371" i="1"/>
  <c r="Q1371" i="1"/>
  <c r="P1371" i="1"/>
  <c r="O1371" i="1"/>
  <c r="V1370" i="1"/>
  <c r="Q1370" i="1"/>
  <c r="P1370" i="1"/>
  <c r="O1370" i="1"/>
  <c r="V1369" i="1"/>
  <c r="Q1369" i="1"/>
  <c r="P1369" i="1"/>
  <c r="O1369" i="1"/>
  <c r="V1368" i="1"/>
  <c r="Q1368" i="1"/>
  <c r="P1368" i="1"/>
  <c r="O1368" i="1"/>
  <c r="V1367" i="1"/>
  <c r="Q1367" i="1"/>
  <c r="P1367" i="1"/>
  <c r="O1367" i="1"/>
  <c r="V1366" i="1"/>
  <c r="Q1366" i="1"/>
  <c r="P1366" i="1"/>
  <c r="O1366" i="1"/>
  <c r="V1365" i="1"/>
  <c r="Q1365" i="1"/>
  <c r="P1365" i="1"/>
  <c r="O1365" i="1"/>
  <c r="V1364" i="1"/>
  <c r="Q1364" i="1"/>
  <c r="P1364" i="1"/>
  <c r="O1364" i="1"/>
  <c r="V1363" i="1"/>
  <c r="Q1363" i="1"/>
  <c r="P1363" i="1"/>
  <c r="O1363" i="1"/>
  <c r="V1362" i="1"/>
  <c r="Q1362" i="1"/>
  <c r="P1362" i="1"/>
  <c r="O1362" i="1"/>
  <c r="V1361" i="1"/>
  <c r="Q1361" i="1"/>
  <c r="P1361" i="1"/>
  <c r="O1361" i="1"/>
  <c r="V1360" i="1"/>
  <c r="Q1360" i="1"/>
  <c r="P1360" i="1"/>
  <c r="O1360" i="1"/>
  <c r="V1359" i="1"/>
  <c r="Q1359" i="1"/>
  <c r="P1359" i="1"/>
  <c r="O1359" i="1"/>
  <c r="V1358" i="1"/>
  <c r="Q1358" i="1"/>
  <c r="P1358" i="1"/>
  <c r="O1358" i="1"/>
  <c r="V1357" i="1"/>
  <c r="Q1357" i="1"/>
  <c r="P1357" i="1"/>
  <c r="O1357" i="1"/>
  <c r="V1356" i="1"/>
  <c r="Q1356" i="1"/>
  <c r="P1356" i="1"/>
  <c r="O1356" i="1"/>
  <c r="V1355" i="1"/>
  <c r="Q1355" i="1"/>
  <c r="P1355" i="1"/>
  <c r="O1355" i="1"/>
  <c r="V1354" i="1"/>
  <c r="Q1354" i="1"/>
  <c r="P1354" i="1"/>
  <c r="O1354" i="1"/>
  <c r="V1353" i="1"/>
  <c r="Q1353" i="1"/>
  <c r="P1353" i="1"/>
  <c r="O1353" i="1"/>
  <c r="V1352" i="1"/>
  <c r="Q1352" i="1"/>
  <c r="P1352" i="1"/>
  <c r="O1352" i="1"/>
  <c r="V1351" i="1"/>
  <c r="Q1351" i="1"/>
  <c r="P1351" i="1"/>
  <c r="O1351" i="1"/>
  <c r="V1350" i="1"/>
  <c r="Q1350" i="1"/>
  <c r="P1350" i="1"/>
  <c r="O1350" i="1"/>
  <c r="V1349" i="1"/>
  <c r="Q1349" i="1"/>
  <c r="P1349" i="1"/>
  <c r="O1349" i="1"/>
  <c r="V1348" i="1"/>
  <c r="Q1348" i="1"/>
  <c r="P1348" i="1"/>
  <c r="O1348" i="1"/>
  <c r="V1347" i="1"/>
  <c r="Q1347" i="1"/>
  <c r="P1347" i="1"/>
  <c r="O1347" i="1"/>
  <c r="V1346" i="1"/>
  <c r="Q1346" i="1"/>
  <c r="P1346" i="1"/>
  <c r="O1346" i="1"/>
  <c r="V1345" i="1"/>
  <c r="Q1345" i="1"/>
  <c r="P1345" i="1"/>
  <c r="O1345" i="1"/>
  <c r="V1344" i="1"/>
  <c r="Q1344" i="1"/>
  <c r="P1344" i="1"/>
  <c r="O1344" i="1"/>
  <c r="V1343" i="1"/>
  <c r="Q1343" i="1"/>
  <c r="P1343" i="1"/>
  <c r="O1343" i="1"/>
  <c r="V1342" i="1"/>
  <c r="Q1342" i="1"/>
  <c r="P1342" i="1"/>
  <c r="O1342" i="1"/>
  <c r="V1341" i="1"/>
  <c r="Q1341" i="1"/>
  <c r="P1341" i="1"/>
  <c r="O1341" i="1"/>
  <c r="V1340" i="1"/>
  <c r="Q1340" i="1"/>
  <c r="P1340" i="1"/>
  <c r="O1340" i="1"/>
  <c r="V1339" i="1"/>
  <c r="Q1339" i="1"/>
  <c r="P1339" i="1"/>
  <c r="O1339" i="1"/>
  <c r="V1338" i="1"/>
  <c r="Q1338" i="1"/>
  <c r="P1338" i="1"/>
  <c r="O1338" i="1"/>
  <c r="V1337" i="1"/>
  <c r="Q1337" i="1"/>
  <c r="P1337" i="1"/>
  <c r="O1337" i="1"/>
  <c r="V1336" i="1"/>
  <c r="Q1336" i="1"/>
  <c r="P1336" i="1"/>
  <c r="O1336" i="1"/>
  <c r="V1335" i="1"/>
  <c r="Q1335" i="1"/>
  <c r="P1335" i="1"/>
  <c r="O1335" i="1"/>
  <c r="V1334" i="1"/>
  <c r="Q1334" i="1"/>
  <c r="P1334" i="1"/>
  <c r="O1334" i="1"/>
  <c r="V1333" i="1"/>
  <c r="Q1333" i="1"/>
  <c r="P1333" i="1"/>
  <c r="O1333" i="1"/>
  <c r="V1332" i="1"/>
  <c r="Q1332" i="1"/>
  <c r="P1332" i="1"/>
  <c r="O1332" i="1"/>
  <c r="V1331" i="1"/>
  <c r="Q1331" i="1"/>
  <c r="P1331" i="1"/>
  <c r="O1331" i="1"/>
  <c r="V1330" i="1"/>
  <c r="Q1330" i="1"/>
  <c r="P1330" i="1"/>
  <c r="O1330" i="1"/>
  <c r="V1329" i="1"/>
  <c r="Q1329" i="1"/>
  <c r="P1329" i="1"/>
  <c r="O1329" i="1"/>
  <c r="V1328" i="1"/>
  <c r="Q1328" i="1"/>
  <c r="P1328" i="1"/>
  <c r="O1328" i="1"/>
  <c r="V1327" i="1"/>
  <c r="Q1327" i="1"/>
  <c r="P1327" i="1"/>
  <c r="O1327" i="1"/>
  <c r="V1326" i="1"/>
  <c r="Q1326" i="1"/>
  <c r="P1326" i="1"/>
  <c r="O1326" i="1"/>
  <c r="V1325" i="1"/>
  <c r="Q1325" i="1"/>
  <c r="P1325" i="1"/>
  <c r="O1325" i="1"/>
  <c r="V1324" i="1"/>
  <c r="Q1324" i="1"/>
  <c r="P1324" i="1"/>
  <c r="O1324" i="1"/>
  <c r="V1323" i="1"/>
  <c r="Q1323" i="1"/>
  <c r="P1323" i="1"/>
  <c r="O1323" i="1"/>
  <c r="V1322" i="1"/>
  <c r="Q1322" i="1"/>
  <c r="P1322" i="1"/>
  <c r="O1322" i="1"/>
  <c r="V1321" i="1"/>
  <c r="Q1321" i="1"/>
  <c r="P1321" i="1"/>
  <c r="O1321" i="1"/>
  <c r="V1320" i="1"/>
  <c r="Q1320" i="1"/>
  <c r="P1320" i="1"/>
  <c r="O1320" i="1"/>
  <c r="V1319" i="1"/>
  <c r="Q1319" i="1"/>
  <c r="P1319" i="1"/>
  <c r="O1319" i="1"/>
  <c r="V1318" i="1"/>
  <c r="Q1318" i="1"/>
  <c r="P1318" i="1"/>
  <c r="O1318" i="1"/>
  <c r="V1317" i="1"/>
  <c r="Q1317" i="1"/>
  <c r="P1317" i="1"/>
  <c r="O1317" i="1"/>
  <c r="V1316" i="1"/>
  <c r="Q1316" i="1"/>
  <c r="P1316" i="1"/>
  <c r="O1316" i="1"/>
  <c r="V1315" i="1"/>
  <c r="Q1315" i="1"/>
  <c r="P1315" i="1"/>
  <c r="O1315" i="1"/>
  <c r="V1314" i="1"/>
  <c r="Q1314" i="1"/>
  <c r="P1314" i="1"/>
  <c r="O1314" i="1"/>
  <c r="V1313" i="1"/>
  <c r="Q1313" i="1"/>
  <c r="P1313" i="1"/>
  <c r="O1313" i="1"/>
  <c r="V1312" i="1"/>
  <c r="Q1312" i="1"/>
  <c r="P1312" i="1"/>
  <c r="O1312" i="1"/>
  <c r="V1311" i="1"/>
  <c r="Q1311" i="1"/>
  <c r="P1311" i="1"/>
  <c r="O1311" i="1"/>
  <c r="V1310" i="1"/>
  <c r="Q1310" i="1"/>
  <c r="P1310" i="1"/>
  <c r="O1310" i="1"/>
  <c r="V1309" i="1"/>
  <c r="Q1309" i="1"/>
  <c r="P1309" i="1"/>
  <c r="O1309" i="1"/>
  <c r="V1308" i="1"/>
  <c r="Q1308" i="1"/>
  <c r="P1308" i="1"/>
  <c r="O1308" i="1"/>
  <c r="V1307" i="1"/>
  <c r="Q1307" i="1"/>
  <c r="P1307" i="1"/>
  <c r="O1307" i="1"/>
  <c r="V1306" i="1"/>
  <c r="Q1306" i="1"/>
  <c r="P1306" i="1"/>
  <c r="O1306" i="1"/>
  <c r="V1305" i="1"/>
  <c r="Q1305" i="1"/>
  <c r="P1305" i="1"/>
  <c r="O1305" i="1"/>
  <c r="V1304" i="1"/>
  <c r="Q1304" i="1"/>
  <c r="P1304" i="1"/>
  <c r="O1304" i="1"/>
  <c r="V1303" i="1"/>
  <c r="Q1303" i="1"/>
  <c r="P1303" i="1"/>
  <c r="O1303" i="1"/>
  <c r="V1302" i="1"/>
  <c r="Q1302" i="1"/>
  <c r="P1302" i="1"/>
  <c r="O1302" i="1"/>
  <c r="V1301" i="1"/>
  <c r="Q1301" i="1"/>
  <c r="P1301" i="1"/>
  <c r="O1301" i="1"/>
  <c r="V1300" i="1"/>
  <c r="Q1300" i="1"/>
  <c r="P1300" i="1"/>
  <c r="O1300" i="1"/>
  <c r="V1299" i="1"/>
  <c r="Q1299" i="1"/>
  <c r="P1299" i="1"/>
  <c r="O1299" i="1"/>
  <c r="V1298" i="1"/>
  <c r="Q1298" i="1"/>
  <c r="P1298" i="1"/>
  <c r="O1298" i="1"/>
  <c r="V1297" i="1"/>
  <c r="Q1297" i="1"/>
  <c r="P1297" i="1"/>
  <c r="O1297" i="1"/>
  <c r="V1296" i="1"/>
  <c r="Q1296" i="1"/>
  <c r="P1296" i="1"/>
  <c r="O1296" i="1"/>
  <c r="V1295" i="1"/>
  <c r="Q1295" i="1"/>
  <c r="P1295" i="1"/>
  <c r="O1295" i="1"/>
  <c r="V1294" i="1"/>
  <c r="Q1294" i="1"/>
  <c r="P1294" i="1"/>
  <c r="O1294" i="1"/>
  <c r="V1293" i="1"/>
  <c r="Q1293" i="1"/>
  <c r="P1293" i="1"/>
  <c r="O1293" i="1"/>
  <c r="V1292" i="1"/>
  <c r="Q1292" i="1"/>
  <c r="P1292" i="1"/>
  <c r="O1292" i="1"/>
  <c r="V1291" i="1"/>
  <c r="Q1291" i="1"/>
  <c r="P1291" i="1"/>
  <c r="O1291" i="1"/>
  <c r="V1290" i="1"/>
  <c r="Q1290" i="1"/>
  <c r="P1290" i="1"/>
  <c r="O1290" i="1"/>
  <c r="V1289" i="1"/>
  <c r="Q1289" i="1"/>
  <c r="P1289" i="1"/>
  <c r="O1289" i="1"/>
  <c r="N1289" i="1"/>
  <c r="V1288" i="1"/>
  <c r="Q1288" i="1"/>
  <c r="P1288" i="1"/>
  <c r="O1288" i="1"/>
  <c r="N1288" i="1"/>
  <c r="V1287" i="1"/>
  <c r="Q1287" i="1"/>
  <c r="P1287" i="1"/>
  <c r="O1287" i="1"/>
  <c r="V1286" i="1"/>
  <c r="Q1286" i="1"/>
  <c r="P1286" i="1"/>
  <c r="O1286" i="1"/>
  <c r="V1285" i="1"/>
  <c r="Q1285" i="1"/>
  <c r="P1285" i="1"/>
  <c r="O1285" i="1"/>
  <c r="V1284" i="1"/>
  <c r="Q1284" i="1"/>
  <c r="P1284" i="1"/>
  <c r="O1284" i="1"/>
  <c r="V1283" i="1"/>
  <c r="Q1283" i="1"/>
  <c r="P1283" i="1"/>
  <c r="O1283" i="1"/>
  <c r="V1282" i="1"/>
  <c r="Q1282" i="1"/>
  <c r="P1282" i="1"/>
  <c r="O1282" i="1"/>
  <c r="V1281" i="1"/>
  <c r="Q1281" i="1"/>
  <c r="P1281" i="1"/>
  <c r="O1281" i="1"/>
  <c r="V1280" i="1"/>
  <c r="Q1280" i="1"/>
  <c r="P1280" i="1"/>
  <c r="O1280" i="1"/>
  <c r="V1279" i="1"/>
  <c r="Q1279" i="1"/>
  <c r="P1279" i="1"/>
  <c r="O1279" i="1"/>
  <c r="V1278" i="1"/>
  <c r="Q1278" i="1"/>
  <c r="P1278" i="1"/>
  <c r="O1278" i="1"/>
  <c r="V1277" i="1"/>
  <c r="Q1277" i="1"/>
  <c r="P1277" i="1"/>
  <c r="O1277" i="1"/>
  <c r="V1276" i="1"/>
  <c r="Q1276" i="1"/>
  <c r="P1276" i="1"/>
  <c r="O1276" i="1"/>
  <c r="V1275" i="1"/>
  <c r="Q1275" i="1"/>
  <c r="P1275" i="1"/>
  <c r="O1275" i="1"/>
  <c r="V1274" i="1"/>
  <c r="Q1274" i="1"/>
  <c r="P1274" i="1"/>
  <c r="O1274" i="1"/>
  <c r="V1273" i="1"/>
  <c r="Q1273" i="1"/>
  <c r="P1273" i="1"/>
  <c r="O1273" i="1"/>
  <c r="V1272" i="1"/>
  <c r="Q1272" i="1"/>
  <c r="P1272" i="1"/>
  <c r="O1272" i="1"/>
  <c r="V1271" i="1"/>
  <c r="Q1271" i="1"/>
  <c r="P1271" i="1"/>
  <c r="O1271" i="1"/>
  <c r="V1270" i="1"/>
  <c r="Q1270" i="1"/>
  <c r="P1270" i="1"/>
  <c r="O1270" i="1"/>
  <c r="V1269" i="1"/>
  <c r="Q1269" i="1"/>
  <c r="P1269" i="1"/>
  <c r="O1269" i="1"/>
  <c r="V1268" i="1"/>
  <c r="Q1268" i="1"/>
  <c r="P1268" i="1"/>
  <c r="O1268" i="1"/>
  <c r="V1267" i="1"/>
  <c r="Q1267" i="1"/>
  <c r="P1267" i="1"/>
  <c r="O1267" i="1"/>
  <c r="V1266" i="1"/>
  <c r="Q1266" i="1"/>
  <c r="P1266" i="1"/>
  <c r="O1266" i="1"/>
  <c r="V1265" i="1"/>
  <c r="Q1265" i="1"/>
  <c r="P1265" i="1"/>
  <c r="O1265" i="1"/>
  <c r="V1264" i="1"/>
  <c r="Q1264" i="1"/>
  <c r="P1264" i="1"/>
  <c r="O1264" i="1"/>
  <c r="V1263" i="1"/>
  <c r="Q1263" i="1"/>
  <c r="P1263" i="1"/>
  <c r="O1263" i="1"/>
  <c r="V1262" i="1"/>
  <c r="Q1262" i="1"/>
  <c r="P1262" i="1"/>
  <c r="O1262" i="1"/>
  <c r="V1261" i="1"/>
  <c r="Q1261" i="1"/>
  <c r="P1261" i="1"/>
  <c r="O1261" i="1"/>
  <c r="V1260" i="1"/>
  <c r="Q1260" i="1"/>
  <c r="P1260" i="1"/>
  <c r="O1260" i="1"/>
  <c r="V1259" i="1"/>
  <c r="Q1259" i="1"/>
  <c r="P1259" i="1"/>
  <c r="O1259" i="1"/>
  <c r="V1258" i="1"/>
  <c r="Q1258" i="1"/>
  <c r="P1258" i="1"/>
  <c r="O1258" i="1"/>
  <c r="V1257" i="1"/>
  <c r="Q1257" i="1"/>
  <c r="P1257" i="1"/>
  <c r="O1257" i="1"/>
  <c r="V1256" i="1"/>
  <c r="Q1256" i="1"/>
  <c r="P1256" i="1"/>
  <c r="O1256" i="1"/>
  <c r="V1255" i="1"/>
  <c r="Q1255" i="1"/>
  <c r="P1255" i="1"/>
  <c r="O1255" i="1"/>
  <c r="V1254" i="1"/>
  <c r="Q1254" i="1"/>
  <c r="P1254" i="1"/>
  <c r="O1254" i="1"/>
  <c r="V1253" i="1"/>
  <c r="Q1253" i="1"/>
  <c r="P1253" i="1"/>
  <c r="O1253" i="1"/>
  <c r="V1252" i="1"/>
  <c r="Q1252" i="1"/>
  <c r="P1252" i="1"/>
  <c r="O1252" i="1"/>
  <c r="V1251" i="1"/>
  <c r="Q1251" i="1"/>
  <c r="P1251" i="1"/>
  <c r="O1251" i="1"/>
  <c r="V1250" i="1"/>
  <c r="Q1250" i="1"/>
  <c r="P1250" i="1"/>
  <c r="O1250" i="1"/>
  <c r="V1249" i="1"/>
  <c r="Q1249" i="1"/>
  <c r="P1249" i="1"/>
  <c r="O1249" i="1"/>
  <c r="V1248" i="1"/>
  <c r="Q1248" i="1"/>
  <c r="P1248" i="1"/>
  <c r="O1248" i="1"/>
  <c r="V1247" i="1"/>
  <c r="Q1247" i="1"/>
  <c r="P1247" i="1"/>
  <c r="O1247" i="1"/>
  <c r="V1246" i="1"/>
  <c r="Q1246" i="1"/>
  <c r="P1246" i="1"/>
  <c r="O1246" i="1"/>
  <c r="V1245" i="1"/>
  <c r="Q1245" i="1"/>
  <c r="P1245" i="1"/>
  <c r="O1245" i="1"/>
  <c r="V1244" i="1"/>
  <c r="Q1244" i="1"/>
  <c r="P1244" i="1"/>
  <c r="O1244" i="1"/>
  <c r="V1243" i="1"/>
  <c r="Q1243" i="1"/>
  <c r="P1243" i="1"/>
  <c r="O1243" i="1"/>
  <c r="V1242" i="1"/>
  <c r="Q1242" i="1"/>
  <c r="P1242" i="1"/>
  <c r="O1242" i="1"/>
  <c r="V1241" i="1"/>
  <c r="Q1241" i="1"/>
  <c r="P1241" i="1"/>
  <c r="O1241" i="1"/>
  <c r="V1240" i="1"/>
  <c r="Q1240" i="1"/>
  <c r="P1240" i="1"/>
  <c r="O1240" i="1"/>
  <c r="V1239" i="1"/>
  <c r="Q1239" i="1"/>
  <c r="P1239" i="1"/>
  <c r="O1239" i="1"/>
  <c r="V1238" i="1"/>
  <c r="Q1238" i="1"/>
  <c r="P1238" i="1"/>
  <c r="O1238" i="1"/>
  <c r="V1237" i="1"/>
  <c r="Q1237" i="1"/>
  <c r="P1237" i="1"/>
  <c r="O1237" i="1"/>
  <c r="V1236" i="1"/>
  <c r="Q1236" i="1"/>
  <c r="P1236" i="1"/>
  <c r="O1236" i="1"/>
  <c r="V1235" i="1"/>
  <c r="Q1235" i="1"/>
  <c r="P1235" i="1"/>
  <c r="O1235" i="1"/>
  <c r="V1234" i="1"/>
  <c r="Q1234" i="1"/>
  <c r="P1234" i="1"/>
  <c r="O1234" i="1"/>
  <c r="V1233" i="1"/>
  <c r="Q1233" i="1"/>
  <c r="P1233" i="1"/>
  <c r="O1233" i="1"/>
  <c r="V1232" i="1"/>
  <c r="Q1232" i="1"/>
  <c r="P1232" i="1"/>
  <c r="O1232" i="1"/>
  <c r="V1231" i="1"/>
  <c r="Q1231" i="1"/>
  <c r="P1231" i="1"/>
  <c r="O1231" i="1"/>
  <c r="V1230" i="1"/>
  <c r="Q1230" i="1"/>
  <c r="P1230" i="1"/>
  <c r="O1230" i="1"/>
  <c r="V1229" i="1"/>
  <c r="Q1229" i="1"/>
  <c r="P1229" i="1"/>
  <c r="O1229" i="1"/>
  <c r="V1228" i="1"/>
  <c r="Q1228" i="1"/>
  <c r="P1228" i="1"/>
  <c r="O1228" i="1"/>
  <c r="V1227" i="1"/>
  <c r="Q1227" i="1"/>
  <c r="P1227" i="1"/>
  <c r="O1227" i="1"/>
  <c r="V1226" i="1"/>
  <c r="Q1226" i="1"/>
  <c r="P1226" i="1"/>
  <c r="O1226" i="1"/>
  <c r="V1225" i="1"/>
  <c r="Q1225" i="1"/>
  <c r="P1225" i="1"/>
  <c r="O1225" i="1"/>
  <c r="V1224" i="1"/>
  <c r="Q1224" i="1"/>
  <c r="P1224" i="1"/>
  <c r="O1224" i="1"/>
  <c r="V1223" i="1"/>
  <c r="Q1223" i="1"/>
  <c r="P1223" i="1"/>
  <c r="O1223" i="1"/>
  <c r="V1222" i="1"/>
  <c r="Q1222" i="1"/>
  <c r="P1222" i="1"/>
  <c r="O1222" i="1"/>
  <c r="V1221" i="1"/>
  <c r="Q1221" i="1"/>
  <c r="P1221" i="1"/>
  <c r="O1221" i="1"/>
  <c r="V1220" i="1"/>
  <c r="Q1220" i="1"/>
  <c r="P1220" i="1"/>
  <c r="O1220" i="1"/>
  <c r="V1219" i="1"/>
  <c r="Q1219" i="1"/>
  <c r="P1219" i="1"/>
  <c r="O1219" i="1"/>
  <c r="V1218" i="1"/>
  <c r="Q1218" i="1"/>
  <c r="P1218" i="1"/>
  <c r="O1218" i="1"/>
  <c r="V1217" i="1"/>
  <c r="Q1217" i="1"/>
  <c r="P1217" i="1"/>
  <c r="O1217" i="1"/>
  <c r="V1216" i="1"/>
  <c r="Q1216" i="1"/>
  <c r="P1216" i="1"/>
  <c r="O1216" i="1"/>
  <c r="V1215" i="1"/>
  <c r="Q1215" i="1"/>
  <c r="P1215" i="1"/>
  <c r="O1215" i="1"/>
  <c r="V1214" i="1"/>
  <c r="Q1214" i="1"/>
  <c r="P1214" i="1"/>
  <c r="O1214" i="1"/>
  <c r="V1213" i="1"/>
  <c r="Q1213" i="1"/>
  <c r="P1213" i="1"/>
  <c r="O1213" i="1"/>
  <c r="V1212" i="1"/>
  <c r="Q1212" i="1"/>
  <c r="P1212" i="1"/>
  <c r="O1212" i="1"/>
  <c r="V1211" i="1"/>
  <c r="Q1211" i="1"/>
  <c r="P1211" i="1"/>
  <c r="O1211" i="1"/>
  <c r="V1210" i="1"/>
  <c r="Q1210" i="1"/>
  <c r="P1210" i="1"/>
  <c r="O1210" i="1"/>
  <c r="V1209" i="1"/>
  <c r="Q1209" i="1"/>
  <c r="P1209" i="1"/>
  <c r="O1209" i="1"/>
  <c r="V1208" i="1"/>
  <c r="Q1208" i="1"/>
  <c r="P1208" i="1"/>
  <c r="O1208" i="1"/>
  <c r="V1207" i="1"/>
  <c r="Q1207" i="1"/>
  <c r="P1207" i="1"/>
  <c r="O1207" i="1"/>
  <c r="V1206" i="1"/>
  <c r="Q1206" i="1"/>
  <c r="P1206" i="1"/>
  <c r="O1206" i="1"/>
  <c r="V1205" i="1"/>
  <c r="Q1205" i="1"/>
  <c r="P1205" i="1"/>
  <c r="O1205" i="1"/>
  <c r="V1204" i="1"/>
  <c r="Q1204" i="1"/>
  <c r="P1204" i="1"/>
  <c r="O1204" i="1"/>
  <c r="V1203" i="1"/>
  <c r="Q1203" i="1"/>
  <c r="P1203" i="1"/>
  <c r="O1203" i="1"/>
  <c r="V1202" i="1"/>
  <c r="Q1202" i="1"/>
  <c r="P1202" i="1"/>
  <c r="O1202" i="1"/>
  <c r="V1201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V1189" i="1"/>
  <c r="Q1189" i="1"/>
  <c r="P1189" i="1"/>
  <c r="O1189" i="1"/>
  <c r="V1188" i="1"/>
  <c r="Q1188" i="1"/>
  <c r="P1188" i="1"/>
  <c r="O1188" i="1"/>
  <c r="N1188" i="1"/>
  <c r="V1187" i="1"/>
  <c r="Q1187" i="1"/>
  <c r="P1187" i="1"/>
  <c r="O1187" i="1"/>
  <c r="V1186" i="1"/>
  <c r="Q1186" i="1"/>
  <c r="P1186" i="1"/>
  <c r="O1186" i="1"/>
  <c r="V1185" i="1"/>
  <c r="Q1185" i="1"/>
  <c r="P1185" i="1"/>
  <c r="O1185" i="1"/>
  <c r="V1184" i="1"/>
  <c r="Q1184" i="1"/>
  <c r="P1184" i="1"/>
  <c r="O1184" i="1"/>
  <c r="V1183" i="1"/>
  <c r="Q1183" i="1"/>
  <c r="P1183" i="1"/>
  <c r="O1183" i="1"/>
  <c r="V1182" i="1"/>
  <c r="Q1182" i="1"/>
  <c r="P1182" i="1"/>
  <c r="O1182" i="1"/>
  <c r="V1181" i="1"/>
  <c r="Q1181" i="1"/>
  <c r="P1181" i="1"/>
  <c r="O1181" i="1"/>
  <c r="V1180" i="1"/>
  <c r="Q1180" i="1"/>
  <c r="P1180" i="1"/>
  <c r="O1180" i="1"/>
  <c r="V1179" i="1"/>
  <c r="Q1179" i="1"/>
  <c r="P1179" i="1"/>
  <c r="O1179" i="1"/>
  <c r="V1178" i="1"/>
  <c r="Q1178" i="1"/>
  <c r="P1178" i="1"/>
  <c r="O1178" i="1"/>
  <c r="V1177" i="1"/>
  <c r="Q1177" i="1"/>
  <c r="P1177" i="1"/>
  <c r="O1177" i="1"/>
  <c r="V1176" i="1"/>
  <c r="Q1176" i="1"/>
  <c r="P1176" i="1"/>
  <c r="O1176" i="1"/>
  <c r="V1175" i="1"/>
  <c r="Q1175" i="1"/>
  <c r="P1175" i="1"/>
  <c r="O1175" i="1"/>
  <c r="V1174" i="1"/>
  <c r="Q1174" i="1"/>
  <c r="P1174" i="1"/>
  <c r="O1174" i="1"/>
  <c r="V1173" i="1"/>
  <c r="Q1173" i="1"/>
  <c r="P1173" i="1"/>
  <c r="O1173" i="1"/>
  <c r="V1172" i="1"/>
  <c r="Q1172" i="1"/>
  <c r="P1172" i="1"/>
  <c r="O1172" i="1"/>
  <c r="V1171" i="1"/>
  <c r="Q1171" i="1"/>
  <c r="P1171" i="1"/>
  <c r="O1171" i="1"/>
  <c r="V1170" i="1"/>
  <c r="Q1170" i="1"/>
  <c r="P1170" i="1"/>
  <c r="O1170" i="1"/>
  <c r="V1169" i="1"/>
  <c r="Q1169" i="1"/>
  <c r="P1169" i="1"/>
  <c r="O1169" i="1"/>
  <c r="V1168" i="1"/>
  <c r="Q1168" i="1"/>
  <c r="P1168" i="1"/>
  <c r="O1168" i="1"/>
  <c r="V1167" i="1"/>
  <c r="Q1167" i="1"/>
  <c r="P1167" i="1"/>
  <c r="O1167" i="1"/>
  <c r="Q1166" i="1"/>
  <c r="P1166" i="1"/>
  <c r="O1166" i="1"/>
  <c r="Q1165" i="1"/>
  <c r="P1165" i="1"/>
  <c r="O1165" i="1"/>
  <c r="Q1164" i="1"/>
  <c r="P1164" i="1"/>
  <c r="O1164" i="1"/>
  <c r="Q1163" i="1"/>
  <c r="P1163" i="1"/>
  <c r="O1163" i="1"/>
  <c r="Q1162" i="1"/>
  <c r="P1162" i="1"/>
  <c r="O1162" i="1"/>
  <c r="Q1161" i="1"/>
  <c r="P1161" i="1"/>
  <c r="O1161" i="1"/>
  <c r="Q1160" i="1"/>
  <c r="P1160" i="1"/>
  <c r="O1160" i="1"/>
  <c r="Q1159" i="1"/>
  <c r="P1159" i="1"/>
  <c r="O1159" i="1"/>
  <c r="Q1158" i="1"/>
  <c r="P1158" i="1"/>
  <c r="O1158" i="1"/>
  <c r="Q1157" i="1"/>
  <c r="P1157" i="1"/>
  <c r="O1157" i="1"/>
  <c r="Q1156" i="1"/>
  <c r="P1156" i="1"/>
  <c r="O1156" i="1"/>
  <c r="Q1155" i="1"/>
  <c r="P1155" i="1"/>
  <c r="O1155" i="1"/>
  <c r="Q1154" i="1"/>
  <c r="P1154" i="1"/>
  <c r="O1154" i="1"/>
  <c r="Q1153" i="1"/>
  <c r="P1153" i="1"/>
  <c r="O1153" i="1"/>
  <c r="Q1152" i="1"/>
  <c r="P1152" i="1"/>
  <c r="O1152" i="1"/>
  <c r="Q1151" i="1"/>
  <c r="P1151" i="1"/>
  <c r="O1151" i="1"/>
  <c r="Q1150" i="1"/>
  <c r="P1150" i="1"/>
  <c r="O1150" i="1"/>
  <c r="Q1149" i="1"/>
  <c r="P1149" i="1"/>
  <c r="O1149" i="1"/>
  <c r="Q1148" i="1"/>
  <c r="P1148" i="1"/>
  <c r="O1148" i="1"/>
  <c r="Q1147" i="1"/>
  <c r="P1147" i="1"/>
  <c r="O1147" i="1"/>
  <c r="Q1146" i="1"/>
  <c r="P1146" i="1"/>
  <c r="O1146" i="1"/>
  <c r="Q1145" i="1"/>
  <c r="P1145" i="1"/>
  <c r="O1145" i="1"/>
  <c r="Q1144" i="1"/>
  <c r="P1144" i="1"/>
  <c r="O1144" i="1"/>
  <c r="Q1143" i="1"/>
  <c r="P1143" i="1"/>
  <c r="O1143" i="1"/>
  <c r="Q1142" i="1"/>
  <c r="P1142" i="1"/>
  <c r="O1142" i="1"/>
  <c r="Q1141" i="1"/>
  <c r="P1141" i="1"/>
  <c r="O1141" i="1"/>
  <c r="Q1140" i="1"/>
  <c r="P1140" i="1"/>
  <c r="O1140" i="1"/>
  <c r="Q1139" i="1"/>
  <c r="P1139" i="1"/>
  <c r="O1139" i="1"/>
  <c r="Q1138" i="1"/>
  <c r="P1138" i="1"/>
  <c r="O1138" i="1"/>
  <c r="Q1137" i="1"/>
  <c r="P1137" i="1"/>
  <c r="O1137" i="1"/>
  <c r="Q1136" i="1"/>
  <c r="P1136" i="1"/>
  <c r="O1136" i="1"/>
  <c r="Q1135" i="1"/>
  <c r="P1135" i="1"/>
  <c r="O1135" i="1"/>
  <c r="Q1134" i="1"/>
  <c r="P1134" i="1"/>
  <c r="O1134" i="1"/>
  <c r="Q1133" i="1"/>
  <c r="P1133" i="1"/>
  <c r="O1133" i="1"/>
  <c r="Q1132" i="1"/>
  <c r="P1132" i="1"/>
  <c r="O1132" i="1"/>
  <c r="Q1131" i="1"/>
  <c r="P1131" i="1"/>
  <c r="O1131" i="1"/>
  <c r="Q1130" i="1"/>
  <c r="P1130" i="1"/>
  <c r="O1130" i="1"/>
  <c r="Q1129" i="1"/>
  <c r="O1129" i="1"/>
  <c r="Q1128" i="1"/>
  <c r="O1128" i="1"/>
  <c r="Q1127" i="1"/>
  <c r="O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Q932" i="1"/>
  <c r="P932" i="1"/>
  <c r="Q931" i="1"/>
  <c r="P931" i="1"/>
  <c r="Q930" i="1"/>
  <c r="P930" i="1"/>
  <c r="O930" i="1"/>
  <c r="Q929" i="1"/>
  <c r="P929" i="1"/>
  <c r="O929" i="1"/>
  <c r="Q928" i="1"/>
  <c r="P928" i="1"/>
  <c r="O928" i="1"/>
  <c r="Q927" i="1"/>
  <c r="P927" i="1"/>
  <c r="O927" i="1"/>
  <c r="Q926" i="1"/>
  <c r="P926" i="1"/>
  <c r="O926" i="1"/>
  <c r="Q925" i="1"/>
  <c r="P925" i="1"/>
  <c r="O925" i="1"/>
  <c r="Q924" i="1"/>
  <c r="P924" i="1"/>
  <c r="O924" i="1"/>
  <c r="Q923" i="1"/>
  <c r="P923" i="1"/>
  <c r="O923" i="1"/>
  <c r="Q922" i="1"/>
  <c r="P922" i="1"/>
  <c r="O922" i="1"/>
  <c r="Q921" i="1"/>
  <c r="P921" i="1"/>
  <c r="O921" i="1"/>
  <c r="Q920" i="1"/>
  <c r="P920" i="1"/>
  <c r="O920" i="1"/>
  <c r="Q919" i="1"/>
  <c r="P919" i="1"/>
  <c r="O919" i="1"/>
  <c r="Q918" i="1"/>
  <c r="P918" i="1"/>
  <c r="O918" i="1"/>
  <c r="Q917" i="1"/>
  <c r="P917" i="1"/>
  <c r="O917" i="1"/>
  <c r="Q916" i="1"/>
  <c r="P916" i="1"/>
  <c r="O916" i="1"/>
  <c r="Q915" i="1"/>
  <c r="P915" i="1"/>
  <c r="O915" i="1"/>
  <c r="Q914" i="1"/>
  <c r="P914" i="1"/>
  <c r="O914" i="1"/>
  <c r="Q913" i="1"/>
  <c r="P913" i="1"/>
  <c r="O913" i="1"/>
  <c r="Q912" i="1"/>
  <c r="P912" i="1"/>
  <c r="O912" i="1"/>
  <c r="Q911" i="1"/>
  <c r="P911" i="1"/>
  <c r="O911" i="1"/>
  <c r="Q910" i="1"/>
  <c r="P910" i="1"/>
  <c r="O910" i="1"/>
  <c r="Q909" i="1"/>
  <c r="P909" i="1"/>
  <c r="O909" i="1"/>
  <c r="Q908" i="1"/>
  <c r="P908" i="1"/>
  <c r="O908" i="1"/>
  <c r="Q907" i="1"/>
  <c r="P907" i="1"/>
  <c r="O907" i="1"/>
  <c r="Q906" i="1"/>
  <c r="P906" i="1"/>
  <c r="O906" i="1"/>
  <c r="Q905" i="1"/>
  <c r="P905" i="1"/>
  <c r="O905" i="1"/>
  <c r="Q904" i="1"/>
  <c r="P904" i="1"/>
  <c r="O904" i="1"/>
  <c r="Q903" i="1"/>
  <c r="P903" i="1"/>
  <c r="O903" i="1"/>
  <c r="Q902" i="1"/>
  <c r="P902" i="1"/>
  <c r="O902" i="1"/>
  <c r="Q901" i="1"/>
  <c r="P901" i="1"/>
  <c r="O901" i="1"/>
  <c r="Q900" i="1"/>
  <c r="P900" i="1"/>
  <c r="O900" i="1"/>
  <c r="Q899" i="1"/>
  <c r="P899" i="1"/>
  <c r="O899" i="1"/>
  <c r="Q898" i="1"/>
  <c r="P898" i="1"/>
  <c r="O898" i="1"/>
  <c r="Q897" i="1"/>
  <c r="P897" i="1"/>
  <c r="O897" i="1"/>
  <c r="Q896" i="1"/>
  <c r="P896" i="1"/>
  <c r="O896" i="1"/>
  <c r="Q895" i="1"/>
  <c r="P895" i="1"/>
  <c r="O895" i="1"/>
  <c r="Q894" i="1"/>
  <c r="P894" i="1"/>
  <c r="O894" i="1"/>
  <c r="Q893" i="1"/>
  <c r="P893" i="1"/>
  <c r="O893" i="1"/>
  <c r="Q892" i="1"/>
  <c r="P892" i="1"/>
  <c r="O892" i="1"/>
  <c r="Q891" i="1"/>
  <c r="P891" i="1"/>
  <c r="O891" i="1"/>
  <c r="Q890" i="1"/>
  <c r="P890" i="1"/>
  <c r="O890" i="1"/>
  <c r="Q889" i="1"/>
  <c r="P889" i="1"/>
  <c r="O889" i="1"/>
  <c r="Q888" i="1"/>
  <c r="P888" i="1"/>
  <c r="O888" i="1"/>
  <c r="Q887" i="1"/>
  <c r="P887" i="1"/>
  <c r="O887" i="1"/>
  <c r="Q886" i="1"/>
  <c r="P886" i="1"/>
  <c r="O886" i="1"/>
  <c r="Q885" i="1"/>
  <c r="P885" i="1"/>
  <c r="O885" i="1"/>
  <c r="Q884" i="1"/>
  <c r="P884" i="1"/>
  <c r="O884" i="1"/>
  <c r="Q883" i="1"/>
  <c r="P883" i="1"/>
  <c r="O883" i="1"/>
  <c r="Q882" i="1"/>
  <c r="P882" i="1"/>
  <c r="O882" i="1"/>
  <c r="Q881" i="1"/>
  <c r="P881" i="1"/>
  <c r="O881" i="1"/>
  <c r="Q880" i="1"/>
  <c r="P880" i="1"/>
  <c r="O880" i="1"/>
  <c r="Q879" i="1"/>
  <c r="P879" i="1"/>
  <c r="O879" i="1"/>
  <c r="Q878" i="1"/>
  <c r="P878" i="1"/>
  <c r="O878" i="1"/>
  <c r="Q877" i="1"/>
  <c r="P877" i="1"/>
  <c r="O877" i="1"/>
  <c r="Q876" i="1"/>
  <c r="P876" i="1"/>
  <c r="O876" i="1"/>
  <c r="Q875" i="1"/>
  <c r="P875" i="1"/>
  <c r="O875" i="1"/>
  <c r="Q874" i="1"/>
  <c r="P874" i="1"/>
  <c r="O874" i="1"/>
  <c r="Q873" i="1"/>
  <c r="P873" i="1"/>
  <c r="O873" i="1"/>
  <c r="Q872" i="1"/>
  <c r="P872" i="1"/>
  <c r="O872" i="1"/>
  <c r="Q871" i="1"/>
  <c r="P871" i="1"/>
  <c r="O871" i="1"/>
  <c r="Q870" i="1"/>
  <c r="P870" i="1"/>
  <c r="O870" i="1"/>
  <c r="Q869" i="1"/>
  <c r="P869" i="1"/>
  <c r="O869" i="1"/>
  <c r="Q868" i="1"/>
  <c r="P868" i="1"/>
  <c r="O868" i="1"/>
  <c r="Q867" i="1"/>
  <c r="P867" i="1"/>
  <c r="O867" i="1"/>
  <c r="Q866" i="1"/>
  <c r="P866" i="1"/>
  <c r="O866" i="1"/>
  <c r="Q865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Q748" i="1"/>
  <c r="P748" i="1"/>
  <c r="O748" i="1"/>
  <c r="Q747" i="1"/>
  <c r="P747" i="1"/>
  <c r="O747" i="1"/>
  <c r="Q746" i="1"/>
  <c r="P746" i="1"/>
  <c r="O746" i="1"/>
  <c r="V745" i="1"/>
  <c r="Q745" i="1"/>
  <c r="P745" i="1"/>
  <c r="O745" i="1"/>
  <c r="V744" i="1"/>
  <c r="Q744" i="1"/>
  <c r="P744" i="1"/>
  <c r="O744" i="1"/>
  <c r="V743" i="1"/>
  <c r="Q743" i="1"/>
  <c r="P743" i="1"/>
  <c r="O743" i="1"/>
  <c r="V742" i="1"/>
  <c r="Q742" i="1"/>
  <c r="P742" i="1"/>
  <c r="O742" i="1"/>
  <c r="V741" i="1"/>
  <c r="Q741" i="1"/>
  <c r="P741" i="1"/>
  <c r="O741" i="1"/>
  <c r="V740" i="1"/>
  <c r="Q740" i="1"/>
  <c r="P740" i="1"/>
  <c r="O740" i="1"/>
  <c r="V739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V735" i="1"/>
  <c r="Q735" i="1"/>
  <c r="P735" i="1"/>
  <c r="O735" i="1"/>
  <c r="V734" i="1"/>
  <c r="Q734" i="1"/>
  <c r="P734" i="1"/>
  <c r="O734" i="1"/>
  <c r="V733" i="1"/>
  <c r="Q733" i="1"/>
  <c r="P733" i="1"/>
  <c r="O733" i="1"/>
  <c r="V732" i="1"/>
  <c r="Q732" i="1"/>
  <c r="P732" i="1"/>
  <c r="O732" i="1"/>
  <c r="V731" i="1"/>
  <c r="Q731" i="1"/>
  <c r="P731" i="1"/>
  <c r="O731" i="1"/>
  <c r="V730" i="1"/>
  <c r="Q730" i="1"/>
  <c r="P730" i="1"/>
  <c r="O730" i="1"/>
  <c r="V729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V505" i="1"/>
  <c r="Q505" i="1"/>
  <c r="P505" i="1"/>
  <c r="O505" i="1"/>
  <c r="V504" i="1"/>
  <c r="Q504" i="1"/>
  <c r="P504" i="1"/>
  <c r="O504" i="1"/>
  <c r="V503" i="1"/>
  <c r="Q503" i="1"/>
  <c r="P503" i="1"/>
  <c r="O503" i="1"/>
  <c r="V502" i="1"/>
  <c r="Q502" i="1"/>
  <c r="P502" i="1"/>
  <c r="O502" i="1"/>
  <c r="V501" i="1"/>
  <c r="Q501" i="1"/>
  <c r="P501" i="1"/>
  <c r="O501" i="1"/>
  <c r="V500" i="1"/>
  <c r="Q500" i="1"/>
  <c r="P500" i="1"/>
  <c r="O500" i="1"/>
  <c r="V499" i="1"/>
  <c r="Q499" i="1"/>
  <c r="P499" i="1"/>
  <c r="O499" i="1"/>
  <c r="V498" i="1"/>
  <c r="Q498" i="1"/>
  <c r="P498" i="1"/>
  <c r="O498" i="1"/>
  <c r="V497" i="1"/>
  <c r="Q497" i="1"/>
  <c r="P497" i="1"/>
  <c r="O497" i="1"/>
  <c r="V496" i="1"/>
  <c r="Q496" i="1"/>
  <c r="P496" i="1"/>
  <c r="O496" i="1"/>
  <c r="V495" i="1"/>
  <c r="Q495" i="1"/>
  <c r="P495" i="1"/>
  <c r="O495" i="1"/>
  <c r="V494" i="1"/>
  <c r="Q494" i="1"/>
  <c r="P494" i="1"/>
  <c r="O494" i="1"/>
  <c r="V493" i="1"/>
  <c r="Q493" i="1"/>
  <c r="P493" i="1"/>
  <c r="O493" i="1"/>
  <c r="V492" i="1"/>
  <c r="Q492" i="1"/>
  <c r="P492" i="1"/>
  <c r="O492" i="1"/>
  <c r="V491" i="1"/>
  <c r="Q491" i="1"/>
  <c r="P491" i="1"/>
  <c r="O491" i="1"/>
  <c r="V490" i="1"/>
  <c r="Q490" i="1"/>
  <c r="P490" i="1"/>
  <c r="O490" i="1"/>
  <c r="V489" i="1"/>
  <c r="Q489" i="1"/>
  <c r="P489" i="1"/>
  <c r="O489" i="1"/>
  <c r="V488" i="1"/>
  <c r="Q488" i="1"/>
  <c r="P488" i="1"/>
  <c r="O488" i="1"/>
  <c r="V487" i="1"/>
  <c r="Q487" i="1"/>
  <c r="P487" i="1"/>
  <c r="O487" i="1"/>
  <c r="V486" i="1"/>
  <c r="Q486" i="1"/>
  <c r="P486" i="1"/>
  <c r="O486" i="1"/>
  <c r="V485" i="1"/>
  <c r="Q485" i="1"/>
  <c r="P485" i="1"/>
  <c r="O485" i="1"/>
  <c r="V484" i="1"/>
  <c r="Q484" i="1"/>
  <c r="P484" i="1"/>
  <c r="O484" i="1"/>
  <c r="V483" i="1"/>
  <c r="Q483" i="1"/>
  <c r="P483" i="1"/>
  <c r="O483" i="1"/>
  <c r="V482" i="1"/>
  <c r="Q482" i="1"/>
  <c r="P482" i="1"/>
  <c r="O482" i="1"/>
  <c r="V481" i="1"/>
  <c r="Q481" i="1"/>
  <c r="P481" i="1"/>
  <c r="O481" i="1"/>
  <c r="V480" i="1"/>
  <c r="Q480" i="1"/>
  <c r="P480" i="1"/>
  <c r="O480" i="1"/>
  <c r="V479" i="1"/>
  <c r="Q479" i="1"/>
  <c r="P479" i="1"/>
  <c r="O479" i="1"/>
  <c r="V478" i="1"/>
  <c r="Q478" i="1"/>
  <c r="P478" i="1"/>
  <c r="O478" i="1"/>
  <c r="V477" i="1"/>
  <c r="Q477" i="1"/>
  <c r="P477" i="1"/>
  <c r="O477" i="1"/>
  <c r="V476" i="1"/>
  <c r="Q476" i="1"/>
  <c r="P476" i="1"/>
  <c r="O476" i="1"/>
  <c r="V475" i="1"/>
  <c r="Q475" i="1"/>
  <c r="P475" i="1"/>
  <c r="O475" i="1"/>
  <c r="V474" i="1"/>
  <c r="Q474" i="1"/>
  <c r="P474" i="1"/>
  <c r="O474" i="1"/>
  <c r="V473" i="1"/>
  <c r="Q473" i="1"/>
  <c r="P473" i="1"/>
  <c r="O473" i="1"/>
  <c r="V472" i="1"/>
  <c r="Q472" i="1"/>
  <c r="P472" i="1"/>
  <c r="O472" i="1"/>
  <c r="V471" i="1"/>
  <c r="Q471" i="1"/>
  <c r="P471" i="1"/>
  <c r="O471" i="1"/>
  <c r="V470" i="1"/>
  <c r="Q470" i="1"/>
  <c r="P470" i="1"/>
  <c r="O470" i="1"/>
  <c r="V469" i="1"/>
  <c r="Q469" i="1"/>
  <c r="P469" i="1"/>
  <c r="O469" i="1"/>
  <c r="V468" i="1"/>
  <c r="Q468" i="1"/>
  <c r="P468" i="1"/>
  <c r="O468" i="1"/>
  <c r="V467" i="1"/>
  <c r="Q467" i="1"/>
  <c r="P467" i="1"/>
  <c r="O467" i="1"/>
  <c r="V466" i="1"/>
  <c r="Q466" i="1"/>
  <c r="P466" i="1"/>
  <c r="O466" i="1"/>
  <c r="V465" i="1"/>
  <c r="Q465" i="1"/>
  <c r="P465" i="1"/>
  <c r="O465" i="1"/>
  <c r="V464" i="1"/>
  <c r="Q464" i="1"/>
  <c r="P464" i="1"/>
  <c r="O464" i="1"/>
  <c r="V463" i="1"/>
  <c r="Q463" i="1"/>
  <c r="P463" i="1"/>
  <c r="O463" i="1"/>
  <c r="V462" i="1"/>
  <c r="Q462" i="1"/>
  <c r="P462" i="1"/>
  <c r="O462" i="1"/>
  <c r="V461" i="1"/>
  <c r="Q461" i="1"/>
  <c r="P461" i="1"/>
  <c r="O461" i="1"/>
  <c r="V460" i="1"/>
  <c r="Q460" i="1"/>
  <c r="P460" i="1"/>
  <c r="O460" i="1"/>
  <c r="V459" i="1"/>
  <c r="Q459" i="1"/>
  <c r="P459" i="1"/>
  <c r="O459" i="1"/>
  <c r="V458" i="1"/>
  <c r="Q458" i="1"/>
  <c r="P458" i="1"/>
  <c r="O458" i="1"/>
  <c r="V457" i="1"/>
  <c r="Q457" i="1"/>
  <c r="P457" i="1"/>
  <c r="O457" i="1"/>
  <c r="V456" i="1"/>
  <c r="Q456" i="1"/>
  <c r="P456" i="1"/>
  <c r="O456" i="1"/>
  <c r="V455" i="1"/>
  <c r="Q455" i="1"/>
  <c r="P455" i="1"/>
  <c r="O455" i="1"/>
  <c r="V454" i="1"/>
  <c r="Q454" i="1"/>
  <c r="P454" i="1"/>
  <c r="O454" i="1"/>
  <c r="V453" i="1"/>
  <c r="Q453" i="1"/>
  <c r="P453" i="1"/>
  <c r="O453" i="1"/>
  <c r="V452" i="1"/>
  <c r="Q452" i="1"/>
  <c r="P452" i="1"/>
  <c r="O452" i="1"/>
  <c r="V451" i="1"/>
  <c r="Q451" i="1"/>
  <c r="P451" i="1"/>
  <c r="O451" i="1"/>
  <c r="V450" i="1"/>
  <c r="Q450" i="1"/>
  <c r="P450" i="1"/>
  <c r="O450" i="1"/>
  <c r="V449" i="1"/>
  <c r="Q449" i="1"/>
  <c r="P449" i="1"/>
  <c r="O449" i="1"/>
  <c r="V448" i="1"/>
  <c r="Q448" i="1"/>
  <c r="P448" i="1"/>
  <c r="O448" i="1"/>
  <c r="V447" i="1"/>
  <c r="Q447" i="1"/>
  <c r="P447" i="1"/>
  <c r="O447" i="1"/>
  <c r="V446" i="1"/>
  <c r="Q446" i="1"/>
  <c r="P446" i="1"/>
  <c r="O446" i="1"/>
  <c r="V445" i="1"/>
  <c r="Q445" i="1"/>
  <c r="P445" i="1"/>
  <c r="O445" i="1"/>
  <c r="V444" i="1"/>
  <c r="Q444" i="1"/>
  <c r="P444" i="1"/>
  <c r="O444" i="1"/>
  <c r="V443" i="1"/>
  <c r="Q443" i="1"/>
  <c r="P443" i="1"/>
  <c r="O443" i="1"/>
  <c r="V442" i="1"/>
  <c r="Q442" i="1"/>
  <c r="P442" i="1"/>
  <c r="O442" i="1"/>
  <c r="V441" i="1"/>
  <c r="Q441" i="1"/>
  <c r="P441" i="1"/>
  <c r="O441" i="1"/>
  <c r="V440" i="1"/>
  <c r="Q440" i="1"/>
  <c r="P440" i="1"/>
  <c r="O440" i="1"/>
  <c r="V439" i="1"/>
  <c r="Q439" i="1"/>
  <c r="P439" i="1"/>
  <c r="O439" i="1"/>
  <c r="V438" i="1"/>
  <c r="Q438" i="1"/>
  <c r="P438" i="1"/>
  <c r="O438" i="1"/>
  <c r="V437" i="1"/>
  <c r="Q437" i="1"/>
  <c r="P437" i="1"/>
  <c r="O437" i="1"/>
  <c r="V436" i="1"/>
  <c r="Q436" i="1"/>
  <c r="P436" i="1"/>
  <c r="O436" i="1"/>
  <c r="V435" i="1"/>
  <c r="Q435" i="1"/>
  <c r="P435" i="1"/>
  <c r="O435" i="1"/>
  <c r="V434" i="1"/>
  <c r="Q434" i="1"/>
  <c r="P434" i="1"/>
  <c r="O434" i="1"/>
  <c r="V433" i="1"/>
  <c r="Q433" i="1"/>
  <c r="P433" i="1"/>
  <c r="O433" i="1"/>
  <c r="V432" i="1"/>
  <c r="Q432" i="1"/>
  <c r="P432" i="1"/>
  <c r="O432" i="1"/>
  <c r="V431" i="1"/>
  <c r="Q431" i="1"/>
  <c r="P431" i="1"/>
  <c r="O431" i="1"/>
  <c r="V430" i="1"/>
  <c r="Q430" i="1"/>
  <c r="P430" i="1"/>
  <c r="O430" i="1"/>
  <c r="V429" i="1"/>
  <c r="Q429" i="1"/>
  <c r="P429" i="1"/>
  <c r="O429" i="1"/>
  <c r="V428" i="1"/>
  <c r="Q428" i="1"/>
  <c r="P428" i="1"/>
  <c r="O428" i="1"/>
  <c r="V427" i="1"/>
  <c r="Q427" i="1"/>
  <c r="P427" i="1"/>
  <c r="O427" i="1"/>
  <c r="V426" i="1"/>
  <c r="Q426" i="1"/>
  <c r="P426" i="1"/>
  <c r="O426" i="1"/>
  <c r="V425" i="1"/>
  <c r="Q425" i="1"/>
  <c r="P425" i="1"/>
  <c r="O425" i="1"/>
  <c r="V424" i="1"/>
  <c r="Q424" i="1"/>
  <c r="P424" i="1"/>
  <c r="O424" i="1"/>
  <c r="V423" i="1"/>
  <c r="Q423" i="1"/>
  <c r="P423" i="1"/>
  <c r="O423" i="1"/>
  <c r="V422" i="1"/>
  <c r="Q422" i="1"/>
  <c r="P422" i="1"/>
  <c r="O422" i="1"/>
  <c r="V421" i="1"/>
  <c r="Q421" i="1"/>
  <c r="P421" i="1"/>
  <c r="O421" i="1"/>
  <c r="V420" i="1"/>
  <c r="Q420" i="1"/>
  <c r="P420" i="1"/>
  <c r="O420" i="1"/>
  <c r="V419" i="1"/>
  <c r="Q419" i="1"/>
  <c r="P419" i="1"/>
  <c r="O419" i="1"/>
  <c r="V418" i="1"/>
  <c r="Q418" i="1"/>
  <c r="P418" i="1"/>
  <c r="O418" i="1"/>
  <c r="V417" i="1"/>
  <c r="Q417" i="1"/>
  <c r="P417" i="1"/>
  <c r="O417" i="1"/>
  <c r="V416" i="1"/>
  <c r="Q416" i="1"/>
  <c r="P416" i="1"/>
  <c r="O416" i="1"/>
  <c r="V415" i="1"/>
  <c r="Q415" i="1"/>
  <c r="P415" i="1"/>
  <c r="O415" i="1"/>
  <c r="V414" i="1"/>
  <c r="Q414" i="1"/>
  <c r="P414" i="1"/>
  <c r="O414" i="1"/>
  <c r="V413" i="1"/>
  <c r="Q413" i="1"/>
  <c r="P413" i="1"/>
  <c r="O413" i="1"/>
  <c r="V412" i="1"/>
  <c r="Q412" i="1"/>
  <c r="P412" i="1"/>
  <c r="O412" i="1"/>
  <c r="V411" i="1"/>
  <c r="Q411" i="1"/>
  <c r="P411" i="1"/>
  <c r="O411" i="1"/>
  <c r="V410" i="1"/>
  <c r="Q410" i="1"/>
  <c r="P410" i="1"/>
  <c r="O410" i="1"/>
  <c r="V409" i="1"/>
  <c r="Q409" i="1"/>
  <c r="P409" i="1"/>
  <c r="O409" i="1"/>
  <c r="V408" i="1"/>
  <c r="Q408" i="1"/>
  <c r="P408" i="1"/>
  <c r="O408" i="1"/>
  <c r="V407" i="1"/>
  <c r="Q407" i="1"/>
  <c r="P407" i="1"/>
  <c r="O407" i="1"/>
  <c r="V406" i="1"/>
  <c r="Q406" i="1"/>
  <c r="P406" i="1"/>
  <c r="O406" i="1"/>
  <c r="V405" i="1"/>
  <c r="Q405" i="1"/>
  <c r="P405" i="1"/>
  <c r="O405" i="1"/>
  <c r="V404" i="1"/>
  <c r="Q404" i="1"/>
  <c r="P404" i="1"/>
  <c r="O404" i="1"/>
  <c r="V403" i="1"/>
  <c r="Q403" i="1"/>
  <c r="P403" i="1"/>
  <c r="O403" i="1"/>
  <c r="V402" i="1"/>
  <c r="Q402" i="1"/>
  <c r="P402" i="1"/>
  <c r="O402" i="1"/>
  <c r="V401" i="1"/>
  <c r="Q401" i="1"/>
  <c r="P401" i="1"/>
  <c r="O401" i="1"/>
  <c r="V400" i="1"/>
  <c r="Q400" i="1"/>
  <c r="P400" i="1"/>
  <c r="O400" i="1"/>
  <c r="V399" i="1"/>
  <c r="Q399" i="1"/>
  <c r="P399" i="1"/>
  <c r="O399" i="1"/>
  <c r="V398" i="1"/>
  <c r="Q398" i="1"/>
  <c r="P398" i="1"/>
  <c r="O398" i="1"/>
  <c r="V397" i="1"/>
  <c r="Q397" i="1"/>
  <c r="P397" i="1"/>
  <c r="O397" i="1"/>
  <c r="V396" i="1"/>
  <c r="Q396" i="1"/>
  <c r="P396" i="1"/>
  <c r="O396" i="1"/>
  <c r="V395" i="1"/>
  <c r="Q395" i="1"/>
  <c r="P395" i="1"/>
  <c r="O395" i="1"/>
  <c r="V394" i="1"/>
  <c r="Q394" i="1"/>
  <c r="P394" i="1"/>
  <c r="O394" i="1"/>
  <c r="V393" i="1"/>
  <c r="Q393" i="1"/>
  <c r="P393" i="1"/>
  <c r="O393" i="1"/>
  <c r="V392" i="1"/>
  <c r="Q392" i="1"/>
  <c r="P392" i="1"/>
  <c r="O392" i="1"/>
  <c r="V391" i="1"/>
  <c r="Q391" i="1"/>
  <c r="P391" i="1"/>
  <c r="O391" i="1"/>
  <c r="V390" i="1"/>
  <c r="Q390" i="1"/>
  <c r="P390" i="1"/>
  <c r="O390" i="1"/>
  <c r="V389" i="1"/>
  <c r="Q389" i="1"/>
  <c r="P389" i="1"/>
  <c r="O389" i="1"/>
  <c r="V388" i="1"/>
  <c r="Q388" i="1"/>
  <c r="P388" i="1"/>
  <c r="O388" i="1"/>
  <c r="V387" i="1"/>
  <c r="Q387" i="1"/>
  <c r="P387" i="1"/>
  <c r="O387" i="1"/>
  <c r="V386" i="1"/>
  <c r="Q386" i="1"/>
  <c r="P386" i="1"/>
  <c r="O386" i="1"/>
  <c r="V385" i="1"/>
  <c r="Q385" i="1"/>
  <c r="P385" i="1"/>
  <c r="O385" i="1"/>
  <c r="V384" i="1"/>
  <c r="Q384" i="1"/>
  <c r="P384" i="1"/>
  <c r="O384" i="1"/>
  <c r="V383" i="1"/>
  <c r="Q383" i="1"/>
  <c r="P383" i="1"/>
  <c r="O383" i="1"/>
  <c r="V382" i="1"/>
  <c r="Q382" i="1"/>
  <c r="P382" i="1"/>
  <c r="O382" i="1"/>
  <c r="V381" i="1"/>
  <c r="Q381" i="1"/>
  <c r="P381" i="1"/>
  <c r="O381" i="1"/>
  <c r="V380" i="1"/>
  <c r="Q380" i="1"/>
  <c r="P380" i="1"/>
  <c r="O380" i="1"/>
  <c r="V379" i="1"/>
  <c r="Q379" i="1"/>
  <c r="P379" i="1"/>
  <c r="O379" i="1"/>
  <c r="V378" i="1"/>
  <c r="Q378" i="1"/>
  <c r="P378" i="1"/>
  <c r="O378" i="1"/>
  <c r="V377" i="1"/>
  <c r="Q377" i="1"/>
  <c r="P377" i="1"/>
  <c r="O377" i="1"/>
  <c r="V376" i="1"/>
  <c r="Q376" i="1"/>
  <c r="P376" i="1"/>
  <c r="O376" i="1"/>
  <c r="V375" i="1"/>
  <c r="Q375" i="1"/>
  <c r="P375" i="1"/>
  <c r="O375" i="1"/>
  <c r="V374" i="1"/>
  <c r="Q374" i="1"/>
  <c r="P374" i="1"/>
  <c r="O374" i="1"/>
  <c r="V373" i="1"/>
  <c r="Q373" i="1"/>
  <c r="P373" i="1"/>
  <c r="O373" i="1"/>
  <c r="V372" i="1"/>
  <c r="Q372" i="1"/>
  <c r="P372" i="1"/>
  <c r="O372" i="1"/>
  <c r="V371" i="1"/>
  <c r="Q371" i="1"/>
  <c r="P371" i="1"/>
  <c r="O371" i="1"/>
  <c r="V370" i="1"/>
  <c r="Q370" i="1"/>
  <c r="P370" i="1"/>
  <c r="O370" i="1"/>
  <c r="V369" i="1"/>
  <c r="Q369" i="1"/>
  <c r="P369" i="1"/>
  <c r="O369" i="1"/>
  <c r="V368" i="1"/>
  <c r="Q368" i="1"/>
  <c r="P368" i="1"/>
  <c r="O368" i="1"/>
  <c r="V367" i="1"/>
  <c r="Q367" i="1"/>
  <c r="P367" i="1"/>
  <c r="O367" i="1"/>
  <c r="V366" i="1"/>
  <c r="Q366" i="1"/>
  <c r="P366" i="1"/>
  <c r="O366" i="1"/>
  <c r="V365" i="1"/>
  <c r="Q365" i="1"/>
  <c r="P365" i="1"/>
  <c r="O365" i="1"/>
  <c r="V364" i="1"/>
  <c r="Q364" i="1"/>
  <c r="P364" i="1"/>
  <c r="O364" i="1"/>
  <c r="V363" i="1"/>
  <c r="Q363" i="1"/>
  <c r="P363" i="1"/>
  <c r="O363" i="1"/>
  <c r="V362" i="1"/>
  <c r="Q362" i="1"/>
  <c r="P362" i="1"/>
  <c r="O362" i="1"/>
  <c r="V361" i="1"/>
  <c r="Q361" i="1"/>
  <c r="P361" i="1"/>
  <c r="O361" i="1"/>
  <c r="V360" i="1"/>
  <c r="Q360" i="1"/>
  <c r="P360" i="1"/>
  <c r="O360" i="1"/>
  <c r="V359" i="1"/>
  <c r="Q359" i="1"/>
  <c r="P359" i="1"/>
  <c r="O359" i="1"/>
  <c r="V358" i="1"/>
  <c r="Q358" i="1"/>
  <c r="P358" i="1"/>
  <c r="O358" i="1"/>
  <c r="V357" i="1"/>
  <c r="Q357" i="1"/>
  <c r="P357" i="1"/>
  <c r="O357" i="1"/>
  <c r="V356" i="1"/>
  <c r="Q356" i="1"/>
  <c r="P356" i="1"/>
  <c r="O356" i="1"/>
  <c r="V355" i="1"/>
  <c r="Q355" i="1"/>
  <c r="P355" i="1"/>
  <c r="O355" i="1"/>
  <c r="V354" i="1"/>
  <c r="Q354" i="1"/>
  <c r="P354" i="1"/>
  <c r="O354" i="1"/>
  <c r="V353" i="1"/>
  <c r="Q353" i="1"/>
  <c r="P353" i="1"/>
  <c r="O353" i="1"/>
  <c r="V352" i="1"/>
  <c r="Q352" i="1"/>
  <c r="P352" i="1"/>
  <c r="O352" i="1"/>
  <c r="V351" i="1"/>
  <c r="Q351" i="1"/>
  <c r="P351" i="1"/>
  <c r="O351" i="1"/>
  <c r="V350" i="1"/>
  <c r="Q350" i="1"/>
  <c r="P350" i="1"/>
  <c r="O350" i="1"/>
  <c r="V349" i="1"/>
  <c r="Q349" i="1"/>
  <c r="P349" i="1"/>
  <c r="O349" i="1"/>
  <c r="V348" i="1"/>
  <c r="Q348" i="1"/>
  <c r="P348" i="1"/>
  <c r="O348" i="1"/>
  <c r="V347" i="1"/>
  <c r="Q347" i="1"/>
  <c r="P347" i="1"/>
  <c r="O347" i="1"/>
  <c r="V346" i="1"/>
  <c r="Q346" i="1"/>
  <c r="P346" i="1"/>
  <c r="O346" i="1"/>
  <c r="V345" i="1"/>
  <c r="Q345" i="1"/>
  <c r="P345" i="1"/>
  <c r="O345" i="1"/>
  <c r="V344" i="1"/>
  <c r="Q344" i="1"/>
  <c r="P344" i="1"/>
  <c r="O344" i="1"/>
  <c r="V343" i="1"/>
  <c r="Q343" i="1"/>
  <c r="P343" i="1"/>
  <c r="O343" i="1"/>
  <c r="V342" i="1"/>
  <c r="Q342" i="1"/>
  <c r="P342" i="1"/>
  <c r="O342" i="1"/>
  <c r="V341" i="1"/>
  <c r="Q341" i="1"/>
  <c r="P341" i="1"/>
  <c r="O341" i="1"/>
  <c r="V340" i="1"/>
  <c r="Q340" i="1"/>
  <c r="P340" i="1"/>
  <c r="O340" i="1"/>
  <c r="V339" i="1"/>
  <c r="Q339" i="1"/>
  <c r="P339" i="1"/>
  <c r="O339" i="1"/>
  <c r="V338" i="1"/>
  <c r="Q338" i="1"/>
  <c r="P338" i="1"/>
  <c r="O338" i="1"/>
  <c r="V337" i="1"/>
  <c r="Q337" i="1"/>
  <c r="P337" i="1"/>
  <c r="O337" i="1"/>
  <c r="V336" i="1"/>
  <c r="Q336" i="1"/>
  <c r="P336" i="1"/>
  <c r="O336" i="1"/>
  <c r="V335" i="1"/>
  <c r="Q335" i="1"/>
  <c r="P335" i="1"/>
  <c r="O335" i="1"/>
  <c r="V334" i="1"/>
  <c r="Q334" i="1"/>
  <c r="P334" i="1"/>
  <c r="O334" i="1"/>
  <c r="V333" i="1"/>
  <c r="Q333" i="1"/>
  <c r="P333" i="1"/>
  <c r="O333" i="1"/>
  <c r="V332" i="1"/>
  <c r="Q332" i="1"/>
  <c r="P332" i="1"/>
  <c r="O332" i="1"/>
  <c r="V331" i="1"/>
  <c r="Q331" i="1"/>
  <c r="P331" i="1"/>
  <c r="O331" i="1"/>
  <c r="V330" i="1"/>
  <c r="Q330" i="1"/>
  <c r="P330" i="1"/>
  <c r="O330" i="1"/>
  <c r="V329" i="1"/>
  <c r="Q329" i="1"/>
  <c r="P329" i="1"/>
  <c r="O329" i="1"/>
  <c r="V328" i="1"/>
  <c r="Q328" i="1"/>
  <c r="P328" i="1"/>
  <c r="O328" i="1"/>
  <c r="V327" i="1"/>
  <c r="Q327" i="1"/>
  <c r="P327" i="1"/>
  <c r="O327" i="1"/>
  <c r="V326" i="1"/>
  <c r="Q326" i="1"/>
  <c r="P326" i="1"/>
  <c r="O326" i="1"/>
  <c r="V325" i="1"/>
  <c r="Q325" i="1"/>
  <c r="P325" i="1"/>
  <c r="O325" i="1"/>
  <c r="V324" i="1"/>
  <c r="Q324" i="1"/>
  <c r="P324" i="1"/>
  <c r="O324" i="1"/>
  <c r="V323" i="1"/>
  <c r="Q323" i="1"/>
  <c r="P323" i="1"/>
  <c r="O323" i="1"/>
  <c r="V322" i="1"/>
  <c r="Q322" i="1"/>
  <c r="P322" i="1"/>
  <c r="O322" i="1"/>
  <c r="V321" i="1"/>
  <c r="Q321" i="1"/>
  <c r="P321" i="1"/>
  <c r="O321" i="1"/>
  <c r="N321" i="1"/>
  <c r="V320" i="1"/>
  <c r="Q320" i="1"/>
  <c r="P320" i="1"/>
  <c r="O320" i="1"/>
  <c r="N320" i="1"/>
  <c r="V319" i="1"/>
  <c r="Q319" i="1"/>
  <c r="P319" i="1"/>
  <c r="O319" i="1"/>
  <c r="N319" i="1"/>
  <c r="V318" i="1"/>
  <c r="Q318" i="1"/>
  <c r="P318" i="1"/>
  <c r="O318" i="1"/>
  <c r="N318" i="1"/>
  <c r="G318" i="1"/>
  <c r="F318" i="1"/>
  <c r="E318" i="1"/>
  <c r="D318" i="1"/>
  <c r="V317" i="1"/>
  <c r="Q317" i="1"/>
  <c r="P317" i="1"/>
  <c r="O317" i="1"/>
  <c r="N317" i="1"/>
  <c r="H317" i="1"/>
  <c r="G317" i="1"/>
  <c r="F317" i="1"/>
  <c r="E317" i="1"/>
  <c r="D317" i="1"/>
  <c r="V316" i="1"/>
  <c r="Q316" i="1"/>
  <c r="P316" i="1"/>
  <c r="O316" i="1"/>
  <c r="N316" i="1"/>
  <c r="I316" i="1"/>
  <c r="H316" i="1"/>
  <c r="G316" i="1"/>
  <c r="F316" i="1"/>
  <c r="E316" i="1"/>
  <c r="D316" i="1"/>
  <c r="C316" i="1"/>
  <c r="V315" i="1"/>
  <c r="Q315" i="1"/>
  <c r="P315" i="1"/>
  <c r="O315" i="1"/>
  <c r="N315" i="1"/>
  <c r="I315" i="1"/>
  <c r="H315" i="1"/>
  <c r="G315" i="1"/>
  <c r="F315" i="1"/>
  <c r="E315" i="1"/>
  <c r="D315" i="1"/>
  <c r="C315" i="1"/>
  <c r="V314" i="1"/>
  <c r="Q314" i="1"/>
  <c r="P314" i="1"/>
  <c r="O314" i="1"/>
  <c r="N314" i="1"/>
  <c r="I314" i="1"/>
  <c r="H314" i="1"/>
  <c r="G314" i="1"/>
  <c r="F314" i="1"/>
  <c r="E314" i="1"/>
  <c r="D314" i="1"/>
  <c r="C314" i="1"/>
  <c r="V313" i="1"/>
  <c r="Q313" i="1"/>
  <c r="P313" i="1"/>
  <c r="O313" i="1"/>
  <c r="N313" i="1"/>
  <c r="J313" i="1"/>
  <c r="I313" i="1"/>
  <c r="H313" i="1"/>
  <c r="G313" i="1"/>
  <c r="F313" i="1"/>
  <c r="E313" i="1"/>
  <c r="D313" i="1"/>
  <c r="C313" i="1"/>
  <c r="V312" i="1"/>
  <c r="Q312" i="1"/>
  <c r="P312" i="1"/>
  <c r="O312" i="1"/>
  <c r="N312" i="1"/>
  <c r="J312" i="1"/>
  <c r="I312" i="1"/>
  <c r="H312" i="1"/>
  <c r="G312" i="1"/>
  <c r="F312" i="1"/>
  <c r="E312" i="1"/>
  <c r="D312" i="1"/>
  <c r="C312" i="1"/>
  <c r="V311" i="1"/>
  <c r="Q311" i="1"/>
  <c r="P311" i="1"/>
  <c r="O311" i="1"/>
  <c r="N311" i="1"/>
  <c r="J311" i="1"/>
  <c r="I311" i="1"/>
  <c r="H311" i="1"/>
  <c r="G311" i="1"/>
  <c r="F311" i="1"/>
  <c r="E311" i="1"/>
  <c r="D311" i="1"/>
  <c r="C311" i="1"/>
  <c r="V310" i="1"/>
  <c r="Q310" i="1"/>
  <c r="P310" i="1"/>
  <c r="O310" i="1"/>
  <c r="N310" i="1"/>
  <c r="J310" i="1"/>
  <c r="I310" i="1"/>
  <c r="H310" i="1"/>
  <c r="G310" i="1"/>
  <c r="F310" i="1"/>
  <c r="E310" i="1"/>
  <c r="D310" i="1"/>
  <c r="C310" i="1"/>
  <c r="V309" i="1"/>
  <c r="Q309" i="1"/>
  <c r="P309" i="1"/>
  <c r="O309" i="1"/>
  <c r="N309" i="1"/>
  <c r="J309" i="1"/>
  <c r="I309" i="1"/>
  <c r="H309" i="1"/>
  <c r="G309" i="1"/>
  <c r="F309" i="1"/>
  <c r="E309" i="1"/>
  <c r="D309" i="1"/>
  <c r="C309" i="1"/>
  <c r="V308" i="1"/>
  <c r="Q308" i="1"/>
  <c r="P308" i="1"/>
  <c r="O308" i="1"/>
  <c r="N308" i="1"/>
  <c r="H308" i="1"/>
  <c r="G308" i="1"/>
  <c r="F308" i="1"/>
  <c r="E308" i="1"/>
  <c r="D308" i="1"/>
  <c r="C308" i="1"/>
  <c r="V307" i="1"/>
  <c r="Q307" i="1"/>
  <c r="P307" i="1"/>
  <c r="O307" i="1"/>
  <c r="N307" i="1"/>
  <c r="G307" i="1"/>
  <c r="F307" i="1"/>
  <c r="E307" i="1"/>
  <c r="D307" i="1"/>
  <c r="C307" i="1"/>
  <c r="V306" i="1"/>
  <c r="Q306" i="1"/>
  <c r="P306" i="1"/>
  <c r="O306" i="1"/>
  <c r="N306" i="1"/>
  <c r="V305" i="1"/>
  <c r="Q305" i="1"/>
  <c r="P305" i="1"/>
  <c r="O305" i="1"/>
  <c r="N305" i="1"/>
  <c r="V304" i="1"/>
  <c r="Q304" i="1"/>
  <c r="P304" i="1"/>
  <c r="O304" i="1"/>
  <c r="V303" i="1"/>
  <c r="Q303" i="1"/>
  <c r="P303" i="1"/>
  <c r="O303" i="1"/>
  <c r="V302" i="1"/>
  <c r="Q302" i="1"/>
  <c r="P302" i="1"/>
  <c r="O302" i="1"/>
  <c r="V301" i="1"/>
  <c r="Q301" i="1"/>
  <c r="P301" i="1"/>
  <c r="O301" i="1"/>
  <c r="V300" i="1"/>
  <c r="Q300" i="1"/>
  <c r="P300" i="1"/>
  <c r="O300" i="1"/>
  <c r="V299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V295" i="1"/>
  <c r="Q295" i="1"/>
  <c r="P295" i="1"/>
  <c r="O295" i="1"/>
  <c r="V294" i="1"/>
  <c r="Q294" i="1"/>
  <c r="P294" i="1"/>
  <c r="O294" i="1"/>
  <c r="V293" i="1"/>
  <c r="Q293" i="1"/>
  <c r="P293" i="1"/>
  <c r="O293" i="1"/>
  <c r="V292" i="1"/>
  <c r="Q292" i="1"/>
  <c r="P292" i="1"/>
  <c r="O292" i="1"/>
  <c r="V291" i="1"/>
  <c r="Q291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Q282" i="1"/>
  <c r="P282" i="1"/>
  <c r="O282" i="1"/>
  <c r="Q281" i="1"/>
  <c r="P281" i="1"/>
  <c r="O281" i="1"/>
  <c r="V280" i="1"/>
  <c r="Q280" i="1"/>
  <c r="P280" i="1"/>
  <c r="O280" i="1"/>
  <c r="V279" i="1"/>
  <c r="Q279" i="1"/>
  <c r="P279" i="1"/>
  <c r="O279" i="1"/>
  <c r="V278" i="1"/>
  <c r="Q278" i="1"/>
  <c r="P278" i="1"/>
  <c r="O278" i="1"/>
  <c r="V277" i="1"/>
  <c r="Q277" i="1"/>
  <c r="P277" i="1"/>
  <c r="O277" i="1"/>
  <c r="V276" i="1"/>
  <c r="Q276" i="1"/>
  <c r="P276" i="1"/>
  <c r="O276" i="1"/>
  <c r="V275" i="1"/>
  <c r="Q275" i="1"/>
  <c r="P275" i="1"/>
  <c r="O275" i="1"/>
  <c r="V274" i="1"/>
  <c r="Q274" i="1"/>
  <c r="P274" i="1"/>
  <c r="O274" i="1"/>
  <c r="V273" i="1"/>
  <c r="Q273" i="1"/>
  <c r="P273" i="1"/>
  <c r="O273" i="1"/>
  <c r="V272" i="1"/>
  <c r="Q272" i="1"/>
  <c r="P272" i="1"/>
  <c r="O272" i="1"/>
  <c r="V271" i="1"/>
  <c r="Q271" i="1"/>
  <c r="P271" i="1"/>
  <c r="O271" i="1"/>
  <c r="V270" i="1"/>
  <c r="Q270" i="1"/>
  <c r="P270" i="1"/>
  <c r="O270" i="1"/>
  <c r="V269" i="1"/>
  <c r="Q269" i="1"/>
  <c r="P269" i="1"/>
  <c r="O269" i="1"/>
  <c r="V268" i="1"/>
  <c r="Q268" i="1"/>
  <c r="P268" i="1"/>
  <c r="O268" i="1"/>
  <c r="V267" i="1"/>
  <c r="Q267" i="1"/>
  <c r="P267" i="1"/>
  <c r="O267" i="1"/>
  <c r="V266" i="1"/>
  <c r="Q266" i="1"/>
  <c r="P266" i="1"/>
  <c r="O266" i="1"/>
  <c r="V265" i="1"/>
  <c r="Q265" i="1"/>
  <c r="P265" i="1"/>
  <c r="O265" i="1"/>
  <c r="V264" i="1"/>
  <c r="Q264" i="1"/>
  <c r="P264" i="1"/>
  <c r="O264" i="1"/>
  <c r="V263" i="1"/>
  <c r="Q263" i="1"/>
  <c r="P263" i="1"/>
  <c r="O263" i="1"/>
  <c r="V262" i="1"/>
  <c r="Q262" i="1"/>
  <c r="P262" i="1"/>
  <c r="O262" i="1"/>
  <c r="V261" i="1"/>
  <c r="Q261" i="1"/>
  <c r="P261" i="1"/>
  <c r="O261" i="1"/>
  <c r="V260" i="1"/>
  <c r="Q260" i="1"/>
  <c r="P260" i="1"/>
  <c r="O260" i="1"/>
  <c r="V259" i="1"/>
  <c r="Q259" i="1"/>
  <c r="P259" i="1"/>
  <c r="O259" i="1"/>
  <c r="V258" i="1"/>
  <c r="Q258" i="1"/>
  <c r="P258" i="1"/>
  <c r="O258" i="1"/>
  <c r="V257" i="1"/>
  <c r="Q257" i="1"/>
  <c r="P257" i="1"/>
  <c r="O257" i="1"/>
  <c r="V256" i="1"/>
  <c r="Q256" i="1"/>
  <c r="P256" i="1"/>
  <c r="O256" i="1"/>
  <c r="V255" i="1"/>
  <c r="Q255" i="1"/>
  <c r="P255" i="1"/>
  <c r="O255" i="1"/>
  <c r="V254" i="1"/>
  <c r="Q254" i="1"/>
  <c r="P254" i="1"/>
  <c r="O254" i="1"/>
  <c r="V253" i="1"/>
  <c r="Q253" i="1"/>
  <c r="P253" i="1"/>
  <c r="O253" i="1"/>
  <c r="V252" i="1"/>
  <c r="Q252" i="1"/>
  <c r="P252" i="1"/>
  <c r="O252" i="1"/>
  <c r="V251" i="1"/>
  <c r="Q251" i="1"/>
  <c r="P251" i="1"/>
  <c r="O251" i="1"/>
  <c r="V250" i="1"/>
  <c r="Q250" i="1"/>
  <c r="P250" i="1"/>
  <c r="O250" i="1"/>
  <c r="V249" i="1"/>
  <c r="Q249" i="1"/>
  <c r="P249" i="1"/>
  <c r="O249" i="1"/>
  <c r="V248" i="1"/>
  <c r="Q248" i="1"/>
  <c r="P248" i="1"/>
  <c r="O248" i="1"/>
  <c r="V247" i="1"/>
  <c r="Q247" i="1"/>
  <c r="P247" i="1"/>
  <c r="O247" i="1"/>
  <c r="V246" i="1"/>
  <c r="Q246" i="1"/>
  <c r="P246" i="1"/>
  <c r="O246" i="1"/>
  <c r="V245" i="1"/>
  <c r="Q245" i="1"/>
  <c r="P245" i="1"/>
  <c r="O245" i="1"/>
  <c r="V244" i="1"/>
  <c r="Q244" i="1"/>
  <c r="P244" i="1"/>
  <c r="O244" i="1"/>
  <c r="V243" i="1"/>
  <c r="Q243" i="1"/>
  <c r="P243" i="1"/>
  <c r="O243" i="1"/>
  <c r="V242" i="1"/>
  <c r="Q242" i="1"/>
  <c r="P242" i="1"/>
  <c r="O242" i="1"/>
  <c r="V241" i="1"/>
  <c r="Q241" i="1"/>
  <c r="P241" i="1"/>
  <c r="O241" i="1"/>
  <c r="V240" i="1"/>
  <c r="Q240" i="1"/>
  <c r="P240" i="1"/>
  <c r="O240" i="1"/>
  <c r="V239" i="1"/>
  <c r="Q239" i="1"/>
  <c r="P239" i="1"/>
  <c r="O239" i="1"/>
  <c r="V238" i="1"/>
  <c r="Q238" i="1"/>
  <c r="P238" i="1"/>
  <c r="O238" i="1"/>
  <c r="V237" i="1"/>
  <c r="Q237" i="1"/>
  <c r="P237" i="1"/>
  <c r="O237" i="1"/>
  <c r="V236" i="1"/>
  <c r="Q236" i="1"/>
  <c r="P236" i="1"/>
  <c r="O236" i="1"/>
  <c r="V235" i="1"/>
  <c r="Q235" i="1"/>
  <c r="P235" i="1"/>
  <c r="O235" i="1"/>
  <c r="V234" i="1"/>
  <c r="Q234" i="1"/>
  <c r="P234" i="1"/>
  <c r="O234" i="1"/>
  <c r="V233" i="1"/>
  <c r="Q233" i="1"/>
  <c r="P233" i="1"/>
  <c r="O233" i="1"/>
  <c r="V232" i="1"/>
  <c r="Q232" i="1"/>
  <c r="P232" i="1"/>
  <c r="O232" i="1"/>
  <c r="V231" i="1"/>
  <c r="Q231" i="1"/>
  <c r="P231" i="1"/>
  <c r="O231" i="1"/>
  <c r="V230" i="1"/>
  <c r="Q230" i="1"/>
  <c r="P230" i="1"/>
  <c r="O230" i="1"/>
  <c r="V229" i="1"/>
  <c r="Q229" i="1"/>
  <c r="P229" i="1"/>
  <c r="O229" i="1"/>
  <c r="V228" i="1"/>
  <c r="Q228" i="1"/>
  <c r="P228" i="1"/>
  <c r="O228" i="1"/>
  <c r="V227" i="1"/>
  <c r="Q227" i="1"/>
  <c r="P227" i="1"/>
  <c r="O227" i="1"/>
  <c r="V226" i="1"/>
  <c r="Q226" i="1"/>
  <c r="P226" i="1"/>
  <c r="O226" i="1"/>
  <c r="V225" i="1"/>
  <c r="Q225" i="1"/>
  <c r="P225" i="1"/>
  <c r="O225" i="1"/>
  <c r="V224" i="1"/>
  <c r="Q224" i="1"/>
  <c r="P224" i="1"/>
  <c r="O224" i="1"/>
  <c r="V223" i="1"/>
  <c r="Q223" i="1"/>
  <c r="P223" i="1"/>
  <c r="O223" i="1"/>
  <c r="V222" i="1"/>
  <c r="Q222" i="1"/>
  <c r="P222" i="1"/>
  <c r="O222" i="1"/>
  <c r="V221" i="1"/>
  <c r="Q221" i="1"/>
  <c r="P221" i="1"/>
  <c r="O221" i="1"/>
  <c r="V220" i="1"/>
  <c r="Q220" i="1"/>
  <c r="P220" i="1"/>
  <c r="O220" i="1"/>
  <c r="V219" i="1"/>
  <c r="Q219" i="1"/>
  <c r="P219" i="1"/>
  <c r="O219" i="1"/>
  <c r="V218" i="1"/>
  <c r="Q218" i="1"/>
  <c r="P218" i="1"/>
  <c r="O218" i="1"/>
  <c r="V217" i="1"/>
  <c r="Q217" i="1"/>
  <c r="P217" i="1"/>
  <c r="O217" i="1"/>
  <c r="V216" i="1"/>
  <c r="Q216" i="1"/>
  <c r="P216" i="1"/>
  <c r="O216" i="1"/>
  <c r="V215" i="1"/>
  <c r="Q215" i="1"/>
  <c r="P215" i="1"/>
  <c r="O215" i="1"/>
  <c r="V214" i="1"/>
  <c r="Q214" i="1"/>
  <c r="P214" i="1"/>
  <c r="O214" i="1"/>
  <c r="V213" i="1"/>
  <c r="Q213" i="1"/>
  <c r="P213" i="1"/>
  <c r="O213" i="1"/>
  <c r="V212" i="1"/>
  <c r="Q212" i="1"/>
  <c r="P212" i="1"/>
  <c r="O212" i="1"/>
  <c r="V211" i="1"/>
  <c r="Q211" i="1"/>
  <c r="P211" i="1"/>
  <c r="O211" i="1"/>
  <c r="V210" i="1"/>
  <c r="Q210" i="1"/>
  <c r="P210" i="1"/>
  <c r="O210" i="1"/>
  <c r="V209" i="1"/>
  <c r="Q209" i="1"/>
  <c r="P209" i="1"/>
  <c r="O209" i="1"/>
  <c r="V208" i="1"/>
  <c r="Q208" i="1"/>
  <c r="P208" i="1"/>
  <c r="O208" i="1"/>
  <c r="V207" i="1"/>
  <c r="Q207" i="1"/>
  <c r="P207" i="1"/>
  <c r="O207" i="1"/>
  <c r="V206" i="1"/>
  <c r="Q206" i="1"/>
  <c r="P206" i="1"/>
  <c r="O206" i="1"/>
  <c r="V205" i="1"/>
  <c r="Q205" i="1"/>
  <c r="P205" i="1"/>
  <c r="O205" i="1"/>
  <c r="V204" i="1"/>
  <c r="Q204" i="1"/>
  <c r="P204" i="1"/>
  <c r="O204" i="1"/>
  <c r="V203" i="1"/>
  <c r="Q203" i="1"/>
  <c r="P203" i="1"/>
  <c r="O203" i="1"/>
  <c r="V202" i="1"/>
  <c r="Q202" i="1"/>
  <c r="P202" i="1"/>
  <c r="O202" i="1"/>
  <c r="V201" i="1"/>
  <c r="Q201" i="1"/>
  <c r="P201" i="1"/>
  <c r="O201" i="1"/>
  <c r="V200" i="1"/>
  <c r="Q200" i="1"/>
  <c r="P200" i="1"/>
  <c r="O200" i="1"/>
  <c r="V199" i="1"/>
  <c r="Q199" i="1"/>
  <c r="P199" i="1"/>
  <c r="O199" i="1"/>
  <c r="V198" i="1"/>
  <c r="Q198" i="1"/>
  <c r="P198" i="1"/>
  <c r="O198" i="1"/>
  <c r="V197" i="1"/>
  <c r="Q197" i="1"/>
  <c r="P197" i="1"/>
  <c r="O197" i="1"/>
  <c r="V196" i="1"/>
  <c r="Q196" i="1"/>
  <c r="P196" i="1"/>
  <c r="O196" i="1"/>
  <c r="V195" i="1"/>
  <c r="Q195" i="1"/>
  <c r="P195" i="1"/>
  <c r="O195" i="1"/>
  <c r="V194" i="1"/>
  <c r="Q194" i="1"/>
  <c r="P194" i="1"/>
  <c r="O194" i="1"/>
  <c r="V193" i="1"/>
  <c r="Q193" i="1"/>
  <c r="P193" i="1"/>
  <c r="O193" i="1"/>
  <c r="V192" i="1"/>
  <c r="Q192" i="1"/>
  <c r="P192" i="1"/>
  <c r="O192" i="1"/>
  <c r="V191" i="1"/>
  <c r="Q191" i="1"/>
  <c r="P191" i="1"/>
  <c r="O191" i="1"/>
  <c r="V190" i="1"/>
  <c r="Q190" i="1"/>
  <c r="P190" i="1"/>
  <c r="O190" i="1"/>
  <c r="V189" i="1"/>
  <c r="Q189" i="1"/>
  <c r="P189" i="1"/>
  <c r="O189" i="1"/>
  <c r="V188" i="1"/>
  <c r="Q188" i="1"/>
  <c r="P188" i="1"/>
  <c r="O188" i="1"/>
  <c r="V187" i="1"/>
  <c r="Q187" i="1"/>
  <c r="P187" i="1"/>
  <c r="O187" i="1"/>
  <c r="V186" i="1"/>
  <c r="Q186" i="1"/>
  <c r="P186" i="1"/>
  <c r="O186" i="1"/>
  <c r="V185" i="1"/>
  <c r="Q185" i="1"/>
  <c r="P185" i="1"/>
  <c r="O185" i="1"/>
  <c r="V184" i="1"/>
  <c r="Q184" i="1"/>
  <c r="P184" i="1"/>
  <c r="O184" i="1"/>
  <c r="V183" i="1"/>
  <c r="Q183" i="1"/>
  <c r="P183" i="1"/>
  <c r="O183" i="1"/>
  <c r="V182" i="1"/>
  <c r="Q182" i="1"/>
  <c r="P182" i="1"/>
  <c r="O182" i="1"/>
  <c r="V181" i="1"/>
  <c r="Q181" i="1"/>
  <c r="P181" i="1"/>
  <c r="O181" i="1"/>
  <c r="V180" i="1"/>
  <c r="Q180" i="1"/>
  <c r="P180" i="1"/>
  <c r="O180" i="1"/>
  <c r="V179" i="1"/>
  <c r="Q179" i="1"/>
  <c r="P179" i="1"/>
  <c r="O179" i="1"/>
  <c r="V178" i="1"/>
  <c r="Q178" i="1"/>
  <c r="P178" i="1"/>
  <c r="O178" i="1"/>
  <c r="V177" i="1"/>
  <c r="Q177" i="1"/>
  <c r="P177" i="1"/>
  <c r="O177" i="1"/>
  <c r="V176" i="1"/>
  <c r="Q176" i="1"/>
  <c r="P176" i="1"/>
  <c r="O176" i="1"/>
  <c r="V175" i="1"/>
  <c r="Q175" i="1"/>
  <c r="P175" i="1"/>
  <c r="O175" i="1"/>
  <c r="V174" i="1"/>
  <c r="Q174" i="1"/>
  <c r="P174" i="1"/>
  <c r="O174" i="1"/>
  <c r="V173" i="1"/>
  <c r="Q173" i="1"/>
  <c r="P173" i="1"/>
  <c r="O173" i="1"/>
  <c r="V172" i="1"/>
  <c r="Q172" i="1"/>
  <c r="P172" i="1"/>
  <c r="O172" i="1"/>
  <c r="V171" i="1"/>
  <c r="Q171" i="1"/>
  <c r="P171" i="1"/>
  <c r="O171" i="1"/>
  <c r="V170" i="1"/>
  <c r="Q170" i="1"/>
  <c r="P170" i="1"/>
  <c r="O170" i="1"/>
  <c r="V169" i="1"/>
  <c r="Q169" i="1"/>
  <c r="P169" i="1"/>
  <c r="O169" i="1"/>
  <c r="V168" i="1"/>
  <c r="Q168" i="1"/>
  <c r="P168" i="1"/>
  <c r="O168" i="1"/>
  <c r="V167" i="1"/>
  <c r="Q167" i="1"/>
  <c r="P167" i="1"/>
  <c r="O167" i="1"/>
  <c r="V166" i="1"/>
  <c r="Q166" i="1"/>
  <c r="P166" i="1"/>
  <c r="O166" i="1"/>
  <c r="V165" i="1"/>
  <c r="Q165" i="1"/>
  <c r="P165" i="1"/>
  <c r="O165" i="1"/>
  <c r="V164" i="1"/>
  <c r="Q164" i="1"/>
  <c r="P164" i="1"/>
  <c r="O164" i="1"/>
  <c r="V163" i="1"/>
  <c r="Q163" i="1"/>
  <c r="P163" i="1"/>
  <c r="O163" i="1"/>
  <c r="V162" i="1"/>
  <c r="Q162" i="1"/>
  <c r="P162" i="1"/>
  <c r="O162" i="1"/>
  <c r="V161" i="1"/>
  <c r="Q161" i="1"/>
  <c r="P161" i="1"/>
  <c r="O161" i="1"/>
  <c r="V160" i="1"/>
  <c r="Q160" i="1"/>
  <c r="P160" i="1"/>
  <c r="O160" i="1"/>
  <c r="V159" i="1"/>
  <c r="Q159" i="1"/>
  <c r="P159" i="1"/>
  <c r="O159" i="1"/>
  <c r="V158" i="1"/>
  <c r="Q158" i="1"/>
  <c r="P158" i="1"/>
  <c r="O158" i="1"/>
  <c r="V157" i="1"/>
  <c r="Q157" i="1"/>
  <c r="P157" i="1"/>
  <c r="O157" i="1"/>
  <c r="V156" i="1"/>
  <c r="Q156" i="1"/>
  <c r="P156" i="1"/>
  <c r="O156" i="1"/>
  <c r="V155" i="1"/>
  <c r="Q155" i="1"/>
  <c r="P155" i="1"/>
  <c r="O155" i="1"/>
  <c r="V154" i="1"/>
  <c r="Q154" i="1"/>
  <c r="P154" i="1"/>
  <c r="O154" i="1"/>
  <c r="V153" i="1"/>
  <c r="Q153" i="1"/>
  <c r="P153" i="1"/>
  <c r="O153" i="1"/>
  <c r="V152" i="1"/>
  <c r="Q152" i="1"/>
  <c r="P152" i="1"/>
  <c r="O152" i="1"/>
  <c r="V151" i="1"/>
  <c r="Q151" i="1"/>
  <c r="P151" i="1"/>
  <c r="O151" i="1"/>
  <c r="V150" i="1"/>
  <c r="Q150" i="1"/>
  <c r="P150" i="1"/>
  <c r="O150" i="1"/>
  <c r="V149" i="1"/>
  <c r="Q149" i="1"/>
  <c r="P149" i="1"/>
  <c r="O149" i="1"/>
  <c r="V148" i="1"/>
  <c r="Q148" i="1"/>
  <c r="P148" i="1"/>
  <c r="O148" i="1"/>
  <c r="V147" i="1"/>
  <c r="Q147" i="1"/>
  <c r="P147" i="1"/>
  <c r="O147" i="1"/>
  <c r="V146" i="1"/>
  <c r="Q146" i="1"/>
  <c r="P146" i="1"/>
  <c r="O146" i="1"/>
  <c r="V145" i="1"/>
  <c r="Q145" i="1"/>
  <c r="P145" i="1"/>
  <c r="O145" i="1"/>
  <c r="V144" i="1"/>
  <c r="Q144" i="1"/>
  <c r="P144" i="1"/>
  <c r="O144" i="1"/>
  <c r="V143" i="1"/>
  <c r="Q143" i="1"/>
  <c r="P143" i="1"/>
  <c r="O143" i="1"/>
  <c r="V142" i="1"/>
  <c r="Q142" i="1"/>
  <c r="P142" i="1"/>
  <c r="O142" i="1"/>
  <c r="V141" i="1"/>
  <c r="Q141" i="1"/>
  <c r="P141" i="1"/>
  <c r="O141" i="1"/>
  <c r="V140" i="1"/>
  <c r="Q140" i="1"/>
  <c r="P140" i="1"/>
  <c r="O140" i="1"/>
  <c r="V139" i="1"/>
  <c r="Q139" i="1"/>
  <c r="P139" i="1"/>
  <c r="O139" i="1"/>
  <c r="V138" i="1"/>
  <c r="Q138" i="1"/>
  <c r="P138" i="1"/>
  <c r="O138" i="1"/>
  <c r="V137" i="1"/>
  <c r="Q137" i="1"/>
  <c r="P137" i="1"/>
  <c r="O137" i="1"/>
  <c r="V136" i="1"/>
  <c r="Q136" i="1"/>
  <c r="P136" i="1"/>
  <c r="O136" i="1"/>
  <c r="V135" i="1"/>
  <c r="Q135" i="1"/>
  <c r="P135" i="1"/>
  <c r="O135" i="1"/>
  <c r="V134" i="1"/>
  <c r="Q134" i="1"/>
  <c r="P134" i="1"/>
  <c r="O134" i="1"/>
  <c r="V133" i="1"/>
  <c r="Q133" i="1"/>
  <c r="P133" i="1"/>
  <c r="O133" i="1"/>
  <c r="V132" i="1"/>
  <c r="Q132" i="1"/>
  <c r="P132" i="1"/>
  <c r="O132" i="1"/>
  <c r="V131" i="1"/>
  <c r="Q131" i="1"/>
  <c r="P131" i="1"/>
  <c r="O131" i="1"/>
  <c r="V130" i="1"/>
  <c r="Q130" i="1"/>
  <c r="P130" i="1"/>
  <c r="O130" i="1"/>
  <c r="V129" i="1"/>
  <c r="Q129" i="1"/>
  <c r="P129" i="1"/>
  <c r="O129" i="1"/>
  <c r="V128" i="1"/>
  <c r="Q128" i="1"/>
  <c r="P128" i="1"/>
  <c r="O128" i="1"/>
  <c r="V127" i="1"/>
  <c r="Q127" i="1"/>
  <c r="P127" i="1"/>
  <c r="O127" i="1"/>
  <c r="V126" i="1"/>
  <c r="Q126" i="1"/>
  <c r="P126" i="1"/>
  <c r="O126" i="1"/>
  <c r="V125" i="1"/>
  <c r="Q125" i="1"/>
  <c r="P125" i="1"/>
  <c r="O125" i="1"/>
  <c r="V124" i="1"/>
  <c r="Q124" i="1"/>
  <c r="P124" i="1"/>
  <c r="O124" i="1"/>
  <c r="V123" i="1"/>
  <c r="Q123" i="1"/>
  <c r="P123" i="1"/>
  <c r="O123" i="1"/>
  <c r="V122" i="1"/>
  <c r="Q122" i="1"/>
  <c r="P122" i="1"/>
  <c r="O122" i="1"/>
  <c r="V121" i="1"/>
  <c r="Q121" i="1"/>
  <c r="P121" i="1"/>
  <c r="O121" i="1"/>
  <c r="V120" i="1"/>
  <c r="Q120" i="1"/>
  <c r="P120" i="1"/>
  <c r="O120" i="1"/>
  <c r="V119" i="1"/>
  <c r="Q119" i="1"/>
  <c r="P119" i="1"/>
  <c r="O119" i="1"/>
  <c r="V118" i="1"/>
  <c r="Q118" i="1"/>
  <c r="P118" i="1"/>
  <c r="O118" i="1"/>
  <c r="V117" i="1"/>
  <c r="Q117" i="1"/>
  <c r="P117" i="1"/>
  <c r="O117" i="1"/>
  <c r="V116" i="1"/>
  <c r="Q116" i="1"/>
  <c r="P116" i="1"/>
  <c r="O116" i="1"/>
  <c r="V115" i="1"/>
  <c r="Q115" i="1"/>
  <c r="P115" i="1"/>
  <c r="O115" i="1"/>
  <c r="V114" i="1"/>
  <c r="Q114" i="1"/>
  <c r="P114" i="1"/>
  <c r="O114" i="1"/>
  <c r="V113" i="1"/>
  <c r="Q113" i="1"/>
  <c r="P113" i="1"/>
  <c r="O113" i="1"/>
  <c r="V112" i="1"/>
  <c r="Q112" i="1"/>
  <c r="P112" i="1"/>
  <c r="O112" i="1"/>
  <c r="V111" i="1"/>
  <c r="Q111" i="1"/>
  <c r="P111" i="1"/>
  <c r="O111" i="1"/>
  <c r="V110" i="1"/>
  <c r="Q110" i="1"/>
  <c r="P110" i="1"/>
  <c r="O110" i="1"/>
  <c r="V109" i="1"/>
  <c r="Q109" i="1"/>
  <c r="P109" i="1"/>
  <c r="O109" i="1"/>
  <c r="V108" i="1"/>
  <c r="Q108" i="1"/>
  <c r="P108" i="1"/>
  <c r="O108" i="1"/>
  <c r="V107" i="1"/>
  <c r="Q107" i="1"/>
  <c r="P107" i="1"/>
  <c r="O107" i="1"/>
  <c r="V106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V102" i="1"/>
  <c r="Q102" i="1"/>
  <c r="P102" i="1"/>
  <c r="O102" i="1"/>
  <c r="V101" i="1"/>
  <c r="Q101" i="1"/>
  <c r="P101" i="1"/>
  <c r="O101" i="1"/>
  <c r="Q100" i="1"/>
  <c r="P100" i="1"/>
  <c r="O100" i="1"/>
  <c r="V99" i="1"/>
  <c r="Q99" i="1"/>
  <c r="P99" i="1"/>
  <c r="O99" i="1"/>
  <c r="V98" i="1"/>
  <c r="Q98" i="1"/>
  <c r="P98" i="1"/>
  <c r="O98" i="1"/>
  <c r="V97" i="1"/>
  <c r="Q97" i="1"/>
  <c r="P97" i="1"/>
  <c r="O97" i="1"/>
  <c r="V96" i="1"/>
  <c r="Q96" i="1"/>
  <c r="P96" i="1"/>
  <c r="O96" i="1"/>
  <c r="V95" i="1"/>
  <c r="Q95" i="1"/>
  <c r="P95" i="1"/>
  <c r="O95" i="1"/>
  <c r="V94" i="1"/>
  <c r="Q94" i="1"/>
  <c r="P94" i="1"/>
  <c r="O94" i="1"/>
  <c r="V93" i="1"/>
  <c r="Q93" i="1"/>
  <c r="P93" i="1"/>
  <c r="O93" i="1"/>
  <c r="V92" i="1"/>
  <c r="Q92" i="1"/>
  <c r="P92" i="1"/>
  <c r="O92" i="1"/>
  <c r="V91" i="1"/>
  <c r="Q91" i="1"/>
  <c r="P91" i="1"/>
  <c r="O91" i="1"/>
  <c r="V90" i="1"/>
  <c r="Q90" i="1"/>
  <c r="P90" i="1"/>
  <c r="O90" i="1"/>
  <c r="N90" i="1"/>
  <c r="V89" i="1"/>
  <c r="Q89" i="1"/>
  <c r="P89" i="1"/>
  <c r="O89" i="1"/>
  <c r="N89" i="1"/>
  <c r="V88" i="1"/>
  <c r="Q88" i="1"/>
  <c r="P88" i="1"/>
  <c r="O88" i="1"/>
  <c r="N88" i="1"/>
  <c r="V87" i="1"/>
  <c r="Q87" i="1"/>
  <c r="P87" i="1"/>
  <c r="O87" i="1"/>
  <c r="N87" i="1"/>
  <c r="V86" i="1"/>
  <c r="Q86" i="1"/>
  <c r="P86" i="1"/>
  <c r="O86" i="1"/>
  <c r="N86" i="1"/>
  <c r="V85" i="1"/>
  <c r="Q85" i="1"/>
  <c r="P85" i="1"/>
  <c r="O85" i="1"/>
  <c r="N85" i="1"/>
  <c r="V84" i="1"/>
  <c r="Q84" i="1"/>
  <c r="P84" i="1"/>
  <c r="O84" i="1"/>
  <c r="N84" i="1"/>
  <c r="V83" i="1"/>
  <c r="Q83" i="1"/>
  <c r="P83" i="1"/>
  <c r="O83" i="1"/>
  <c r="N83" i="1"/>
  <c r="V82" i="1"/>
  <c r="Q82" i="1"/>
  <c r="P82" i="1"/>
  <c r="O82" i="1"/>
  <c r="N82" i="1"/>
  <c r="V81" i="1"/>
  <c r="Q81" i="1"/>
  <c r="P81" i="1"/>
  <c r="O81" i="1"/>
  <c r="N81" i="1"/>
  <c r="V80" i="1"/>
  <c r="Q80" i="1"/>
  <c r="P80" i="1"/>
  <c r="O80" i="1"/>
  <c r="N80" i="1"/>
  <c r="V79" i="1"/>
  <c r="Q79" i="1"/>
  <c r="P79" i="1"/>
  <c r="O79" i="1"/>
  <c r="N79" i="1"/>
  <c r="V78" i="1"/>
  <c r="Q78" i="1"/>
  <c r="P78" i="1"/>
  <c r="O78" i="1"/>
  <c r="N78" i="1"/>
  <c r="V77" i="1"/>
  <c r="Q77" i="1"/>
  <c r="P77" i="1"/>
  <c r="O77" i="1"/>
  <c r="N77" i="1"/>
  <c r="V76" i="1"/>
  <c r="Q76" i="1"/>
  <c r="P76" i="1"/>
  <c r="O76" i="1"/>
  <c r="N76" i="1"/>
  <c r="V75" i="1"/>
  <c r="Q75" i="1"/>
  <c r="P75" i="1"/>
  <c r="O75" i="1"/>
  <c r="N75" i="1"/>
  <c r="V74" i="1"/>
  <c r="Q74" i="1"/>
  <c r="P74" i="1"/>
  <c r="O74" i="1"/>
  <c r="N74" i="1"/>
  <c r="V73" i="1"/>
  <c r="Q73" i="1"/>
  <c r="P73" i="1"/>
  <c r="O73" i="1"/>
  <c r="N73" i="1"/>
  <c r="V72" i="1"/>
  <c r="Q72" i="1"/>
  <c r="P72" i="1"/>
  <c r="O72" i="1"/>
  <c r="N72" i="1"/>
  <c r="V71" i="1"/>
  <c r="Q71" i="1"/>
  <c r="P71" i="1"/>
  <c r="O71" i="1"/>
  <c r="N71" i="1"/>
  <c r="V70" i="1"/>
  <c r="Q70" i="1"/>
  <c r="P70" i="1"/>
  <c r="O70" i="1"/>
  <c r="N70" i="1"/>
  <c r="V69" i="1"/>
  <c r="Q69" i="1"/>
  <c r="P69" i="1"/>
  <c r="O69" i="1"/>
  <c r="N69" i="1"/>
  <c r="V68" i="1"/>
  <c r="Q68" i="1"/>
  <c r="P68" i="1"/>
  <c r="O68" i="1"/>
  <c r="N68" i="1"/>
  <c r="V67" i="1"/>
  <c r="Q67" i="1"/>
  <c r="P67" i="1"/>
  <c r="O67" i="1"/>
  <c r="N67" i="1"/>
  <c r="V66" i="1"/>
  <c r="Q66" i="1"/>
  <c r="P66" i="1"/>
  <c r="O66" i="1"/>
  <c r="N66" i="1"/>
  <c r="V65" i="1"/>
  <c r="Q65" i="1"/>
  <c r="P65" i="1"/>
  <c r="O65" i="1"/>
  <c r="N65" i="1"/>
  <c r="V64" i="1"/>
  <c r="Q64" i="1"/>
  <c r="P64" i="1"/>
  <c r="O64" i="1"/>
  <c r="N64" i="1"/>
  <c r="V63" i="1"/>
  <c r="Q63" i="1"/>
  <c r="P63" i="1"/>
  <c r="O63" i="1"/>
  <c r="N63" i="1"/>
  <c r="V62" i="1"/>
  <c r="Q62" i="1"/>
  <c r="P62" i="1"/>
  <c r="O62" i="1"/>
  <c r="N62" i="1"/>
  <c r="V61" i="1"/>
  <c r="Q61" i="1"/>
  <c r="P61" i="1"/>
  <c r="O61" i="1"/>
  <c r="N61" i="1"/>
  <c r="V60" i="1"/>
  <c r="Q60" i="1"/>
  <c r="P60" i="1"/>
  <c r="O60" i="1"/>
  <c r="N60" i="1"/>
  <c r="V59" i="1"/>
  <c r="Q59" i="1"/>
  <c r="P59" i="1"/>
  <c r="O59" i="1"/>
  <c r="N59" i="1"/>
  <c r="V58" i="1"/>
  <c r="Q58" i="1"/>
  <c r="P58" i="1"/>
  <c r="O58" i="1"/>
  <c r="N58" i="1"/>
  <c r="V57" i="1"/>
  <c r="Q57" i="1"/>
  <c r="P57" i="1"/>
  <c r="O57" i="1"/>
  <c r="N57" i="1"/>
  <c r="H57" i="1"/>
  <c r="G57" i="1"/>
  <c r="V56" i="1"/>
  <c r="Q56" i="1"/>
  <c r="P56" i="1"/>
  <c r="O56" i="1"/>
  <c r="N56" i="1"/>
  <c r="H56" i="1"/>
  <c r="G56" i="1"/>
  <c r="V55" i="1"/>
  <c r="Q55" i="1"/>
  <c r="P55" i="1"/>
  <c r="O55" i="1"/>
  <c r="N55" i="1"/>
  <c r="H55" i="1"/>
  <c r="G55" i="1"/>
  <c r="V54" i="1"/>
  <c r="Q54" i="1"/>
  <c r="P54" i="1"/>
  <c r="O54" i="1"/>
  <c r="N54" i="1"/>
  <c r="V53" i="1"/>
  <c r="Q53" i="1"/>
  <c r="P53" i="1"/>
  <c r="O53" i="1"/>
  <c r="N53" i="1"/>
  <c r="V52" i="1"/>
  <c r="Q52" i="1"/>
  <c r="P52" i="1"/>
  <c r="O52" i="1"/>
  <c r="N52" i="1"/>
  <c r="V51" i="1"/>
  <c r="Q51" i="1"/>
  <c r="P51" i="1"/>
  <c r="O51" i="1"/>
  <c r="N51" i="1"/>
  <c r="V50" i="1"/>
  <c r="Q50" i="1"/>
  <c r="P50" i="1"/>
  <c r="O50" i="1"/>
  <c r="N50" i="1"/>
  <c r="V49" i="1"/>
  <c r="Q49" i="1"/>
  <c r="P49" i="1"/>
  <c r="O49" i="1"/>
  <c r="N49" i="1"/>
  <c r="V48" i="1"/>
  <c r="Q48" i="1"/>
  <c r="P48" i="1"/>
  <c r="O48" i="1"/>
  <c r="N48" i="1"/>
  <c r="V47" i="1"/>
  <c r="Q47" i="1"/>
  <c r="P47" i="1"/>
  <c r="O47" i="1"/>
  <c r="N47" i="1"/>
  <c r="V46" i="1"/>
  <c r="Q46" i="1"/>
  <c r="P46" i="1"/>
  <c r="O46" i="1"/>
  <c r="N46" i="1"/>
  <c r="V45" i="1"/>
  <c r="Q45" i="1"/>
  <c r="P45" i="1"/>
  <c r="O45" i="1"/>
  <c r="N45" i="1"/>
  <c r="V44" i="1"/>
  <c r="Q44" i="1"/>
  <c r="P44" i="1"/>
  <c r="O44" i="1"/>
  <c r="N44" i="1"/>
  <c r="V43" i="1"/>
  <c r="Q43" i="1"/>
  <c r="P43" i="1"/>
  <c r="O43" i="1"/>
  <c r="N43" i="1"/>
  <c r="V42" i="1"/>
  <c r="Q42" i="1"/>
  <c r="P42" i="1"/>
  <c r="O42" i="1"/>
  <c r="N42" i="1"/>
  <c r="V41" i="1"/>
  <c r="Q41" i="1"/>
  <c r="P41" i="1"/>
  <c r="O41" i="1"/>
  <c r="N41" i="1"/>
  <c r="V40" i="1"/>
  <c r="Q40" i="1"/>
  <c r="P40" i="1"/>
  <c r="O40" i="1"/>
  <c r="N40" i="1"/>
  <c r="V39" i="1"/>
  <c r="Q39" i="1"/>
  <c r="P39" i="1"/>
  <c r="O39" i="1"/>
  <c r="N39" i="1"/>
  <c r="V38" i="1"/>
  <c r="Q38" i="1"/>
  <c r="P38" i="1"/>
  <c r="O38" i="1"/>
  <c r="N38" i="1"/>
  <c r="V37" i="1"/>
  <c r="Q37" i="1"/>
  <c r="P37" i="1"/>
  <c r="O37" i="1"/>
  <c r="N37" i="1"/>
  <c r="V36" i="1"/>
  <c r="Q36" i="1"/>
  <c r="P36" i="1"/>
  <c r="O36" i="1"/>
  <c r="N36" i="1"/>
  <c r="V35" i="1"/>
  <c r="Q35" i="1"/>
  <c r="P35" i="1"/>
  <c r="O35" i="1"/>
  <c r="N35" i="1"/>
  <c r="V34" i="1"/>
  <c r="Q34" i="1"/>
  <c r="P34" i="1"/>
  <c r="O34" i="1"/>
  <c r="N34" i="1"/>
  <c r="V33" i="1"/>
  <c r="Q33" i="1"/>
  <c r="P33" i="1"/>
  <c r="O33" i="1"/>
  <c r="N33" i="1"/>
  <c r="V32" i="1"/>
  <c r="Q32" i="1"/>
  <c r="P32" i="1"/>
  <c r="O32" i="1"/>
  <c r="N32" i="1"/>
  <c r="V31" i="1"/>
  <c r="Q31" i="1"/>
  <c r="P31" i="1"/>
  <c r="O31" i="1"/>
  <c r="N31" i="1"/>
  <c r="V30" i="1"/>
  <c r="Q30" i="1"/>
  <c r="P30" i="1"/>
  <c r="O30" i="1"/>
  <c r="N30" i="1"/>
  <c r="V29" i="1"/>
  <c r="Q29" i="1"/>
  <c r="P29" i="1"/>
  <c r="O29" i="1"/>
  <c r="N29" i="1"/>
  <c r="V28" i="1"/>
  <c r="Q28" i="1"/>
  <c r="P28" i="1"/>
  <c r="O28" i="1"/>
  <c r="N28" i="1"/>
  <c r="V27" i="1"/>
  <c r="Q27" i="1"/>
  <c r="P27" i="1"/>
  <c r="O27" i="1"/>
  <c r="N27" i="1"/>
  <c r="V26" i="1"/>
  <c r="Q26" i="1"/>
  <c r="P26" i="1"/>
  <c r="O26" i="1"/>
  <c r="N26" i="1"/>
  <c r="V25" i="1"/>
  <c r="Q25" i="1"/>
  <c r="P25" i="1"/>
  <c r="O25" i="1"/>
  <c r="N25" i="1"/>
  <c r="V24" i="1"/>
  <c r="Q24" i="1"/>
  <c r="P24" i="1"/>
  <c r="O24" i="1"/>
  <c r="N24" i="1"/>
  <c r="V23" i="1"/>
  <c r="Q23" i="1"/>
  <c r="P23" i="1"/>
  <c r="O23" i="1"/>
  <c r="N23" i="1"/>
  <c r="V22" i="1"/>
  <c r="Q22" i="1"/>
  <c r="P22" i="1"/>
  <c r="O22" i="1"/>
  <c r="N22" i="1"/>
  <c r="V21" i="1"/>
  <c r="Q21" i="1"/>
  <c r="P21" i="1"/>
  <c r="O21" i="1"/>
  <c r="N21" i="1"/>
  <c r="V20" i="1"/>
  <c r="Q20" i="1"/>
  <c r="P20" i="1"/>
  <c r="O20" i="1"/>
  <c r="N20" i="1"/>
  <c r="V19" i="1"/>
  <c r="Q19" i="1"/>
  <c r="P19" i="1"/>
  <c r="O19" i="1"/>
  <c r="N19" i="1"/>
  <c r="V18" i="1"/>
  <c r="Q18" i="1"/>
  <c r="P18" i="1"/>
  <c r="O18" i="1"/>
  <c r="N18" i="1"/>
  <c r="V17" i="1"/>
  <c r="Q17" i="1"/>
  <c r="P17" i="1"/>
  <c r="O17" i="1"/>
  <c r="N17" i="1"/>
  <c r="V16" i="1"/>
  <c r="Q16" i="1"/>
  <c r="P16" i="1"/>
  <c r="O16" i="1"/>
  <c r="N16" i="1"/>
  <c r="V15" i="1"/>
  <c r="Q15" i="1"/>
  <c r="P15" i="1"/>
  <c r="O15" i="1"/>
  <c r="N15" i="1"/>
  <c r="V14" i="1"/>
  <c r="Q14" i="1"/>
  <c r="P14" i="1"/>
  <c r="O14" i="1"/>
  <c r="N14" i="1"/>
  <c r="V13" i="1"/>
  <c r="Q13" i="1"/>
  <c r="P13" i="1"/>
  <c r="O13" i="1"/>
  <c r="N13" i="1"/>
  <c r="V12" i="1"/>
  <c r="Q12" i="1"/>
  <c r="P12" i="1"/>
  <c r="O12" i="1"/>
  <c r="N12" i="1"/>
  <c r="V11" i="1"/>
  <c r="Q11" i="1"/>
  <c r="P11" i="1"/>
  <c r="O11" i="1"/>
  <c r="N11" i="1"/>
  <c r="V10" i="1"/>
  <c r="Q10" i="1"/>
  <c r="P10" i="1"/>
  <c r="O10" i="1"/>
  <c r="N10" i="1"/>
  <c r="V9" i="1"/>
  <c r="Q9" i="1"/>
  <c r="P9" i="1"/>
  <c r="O9" i="1"/>
  <c r="N9" i="1"/>
  <c r="V8" i="1"/>
  <c r="Q8" i="1"/>
  <c r="P8" i="1"/>
  <c r="O8" i="1"/>
  <c r="N8" i="1"/>
  <c r="V7" i="1"/>
  <c r="Q7" i="1"/>
  <c r="P7" i="1"/>
  <c r="O7" i="1"/>
  <c r="N7" i="1"/>
  <c r="V6" i="1"/>
  <c r="Q6" i="1"/>
  <c r="P6" i="1"/>
  <c r="O6" i="1"/>
  <c r="N6" i="1"/>
  <c r="V5" i="1"/>
  <c r="Q5" i="1"/>
  <c r="P5" i="1"/>
  <c r="O5" i="1"/>
  <c r="N5" i="1"/>
  <c r="V4" i="1"/>
  <c r="Q4" i="1"/>
  <c r="P4" i="1"/>
  <c r="O4" i="1"/>
  <c r="N4" i="1"/>
  <c r="V3" i="1"/>
  <c r="Q3" i="1"/>
  <c r="P3" i="1"/>
  <c r="O3" i="1"/>
  <c r="N3" i="1"/>
  <c r="V2" i="1"/>
  <c r="Q2" i="1"/>
  <c r="P2" i="1"/>
  <c r="O2" i="1"/>
  <c r="N2" i="1"/>
  <c r="I2" i="1"/>
  <c r="V1" i="1"/>
  <c r="Q1" i="1"/>
  <c r="P1" i="1"/>
  <c r="O1" i="1"/>
  <c r="N1" i="1"/>
  <c r="I1" i="1"/>
</calcChain>
</file>

<file path=xl/sharedStrings.xml><?xml version="1.0" encoding="utf-8"?>
<sst xmlns="http://schemas.openxmlformats.org/spreadsheetml/2006/main" count="70060" uniqueCount="69711">
  <si>
    <t>9763-20170724T110956.888141600.bin</t>
  </si>
  <si>
    <t>-739.956122154256 31.6842193080333 -59.8061173451202</t>
  </si>
  <si>
    <t>-777.895717562762 23.397461665129 -168.930505019309</t>
  </si>
  <si>
    <t>-790.879258373115 20.0684914370549 -266.639231074495</t>
  </si>
  <si>
    <t>-795.08659419451 17.5294417198434 -355.600363765731</t>
  </si>
  <si>
    <t>-791.373640967855 14.9021094982027 -444.580981544114</t>
  </si>
  <si>
    <t>-777.921620094503 10.5881998513355 -568.360171974628</t>
  </si>
  <si>
    <t>-781.226335068588 40.0636466139849 -514.567983908651</t>
  </si>
  <si>
    <t>-765.276564927189 176.132055530245 -503.417045089151</t>
  </si>
  <si>
    <t>-817.065045354607 238.816601727472 -220.610015326842</t>
  </si>
  <si>
    <t>-587.993830591766 164.168399027278 -218.403534151326</t>
  </si>
  <si>
    <t>-765.129233180721 122.694342481602 -58.0126069454262</t>
  </si>
  <si>
    <t>-742.406792474508 276.390592082711 314.433087951767</t>
  </si>
  <si>
    <t>-819.098316908929 351.476109301949 749.001930006196</t>
  </si>
  <si>
    <t>-694.776006284261 427.317088627544 811.286722099989</t>
  </si>
  <si>
    <t>-715.701567907646 -28.2480903708838 338.64113728413</t>
  </si>
  <si>
    <t>-718.851177358013 30.0938804503485 782.313000402499</t>
  </si>
  <si>
    <t>-581.752838771903 -8.99304953286719 851.331533652227</t>
  </si>
  <si>
    <t>9763-20170724T110956.914713800.bin</t>
  </si>
  <si>
    <t>-742.201187227749 32.6339179248416 -59.7636213782421</t>
  </si>
  <si>
    <t>-779.351691989664 25.0970255825164 -169.213377100076</t>
  </si>
  <si>
    <t>-792.283588965104 22.3309177725273 -266.946567655685</t>
  </si>
  <si>
    <t>-796.713812711889 20.3122727701134 -355.910294874891</t>
  </si>
  <si>
    <t>-793.491706460442 18.2362299624965 -444.924606868558</t>
  </si>
  <si>
    <t>-780.99998113443 14.7466358535444 -568.830140799124</t>
  </si>
  <si>
    <t>-783.644834034526 43.8398486394435 -514.793998710375</t>
  </si>
  <si>
    <t>-766.328789315881 179.679178031809 -502.81405690953</t>
  </si>
  <si>
    <t>-816.919922881224 241.260316525544 -219.548232444977</t>
  </si>
  <si>
    <t>-587.926873285776 166.340316713411 -219.305243991477</t>
  </si>
  <si>
    <t>-765.941655596192 122.960119951019 -57.9256456406359</t>
  </si>
  <si>
    <t>-741.51691373011 277.085690348695 314.234741677935</t>
  </si>
  <si>
    <t>-819.364403780542 351.561256065624 748.559942453274</t>
  </si>
  <si>
    <t>-694.655845758167 426.83077823586 810.765828154182</t>
  </si>
  <si>
    <t>-719.811593428296 -28.4278894468443 338.740696218407</t>
  </si>
  <si>
    <t>-718.839115376248 29.8245534887105 782.528434844371</t>
  </si>
  <si>
    <t>-581.749136179558 -9.41255105136861 851.478579765095</t>
  </si>
  <si>
    <t>9763-20170724T110956.987912600.bin</t>
  </si>
  <si>
    <t>-746.406109136111 32.4628253730134 -59.2344857393368</t>
  </si>
  <si>
    <t>-782.160777675091 26.8583466080563 -169.263660757019</t>
  </si>
  <si>
    <t>-794.976600195081 25.3367654290014 -267.039475017557</t>
  </si>
  <si>
    <t>-799.782684387262 24.3684213286174 -356.001169344034</t>
  </si>
  <si>
    <t>-797.422441641892 23.3092544133387 -445.060528511452</t>
  </si>
  <si>
    <t>-786.639051399744 21.2508216219298 -569.158422704521</t>
  </si>
  <si>
    <t>-743.859274308023 6.90067601672536 -638.936735247144</t>
  </si>
  <si>
    <t>-788.050948958881 49.6640391175197 -514.715752918212</t>
  </si>
  <si>
    <t>-767.974973702628 185.009761844966 -501.19152505136</t>
  </si>
  <si>
    <t>-815.241236837809 243.775480641199 -216.755736126962</t>
  </si>
  <si>
    <t>-586.354474580465 168.628920521453 -220.590096116707</t>
  </si>
  <si>
    <t>-767.440216553415 121.949413071245 -57.0051920860823</t>
  </si>
  <si>
    <t>-738.745578610156 276.973485333861 314.476763904325</t>
  </si>
  <si>
    <t>-820.028282366588 351.744213685847 747.927692401914</t>
  </si>
  <si>
    <t>-694.430463498255 425.677823200559 809.945981264784</t>
  </si>
  <si>
    <t>-726.225265366478 -29.322901083352 339.068516385634</t>
  </si>
  <si>
    <t>-718.900609870811 29.5797897979314 782.950615510496</t>
  </si>
  <si>
    <t>-582.012149536876 -10.6509037150799 851.72820797811</t>
  </si>
  <si>
    <t>9763-20170724T110957.022501900.bin</t>
  </si>
  <si>
    <t>-748.091678533022 31.4818697413375 -58.6756837757055</t>
  </si>
  <si>
    <t>-783.315154526999 26.8587306141403 -168.921545882364</t>
  </si>
  <si>
    <t>-796.121781839992 25.882572626791 -266.705498276412</t>
  </si>
  <si>
    <t>-801.122555382204 25.3327171828018 -355.660220506806</t>
  </si>
  <si>
    <t>-799.166069361396 24.6378913000258 -444.732815136879</t>
  </si>
  <si>
    <t>-789.165702789292 23.0542271212794 -568.903275669647</t>
  </si>
  <si>
    <t>-747.515496184187 9.01513976528304 -639.424096024361</t>
  </si>
  <si>
    <t>-790.030271017203 51.2336184262108 -514.327649684763</t>
  </si>
  <si>
    <t>-768.590544247931 186.30925327803 -500.107484482697</t>
  </si>
  <si>
    <t>-813.797650058993 243.751072637177 -215.067311423484</t>
  </si>
  <si>
    <t>-585.015590033688 168.394480902087 -220.636288479929</t>
  </si>
  <si>
    <t>-767.747121294111 120.749191128651 -56.2253610937586</t>
  </si>
  <si>
    <t>-736.733296538423 276.18171748329 314.899230573731</t>
  </si>
  <si>
    <t>-820.134180507221 351.542012933101 747.782220288308</t>
  </si>
  <si>
    <t>-694.276719701561 425.099044431051 809.722342140642</t>
  </si>
  <si>
    <t>-728.680353795697 -30.1217324230206 339.334839257769</t>
  </si>
  <si>
    <t>-718.977903871705 29.2108081594092 783.192261314238</t>
  </si>
  <si>
    <t>-582.093864903735 -11.2453803011449 851.845852167296</t>
  </si>
  <si>
    <t>9763-20170724T110957.084198300.bin</t>
  </si>
  <si>
    <t>-750.141973716405 29.3051530290163 -57.7475007200408</t>
  </si>
  <si>
    <t>-784.890489882802 26.3049581343466 -168.20004484282</t>
  </si>
  <si>
    <t>-797.927896243565 26.0684734636984 -265.957946859506</t>
  </si>
  <si>
    <t>-803.436007469451 26.0000061955943 -354.884334048966</t>
  </si>
  <si>
    <t>-802.297043257548 25.632271225651 -443.973246162239</t>
  </si>
  <si>
    <t>-793.768702823784 24.3821910229608 -568.257172402652</t>
  </si>
  <si>
    <t>-754.155470874549 10.7745383903803 -640.025297396293</t>
  </si>
  <si>
    <t>-793.658395517033 52.3706264459051 -513.576794417176</t>
  </si>
  <si>
    <t>-769.881183632487 186.965135752587 -498.672948011545</t>
  </si>
  <si>
    <t>-810.639897324314 242.792212401263 -212.642809511987</t>
  </si>
  <si>
    <t>-582.322772860662 166.250084461735 -220.605212767339</t>
  </si>
  <si>
    <t>-767.131985612385 117.925030518364 -54.8967198400123</t>
  </si>
  <si>
    <t>-732.400941576556 273.914688567521 315.66450661309</t>
  </si>
  <si>
    <t>-819.897547468974 350.519820234257 746.982911214548</t>
  </si>
  <si>
    <t>-693.68259830643 423.602493510839 808.756581470294</t>
  </si>
  <si>
    <t>-732.463208280033 -31.7294515329754 339.923457097828</t>
  </si>
  <si>
    <t>-719.130982623809 28.6347080000128 783.71635868935</t>
  </si>
  <si>
    <t>-582.339713448208 -12.6357182347638 852.070227684088</t>
  </si>
  <si>
    <t>9763-20170724T110957.120796000.bin</t>
  </si>
  <si>
    <t>-750.734273945711 28.3289212099567 -57.4100429838508</t>
  </si>
  <si>
    <t>-785.367849090336 25.9095230053354 -167.912976693431</t>
  </si>
  <si>
    <t>-798.504361432167 25.817194151377 -265.657861478892</t>
  </si>
  <si>
    <t>-804.200777609692 25.7717122507524 -354.572365254776</t>
  </si>
  <si>
    <t>-803.355677796716 25.3381968252388 -443.664187092376</t>
  </si>
  <si>
    <t>-795.35042348457 23.9219237541161 -567.981126338787</t>
  </si>
  <si>
    <t>-756.617107643772 10.5002792071841 -640.262964292762</t>
  </si>
  <si>
    <t>-794.992970553438 51.9811058070086 -513.338113350897</t>
  </si>
  <si>
    <t>-770.779532547778 186.494360521929 -498.433964054119</t>
  </si>
  <si>
    <t>-808.753860243397 242.131912337888 -211.983820036279</t>
  </si>
  <si>
    <t>-580.868276645845 164.417278080424 -220.899274615678</t>
  </si>
  <si>
    <t>-766.842110830544 116.751574630143 -54.4929038534112</t>
  </si>
  <si>
    <t>-730.548623741385 272.688958963991 315.940655850719</t>
  </si>
  <si>
    <t>-819.795143596601 350.069656171491 746.612920139361</t>
  </si>
  <si>
    <t>-693.549440978749 423.17881575052 808.292358976065</t>
  </si>
  <si>
    <t>-733.994492046103 -32.6400820082404 340.179778195574</t>
  </si>
  <si>
    <t>-719.069012590863 27.939956260183 783.955233969742</t>
  </si>
  <si>
    <t>-582.344150644986 -13.8195990287122 852.144110037694</t>
  </si>
  <si>
    <t>9763-20170724T110957.183970600.bin</t>
  </si>
  <si>
    <t>-751.177845512367 27.0277632268317 -57.2625297192743</t>
  </si>
  <si>
    <t>-785.585078115124 25.1346038105016 -167.846271086298</t>
  </si>
  <si>
    <t>-798.792620239694 25.0284521597023 -265.581616506532</t>
  </si>
  <si>
    <t>-804.682897662216 24.8416051910672 -354.483329453081</t>
  </si>
  <si>
    <t>-804.168771672864 24.1738630625719 -443.576195429205</t>
  </si>
  <si>
    <t>-796.770856141556 22.3667018156475 -567.925782333764</t>
  </si>
  <si>
    <t>-759.710183951216 9.40181008800164 -641.16135455373</t>
  </si>
  <si>
    <t>-796.451463198794 50.63876031783 -513.392322921437</t>
  </si>
  <si>
    <t>-773.274044441571 185.320969753157 -498.427873255378</t>
  </si>
  <si>
    <t>-805.817762963769 241.873768347032 -211.489122418246</t>
  </si>
  <si>
    <t>-578.549355680148 162.668258939201 -222.731225458619</t>
  </si>
  <si>
    <t>-766.339541729557 115.368043511135 -54.2947009821685</t>
  </si>
  <si>
    <t>-728.971098954592 271.020545269978 316.151809302449</t>
  </si>
  <si>
    <t>-819.808619000848 349.865855857652 746.121211082578</t>
  </si>
  <si>
    <t>-693.728050690268 423.330843423389 807.715860744557</t>
  </si>
  <si>
    <t>-735.341110944374 -33.4664670498764 340.353364974653</t>
  </si>
  <si>
    <t>-719.099522225383 27.4681503081797 784.116443618716</t>
  </si>
  <si>
    <t>-582.209663421786 -14.1897926164061 852.036259885985</t>
  </si>
  <si>
    <t>9763-20170724T110957.215054900.bin</t>
  </si>
  <si>
    <t>-750.856751131838 26.9369592718158 -57.4670837724314</t>
  </si>
  <si>
    <t>-785.23701756147 24.8257742551627 -168.055303052876</t>
  </si>
  <si>
    <t>-798.487340560291 24.5741860918479 -265.784625728278</t>
  </si>
  <si>
    <t>-804.441283360604 24.2865063790096 -354.681774680445</t>
  </si>
  <si>
    <t>-804.013406881635 23.5612673696314 -443.774621781162</t>
  </si>
  <si>
    <t>-796.755577608871 21.7279678583582 -568.132115559695</t>
  </si>
  <si>
    <t>-760.427277583257 9.08419772361776 -641.789543977903</t>
  </si>
  <si>
    <t>-796.658850242139 50.0468974443916 -513.622076452177</t>
  </si>
  <si>
    <t>-774.716198677258 184.92567179744 -498.588612073986</t>
  </si>
  <si>
    <t>-804.76683906901 242.036244257807 -211.4882691033</t>
  </si>
  <si>
    <t>-577.587169584406 162.781537226218 -224.097187368208</t>
  </si>
  <si>
    <t>-766.442118697363 115.392424814778 -54.6025407585079</t>
  </si>
  <si>
    <t>-729.412904116747 270.493380300277 316.109190165297</t>
  </si>
  <si>
    <t>-819.863210761668 349.966875792529 746.012323664606</t>
  </si>
  <si>
    <t>-693.672726465354 423.240702297798 807.610029058789</t>
  </si>
  <si>
    <t>-734.716417538208 -33.622194272808 340.2781575021</t>
  </si>
  <si>
    <t>-719.027020543403 27.2620487918252 784.12444741115</t>
  </si>
  <si>
    <t>-582.118810181093 -14.3657146977876 852.025385141036</t>
  </si>
  <si>
    <t>9763-20170724T110957.281744700.bin</t>
  </si>
  <si>
    <t>-749.412099768018 28.1426749291754 -58.1596139771552</t>
  </si>
  <si>
    <t>-783.995055992437 24.9047166687956 -168.657406965929</t>
  </si>
  <si>
    <t>-797.365893846748 24.0164506222104 -266.366609299773</t>
  </si>
  <si>
    <t>-803.392016629127 23.2683313623365 -355.256349180581</t>
  </si>
  <si>
    <t>-802.990077107839 22.2005648404688 -444.345670642629</t>
  </si>
  <si>
    <t>-795.714837341404 20.0079041234426 -568.696466161692</t>
  </si>
  <si>
    <t>-760.484229123489 7.90232595288944 -642.974770929762</t>
  </si>
  <si>
    <t>-796.150516232402 48.5415605102435 -514.300133820584</t>
  </si>
  <si>
    <t>-776.37581238267 183.73540928332 -499.239904872133</t>
  </si>
  <si>
    <t>-802.874341033884 243.522044554119 -212.33475259043</t>
  </si>
  <si>
    <t>-575.833423404271 164.198449315184 -226.85978352572</t>
  </si>
  <si>
    <t>-767.03415876525 117.1951404907 -55.8181665147318</t>
  </si>
  <si>
    <t>-732.32758249432 270.944881490214 315.680316548571</t>
  </si>
  <si>
    <t>-820.247646891212 350.782434196034 746.085425352959</t>
  </si>
  <si>
    <t>-694.257998437576 424.396746170776 807.687414781662</t>
  </si>
  <si>
    <t>-732.315421650671 -33.5391355500688 339.939134841418</t>
  </si>
  <si>
    <t>-718.861475123066 26.8351382674068 783.971722974655</t>
  </si>
  <si>
    <t>-581.770922867687 -14.0559457743566 851.952552513697</t>
  </si>
  <si>
    <t>9763-20170724T110957.317190100.bin</t>
  </si>
  <si>
    <t>-748.325380600402 29.2816295910879 -58.6329873766284</t>
  </si>
  <si>
    <t>-782.978592387956 25.4711847467183 -169.090524476603</t>
  </si>
  <si>
    <t>-796.398237635544 24.2822189680028 -266.789825347843</t>
  </si>
  <si>
    <t>-802.453598853432 23.3256718068242 -355.67541027934</t>
  </si>
  <si>
    <t>-802.063076933952 22.110843943869 -444.763064132625</t>
  </si>
  <si>
    <t>-794.780862260931 19.7729054872548 -569.110679003509</t>
  </si>
  <si>
    <t>-759.938516363024 7.9338946607545 -643.61492389093</t>
  </si>
  <si>
    <t>-795.429155779181 48.3902181120297 -514.760397881764</t>
  </si>
  <si>
    <t>-776.377188503321 183.681568516208 -499.811816412948</t>
  </si>
  <si>
    <t>-801.68630185548 244.985907412601 -213.119430651304</t>
  </si>
  <si>
    <t>-574.746981040254 165.434108603622 -227.985633972731</t>
  </si>
  <si>
    <t>-766.991210613225 118.726952530191 -56.4541614615829</t>
  </si>
  <si>
    <t>-734.035229302715 272.276245009219 315.286631437749</t>
  </si>
  <si>
    <t>-820.554546877737 351.466840709539 746.227440892146</t>
  </si>
  <si>
    <t>-694.841249472425 425.523225896729 807.864784896179</t>
  </si>
  <si>
    <t>-730.87023499629 -33.1692096854867 339.719731687841</t>
  </si>
  <si>
    <t>-718.722638063975 26.78446444477 783.852090076903</t>
  </si>
  <si>
    <t>-581.694930359446 -14.182217025817 851.913705145997</t>
  </si>
  <si>
    <t>9763-20170724T110957.386877900.bin</t>
  </si>
  <si>
    <t>-746.288448123482 31.7047702082082 -59.4141149894251</t>
  </si>
  <si>
    <t>-780.673514891524 26.8654158925528 -169.915100563906</t>
  </si>
  <si>
    <t>-794.193142389437 25.2556695360054 -267.594648749475</t>
  </si>
  <si>
    <t>-800.454099787069 24.112754290727 -356.463857101427</t>
  </si>
  <si>
    <t>-800.371856622424 22.9184146747575 -445.552601942476</t>
  </si>
  <si>
    <t>-793.615278373688 20.8322164892261 -569.934301968866</t>
  </si>
  <si>
    <t>-759.450708882742 9.58796462079044 -644.843332813409</t>
  </si>
  <si>
    <t>-794.390975950538 49.3699736136577 -515.543904908754</t>
  </si>
  <si>
    <t>-776.679942151238 184.858058890303 -500.553148453568</t>
  </si>
  <si>
    <t>-799.31617267595 249.00676527756 -214.26013984232</t>
  </si>
  <si>
    <t>-572.652483841574 168.822571869743 -229.907669402416</t>
  </si>
  <si>
    <t>-766.143881180843 121.944738300676 -57.5660407147552</t>
  </si>
  <si>
    <t>-736.567439494998 275.850518817515 314.311507590832</t>
  </si>
  <si>
    <t>-821.16624556767 352.945327993373 746.420956902404</t>
  </si>
  <si>
    <t>-695.778708267331 427.412119056191 808.226457413919</t>
  </si>
  <si>
    <t>-728.732099855406 -32.6858511825776 339.506090607603</t>
  </si>
  <si>
    <t>-718.572332476776 26.3204389840421 783.691762809571</t>
  </si>
  <si>
    <t>-581.406414548294 -13.998399318838 851.86200563022</t>
  </si>
  <si>
    <t>9763-20170724T110957.419466000.bin</t>
  </si>
  <si>
    <t>-745.555838328229 32.8051194715276 -59.6219905754167</t>
  </si>
  <si>
    <t>-779.7426908712 27.6724160697922 -170.171246868179</t>
  </si>
  <si>
    <t>-793.293754338131 25.9447152791745 -267.844373452211</t>
  </si>
  <si>
    <t>-799.661494095189 24.764717167523 -356.705524217073</t>
  </si>
  <si>
    <t>-799.759966003116 23.6144752841201 -445.794895644346</t>
  </si>
  <si>
    <t>-793.327487492642 21.6841820276477 -570.196201023354</t>
  </si>
  <si>
    <t>-759.497690350561 10.673717891143 -645.291798873141</t>
  </si>
  <si>
    <t>-794.124752478896 50.1660956517358 -515.776929407794</t>
  </si>
  <si>
    <t>-777.17449457811 185.749808222236 -500.725636227136</t>
  </si>
  <si>
    <t>-798.374877956365 250.423486186967 -214.440756044722</t>
  </si>
  <si>
    <t>-571.803469472519 170.103643580702 -230.721245790679</t>
  </si>
  <si>
    <t>-765.602627675263 123.39002871465 -57.9900785457417</t>
  </si>
  <si>
    <t>-737.096064459163 277.26625513175 313.983244951348</t>
  </si>
  <si>
    <t>-821.459599048459 353.632541453168 746.412277561382</t>
  </si>
  <si>
    <t>-696.443663769277 428.662284574733 808.290000200812</t>
  </si>
  <si>
    <t>-728.05211944887 -32.453404265088 339.518136369751</t>
  </si>
  <si>
    <t>-718.495343180055 26.1694757527739 783.668695906093</t>
  </si>
  <si>
    <t>-581.339059975968 -14.0953181325885 851.890287762152</t>
  </si>
  <si>
    <t>9763-20170724T110957.482635700.bin</t>
  </si>
  <si>
    <t>-744.903182854108 33.7470043317985 -59.802249825257</t>
  </si>
  <si>
    <t>-779.005061514831 28.4533457888356 -170.370156122168</t>
  </si>
  <si>
    <t>-792.697244308314 26.6526761876908 -268.022397303443</t>
  </si>
  <si>
    <t>-799.27877094185 25.4554646940896 -356.867715833375</t>
  </si>
  <si>
    <t>-799.674253441814 24.3545769180214 -445.956833042031</t>
  </si>
  <si>
    <t>-793.739046061209 22.5765984034856 -570.385167200556</t>
  </si>
  <si>
    <t>-760.578041833637 11.9896277396838 -645.839042720469</t>
  </si>
  <si>
    <t>-794.591133961604 51.0103684857791 -515.941545124954</t>
  </si>
  <si>
    <t>-778.887852035383 186.734121223144 -500.585453813966</t>
  </si>
  <si>
    <t>-798.329927670123 250.53179307573 -213.979216151124</t>
  </si>
  <si>
    <t>-571.745492063851 170.621760632267 -232.003183024612</t>
  </si>
  <si>
    <t>-765.250799694766 124.564410742191 -58.2300135580653</t>
  </si>
  <si>
    <t>-736.493809181609 277.987402926878 313.911301487123</t>
  </si>
  <si>
    <t>-821.966642282464 354.188070446241 746.275130710361</t>
  </si>
  <si>
    <t>-696.555294652057 428.567226135404 808.137947209491</t>
  </si>
  <si>
    <t>-727.185731993249 -32.1249485213184 339.510267425923</t>
  </si>
  <si>
    <t>-718.250600677893 26.2106686255524 783.663155093629</t>
  </si>
  <si>
    <t>-581.162837379423 -14.1859492904191 851.944526618706</t>
  </si>
  <si>
    <t>9763-20170724T110957.519377700.bin</t>
  </si>
  <si>
    <t>-744.831323351324 33.7972931933755 -59.7244325126533</t>
  </si>
  <si>
    <t>-779.058216665365 28.4076112835937 -170.249033088781</t>
  </si>
  <si>
    <t>-792.874710451124 26.5531097700027 -267.882665177587</t>
  </si>
  <si>
    <t>-799.572880488207 25.3130744762184 -356.718708315318</t>
  </si>
  <si>
    <t>-800.088903771925 24.1747965694617 -445.806732733154</t>
  </si>
  <si>
    <t>-794.325191054597 22.3485159550837 -570.242557021704</t>
  </si>
  <si>
    <t>-761.459699568932 11.8834906197453 -645.842543084321</t>
  </si>
  <si>
    <t>-795.194228890217 50.8089654883565 -515.813166992023</t>
  </si>
  <si>
    <t>-779.977631078046 186.563177416459 -500.358585388625</t>
  </si>
  <si>
    <t>-798.819857412008 249.435667058363 -213.507948246277</t>
  </si>
  <si>
    <t>-572.356423547492 169.4104273807 -232.510754328038</t>
  </si>
  <si>
    <t>-765.771088876866 124.248230959009 -57.981256285986</t>
  </si>
  <si>
    <t>-735.583110865567 277.85441787428 313.970879596635</t>
  </si>
  <si>
    <t>-821.973787632553 353.995476844311 746.155205240192</t>
  </si>
  <si>
    <t>-696.631395266357 428.53461453514 807.966064875117</t>
  </si>
  <si>
    <t>-726.789489971178 -32.143882721266 339.509102089649</t>
  </si>
  <si>
    <t>-718.084795792762 26.2205801590358 783.651124984762</t>
  </si>
  <si>
    <t>-580.987682520615 -14.1088786894684 851.953718945336</t>
  </si>
  <si>
    <t>9763-20170724T110957.581042300.bin</t>
  </si>
  <si>
    <t>-744.610032138755 33.4285745664993 -59.1941193231705</t>
  </si>
  <si>
    <t>-778.90581540091 27.8100211479014 -169.686044861753</t>
  </si>
  <si>
    <t>-792.798311252842 25.7125232140115 -267.303880483494</t>
  </si>
  <si>
    <t>-799.571293765 24.2089554830682 -356.130265174565</t>
  </si>
  <si>
    <t>-800.170403298353 22.7551923959459 -445.213182816532</t>
  </si>
  <si>
    <t>-794.534319544679 20.4235089012168 -569.646260267899</t>
  </si>
  <si>
    <t>-762.116952614326 9.93035766625826 -645.435654204996</t>
  </si>
  <si>
    <t>-795.479036632996 49.1123721705067 -515.33819544345</t>
  </si>
  <si>
    <t>-781.007419950384 184.959224200587 -499.962353895532</t>
  </si>
  <si>
    <t>-798.491873520793 246.506369253434 -212.738514390816</t>
  </si>
  <si>
    <t>-572.93476499816 164.582892458391 -234.26381485459</t>
  </si>
  <si>
    <t>-766.982855098559 123.224574950088 -57.2000199615449</t>
  </si>
  <si>
    <t>-732.771245616362 277.459918491433 314.143174524366</t>
  </si>
  <si>
    <t>-821.883893656111 353.31902897821 745.573395098715</t>
  </si>
  <si>
    <t>-696.17331912419 427.388628958774 807.199717702695</t>
  </si>
  <si>
    <t>-726.069506106761 -32.5033112998267 339.569203919418</t>
  </si>
  <si>
    <t>-717.752161732672 26.4799327581059 783.520458439055</t>
  </si>
  <si>
    <t>-580.757330388844 -14.0440638185 851.91256581295</t>
  </si>
  <si>
    <t>9763-20170724T110957.618518100.bin</t>
  </si>
  <si>
    <t>-744.299243823313 33.3729047800739 -58.9626176785414</t>
  </si>
  <si>
    <t>-778.329078565486 27.7600149338923 -169.536977619898</t>
  </si>
  <si>
    <t>-792.021910758873 25.6255815401337 -267.182270011249</t>
  </si>
  <si>
    <t>-798.627610784092 24.0603778760583 -356.020081804994</t>
  </si>
  <si>
    <t>-799.075425860796 22.5136400710876 -445.102350897456</t>
  </si>
  <si>
    <t>-793.247760596865 20.0141466804148 -569.523364332806</t>
  </si>
  <si>
    <t>-760.937185671269 9.53390688984564 -645.360169251668</t>
  </si>
  <si>
    <t>-794.342847507295 48.7798500555127 -515.258838615697</t>
  </si>
  <si>
    <t>-780.224943655414 184.60599230249 -499.841419321541</t>
  </si>
  <si>
    <t>-797.158905182937 246.471292150963 -212.653134913321</t>
  </si>
  <si>
    <t>-572.646290672593 162.041373316057 -235.378069939631</t>
  </si>
  <si>
    <t>-767.335894781414 123.107095738738 -56.9164450384804</t>
  </si>
  <si>
    <t>-730.792766767003 277.417201322113 314.173379135391</t>
  </si>
  <si>
    <t>-821.863670899364 352.983497513203 745.238604284069</t>
  </si>
  <si>
    <t>-695.975787525252 426.863947899126 806.729934647229</t>
  </si>
  <si>
    <t>-725.82681759493 -32.8750954876646 339.558925730069</t>
  </si>
  <si>
    <t>-717.62773630613 26.495729481454 783.440797477908</t>
  </si>
  <si>
    <t>-580.587133491317 -13.8310793338169 851.858316069068</t>
  </si>
  <si>
    <t>9763-20170724T110957.685197400.bin</t>
  </si>
  <si>
    <t>-743.577875774386 34.0166661546036 -59.0598041228075</t>
  </si>
  <si>
    <t>-777.190304120811 28.4545027244485 -169.764288095332</t>
  </si>
  <si>
    <t>-790.624386862988 26.5774302845048 -267.450929168437</t>
  </si>
  <si>
    <t>-797.028621517865 25.3157386107591 -356.308199485455</t>
  </si>
  <si>
    <t>-797.303036835704 24.138845810829 -445.396881464511</t>
  </si>
  <si>
    <t>-791.26048330653 22.2189140165533 -569.818048120206</t>
  </si>
  <si>
    <t>-759.21947284987 12.1945628433591 -645.830671186334</t>
  </si>
  <si>
    <t>-792.528698257863 50.7355573242075 -515.425931580099</t>
  </si>
  <si>
    <t>-778.792325059424 186.550229639927 -499.491758641115</t>
  </si>
  <si>
    <t>-795.529811962985 249.960452522637 -212.629193366252</t>
  </si>
  <si>
    <t>-574.121529192495 158.458295998404 -238.253382008235</t>
  </si>
  <si>
    <t>-767.240447244499 123.066817486523 -56.5526199976174</t>
  </si>
  <si>
    <t>-727.027605768972 278.740929940447 313.586814231302</t>
  </si>
  <si>
    <t>-821.820449435859 352.554398553433 744.410666513488</t>
  </si>
  <si>
    <t>-695.790156822536 426.255917454481 805.825002723747</t>
  </si>
  <si>
    <t>-725.889504814162 -32.8488209579568 339.460469479016</t>
  </si>
  <si>
    <t>-717.419930050322 26.7474992864886 783.374874967331</t>
  </si>
  <si>
    <t>-580.48194799102 -13.9090364459289 851.802844158203</t>
  </si>
  <si>
    <t>9763-20170724T110957.717316900.bin</t>
  </si>
  <si>
    <t>-743.398736208797 34.7453418151126 -59.2124479517686</t>
  </si>
  <si>
    <t>-776.893884362862 29.1543194936357 -169.951054037032</t>
  </si>
  <si>
    <t>-790.365742553825 27.4367684682179 -267.635259984224</t>
  </si>
  <si>
    <t>-796.85167915929 26.3936804647833 -356.489636059172</t>
  </si>
  <si>
    <t>-797.251932624585 25.5091692300157 -445.581180801305</t>
  </si>
  <si>
    <t>-791.425434417154 24.0744585278349 -570.019105743512</t>
  </si>
  <si>
    <t>-759.550001642029 14.3911871013456 -646.145332297222</t>
  </si>
  <si>
    <t>-792.559099270599 52.3766910184049 -515.512217092844</t>
  </si>
  <si>
    <t>-778.543886127525 188.144597650298 -499.276794439738</t>
  </si>
  <si>
    <t>-795.321638317583 251.465293159826 -212.396585802233</t>
  </si>
  <si>
    <t>-575.811549609206 155.895817976857 -239.46354740425</t>
  </si>
  <si>
    <t>-767.265402205141 123.637419577832 -56.6766181565785</t>
  </si>
  <si>
    <t>-725.836877179011 279.157582517605 313.393427853984</t>
  </si>
  <si>
    <t>-821.789199345723 352.392917140148 744.002079258814</t>
  </si>
  <si>
    <t>-695.809577032366 426.170707877519 805.42854980343</t>
  </si>
  <si>
    <t>-725.475639646222 -32.4776907164455 339.348733100923</t>
  </si>
  <si>
    <t>-717.301721513955 26.9107668273177 783.316175747925</t>
  </si>
  <si>
    <t>-580.497989677929 -14.1371076428154 851.778588442697</t>
  </si>
  <si>
    <t>9763-20170724T110957.784523300.bin</t>
  </si>
  <si>
    <t>-742.875670160189 35.4808481262698 -59.7633075468023</t>
  </si>
  <si>
    <t>-776.528968904651 29.7581255025034 -170.447232248272</t>
  </si>
  <si>
    <t>-790.444882558658 28.2407021822651 -268.072667979477</t>
  </si>
  <si>
    <t>-797.445292154857 27.5261624688592 -356.891063094911</t>
  </si>
  <si>
    <t>-798.461628767875 27.1244441520685 -445.981174723981</t>
  </si>
  <si>
    <t>-793.59158991741 26.5343812097667 -570.467144537922</t>
  </si>
  <si>
    <t>-762.091903449621 17.5538210495042 -646.835649575807</t>
  </si>
  <si>
    <t>-794.13393805131 54.4567464576198 -515.755506091245</t>
  </si>
  <si>
    <t>-778.919372909082 190.079002744552 -499.120538848164</t>
  </si>
  <si>
    <t>-794.884355327488 252.243443427054 -211.94140419363</t>
  </si>
  <si>
    <t>-579.774709515154 147.898582454647 -241.787885746097</t>
  </si>
  <si>
    <t>-766.523697859806 124.525730892186 -57.8119996387268</t>
  </si>
  <si>
    <t>-725.109646936322 277.905627283724 313.151773673828</t>
  </si>
  <si>
    <t>-821.759537683749 352.015267602373 743.422311055123</t>
  </si>
  <si>
    <t>-695.48217574135 425.392345686231 804.717754640566</t>
  </si>
  <si>
    <t>-724.751502843208 -32.1326022921812 339.089886812958</t>
  </si>
  <si>
    <t>-717.120474281187 26.8546848880151 783.166045114979</t>
  </si>
  <si>
    <t>-580.417075484986 -14.4501116395709 851.6747621677</t>
  </si>
  <si>
    <t>9763-20170724T110957.821624600.bin</t>
  </si>
  <si>
    <t>-742.302915389646 35.3830304863955 -60.1111276549666</t>
  </si>
  <si>
    <t>-776.309484358335 29.4864312160798 -170.677847323184</t>
  </si>
  <si>
    <t>-790.662694579259 27.9769195242388 -268.239934411691</t>
  </si>
  <si>
    <t>-798.104687683663 27.3423313570688 -357.023103052755</t>
  </si>
  <si>
    <t>-799.603424540996 27.0958210582394 -446.10698953714</t>
  </si>
  <si>
    <t>-795.444311486238 26.8048451472273 -570.619770977233</t>
  </si>
  <si>
    <t>-764.203524189694 18.1578876507115 -647.133013354597</t>
  </si>
  <si>
    <t>-795.580915560073 54.59010384471 -515.836002153002</t>
  </si>
  <si>
    <t>-779.747195787328 190.124553960911 -499.020637788151</t>
  </si>
  <si>
    <t>-794.595891416135 251.874369036319 -211.692124723157</t>
  </si>
  <si>
    <t>-582.054273224658 142.772654046195 -242.895322579358</t>
  </si>
  <si>
    <t>-765.775730921083 124.629961208537 -58.4038129095063</t>
  </si>
  <si>
    <t>-724.878267178569 276.980450578429 313.041099697344</t>
  </si>
  <si>
    <t>-821.742420661909 351.854995007809 743.2095710807</t>
  </si>
  <si>
    <t>-695.160767481596 424.779410673733 804.417706391866</t>
  </si>
  <si>
    <t>-724.27522800515 -32.1345592013695 338.96888856257</t>
  </si>
  <si>
    <t>-717.05653096121 26.8547072739739 783.094113515658</t>
  </si>
  <si>
    <t>-580.373187029935 -14.502486169461 851.611027380247</t>
  </si>
  <si>
    <t>9763-20170724T110957.885797400.bin</t>
  </si>
  <si>
    <t>-741.215532027902 35.2190224143806 -60.4415312160266</t>
  </si>
  <si>
    <t>-776.023548869825 28.9742090505742 -170.739357072558</t>
  </si>
  <si>
    <t>-791.291144239602 27.4021121920355 -268.161545647779</t>
  </si>
  <si>
    <t>-799.63956814395 26.8238534259071 -356.864444382349</t>
  </si>
  <si>
    <t>-802.115088422388 26.7548221362158 -445.92696278834</t>
  </si>
  <si>
    <t>-799.384577831246 26.8469795271935 -570.479451469609</t>
  </si>
  <si>
    <t>-768.562008947274 18.9037696672558 -647.238278615874</t>
  </si>
  <si>
    <t>-798.863324977625 54.461835392744 -515.611877713669</t>
  </si>
  <si>
    <t>-782.486186390669 189.886508201935 -498.620630879179</t>
  </si>
  <si>
    <t>-793.332633690481 252.129146664751 -211.219428219258</t>
  </si>
  <si>
    <t>-586.500576093027 133.284019721396 -245.09049587751</t>
  </si>
  <si>
    <t>-764.541287963242 124.718704690085 -58.9274530653025</t>
  </si>
  <si>
    <t>-723.76310393624 275.894348743278 313.010442278596</t>
  </si>
  <si>
    <t>-821.710449358491 351.662298279745 742.828295061754</t>
  </si>
  <si>
    <t>-695.252796219222 424.872691318915 803.951175985534</t>
  </si>
  <si>
    <t>-723.268863724443 -32.3049598923121 338.861642515187</t>
  </si>
  <si>
    <t>-716.962094429396 26.8858636853092 783.018958910795</t>
  </si>
  <si>
    <t>-580.367426451736 -14.7625853371601 851.536358575993</t>
  </si>
  <si>
    <t>9763-20170724T110957.919386700.bin</t>
  </si>
  <si>
    <t>-740.641631822208 35.1130111478142 -60.4495887928082</t>
  </si>
  <si>
    <t>-775.904641106787 28.6834639890089 -170.592240508969</t>
  </si>
  <si>
    <t>-791.589990363925 27.0554879270808 -267.947151507335</t>
  </si>
  <si>
    <t>-800.320918961771 26.4745723841161 -356.613160940176</t>
  </si>
  <si>
    <t>-803.180650974432 26.4556016119604 -445.664209211031</t>
  </si>
  <si>
    <t>-800.984588090193 26.6763521274102 -570.22718679409</t>
  </si>
  <si>
    <t>-770.275711033341 19.1579123564047 -647.074150035793</t>
  </si>
  <si>
    <t>-800.313752570288 54.2398038297551 -515.335238909217</t>
  </si>
  <si>
    <t>-784.111099942761 189.685050160707 -498.277184587503</t>
  </si>
  <si>
    <t>-792.398385248981 252.653521065841 -210.948913831886</t>
  </si>
  <si>
    <t>-588.435632492157 129.216249871961 -245.781777445814</t>
  </si>
  <si>
    <t>-763.996636523261 124.610223181572 -58.9517169476997</t>
  </si>
  <si>
    <t>-722.847181387049 275.484675420587 313.067489914682</t>
  </si>
  <si>
    <t>-821.650104511623 351.468425219337 742.62871715038</t>
  </si>
  <si>
    <t>-695.051625869262 424.46606028432 803.714533374847</t>
  </si>
  <si>
    <t>-722.729762624062 -32.4451447496926 338.899803646971</t>
  </si>
  <si>
    <t>-716.922936671471 26.9321260953016 783.016881272074</t>
  </si>
  <si>
    <t>-580.424709922773 -15.0373569977555 851.530705016301</t>
  </si>
  <si>
    <t>9763-20170724T110957.986091300.bin</t>
  </si>
  <si>
    <t>-739.555382313194 34.3912049611645 -60.425511309921</t>
  </si>
  <si>
    <t>-775.612966799418 27.3915583305038 -170.275704386971</t>
  </si>
  <si>
    <t>-791.994530588347 25.5844630060278 -267.512722983069</t>
  </si>
  <si>
    <t>-801.345199358026 24.9740178261222 -356.115425587471</t>
  </si>
  <si>
    <t>-804.80512707474 25.0686938753697 -445.144977011895</t>
  </si>
  <si>
    <t>-803.417586570255 25.6040221721901 -569.718660734068</t>
  </si>
  <si>
    <t>-772.690674018296 19.0310053004796 -646.645170827184</t>
  </si>
  <si>
    <t>-802.750851398984 53.0476981311631 -514.766709162887</t>
  </si>
  <si>
    <t>-787.81796020502 188.629213578345 -497.602368122177</t>
  </si>
  <si>
    <t>-790.713905812798 253.311296242215 -210.550012923395</t>
  </si>
  <si>
    <t>-591.585307616601 122.393986529798 -246.036172825976</t>
  </si>
  <si>
    <t>-763.468706405494 123.920166455949 -58.9223454041608</t>
  </si>
  <si>
    <t>-721.091729792431 274.947184704924 312.897029171419</t>
  </si>
  <si>
    <t>-821.548181953861 351.107461549962 742.128908913185</t>
  </si>
  <si>
    <t>-694.920211687929 424.086127027478 803.175789014655</t>
  </si>
  <si>
    <t>-721.554774431835 -33.2364166818365 339.031156333297</t>
  </si>
  <si>
    <t>-716.83162353255 26.3002467020951 783.04429714262</t>
  </si>
  <si>
    <t>-580.031519270552 -14.7522933224491 851.51137287551</t>
  </si>
  <si>
    <t>9763-20170724T110958.051765200.bin</t>
  </si>
  <si>
    <t>-738.593080737328 33.9286024277926 -60.5841975363917</t>
  </si>
  <si>
    <t>-775.347155101091 26.0026769501205 -170.140146357885</t>
  </si>
  <si>
    <t>-792.452653328997 23.8025381394964 -267.244406725376</t>
  </si>
  <si>
    <t>-802.488676930995 23.0024056324401 -355.770513453115</t>
  </si>
  <si>
    <t>-806.65366339555 23.0868377865645 -444.769924512599</t>
  </si>
  <si>
    <t>-806.259914725647 23.8030110103728 -569.349829676308</t>
  </si>
  <si>
    <t>-775.046025348086 18.199913718704 -646.156854321462</t>
  </si>
  <si>
    <t>-805.73184396394 51.1876263885101 -514.366788252969</t>
  </si>
  <si>
    <t>-793.376575341382 187.015633732996 -497.024805337769</t>
  </si>
  <si>
    <t>-789.89821186259 252.414520578432 -210.141451441756</t>
  </si>
  <si>
    <t>-593.522191144925 117.221109468917 -244.927075106251</t>
  </si>
  <si>
    <t>-763.844176355778 123.426929239725 -59.2560917007617</t>
  </si>
  <si>
    <t>-721.227952357121 274.999615821176 312.313917422122</t>
  </si>
  <si>
    <t>-821.531104819106 351.044319689986 741.632133404248</t>
  </si>
  <si>
    <t>-695.165882328622 424.429016061102 802.737433408269</t>
  </si>
  <si>
    <t>-719.774970040109 -33.4977489805387 338.993122615434</t>
  </si>
  <si>
    <t>-716.638147683099 25.9780378693831 782.938784111234</t>
  </si>
  <si>
    <t>-579.725855838478 -14.5359712574336 851.502347029497</t>
  </si>
  <si>
    <t>9763-20170724T110958.083349900.bin</t>
  </si>
  <si>
    <t>-738.023088115426 33.570015278201 -60.7835195724582</t>
  </si>
  <si>
    <t>-775.272994383352 24.9725822653809 -170.121256269993</t>
  </si>
  <si>
    <t>-792.925716434169 22.4766466683132 -267.120245201433</t>
  </si>
  <si>
    <t>-803.491167832171 21.5236900731243 -355.583190949519</t>
  </si>
  <si>
    <t>-808.212940865204 21.5789898324156 -444.554860089341</t>
  </si>
  <si>
    <t>-808.617503817691 22.388410392814 -569.13419377819</t>
  </si>
  <si>
    <t>-776.862153380081 17.4157586578795 -645.762567219639</t>
  </si>
  <si>
    <t>-808.106302986892 49.738600039364 -514.134083281346</t>
  </si>
  <si>
    <t>-797.42201718912 185.682964149684 -496.590301765201</t>
  </si>
  <si>
    <t>-789.919785124223 251.292156175994 -209.831915020527</t>
  </si>
  <si>
    <t>-594.372705250667 114.911003145829 -244.650725184889</t>
  </si>
  <si>
    <t>-764.432526438474 123.315782443337 -59.5928267380398</t>
  </si>
  <si>
    <t>-722.345682864779 275.094359897899 311.953449835203</t>
  </si>
  <si>
    <t>-821.62865557116 351.318504983069 741.490508984584</t>
  </si>
  <si>
    <t>-695.620311816219 425.249175445845 802.674628172826</t>
  </si>
  <si>
    <t>-718.431455992974 -33.5148831326155 338.857036399734</t>
  </si>
  <si>
    <t>-716.539705213832 25.6980301123494 782.861402875379</t>
  </si>
  <si>
    <t>-579.444284679669 -14.1525088594144 851.447775627882</t>
  </si>
  <si>
    <t>9763-20170724T110958.120129600.bin</t>
  </si>
  <si>
    <t>-737.186420137484 33.1175159648683 -61.0471091760418</t>
  </si>
  <si>
    <t>-775.10052339404 23.7181227739607 -170.090183110823</t>
  </si>
  <si>
    <t>-793.410334945195 20.8746536916547 -266.957783461118</t>
  </si>
  <si>
    <t>-804.586196674252 19.7424136577629 -355.34358498845</t>
  </si>
  <si>
    <t>-809.924968137082 19.7606183887328 -444.280326625241</t>
  </si>
  <si>
    <t>-811.188978201999 20.6686323946255 -568.853173326995</t>
  </si>
  <si>
    <t>-778.628879677383 16.4855334536651 -645.190255211448</t>
  </si>
  <si>
    <t>-810.683691053195 47.977400571388 -513.832418197804</t>
  </si>
  <si>
    <t>-801.720922133229 183.997415484156 -495.960919965242</t>
  </si>
  <si>
    <t>-790.207179083531 249.721457000306 -209.362003536355</t>
  </si>
  <si>
    <t>-594.93931030492 113.003676767226 -244.42760613283</t>
  </si>
  <si>
    <t>-764.751842299473 123.180073177978 -59.9980483695352</t>
  </si>
  <si>
    <t>-723.978791979268 275.247422157684 311.576639355649</t>
  </si>
  <si>
    <t>-821.745883568539 351.650040639274 741.443633754568</t>
  </si>
  <si>
    <t>-695.942135062768 425.852354979983 802.71998663234</t>
  </si>
  <si>
    <t>-716.552327672746 -33.3627108433056 338.676719648403</t>
  </si>
  <si>
    <t>-716.439793203077 25.5032078294653 782.741632033045</t>
  </si>
  <si>
    <t>-579.164767139015 -13.699209802161 851.342373156169</t>
  </si>
  <si>
    <t>9763-20170724T110958.165249800.bin</t>
  </si>
  <si>
    <t>-736.075809951932 32.6553490626179 -61.3645089335951</t>
  </si>
  <si>
    <t>-774.783623682397 22.324160743844 -170.043890084556</t>
  </si>
  <si>
    <t>-793.768564079985 19.0889844846265 -266.769107369009</t>
  </si>
  <si>
    <t>-805.52801923384 17.7579154916189 -355.076391858095</t>
  </si>
  <si>
    <t>-811.412181972024 17.7359866316369 -443.978679046645</t>
  </si>
  <si>
    <t>-813.386618395947 18.7514094580665 -568.541419712522</t>
  </si>
  <si>
    <t>-779.636522453118 15.5090348733793 -644.406184197129</t>
  </si>
  <si>
    <t>-812.943736012133 46.0093870812575 -513.494884944817</t>
  </si>
  <si>
    <t>-805.63449988148 182.058381310468 -495.258663471691</t>
  </si>
  <si>
    <t>-790.618562118099 247.836242620033 -208.83426362277</t>
  </si>
  <si>
    <t>-595.296264467065 111.186890429506 -243.862630071135</t>
  </si>
  <si>
    <t>-764.968208758284 123.092141730476 -60.4638704596209</t>
  </si>
  <si>
    <t>-725.914773530523 275.467595412697 311.169186966421</t>
  </si>
  <si>
    <t>-821.912085189681 352.104157742654 741.500278190016</t>
  </si>
  <si>
    <t>-696.417368409496 426.735732577998 802.888058698268</t>
  </si>
  <si>
    <t>-714.00183644509 -32.9920892245445 338.459974662074</t>
  </si>
  <si>
    <t>-716.327494776883 25.5023778477548 782.581565515806</t>
  </si>
  <si>
    <t>-578.86619832978 -13.0345853281178 851.186179582061</t>
  </si>
  <si>
    <t>9763-20170724T110958.223908000.bin</t>
  </si>
  <si>
    <t>-733.463639238337 31.6768763064938 -61.9042503321929</t>
  </si>
  <si>
    <t>-773.895469788093 19.2027063873966 -169.727602808603</t>
  </si>
  <si>
    <t>-794.103563337922 15.1185454888705 -266.17248294872</t>
  </si>
  <si>
    <t>-806.801612037118 13.3894982870306 -354.342809093314</t>
  </si>
  <si>
    <t>-813.42747813406 13.3371409707365 -443.192900641439</t>
  </si>
  <si>
    <t>-816.206954430494 14.6827043791209 -567.737159034505</t>
  </si>
  <si>
    <t>-779.141225755337 13.7528072557407 -642.103038719736</t>
  </si>
  <si>
    <t>-816.130239723824 41.773898575655 -512.606802635015</t>
  </si>
  <si>
    <t>-812.380039496806 177.891797275081 -493.829064729054</t>
  </si>
  <si>
    <t>-792.159404024874 243.543428189819 -207.695855013889</t>
  </si>
  <si>
    <t>-595.992000806592 108.365671267544 -243.698704250719</t>
  </si>
  <si>
    <t>-765.566804275121 123.015987838968 -61.3514667803773</t>
  </si>
  <si>
    <t>-729.91823407351 275.898591494255 310.415614084822</t>
  </si>
  <si>
    <t>-822.186794809099 352.912021224985 741.853636807715</t>
  </si>
  <si>
    <t>-697.255286670135 428.282707458397 803.486629659168</t>
  </si>
  <si>
    <t>-707.602939063269 -31.9503842331869 338.050832614011</t>
  </si>
  <si>
    <t>-716.071653955416 25.5014639157571 782.147969315432</t>
  </si>
  <si>
    <t>-578.302191656604 -11.8042064454175 850.814848039229</t>
  </si>
  <si>
    <t>9763-20170724T110958.284568800.bin</t>
  </si>
  <si>
    <t>-731.776254141569 31.3397325068504 -62.4232406153359</t>
  </si>
  <si>
    <t>-773.620297223409 16.8685128322863 -169.455421877375</t>
  </si>
  <si>
    <t>-794.693321188237 12.0695497924758 -265.682064412675</t>
  </si>
  <si>
    <t>-807.97287502094 10.0821810124176 -353.761253476503</t>
  </si>
  <si>
    <t>-814.951638894675 10.1648392123498 -442.584349298192</t>
  </si>
  <si>
    <t>-817.960703681811 12.1061521303636 -567.115335511672</t>
  </si>
  <si>
    <t>-777.512969951919 14.0744330386356 -639.67663395557</t>
  </si>
  <si>
    <t>-818.596193915339 38.8874976730144 -511.837189804825</t>
  </si>
  <si>
    <t>-819.404139529808 174.96796065062 -492.562045105731</t>
  </si>
  <si>
    <t>-796.15761414813 240.749750603703 -206.688760860457</t>
  </si>
  <si>
    <t>-597.798716676105 109.106314246732 -243.764960886549</t>
  </si>
  <si>
    <t>-766.787214029928 122.954998258552 -61.9839730086885</t>
  </si>
  <si>
    <t>-733.802418660619 276.850668087234 309.611003048093</t>
  </si>
  <si>
    <t>-822.428999908601 353.627274867478 742.222308734382</t>
  </si>
  <si>
    <t>-698.05776827406 429.735761118649 804.081463407191</t>
  </si>
  <si>
    <t>-702.032162951437 -30.6326613826636 337.754241937012</t>
  </si>
  <si>
    <t>-715.850039042748 25.8229556463148 781.726628863517</t>
  </si>
  <si>
    <t>-577.981205448995 -10.9105471096773 850.502292027347</t>
  </si>
  <si>
    <t>9763-20170724T110958.315151600.bin</t>
  </si>
  <si>
    <t>-731.610587355635 31.2616892479109 -62.5359876278116</t>
  </si>
  <si>
    <t>-773.86696184062 16.0589674302369 -169.304492314573</t>
  </si>
  <si>
    <t>-795.140457583798 11.0208673161619 -265.474673332544</t>
  </si>
  <si>
    <t>-808.520052389636 8.97757719348192 -353.537394343638</t>
  </si>
  <si>
    <t>-815.508879477537 9.17317113428317 -442.35947446962</t>
  </si>
  <si>
    <t>-818.429591420804 11.4528828551461 -566.886902909612</t>
  </si>
  <si>
    <t>-776.518219474433 15.0639996510331 -638.548927087961</t>
  </si>
  <si>
    <t>-819.547587622029 38.0485751810879 -511.526885371197</t>
  </si>
  <si>
    <t>-823.370521247982 174.067880563057 -492.07952961126</t>
  </si>
  <si>
    <t>-799.781223796554 239.112896551946 -206.065837119821</t>
  </si>
  <si>
    <t>-599.260841012029 111.09414478256 -244.192353463938</t>
  </si>
  <si>
    <t>-767.813198572427 123.116004922483 -62.2173694816317</t>
  </si>
  <si>
    <t>-735.596827003849 277.480780949342 309.250480967888</t>
  </si>
  <si>
    <t>-822.547332228338 353.953615354123 742.399037712051</t>
  </si>
  <si>
    <t>-698.507305589485 430.52235532907 804.355159723947</t>
  </si>
  <si>
    <t>-700.154887455046 -29.8284216793136 337.650196118876</t>
  </si>
  <si>
    <t>-715.771066840052 25.9708008204288 781.565448987876</t>
  </si>
  <si>
    <t>-577.865301381695 -10.5515003686642 850.380103792648</t>
  </si>
  <si>
    <t>9763-20170724T110958.383835100.bin</t>
  </si>
  <si>
    <t>-731.892683695153 31.0075139032442 -62.6260398390705</t>
  </si>
  <si>
    <t>-774.699454031944 14.6633795790149 -169.005768325295</t>
  </si>
  <si>
    <t>-795.942457584033 9.28219386413457 -265.164118637312</t>
  </si>
  <si>
    <t>-809.064730523926 7.19769799699679 -353.264759572664</t>
  </si>
  <si>
    <t>-815.555995874712 7.641416954953 -442.123722944254</t>
  </si>
  <si>
    <t>-817.521455172157 10.5810411317243 -566.656166253612</t>
  </si>
  <si>
    <t>-773.166537121381 17.4257233293797 -636.590537198432</t>
  </si>
  <si>
    <t>-819.953760109761 36.7906114641196 -511.15429316298</t>
  </si>
  <si>
    <t>-829.679737997972 172.407954668825 -490.806276598729</t>
  </si>
  <si>
    <t>-810.221993701481 236.316558406388 -204.225952116245</t>
  </si>
  <si>
    <t>-603.912488214286 118.896341315538 -245.455411539656</t>
  </si>
  <si>
    <t>-769.785670324143 122.946825489194 -62.4322973816196</t>
  </si>
  <si>
    <t>-738.836940236946 278.550702978343 308.626057415757</t>
  </si>
  <si>
    <t>-822.657326713341 354.248763774011 742.701380864257</t>
  </si>
  <si>
    <t>-698.799613530741 431.027673788766 804.762856266009</t>
  </si>
  <si>
    <t>-697.515947772886 -28.3774206488993 337.527755595602</t>
  </si>
  <si>
    <t>-715.671505568129 26.3735368201314 781.323797083558</t>
  </si>
  <si>
    <t>-577.763340468121 -10.0123942463933 850.205548926807</t>
  </si>
  <si>
    <t>9763-20170724T110958.419945600.bin</t>
  </si>
  <si>
    <t>-732.15374794914 30.8155592923426 -62.6941540392866</t>
  </si>
  <si>
    <t>-775.161141415083 14.070776432015 -168.930695133644</t>
  </si>
  <si>
    <t>-796.227270860737 8.51570701949458 -265.118105197988</t>
  </si>
  <si>
    <t>-809.041951061128 6.34930833211229 -353.261827662834</t>
  </si>
  <si>
    <t>-815.079293288889 6.79637364469545 -442.152739656401</t>
  </si>
  <si>
    <t>-816.255713181808 9.83514911325301 -566.692693125308</t>
  </si>
  <si>
    <t>-770.906484675621 18.1338462852527 -635.827373599267</t>
  </si>
  <si>
    <t>-819.457037798979 35.9471316728873 -511.183925401691</t>
  </si>
  <si>
    <t>-831.663931838639 171.247975726807 -490.09478816589</t>
  </si>
  <si>
    <t>-816.894920863815 235.893975008322 -203.399785373531</t>
  </si>
  <si>
    <t>-606.766437997363 126.130655879966 -246.398557446612</t>
  </si>
  <si>
    <t>-770.725163340011 122.777148256274 -62.5475036067439</t>
  </si>
  <si>
    <t>-740.433785748528 278.982945235759 308.312151650308</t>
  </si>
  <si>
    <t>-822.679658418162 354.338886496399 742.817843004429</t>
  </si>
  <si>
    <t>-698.90584728564 431.209295070802 804.932535277638</t>
  </si>
  <si>
    <t>-696.588889831631 -27.8724766822502 337.462997389549</t>
  </si>
  <si>
    <t>-715.64414034695 26.4658593640565 781.233013732489</t>
  </si>
  <si>
    <t>-577.684589218804 -9.68490136433229 850.135980702808</t>
  </si>
  <si>
    <t>9763-20170724T110958.486878000.bin</t>
  </si>
  <si>
    <t>-732.789536294144 30.482950597559 -62.8632179596735</t>
  </si>
  <si>
    <t>-776.013745574649 13.3631772496055 -168.951928244528</t>
  </si>
  <si>
    <t>-796.523188823145 7.57380642567477 -265.245683808043</t>
  </si>
  <si>
    <t>-808.538089656977 5.25087435599335 -353.498080582049</t>
  </si>
  <si>
    <t>-813.486694724391 5.61940952786699 -442.456641393917</t>
  </si>
  <si>
    <t>-812.847838321328 8.64437403243028 -567.000918819441</t>
  </si>
  <si>
    <t>-766.034322433743 19.5621492795522 -634.782329422389</t>
  </si>
  <si>
    <t>-817.624238926639 34.6477663862111 -511.554200648874</t>
  </si>
  <si>
    <t>-835.748786411618 169.259947921992 -490.040608348631</t>
  </si>
  <si>
    <t>-837.724107598504 232.22543272286 -202.599021430202</t>
  </si>
  <si>
    <t>-618.006038411371 143.82079205001 -246.863352343116</t>
  </si>
  <si>
    <t>-771.996903702854 122.589026332178 -62.8512714739931</t>
  </si>
  <si>
    <t>-743.565941090249 279.099660622227 308.027157021934</t>
  </si>
  <si>
    <t>-822.691169198223 354.513766736236 743.090273425731</t>
  </si>
  <si>
    <t>-699.257554561414 431.85762600625 805.294468187282</t>
  </si>
  <si>
    <t>-695.441066462848 -26.8836436515749 337.253110062595</t>
  </si>
  <si>
    <t>-715.635003952229 26.9204433742771 781.056156161016</t>
  </si>
  <si>
    <t>-577.663585589535 -9.1188600467317 849.993648929913</t>
  </si>
  <si>
    <t>9763-20170724T110958.521476100.bin</t>
  </si>
  <si>
    <t>-733.004734940122 30.1238820911822 -62.9221352355515</t>
  </si>
  <si>
    <t>-776.07705816473 13.0298479111539 -169.076711003691</t>
  </si>
  <si>
    <t>-796.187070316371 7.27640372022552 -265.456898886535</t>
  </si>
  <si>
    <t>-807.738605348841 5.00262618604484 -353.772504714533</t>
  </si>
  <si>
    <t>-812.126432940686 5.44809219697163 -442.759991582467</t>
  </si>
  <si>
    <t>-810.607943193013 8.6178972869111 -567.292967881534</t>
  </si>
  <si>
    <t>-763.313400414063 20.7696310287906 -634.528120875757</t>
  </si>
  <si>
    <t>-816.120159940413 34.4980870767963 -511.856995340561</t>
  </si>
  <si>
    <t>-837.716750429611 168.590832892048 -490.539289815869</t>
  </si>
  <si>
    <t>-851.028976974643 229.38573031377 -202.932034809544</t>
  </si>
  <si>
    <t>-626.099111113556 154.056191456681 -245.154958765188</t>
  </si>
  <si>
    <t>-772.341958189126 122.228197503512 -62.9273565381062</t>
  </si>
  <si>
    <t>-744.97233954195 278.587183186621 308.094858738612</t>
  </si>
  <si>
    <t>-822.626248272599 354.438308584478 743.272370406387</t>
  </si>
  <si>
    <t>-699.377932403039 432.061895040687 805.495733466941</t>
  </si>
  <si>
    <t>-694.977469043535 -26.6741490006066 337.10546127592</t>
  </si>
  <si>
    <t>-715.629630515894 26.8366612255072 780.957382249748</t>
  </si>
  <si>
    <t>-577.546513940395 -8.76655597754234 849.897852495122</t>
  </si>
  <si>
    <t>9763-20170724T110958.583117800.bin</t>
  </si>
  <si>
    <t>-733.549523932315 29.7509236920787 -62.8602111316929</t>
  </si>
  <si>
    <t>-776.131947024534 12.7707179384015 -169.23035715273</t>
  </si>
  <si>
    <t>-795.387756841472 7.41577258656207 -265.807857092191</t>
  </si>
  <si>
    <t>-805.992992562714 5.6370893300541 -354.253286847821</t>
  </si>
  <si>
    <t>-809.266285486963 6.72973481638746 -443.28329927933</t>
  </si>
  <si>
    <t>-806.019486625579 10.9728048628831 -567.751240924865</t>
  </si>
  <si>
    <t>-758.010624018235 25.5175826087343 -633.997878194949</t>
  </si>
  <si>
    <t>-812.958016183708 36.2500070422902 -512.197438239385</t>
  </si>
  <si>
    <t>-842.00597564601 169.032344479355 -491.77900631213</t>
  </si>
  <si>
    <t>-882.170039092763 222.347878367028 -205.186131796965</t>
  </si>
  <si>
    <t>-647.083659657364 179.451923137834 -235.93074561</t>
  </si>
  <si>
    <t>-773.574654867524 121.520322330454 -62.6635706399188</t>
  </si>
  <si>
    <t>-747.466208510354 277.48378785566 308.615861359543</t>
  </si>
  <si>
    <t>-822.377656582436 354.104599714523 743.953654887139</t>
  </si>
  <si>
    <t>-699.294085203671 432.022334071073 806.134823404176</t>
  </si>
  <si>
    <t>-694.428845862084 -26.1756744576346 336.840695056566</t>
  </si>
  <si>
    <t>-715.635254517037 27.1399109850804 780.775533077171</t>
  </si>
  <si>
    <t>-577.618565835488 -8.65646164412192 849.748849642695</t>
  </si>
  <si>
    <t>9763-20170724T110958.619729400.bin</t>
  </si>
  <si>
    <t>-733.847004494058 29.6000736418578 -62.7889530594074</t>
  </si>
  <si>
    <t>-776.209338554513 12.6931474767275 -169.258748147935</t>
  </si>
  <si>
    <t>-795.116800542616 7.64929394706951 -265.921625942819</t>
  </si>
  <si>
    <t>-805.339985473675 6.25771550104537 -354.419056878059</t>
  </si>
  <si>
    <t>-808.165823105731 7.85212695567952 -443.456793827879</t>
  </si>
  <si>
    <t>-804.226534044464 12.9205549615403 -567.873902480535</t>
  </si>
  <si>
    <t>-756.026585378127 28.5811131449423 -633.726210468722</t>
  </si>
  <si>
    <t>-811.806702471896 37.7598497159565 -512.206471674422</t>
  </si>
  <si>
    <t>-844.269319093783 169.81290592967 -492.225537796328</t>
  </si>
  <si>
    <t>-897.384730486757 218.372190609741 -206.897695410148</t>
  </si>
  <si>
    <t>-658.718455653095 192.779662611091 -227.738071557197</t>
  </si>
  <si>
    <t>-774.184415404096 121.115567294441 -62.3657227544602</t>
  </si>
  <si>
    <t>-748.292257752835 277.192875759454 308.881039225814</t>
  </si>
  <si>
    <t>-822.298177745932 353.985659475521 744.309168102838</t>
  </si>
  <si>
    <t>-699.452966929395 432.305914627527 806.456411465246</t>
  </si>
  <si>
    <t>-694.452702566995 -25.9920580743174 336.744310688651</t>
  </si>
  <si>
    <t>-715.648266293124 27.3206047770045 780.727217210091</t>
  </si>
  <si>
    <t>-577.668777837267 -8.62607614701847 849.696833865394</t>
  </si>
  <si>
    <t>9763-20170724T110958.683402900.bin</t>
  </si>
  <si>
    <t>-734.776813095375 29.6755090379297 -62.5727116076728</t>
  </si>
  <si>
    <t>-776.647337286703 12.8391865224648 -169.247985971613</t>
  </si>
  <si>
    <t>-794.939157176252 8.2922970219638 -266.053859950956</t>
  </si>
  <si>
    <t>-804.529787862061 7.54628875847993 -354.629840015402</t>
  </si>
  <si>
    <t>-806.653393256823 10.0063904175067 -443.66730798931</t>
  </si>
  <si>
    <t>-801.663474325855 16.5296964016575 -567.978871444086</t>
  </si>
  <si>
    <t>-753.330445042506 34.1913868130027 -633.224659026806</t>
  </si>
  <si>
    <t>-810.459766128843 40.5462667091765 -512.12949076545</t>
  </si>
  <si>
    <t>-848.819588909709 171.099024146214 -492.872199082855</t>
  </si>
  <si>
    <t>-920.778992682775 212.011782594713 -210.490880272118</t>
  </si>
  <si>
    <t>-680.648634141484 220.502802910958 -192.71122391248</t>
  </si>
  <si>
    <t>-775.732112439218 120.542789955122 -61.7702646565845</t>
  </si>
  <si>
    <t>-750.10720260729 277.207663325401 309.247472715094</t>
  </si>
  <si>
    <t>-822.339363274262 353.970850185433 744.899973576521</t>
  </si>
  <si>
    <t>-699.383401514351 432.116710066709 807.047188220038</t>
  </si>
  <si>
    <t>-695.152111436513 -25.8355936926459 336.629492311843</t>
  </si>
  <si>
    <t>-715.653211555883 27.3611116285406 780.692495876686</t>
  </si>
  <si>
    <t>-577.504598782517 -8.01185749527212 849.620044368403</t>
  </si>
  <si>
    <t>9763-20170724T110958.715488600.bin</t>
  </si>
  <si>
    <t>-735.184455454557 29.8896519398268 -62.4939909230227</t>
  </si>
  <si>
    <t>-776.824030339212 12.9125316414056 -169.237248974458</t>
  </si>
  <si>
    <t>-794.875816790818 8.42513860604186 -266.091083278117</t>
  </si>
  <si>
    <t>-804.235191974924 7.81815712648131 -354.69283312844</t>
  </si>
  <si>
    <t>-806.117412140859 10.5174191419478 -443.728934943268</t>
  </si>
  <si>
    <t>-800.783018588252 17.4891679425868 -568.001781186939</t>
  </si>
  <si>
    <t>-752.481283982166 36.0754100668787 -633.013564798052</t>
  </si>
  <si>
    <t>-810.161502315679 41.1965315054763 -512.115100912962</t>
  </si>
  <si>
    <t>-851.085868673027 171.048668842122 -493.193878564517</t>
  </si>
  <si>
    <t>-927.064274337869 210.137836706178 -211.608111807392</t>
  </si>
  <si>
    <t>-691.467560918524 230.778321295824 -165.573931787199</t>
  </si>
  <si>
    <t>-776.434255956468 120.262256816088 -61.5388099428877</t>
  </si>
  <si>
    <t>-751.088826794497 277.301090813413 309.33997199838</t>
  </si>
  <si>
    <t>-822.166238134217 353.80029297952 745.153156274554</t>
  </si>
  <si>
    <t>-699.689172124428 432.686818981341 807.310214459699</t>
  </si>
  <si>
    <t>-695.392215642594 -25.6951183170463 336.60940569639</t>
  </si>
  <si>
    <t>-715.63698163385 27.3090900548123 780.701896495544</t>
  </si>
  <si>
    <t>-577.37978153392 -7.68780016213805 849.603732376202</t>
  </si>
  <si>
    <t>9763-20170724T110958.763134900.bin</t>
  </si>
  <si>
    <t>-735.640141364216 30.2452427942117 -62.4240699506611</t>
  </si>
  <si>
    <t>-777.039823532452 13.0385268397872 -169.22398740285</t>
  </si>
  <si>
    <t>-794.836897893169 8.51574427308287 -266.123245476039</t>
  </si>
  <si>
    <t>-803.948315907179 7.95200707706772 -354.7512097088</t>
  </si>
  <si>
    <t>-805.568967517755 10.7833348416098 -443.788068182787</t>
  </si>
  <si>
    <t>-799.857906399175 18.0407841427818 -568.027901899038</t>
  </si>
  <si>
    <t>-751.592723147574 37.5207092357455 -632.804744283132</t>
  </si>
  <si>
    <t>-809.822513840397 41.5077404158214 -512.141385450327</t>
  </si>
  <si>
    <t>-853.155350965066 170.627583423477 -493.6419188772</t>
  </si>
  <si>
    <t>-930.135638861367 210.250044269977 -212.4030276493</t>
  </si>
  <si>
    <t>-702.838248729129 236.344990033833 -136.866594476281</t>
  </si>
  <si>
    <t>-777.368426179464 120.180151472664 -61.3813101936881</t>
  </si>
  <si>
    <t>-752.318315691295 277.568430625561 309.369381615085</t>
  </si>
  <si>
    <t>-822.265182648892 353.869948199348 745.346783440974</t>
  </si>
  <si>
    <t>-699.69311369684 432.608451312319 807.504841912818</t>
  </si>
  <si>
    <t>-695.529247516745 -25.4250904641112 336.610167758735</t>
  </si>
  <si>
    <t>-715.606094757923 27.2746381495226 780.715609839627</t>
  </si>
  <si>
    <t>-577.3004123238 -7.55448655132614 849.605052591572</t>
  </si>
  <si>
    <t>9763-20170724T110958.815270800.bin</t>
  </si>
  <si>
    <t>-736.241371228527 31.0299074506588 -62.4007740904462</t>
  </si>
  <si>
    <t>-777.203483120192 13.1256264444582 -169.254727930474</t>
  </si>
  <si>
    <t>-794.451656063648 8.54579750377843 -266.25058019856</t>
  </si>
  <si>
    <t>-802.982576821904 8.14825116668453 -354.937096252991</t>
  </si>
  <si>
    <t>-803.938520724466 11.3742959203619 -443.970407187141</t>
  </si>
  <si>
    <t>-797.209162472304 19.4244387976628 -568.110370596633</t>
  </si>
  <si>
    <t>-748.880839917804 40.5364964033156 -632.326299157308</t>
  </si>
  <si>
    <t>-808.288219107009 42.3443748112923 -512.206502373821</t>
  </si>
  <si>
    <t>-856.427070728697 169.935841733666 -495.030643562396</t>
  </si>
  <si>
    <t>-934.068038959891 213.139614644329 -214.501699492447</t>
  </si>
  <si>
    <t>-723.196127031241 232.624035551568 -99.591433334646</t>
  </si>
  <si>
    <t>-779.118746541673 119.929036292493 -61.3225109802523</t>
  </si>
  <si>
    <t>-754.907504964465 278.104507658703 309.148767632945</t>
  </si>
  <si>
    <t>-822.193586409725 353.7890104726 745.584900271703</t>
  </si>
  <si>
    <t>-700.183818760661 433.440711313798 807.686023340077</t>
  </si>
  <si>
    <t>-695.447748369761 -24.8033410213529 336.598556213131</t>
  </si>
  <si>
    <t>-715.494089679123 27.3373012210877 780.736893489556</t>
  </si>
  <si>
    <t>-577.030425195613 -6.90132942578703 849.605364065164</t>
  </si>
  <si>
    <t>9763-20170724T110958.886492800.bin</t>
  </si>
  <si>
    <t>-737.005480039098 31.9643288839347 -62.7727147676773</t>
  </si>
  <si>
    <t>-777.773380028231 13.5100530204058 -169.607443606475</t>
  </si>
  <si>
    <t>-794.478271061273 8.97949472882601 -266.700456425467</t>
  </si>
  <si>
    <t>-802.339932541447 8.81742036012383 -355.449706265287</t>
  </si>
  <si>
    <t>-802.443339906828 12.4631537463183 -444.471858556762</t>
  </si>
  <si>
    <t>-794.328763092932 21.2790609475742 -568.476831292134</t>
  </si>
  <si>
    <t>-745.493010231641 43.3091921472128 -631.996517079844</t>
  </si>
  <si>
    <t>-806.375395783154 43.7475694454279 -512.589712528687</t>
  </si>
  <si>
    <t>-855.067003158257 170.90377207843 -493.555838801501</t>
  </si>
  <si>
    <t>-936.556205831066 209.094484610937 -213.391094865272</t>
  </si>
  <si>
    <t>-725.407642077603 216.620159766522 -97.5875282879458</t>
  </si>
  <si>
    <t>-780.946137169355 120.436044598452 -61.7083820740557</t>
  </si>
  <si>
    <t>-757.822726613586 279.133164073686 308.609361343268</t>
  </si>
  <si>
    <t>-822.167380599701 353.921529224446 745.554152189921</t>
  </si>
  <si>
    <t>-700.204021950388 433.568723242746 807.751750777605</t>
  </si>
  <si>
    <t>-695.533490024412 -23.7447722305437 336.362626300231</t>
  </si>
  <si>
    <t>-715.372350067634 27.4745461217053 780.708052542757</t>
  </si>
  <si>
    <t>-576.816986187949 -6.42163644692846 849.561112204474</t>
  </si>
  <si>
    <t>9763-20170724T110958.920120900.bin</t>
  </si>
  <si>
    <t>-737.666479526709 32.2318599963264 -63.0547595848884</t>
  </si>
  <si>
    <t>-778.373665335042 13.7550988922612 -169.908655100151</t>
  </si>
  <si>
    <t>-794.857597407748 9.31737247451565 -267.043910829141</t>
  </si>
  <si>
    <t>-802.449709340789 9.28618734418569 -355.816648815765</t>
  </si>
  <si>
    <t>-802.215797528228 13.1118407908343 -444.830910431795</t>
  </si>
  <si>
    <t>-793.561943064377 22.2308512794234 -568.7775769214</t>
  </si>
  <si>
    <t>-744.475948986883 44.6107421513061 -631.981357141201</t>
  </si>
  <si>
    <t>-805.97070502565 44.5246726706114 -512.899808916088</t>
  </si>
  <si>
    <t>-854.98609336765 171.431263476009 -493.054839096628</t>
  </si>
  <si>
    <t>-937.103478645114 203.603150794029 -212.318625195129</t>
  </si>
  <si>
    <t>-722.709852574089 207.015176200533 -102.434263097695</t>
  </si>
  <si>
    <t>-781.831501669022 120.632073463718 -61.952251103355</t>
  </si>
  <si>
    <t>-759.317528998644 279.175815673989 308.468605620904</t>
  </si>
  <si>
    <t>-822.116745589912 353.947077484002 745.681714123091</t>
  </si>
  <si>
    <t>-700.537969732498 434.130779127922 807.942939674547</t>
  </si>
  <si>
    <t>-695.573238025754 -23.0985188693617 336.14431837056</t>
  </si>
  <si>
    <t>-715.310959929328 27.6812696254119 780.633424479465</t>
  </si>
  <si>
    <t>-576.776164601167 -6.26742635390701 849.501890389458</t>
  </si>
  <si>
    <t>9763-20170724T110958.984704500.bin</t>
  </si>
  <si>
    <t>-739.831087614254 32.6988166457299 -63.4137577922967</t>
  </si>
  <si>
    <t>-780.458384209023 14.3954456161291 -170.327948653766</t>
  </si>
  <si>
    <t>-796.60856926304 10.2049938944388 -267.530141857696</t>
  </si>
  <si>
    <t>-803.805570076747 10.4639606164237 -356.335376461877</t>
  </si>
  <si>
    <t>-803.093165012645 14.6605840371312 -445.33045134561</t>
  </si>
  <si>
    <t>-793.692886081362 24.3957341931023 -569.175777851057</t>
  </si>
  <si>
    <t>-744.282554486064 47.5412649088757 -631.849015026188</t>
  </si>
  <si>
    <t>-806.610880335246 46.3555151706737 -513.281102751057</t>
  </si>
  <si>
    <t>-856.252365290741 172.818909341725 -492.435517017338</t>
  </si>
  <si>
    <t>-935.242613887189 195.173740961209 -209.854471026436</t>
  </si>
  <si>
    <t>-716.431540781385 195.416845449898 -108.995347752404</t>
  </si>
  <si>
    <t>-784.043341250526 121.252995821425 -62.4316289295322</t>
  </si>
  <si>
    <t>-762.709858077223 278.0984454101 308.781258806256</t>
  </si>
  <si>
    <t>-822.186860666385 353.960190344077 746.361697437118</t>
  </si>
  <si>
    <t>-700.629144851263 434.134673668795 808.675425276368</t>
  </si>
  <si>
    <t>-696.077901315602 -22.0517480889444 335.800766930279</t>
  </si>
  <si>
    <t>-715.201433400233 28.1380122519327 780.449608167971</t>
  </si>
  <si>
    <t>-576.75654923974 -6.05488371280626 849.377878619581</t>
  </si>
  <si>
    <t>9763-20170724T110959.018295500.bin</t>
  </si>
  <si>
    <t>-741.007844152599 32.4967403964224 -63.3882934026864</t>
  </si>
  <si>
    <t>-781.704249444786 14.2454735516494 -170.285030228374</t>
  </si>
  <si>
    <t>-797.786042767394 10.1800865149853 -267.503784798898</t>
  </si>
  <si>
    <t>-804.874904889479 10.5980977842 -356.317169389425</t>
  </si>
  <si>
    <t>-804.010653501467 15.0065654964269 -445.300729137337</t>
  </si>
  <si>
    <t>-794.357197476688 25.098692422257 -569.098005585009</t>
  </si>
  <si>
    <t>-744.884609289946 48.6538039255652 -631.569233357893</t>
  </si>
  <si>
    <t>-807.42363569999 46.8859415850879 -513.170350639457</t>
  </si>
  <si>
    <t>-857.211231405209 173.332410849187 -492.274405774623</t>
  </si>
  <si>
    <t>-933.928547650591 196.10769539862 -209.101519348319</t>
  </si>
  <si>
    <t>-716.677830485882 197.41887127883 -104.932527964446</t>
  </si>
  <si>
    <t>-785.351666678891 121.121833996661 -62.4723918198031</t>
  </si>
  <si>
    <t>-764.329710454542 277.095687519589 309.125334935632</t>
  </si>
  <si>
    <t>-822.301249423158 353.959529598169 746.786739231217</t>
  </si>
  <si>
    <t>-700.558240136832 433.861614327346 809.088863280416</t>
  </si>
  <si>
    <t>-696.713274829865 -21.7253593259616 335.775352799441</t>
  </si>
  <si>
    <t>-715.161526744826 28.4609355805155 780.39979686086</t>
  </si>
  <si>
    <t>-576.852250539015 -6.17970755664646 849.376711835067</t>
  </si>
  <si>
    <t>9763-20170724T110959.084975400.bin</t>
  </si>
  <si>
    <t>-743.156736551973 31.8098375227096 -62.8812653882708</t>
  </si>
  <si>
    <t>-783.454079032412 13.9406636040358 -169.993587331761</t>
  </si>
  <si>
    <t>-799.169393977923 10.0445866051787 -267.279252889755</t>
  </si>
  <si>
    <t>-805.923632671174 10.5426993161473 -356.118259258062</t>
  </si>
  <si>
    <t>-804.725677543944 14.9532824064981 -445.097769712731</t>
  </si>
  <si>
    <t>-794.609402538638 24.9626058598028 -568.86484502599</t>
  </si>
  <si>
    <t>-745.086176037799 48.9238344169339 -631.141025918556</t>
  </si>
  <si>
    <t>-807.832840052156 46.8043638277672 -512.995347207494</t>
  </si>
  <si>
    <t>-857.07469076781 173.542670498461 -492.743955264081</t>
  </si>
  <si>
    <t>-926.290883013825 208.478432865226 -208.878050422857</t>
  </si>
  <si>
    <t>-721.173034204625 212.988105689816 -82.5560513192829</t>
  </si>
  <si>
    <t>-787.939423481796 120.38562439778 -62.0541452692314</t>
  </si>
  <si>
    <t>-766.776332630092 274.760790622237 310.202634001495</t>
  </si>
  <si>
    <t>-822.325248881364 353.594282086475 747.923867518321</t>
  </si>
  <si>
    <t>-700.255412509266 433.074044760901 810.127205031626</t>
  </si>
  <si>
    <t>-697.821045346897 -21.4618779213206 335.890895343146</t>
  </si>
  <si>
    <t>-715.151537302394 28.9353676166284 780.392188031731</t>
  </si>
  <si>
    <t>-577.030143869822 -6.33871536484548 849.425098120446</t>
  </si>
  <si>
    <t>9763-20170724T110959.118567900.bin</t>
  </si>
  <si>
    <t>-743.64421496524 31.4387475544168 -62.4742117074208</t>
  </si>
  <si>
    <t>-783.786001858293 13.9843364273465 -169.713279277041</t>
  </si>
  <si>
    <t>-799.369448511875 10.2179467054516 -267.025290128235</t>
  </si>
  <si>
    <t>-806.007692774049 10.7250956793232 -355.872968746094</t>
  </si>
  <si>
    <t>-804.696849013052 15.0282176693149 -444.856121888936</t>
  </si>
  <si>
    <t>-794.426556440367 24.7585917031352 -568.632887672755</t>
  </si>
  <si>
    <t>-744.901553846621 48.6990963322382 -630.915466854543</t>
  </si>
  <si>
    <t>-807.67149348686 46.7417807157676 -512.824005120203</t>
  </si>
  <si>
    <t>-856.231148606909 173.699480893212 -492.686478202897</t>
  </si>
  <si>
    <t>-919.638247741794 212.171408455665 -207.922160004882</t>
  </si>
  <si>
    <t>-723.495085601951 217.683868659735 -68.1069866149383</t>
  </si>
  <si>
    <t>-788.746600411421 119.614633360513 -61.3972516625216</t>
  </si>
  <si>
    <t>-767.67659829835 274.021359025903 310.851746706441</t>
  </si>
  <si>
    <t>-822.40598062904 353.49177182006 748.503526433615</t>
  </si>
  <si>
    <t>-700.26573392156 432.900425938063 810.659367077099</t>
  </si>
  <si>
    <t>-698.219943937153 -21.479360790333 335.91448532081</t>
  </si>
  <si>
    <t>-715.155233838751 28.9074136185113 780.401972295437</t>
  </si>
  <si>
    <t>-577.000009352681 -6.23394409954562 849.434179016132</t>
  </si>
  <si>
    <t>9763-20170724T110959.185247800.bin</t>
  </si>
  <si>
    <t>-744.130332860389 30.7438757591863 -61.6816393761138</t>
  </si>
  <si>
    <t>-783.703293159589 14.4808314769575 -169.318616436514</t>
  </si>
  <si>
    <t>-798.953513584897 11.1117121489788 -266.697909399261</t>
  </si>
  <si>
    <t>-805.371221505193 11.701304022773 -355.56141577402</t>
  </si>
  <si>
    <t>-803.929255093296 15.8004438506064 -444.552112788196</t>
  </si>
  <si>
    <t>-793.572934805858 24.9386261550276 -568.366789076213</t>
  </si>
  <si>
    <t>-744.055575200775 48.528094019387 -630.789470444581</t>
  </si>
  <si>
    <t>-806.768250924339 47.2175591405799 -512.663505460775</t>
  </si>
  <si>
    <t>-854.050058326342 174.707771526617 -492.418562758993</t>
  </si>
  <si>
    <t>-903.638063238318 211.883112922658 -204.75513585713</t>
  </si>
  <si>
    <t>-726.312331617115 224.052484828555 -42.0948340453035</t>
  </si>
  <si>
    <t>-789.859542705336 118.557373363515 -59.617556817816</t>
  </si>
  <si>
    <t>-767.989392605307 274.017172760936 312.146658328256</t>
  </si>
  <si>
    <t>-822.411130346251 353.351582000857 749.575526591575</t>
  </si>
  <si>
    <t>-700.087850638774 432.517170132744 811.681082199459</t>
  </si>
  <si>
    <t>-698.5301964498 -21.5640818032471 335.869541760001</t>
  </si>
  <si>
    <t>-715.189137450615 29.1801558129755 780.372581771597</t>
  </si>
  <si>
    <t>-577.086318044565 -6.160600299002 849.408637152563</t>
  </si>
  <si>
    <t>9763-20170724T110959.227364700.bin</t>
  </si>
  <si>
    <t>-744.135594754586 30.4905172073254 -61.5799080772412</t>
  </si>
  <si>
    <t>-783.689156580672 14.42150169655 -169.253028199808</t>
  </si>
  <si>
    <t>-798.928998781233 11.061117032727 -266.634363209747</t>
  </si>
  <si>
    <t>-805.342551732029 11.5891712455418 -355.498467398026</t>
  </si>
  <si>
    <t>-803.90283793247 15.5544827116373 -444.495348785444</t>
  </si>
  <si>
    <t>-793.55755151308 24.4285072127946 -568.3300707035</t>
  </si>
  <si>
    <t>-744.051322890668 47.816945245248 -630.837258698258</t>
  </si>
  <si>
    <t>-806.728880321229 46.8320622432475 -512.671353888836</t>
  </si>
  <si>
    <t>-853.494963044808 174.53203632979 -492.194682732697</t>
  </si>
  <si>
    <t>-899.413374426955 209.484907838913 -203.644881220215</t>
  </si>
  <si>
    <t>-727.656682967107 224.433699840493 -35.338484539191</t>
  </si>
  <si>
    <t>-789.934062449631 118.349008237758 -59.058279419389</t>
  </si>
  <si>
    <t>-767.402307260492 274.249031910961 312.482017968464</t>
  </si>
  <si>
    <t>-822.152436470721 353.048572129774 750.073192904249</t>
  </si>
  <si>
    <t>-700.081451352932 432.604687741959 812.175850503353</t>
  </si>
  <si>
    <t>-698.635003070307 -21.6072461270105 335.87773986224</t>
  </si>
  <si>
    <t>-715.200594006012 29.3535218932107 780.37947887688</t>
  </si>
  <si>
    <t>-577.086648527419 -5.95388095473254 849.410072099781</t>
  </si>
  <si>
    <t>9763-20170724T110959.250426600.bin</t>
  </si>
  <si>
    <t>-744.046324818032 30.5220690062829 -61.8529627320166</t>
  </si>
  <si>
    <t>-783.899619961253 13.9540610036265 -169.33982735163</t>
  </si>
  <si>
    <t>-799.266665667331 10.230322147655 -266.687931750353</t>
  </si>
  <si>
    <t>-805.734783735224 10.4564490096791 -355.549356368715</t>
  </si>
  <si>
    <t>-804.285987445278 14.1449245593444 -444.55800193859</t>
  </si>
  <si>
    <t>-793.860578220778 22.6567319128226 -568.411483802191</t>
  </si>
  <si>
    <t>-744.342772967487 45.8342248176327 -630.987846278718</t>
  </si>
  <si>
    <t>-807.038139548875 45.2326823782478 -512.823835216662</t>
  </si>
  <si>
    <t>-853.341076827534 173.094002048999 -491.855102892693</t>
  </si>
  <si>
    <t>-899.468452052681 207.212108579271 -203.238767604248</t>
  </si>
  <si>
    <t>-730.633110062875 226.475631720216 -32.4337202431792</t>
  </si>
  <si>
    <t>-789.652709362598 118.297342430347 -59.0120510671268</t>
  </si>
  <si>
    <t>-766.736233084029 274.651953787695 312.313652932825</t>
  </si>
  <si>
    <t>-822.048292211532 352.86530006948 750.31247972513</t>
  </si>
  <si>
    <t>-700.117515086315 432.600495550713 812.461223104079</t>
  </si>
  <si>
    <t>-698.651178356882 -21.4907462139927 335.936551626611</t>
  </si>
  <si>
    <t>-715.19746861696 29.5016071416853 780.429193565099</t>
  </si>
  <si>
    <t>-577.149321047631 -6.03762730183644 849.472059972364</t>
  </si>
  <si>
    <t>9763-20170724T110959.412396400.bin</t>
  </si>
  <si>
    <t>-744.846653619014 28.5436842753497 -60.9747644926039</t>
  </si>
  <si>
    <t>-784.954917293683 11.7053878374209 -168.324734562304</t>
  </si>
  <si>
    <t>-800.342914999668 6.88565436113549 -265.621403694587</t>
  </si>
  <si>
    <t>-806.807317490068 5.85965830628902 -354.477438201629</t>
  </si>
  <si>
    <t>-805.3563225999 8.07929586624823 -443.53473020386</t>
  </si>
  <si>
    <t>-794.949785480268 14.3604015362771 -567.522843624088</t>
  </si>
  <si>
    <t>-745.959240584481 37.5817257387753 -630.497023914348</t>
  </si>
  <si>
    <t>-807.985634513363 37.9759738802136 -512.335246465702</t>
  </si>
  <si>
    <t>-857.675668216134 165.2683724545 -496.401679739469</t>
  </si>
  <si>
    <t>-931.668822596395 211.077424567493 -215.300656410267</t>
  </si>
  <si>
    <t>-784.007067711207 264.321469664395 -32.511287696301</t>
  </si>
  <si>
    <t>-787.344985003023 116.510500612163 -60.0039136819717</t>
  </si>
  <si>
    <t>-764.283186018406 273.108284991424 311.210220899401</t>
  </si>
  <si>
    <t>-822.150471351171 352.576731905257 748.666043279675</t>
  </si>
  <si>
    <t>-699.530435607363 431.143339241378 810.946581016915</t>
  </si>
  <si>
    <t>-701.394903241916 -23.8061487768955 337.329392466433</t>
  </si>
  <si>
    <t>-715.244342877554 29.6305199536532 781.159320474271</t>
  </si>
  <si>
    <t>-577.220511516107 -6.00362383979882 850.202138604759</t>
  </si>
  <si>
    <t>9763-20170724T110959.419416700.bin</t>
  </si>
  <si>
    <t>-744.595843072205 28.2518966204625 -61.0183133920409</t>
  </si>
  <si>
    <t>-784.616977129844 11.6450688817831 -168.436847415412</t>
  </si>
  <si>
    <t>-799.866874387138 6.77140213832217 -265.752542496689</t>
  </si>
  <si>
    <t>-806.192345403294 5.60272592003821 -354.616790621177</t>
  </si>
  <si>
    <t>-804.593086649257 7.58944516160955 -443.677242715262</t>
  </si>
  <si>
    <t>-793.975573264788 13.4563480857441 -567.667748175407</t>
  </si>
  <si>
    <t>-745.040390015534 36.6780229146643 -630.68472085634</t>
  </si>
  <si>
    <t>-807.0888117266 37.2613480523232 -512.579816111646</t>
  </si>
  <si>
    <t>-857.200138051975 164.448019777851 -497.750692572335</t>
  </si>
  <si>
    <t>-939.557429131115 211.797777526672 -219.243060424538</t>
  </si>
  <si>
    <t>-794.011310637784 265.172185235706 -34.8024741921314</t>
  </si>
  <si>
    <t>-786.783978464607 116.218266618842 -59.9280455861756</t>
  </si>
  <si>
    <t>-763.649278615264 272.843374134282 311.270045618743</t>
  </si>
  <si>
    <t>-822.327958159055 352.622761210896 748.622875146427</t>
  </si>
  <si>
    <t>-699.338377678252 430.654793124561 810.84699945383</t>
  </si>
  <si>
    <t>-701.865245372117 -24.2469437730178 337.405094083044</t>
  </si>
  <si>
    <t>-715.26887532399 29.5708775924431 781.221907193181</t>
  </si>
  <si>
    <t>-577.209636362805 -5.96610111266546 850.244130990279</t>
  </si>
  <si>
    <t>9763-20170724T110959.450795000.bin</t>
  </si>
  <si>
    <t>-744.126969757989 27.5263881675724 -61.0657970994773</t>
  </si>
  <si>
    <t>-784.198727240435 11.1949820547907 -168.507674128395</t>
  </si>
  <si>
    <t>-799.230574599951 6.06530351500669 -265.844165405211</t>
  </si>
  <si>
    <t>-805.268011821707 4.47351879066264 -354.721955603613</t>
  </si>
  <si>
    <t>-803.298892739843 5.85015451843856 -443.786302745965</t>
  </si>
  <si>
    <t>-792.08699803523 10.6740172050909 -567.769548646044</t>
  </si>
  <si>
    <t>-743.233013136233 33.7903161470149 -630.888264474198</t>
  </si>
  <si>
    <t>-805.44466109207 34.9473934295024 -512.945488833839</t>
  </si>
  <si>
    <t>-856.316238466241 161.985448682966 -500.341269834411</t>
  </si>
  <si>
    <t>-956.369013458621 211.968216578246 -228.160345375381</t>
  </si>
  <si>
    <t>-813.993636850428 261.252095725603 -40.1409387409109</t>
  </si>
  <si>
    <t>-785.717195037836 115.243211625522 -59.544796176802</t>
  </si>
  <si>
    <t>-761.787173449272 272.56959578223 311.306169711375</t>
  </si>
  <si>
    <t>-822.251592216991 352.335392238072 748.462865473591</t>
  </si>
  <si>
    <t>-699.237370906566 430.379175767533 810.623598222377</t>
  </si>
  <si>
    <t>-702.787471570474 -24.9884902062936 337.517306490704</t>
  </si>
  <si>
    <t>-715.308607640772 29.6346666203153 781.344499827399</t>
  </si>
  <si>
    <t>-577.340367629649 -6.28723096923477 850.348938053641</t>
  </si>
  <si>
    <t>9763-20170724T110959.665853800.bin</t>
  </si>
  <si>
    <t>-744.590492505747 26.9748841029159 -60.5615854154114</t>
  </si>
  <si>
    <t>-784.199724243039 11.2072881887607 -168.258934508619</t>
  </si>
  <si>
    <t>-796.857486333765 4.70134514067377 -265.850537626587</t>
  </si>
  <si>
    <t>-799.976971242604 1.06532133292285 -354.818504445997</t>
  </si>
  <si>
    <t>-727.327144352952 21.5552640575993 -629.743219357223</t>
  </si>
  <si>
    <t>-793.064294073868 25.9493770300101 -513.986449822972</t>
  </si>
  <si>
    <t>-841.400300413019 154.370263638576 -505.449450995722</t>
  </si>
  <si>
    <t>-1032.12480746937 182.479352119793 -283.131688784411</t>
  </si>
  <si>
    <t>-863.9915360947 166.498898751452 -111.298652047168</t>
  </si>
  <si>
    <t>-785.209059923608 113.702458021151 -58.4515159128981</t>
  </si>
  <si>
    <t>-753.015496343278 275.878050059191 309.675277998608</t>
  </si>
  <si>
    <t>-821.619460986107 350.78278816435 745.998982564676</t>
  </si>
  <si>
    <t>-699.378178694774 429.507473503395 808.822308247789</t>
  </si>
  <si>
    <t>-704.845583248219 -26.1443499191114 337.815067118514</t>
  </si>
  <si>
    <t>-715.040976838589 29.0461270072992 781.799730355175</t>
  </si>
  <si>
    <t>-576.60682216096 -5.44136809365591 850.603025796387</t>
  </si>
  <si>
    <t>9763-20170724T110959.717993200.bin</t>
  </si>
  <si>
    <t>-745.869817715501 28.9425488103334 -61.8131814666405</t>
  </si>
  <si>
    <t>-785.097104382147 13.0027302986377 -169.624809220706</t>
  </si>
  <si>
    <t>-797.349057851978 6.2727072266789 -267.253101495142</t>
  </si>
  <si>
    <t>-800.073281818965 2.39667672655742 -356.223766828675</t>
  </si>
  <si>
    <t>-794.031348275068 0.622073184464625 -445.097774334197</t>
  </si>
  <si>
    <t>-776.381682482606 0.108598263109343 -568.422795425046</t>
  </si>
  <si>
    <t>-725.979083375647 22.0319149053112 -630.744221142338</t>
  </si>
  <si>
    <t>-792.472608773124 26.7316917122121 -515.454642727766</t>
  </si>
  <si>
    <t>-842.79667654157 154.393405489194 -507.56199689423</t>
  </si>
  <si>
    <t>-1036.88256911814 162.376044776712 -286.522903101599</t>
  </si>
  <si>
    <t>-859.808916699478 156.264587196502 -123.248804349506</t>
  </si>
  <si>
    <t>-787.467641331772 116.449275700242 -60.8480863630482</t>
  </si>
  <si>
    <t>-758.977992301544 275.391997172986 308.989942339152</t>
  </si>
  <si>
    <t>-822.310935458551 351.768554903634 745.44605718593</t>
  </si>
  <si>
    <t>-699.532225442932 429.742485757798 808.157876347851</t>
  </si>
  <si>
    <t>-704.38519412578 -24.4228469455702 336.914515209226</t>
  </si>
  <si>
    <t>-714.887411926581 29.3031947798363 781.370496533567</t>
  </si>
  <si>
    <t>-576.543168682707 -5.40800568607892 850.242465974458</t>
  </si>
  <si>
    <t>9763-20170724T110959.784674900.bin</t>
  </si>
  <si>
    <t>-747.369126423961 30.1712592942031 -62.9590225890099</t>
  </si>
  <si>
    <t>-785.84203064193 13.5869522876246 -170.945305155493</t>
  </si>
  <si>
    <t>-797.717788175578 6.64438562365058 -268.605134953853</t>
  </si>
  <si>
    <t>-800.212257515636 2.72049202129665 -357.580460778454</t>
  </si>
  <si>
    <t>-794.050987783006 1.0550168099071 -446.448351046251</t>
  </si>
  <si>
    <t>-776.347675432851 0.865664261390066 -569.766664765815</t>
  </si>
  <si>
    <t>-725.942559163864 23.2224541354562 -631.931861012959</t>
  </si>
  <si>
    <t>-792.861703480479 27.2171860584958 -516.792981733166</t>
  </si>
  <si>
    <t>-845.369217305279 154.02001877034 -508.989155611194</t>
  </si>
  <si>
    <t>-1034.82524266094 161.527991082287 -283.953180283788</t>
  </si>
  <si>
    <t>-859.683724245773 166.965336123329 -118.584825623637</t>
  </si>
  <si>
    <t>-790.140303201587 117.041354998112 -62.1997700878765</t>
  </si>
  <si>
    <t>-764.848846860542 274.493422738468 308.507514732004</t>
  </si>
  <si>
    <t>-822.673013391748 352.598759296913 745.278506829521</t>
  </si>
  <si>
    <t>-699.815402716488 430.572370834525 807.835858348085</t>
  </si>
  <si>
    <t>-704.034858317635 -23.2652082815148 336.174098327912</t>
  </si>
  <si>
    <t>-714.775034062103 29.3726886161649 780.929221080104</t>
  </si>
  <si>
    <t>-576.394423391781 -5.09445095903084 849.850407475067</t>
  </si>
  <si>
    <t>9763-20170724T110959.818764900.bin</t>
  </si>
  <si>
    <t>-747.655859324073 30.9552978799888 -63.1818383883069</t>
  </si>
  <si>
    <t>-785.725472667421 14.5543843693185 -171.338927700382</t>
  </si>
  <si>
    <t>-797.320223689782 7.66522554025369 -269.036271495588</t>
  </si>
  <si>
    <t>-799.595148541426 3.74916211594518 -358.017871545255</t>
  </si>
  <si>
    <t>-793.253970043935 2.05695292078371 -446.872579736975</t>
  </si>
  <si>
    <t>-775.343893162254 1.79696112512511 -570.160839144441</t>
  </si>
  <si>
    <t>-724.882100903908 24.3547927459372 -632.207321431843</t>
  </si>
  <si>
    <t>-792.13179743043 28.1153167635771 -517.256683017166</t>
  </si>
  <si>
    <t>-844.564956283106 154.935750980759 -509.024340880309</t>
  </si>
  <si>
    <t>-1027.83672576339 164.427011636802 -278.997008297882</t>
  </si>
  <si>
    <t>-861.090200287579 171.481382969317 -105.225120394398</t>
  </si>
  <si>
    <t>-791.37234519176 118.192074451601 -62.7835598566713</t>
  </si>
  <si>
    <t>-767.086310565408 273.906690111733 308.723851297232</t>
  </si>
  <si>
    <t>-822.750069030642 352.754766307033 745.759792630144</t>
  </si>
  <si>
    <t>-699.999072086719 430.97329976732 808.22057419419</t>
  </si>
  <si>
    <t>-703.849791253698 -22.5845591171378 335.833833191306</t>
  </si>
  <si>
    <t>-714.733814973819 29.3744579938625 780.711698390703</t>
  </si>
  <si>
    <t>-576.287556802124 -4.82287250285799 849.635426294312</t>
  </si>
  <si>
    <t>9763-20170724T110959.884494900.bin</t>
  </si>
  <si>
    <t>-747.894112853367 31.4397838938185 -61.8327951620573</t>
  </si>
  <si>
    <t>-784.409910000574 17.7420607000709 -170.897871426469</t>
  </si>
  <si>
    <t>-795.029769369763 12.1929893702709 -268.791018144355</t>
  </si>
  <si>
    <t>-796.60642965178 9.0489506002973 -357.818552096688</t>
  </si>
  <si>
    <t>-789.768592008578 7.67447413494938 -446.641801468872</t>
  </si>
  <si>
    <t>-771.385721328311 7.36959019461619 -569.860325278771</t>
  </si>
  <si>
    <t>-720.714376472834 30.0297144270112 -631.698411491252</t>
  </si>
  <si>
    <t>-788.505269956173 33.6618961728504 -517.049997992424</t>
  </si>
  <si>
    <t>-839.577841635075 160.919677764804 -508.040399990227</t>
  </si>
  <si>
    <t>-1009.2603776424 170.416418931703 -267.813685726973</t>
  </si>
  <si>
    <t>-865.71471994716 178.158777445401 -74.4604670547523</t>
  </si>
  <si>
    <t>-792.577074254546 118.649817118657 -61.1266512836472</t>
  </si>
  <si>
    <t>-770.31772423145 272.388191818238 311.329737170259</t>
  </si>
  <si>
    <t>-822.87059657304 352.841691059461 747.879472528461</t>
  </si>
  <si>
    <t>-699.927840052673 430.907234587124 810.153764622379</t>
  </si>
  <si>
    <t>-703.084240425376 -21.7435284049106 335.116387878901</t>
  </si>
  <si>
    <t>-714.679700514763 29.4319393886863 780.214044008254</t>
  </si>
  <si>
    <t>-576.145440900294 -4.3816776488793 849.150111407517</t>
  </si>
  <si>
    <t>9763-20170724T110959.918587300.bin</t>
  </si>
  <si>
    <t>-747.38446515696 31.6630488430878 -61.8294184118379</t>
  </si>
  <si>
    <t>-783.670976778848 19.2901365887628 -171.129116078359</t>
  </si>
  <si>
    <t>-794.121325527858 14.4775189792731 -269.079642013363</t>
  </si>
  <si>
    <t>-795.565715405141 11.8115038913211 -358.124811425771</t>
  </si>
  <si>
    <t>-788.622384275783 10.7157071462998 -446.943888448843</t>
  </si>
  <si>
    <t>-770.12504162172 10.5808646728028 -570.145393961327</t>
  </si>
  <si>
    <t>-719.343103299418 33.137658409893 -631.930695804913</t>
  </si>
  <si>
    <t>-787.317951462385 36.7917938746277 -517.318420731272</t>
  </si>
  <si>
    <t>-838.070696132714 164.233156743976 -507.777963576712</t>
  </si>
  <si>
    <t>-999.997349378151 169.693118134242 -262.133557811369</t>
  </si>
  <si>
    <t>-864.212598397633 179.410648772242 -63.3400533825569</t>
  </si>
  <si>
    <t>-792.560661618673 118.135325263358 -59.1645925145024</t>
  </si>
  <si>
    <t>-770.194987302842 272.405775650214 313.065367605609</t>
  </si>
  <si>
    <t>-822.593808899506 352.631043011439 749.360261432185</t>
  </si>
  <si>
    <t>-700.037914090768 431.356537377362 811.566616566835</t>
  </si>
  <si>
    <t>-702.462648839561 -21.5446155640852 334.647149689554</t>
  </si>
  <si>
    <t>-714.659342220842 29.4733382872837 779.935535857767</t>
  </si>
  <si>
    <t>-576.087066318604 -4.17257182059211 848.877247718237</t>
  </si>
  <si>
    <t>9763-20170724T110959.984801400.bin</t>
  </si>
  <si>
    <t>-746.794785195028 31.2403570876318 -61.1812090968183</t>
  </si>
  <si>
    <t>-782.716395592387 21.5718971577344 -170.873501265172</t>
  </si>
  <si>
    <t>-792.976106676393 18.0356818802652 -268.898380513332</t>
  </si>
  <si>
    <t>-794.330126186243 16.0905575146403 -357.963695315976</t>
  </si>
  <si>
    <t>-787.395159632623 15.2814006147269 -446.78654522268</t>
  </si>
  <si>
    <t>-769.024538864534 15.0931416128965 -570.007121518646</t>
  </si>
  <si>
    <t>-718.061315143076 37.1448050522799 -631.825158006499</t>
  </si>
  <si>
    <t>-786.239369005433 41.2999685003988 -517.184902525782</t>
  </si>
  <si>
    <t>-836.731136031054 168.801685419413 -506.869535281206</t>
  </si>
  <si>
    <t>-985.709246034435 166.980051249558 -253.110987700928</t>
  </si>
  <si>
    <t>-863.674341911482 178.320713205806 -45.6748158514629</t>
  </si>
  <si>
    <t>-792.180388236324 117.706508201241 -55.5152337266511</t>
  </si>
  <si>
    <t>-768.270358889238 273.649433506866 315.920813412695</t>
  </si>
  <si>
    <t>-822.409835977624 352.398084862276 752.547379147356</t>
  </si>
  <si>
    <t>-700.017739346645 431.383988128771 814.745964497477</t>
  </si>
  <si>
    <t>-702.091226500183 -21.2697058945269 333.864744237422</t>
  </si>
  <si>
    <t>-714.629521640144 29.638047583293 779.509482480113</t>
  </si>
  <si>
    <t>-576.129915067632 -4.24762664034279 848.480307918447</t>
  </si>
  <si>
    <t>9763-20170724T111000.018891800.bin</t>
  </si>
  <si>
    <t>-746.821605163056 31.7217990168019 -61.2703431222802</t>
  </si>
  <si>
    <t>-782.907835072005 22.0057049705342 -170.904159774299</t>
  </si>
  <si>
    <t>-793.300499661895 18.4310204204244 -268.913801866349</t>
  </si>
  <si>
    <t>-794.768812947485 16.4516095367226 -357.976607393905</t>
  </si>
  <si>
    <t>-787.941945153718 15.609715214669 -446.807465528919</t>
  </si>
  <si>
    <t>-769.715160699399 15.3767905162813 -570.04917183814</t>
  </si>
  <si>
    <t>-718.706754997095 37.1705496110098 -631.921504582543</t>
  </si>
  <si>
    <t>-786.907238395766 41.5887370009259 -517.222374700544</t>
  </si>
  <si>
    <t>-837.830868919185 168.95777585715 -506.955144662139</t>
  </si>
  <si>
    <t>-984.718903690709 166.272677456253 -251.988618311466</t>
  </si>
  <si>
    <t>-865.93407249181 177.988413292294 -42.6951041568028</t>
  </si>
  <si>
    <t>-792.140045903505 117.7125667506 -54.4061034650101</t>
  </si>
  <si>
    <t>-767.133420986517 274.585124667033 316.566039156186</t>
  </si>
  <si>
    <t>-822.41004600316 352.277690154642 753.748372940213</t>
  </si>
  <si>
    <t>-699.959618440379 431.161566939128 815.962519218344</t>
  </si>
  <si>
    <t>-702.053882222357 -21.1481095720587 333.7985861446</t>
  </si>
  <si>
    <t>-714.581310571597 29.8003099072516 779.452764960537</t>
  </si>
  <si>
    <t>-576.176631850486 -4.38515317079373 848.465592114267</t>
  </si>
  <si>
    <t>9763-20170724T111000.089083100.bin</t>
  </si>
  <si>
    <t>-747.57132573906 32.6698436208103 -60.9394167468557</t>
  </si>
  <si>
    <t>-784.231881045285 21.1616906664954 -170.208668016146</t>
  </si>
  <si>
    <t>-794.917715939401 16.5800020683801 -268.144751395728</t>
  </si>
  <si>
    <t>-796.550876335771 13.9229031904315 -357.186963435413</t>
  </si>
  <si>
    <t>-789.780331208556 12.6438547333082 -446.016911012176</t>
  </si>
  <si>
    <t>-771.512536334202 12.0591860762065 -569.251585662853</t>
  </si>
  <si>
    <t>-720.382550886665 33.1849360185497 -631.255299809418</t>
  </si>
  <si>
    <t>-788.760283382602 38.4081096422938 -516.510980936989</t>
  </si>
  <si>
    <t>-840.197454878482 165.593763014268 -507.199023294822</t>
  </si>
  <si>
    <t>-993.37645217937 169.0931026308 -255.971793256371</t>
  </si>
  <si>
    <t>-877.087329051034 183.017659076557 -45.4159136916081</t>
  </si>
  <si>
    <t>-792.59937844042 118.286353391536 -54.2869500042636</t>
  </si>
  <si>
    <t>-764.790437757512 276.107952232264 316.082649725244</t>
  </si>
  <si>
    <t>-822.495500319323 351.978498690318 754.536811741055</t>
  </si>
  <si>
    <t>-699.78475719104 430.441079965524 816.770256239206</t>
  </si>
  <si>
    <t>-702.748581035142 -20.9454862081716 334.714051869056</t>
  </si>
  <si>
    <t>-714.453633385376 30.1080042403282 779.823807130765</t>
  </si>
  <si>
    <t>-576.244201333671 -4.68760122726053 848.923130530567</t>
  </si>
  <si>
    <t>9763-20170724T111000.118163100.bin</t>
  </si>
  <si>
    <t>-747.487981101649 32.7139900614352 -60.9576408318675</t>
  </si>
  <si>
    <t>-784.779469269268 19.3634678501649 -169.803161556118</t>
  </si>
  <si>
    <t>-795.686753343307 13.7967038994275 -267.663718237238</t>
  </si>
  <si>
    <t>-797.368172938516 10.5030871025333 -356.683695748025</t>
  </si>
  <si>
    <t>-790.483980506986 8.84484551309833 -445.498705191351</t>
  </si>
  <si>
    <t>-771.884299067096 8.00216599639361 -568.682108290311</t>
  </si>
  <si>
    <t>-720.607563570298 28.7248625268903 -630.700781991468</t>
  </si>
  <si>
    <t>-789.249541521385 34.4702714114615 -516.040007301258</t>
  </si>
  <si>
    <t>-841.354900961744 161.47725116587 -507.939256651911</t>
  </si>
  <si>
    <t>-1002.07846644033 167.558762108756 -261.520742542422</t>
  </si>
  <si>
    <t>-887.153715244516 185.699164572698 -50.537063325079</t>
  </si>
  <si>
    <t>-792.084934669776 118.339928289573 -55.1862436223826</t>
  </si>
  <si>
    <t>-763.821379332166 276.277358634741 315.09952048498</t>
  </si>
  <si>
    <t>-822.43589643514 351.675899512985 754.09667418647</t>
  </si>
  <si>
    <t>-699.739579289452 430.173819311531 816.31410943011</t>
  </si>
  <si>
    <t>-702.731963689915 -20.980306901019 335.509476250012</t>
  </si>
  <si>
    <t>-714.389305974972 30.1645329327216 780.18692903921</t>
  </si>
  <si>
    <t>-576.158892031434 -4.49559669477185 849.312278126362</t>
  </si>
  <si>
    <t>9763-20170724T111000.185345500.bin</t>
  </si>
  <si>
    <t>-746.818940893988 31.0618323575654 -59.209501101772</t>
  </si>
  <si>
    <t>-784.517992452144 16.6994741638946 -167.78540137693</t>
  </si>
  <si>
    <t>-795.182228889911 10.3657365220975 -265.626197095689</t>
  </si>
  <si>
    <t>-796.399290445275 6.44496264180862 -354.628274241295</t>
  </si>
  <si>
    <t>-788.809129335096 4.23443953826245 -443.373830004892</t>
  </si>
  <si>
    <t>-768.978546512853 2.70716339302862 -566.358351458416</t>
  </si>
  <si>
    <t>-717.124307844001 22.3278726226008 -628.255085778924</t>
  </si>
  <si>
    <t>-786.764544132898 29.504607956746 -514.024204620478</t>
  </si>
  <si>
    <t>-838.753874024623 156.601419000319 -508.149732968429</t>
  </si>
  <si>
    <t>-1015.18881397931 166.524544765203 -272.855359597841</t>
  </si>
  <si>
    <t>-912.473679059103 188.842713947676 -56.0550526364352</t>
  </si>
  <si>
    <t>-791.270256861336 117.484926567917 -56.0697547346155</t>
  </si>
  <si>
    <t>-761.906078677871 275.811070989512 313.964385524967</t>
  </si>
  <si>
    <t>-822.595660971904 351.396594771849 752.508036201896</t>
  </si>
  <si>
    <t>-699.507239620448 429.285157798725 814.716432514074</t>
  </si>
  <si>
    <t>-702.171036567056 -21.7237950870062 337.050013568627</t>
  </si>
  <si>
    <t>-714.297757872786 30.5943175055472 780.891984073017</t>
  </si>
  <si>
    <t>-576.242642104092 -4.63328987191426 850.080678570434</t>
  </si>
  <si>
    <t>9763-20170724T111000.218433300.bin</t>
  </si>
  <si>
    <t>-746.649892478953 30.8771069664072 -58.8494866500367</t>
  </si>
  <si>
    <t>-784.484349932449 16.4148268352392 -167.365067388938</t>
  </si>
  <si>
    <t>-794.881301614685 9.93928119617476 -265.225302961956</t>
  </si>
  <si>
    <t>-795.697487323234 5.85025381547712 -354.224573423255</t>
  </si>
  <si>
    <t>-787.548937009481 3.41897476440363 -442.914608288862</t>
  </si>
  <si>
    <t>-766.780625041927 1.51697664305357 -565.739110250153</t>
  </si>
  <si>
    <t>-714.442589215443 20.3964552209709 -627.459202423415</t>
  </si>
  <si>
    <t>-784.834602430087 28.5200691635005 -513.602707492129</t>
  </si>
  <si>
    <t>-835.700456052516 156.108895652933 -508.295963824062</t>
  </si>
  <si>
    <t>-1019.80554431333 166.673029374872 -278.981685807069</t>
  </si>
  <si>
    <t>-926.010387937438 188.127663260479 -58.0901972711966</t>
  </si>
  <si>
    <t>-791.110124135249 117.028397135123 -55.8601627435439</t>
  </si>
  <si>
    <t>-760.846796368532 275.510315578268 314.034718958394</t>
  </si>
  <si>
    <t>-822.497248772344 351.118194237863 751.964167304713</t>
  </si>
  <si>
    <t>-699.605282141905 429.349688810725 814.13043509933</t>
  </si>
  <si>
    <t>-702.030104315892 -22.2855003125014 337.459738982393</t>
  </si>
  <si>
    <t>-714.320677658634 30.6225783235341 781.142337324371</t>
  </si>
  <si>
    <t>-576.246499551093 -4.58884006202925 850.301415454278</t>
  </si>
  <si>
    <t>9763-20170724T111000.283339900.bin</t>
  </si>
  <si>
    <t>-748.934623465884 32.1441009860973 -59.1955942937732</t>
  </si>
  <si>
    <t>-786.10035762064 17.5163089560879 -167.919759986026</t>
  </si>
  <si>
    <t>-795.259854627328 10.9308482487072 -265.896182158802</t>
  </si>
  <si>
    <t>-794.684731528153 6.69921610706388 -354.890615005498</t>
  </si>
  <si>
    <t>-784.881822441956 4.04453898171278 -443.406724118633</t>
  </si>
  <si>
    <t>-761.543295310944 1.71161051939816 -565.761433676323</t>
  </si>
  <si>
    <t>-708.2704541436 18.9458799761878 -627.161976402682</t>
  </si>
  <si>
    <t>-780.393047027564 28.9988725011822 -514.056476445442</t>
  </si>
  <si>
    <t>-828.882544674913 157.512484739389 -509.302161098036</t>
  </si>
  <si>
    <t>-1028.54115775197 166.187064489723 -293.310433882301</t>
  </si>
  <si>
    <t>-948.432999337307 179.936972674283 -66.4966703940821</t>
  </si>
  <si>
    <t>-793.286941476126 116.842753388212 -55.884398815075</t>
  </si>
  <si>
    <t>-759.744115882039 276.499074973149 313.221736277651</t>
  </si>
  <si>
    <t>-822.751568859491 350.931734901841 750.791616161159</t>
  </si>
  <si>
    <t>-699.518905485471 428.688803925056 812.879208454758</t>
  </si>
  <si>
    <t>-705.745889946122 -22.9719655407885 337.720086524453</t>
  </si>
  <si>
    <t>-714.341339226002 30.5019282622384 781.473358494704</t>
  </si>
  <si>
    <t>-576.386720670939 -5.21187326799372 850.613628392562</t>
  </si>
  <si>
    <t>9763-20170724T111000.318442600.bin</t>
  </si>
  <si>
    <t>-751.297635069438 33.1021805383134 -59.4995360533148</t>
  </si>
  <si>
    <t>-787.585975343244 18.773965577841 -168.559551063101</t>
  </si>
  <si>
    <t>-795.750379505008 12.2723834877993 -266.629606145514</t>
  </si>
  <si>
    <t>-794.192175146264 8.03120948567084 -355.611850689384</t>
  </si>
  <si>
    <t>-783.335492891282 5.27311383758888 -444.001710530254</t>
  </si>
  <si>
    <t>-758.462962301288 2.68970221621703 -566.048726493416</t>
  </si>
  <si>
    <t>-704.725205662407 19.1085530709702 -627.267223860438</t>
  </si>
  <si>
    <t>-777.916405412095 30.0974216574873 -514.63192358744</t>
  </si>
  <si>
    <t>-825.868333420949 158.827183562463 -510.224349385273</t>
  </si>
  <si>
    <t>-1031.96136872935 168.204117678068 -300.393870808589</t>
  </si>
  <si>
    <t>-956.027351624114 175.523581350675 -71.8520890307927</t>
  </si>
  <si>
    <t>-794.628298399042 117.071054358632 -56.2918732083663</t>
  </si>
  <si>
    <t>-760.291865061474 277.600763838006 312.362256478275</t>
  </si>
  <si>
    <t>-822.795332539934 350.829261568255 750.023981318014</t>
  </si>
  <si>
    <t>-699.701977757705 428.806737182951 812.111431149781</t>
  </si>
  <si>
    <t>-709.557319545472 -23.0857486078917 337.706861815807</t>
  </si>
  <si>
    <t>-714.317897798797 30.3392598441419 781.628641303329</t>
  </si>
  <si>
    <t>-576.300624258175 -5.19251657190989 850.737207245445</t>
  </si>
  <si>
    <t>9763-20170724T111000.386618700.bin</t>
  </si>
  <si>
    <t>-758.695978920233 34.5245557010903 -60.2551470767592</t>
  </si>
  <si>
    <t>-792.766110614753 21.6936767402594 -170.21338373893</t>
  </si>
  <si>
    <t>-798.420040047896 15.5974939833463 -268.486133514683</t>
  </si>
  <si>
    <t>-794.404009400194 11.3616625664004 -357.391523536439</t>
  </si>
  <si>
    <t>-780.942012656999 8.24666857308966 -445.410414743852</t>
  </si>
  <si>
    <t>-752.31529052424 4.78694299192921 -566.609929322918</t>
  </si>
  <si>
    <t>-697.257823480448 19.6252909353952 -627.054364206822</t>
  </si>
  <si>
    <t>-773.357539068788 32.5572083919342 -516.020055452007</t>
  </si>
  <si>
    <t>-820.927739279374 161.488580738238 -513.068813760466</t>
  </si>
  <si>
    <t>-1033.38395860636 169.158352046839 -309.611927805589</t>
  </si>
  <si>
    <t>-968.595038582335 162.488822082289 -77.6448065528954</t>
  </si>
  <si>
    <t>-800.893276492051 117.195697989955 -56.9942546814426</t>
  </si>
  <si>
    <t>-763.707374432401 279.740709409371 310.498533192883</t>
  </si>
  <si>
    <t>-822.785285809105 350.859622598138 748.427607870202</t>
  </si>
  <si>
    <t>-700.078981074675 429.379990108431 810.596476381841</t>
  </si>
  <si>
    <t>-718.073554215016 -22.6372902115295 337.348986678163</t>
  </si>
  <si>
    <t>-714.238982906634 29.8804287359694 781.793537874258</t>
  </si>
  <si>
    <t>-576.145617408793 -5.51723892102063 850.819050909706</t>
  </si>
  <si>
    <t>9763-20170724T111000.429735300.bin</t>
  </si>
  <si>
    <t>-763.691602401428 35.2961159457072 -60.7599955404172</t>
  </si>
  <si>
    <t>-796.57168089444 23.1727357511277 -171.159941875031</t>
  </si>
  <si>
    <t>-800.727452352434 17.3123496014359 -269.521709149443</t>
  </si>
  <si>
    <t>-795.193421859984 13.1315795222122 -358.348186370021</t>
  </si>
  <si>
    <t>-780.073971656676 9.90990379480627 -446.093477090653</t>
  </si>
  <si>
    <t>-749.010296221031 6.12863009524926 -566.681926506607</t>
  </si>
  <si>
    <t>-692.956760361571 20.2677523952584 -626.373866837055</t>
  </si>
  <si>
    <t>-771.065570201108 34.0331790569116 -516.599973897951</t>
  </si>
  <si>
    <t>-818.56469202553 163.011267425296 -514.754430355869</t>
  </si>
  <si>
    <t>-1032.61435724822 170.224795875644 -312.957636060933</t>
  </si>
  <si>
    <t>-975.428141592263 157.367720876807 -79.2584035159613</t>
  </si>
  <si>
    <t>-805.553973220873 117.396406053844 -57.6634034750158</t>
  </si>
  <si>
    <t>-767.343471425463 280.23720532853 309.593254191441</t>
  </si>
  <si>
    <t>-822.762855923843 350.977032378702 747.806011398995</t>
  </si>
  <si>
    <t>-700.318367476121 429.845649651636 810.050393380998</t>
  </si>
  <si>
    <t>-721.912853619321 -21.853606951212 337.037047813431</t>
  </si>
  <si>
    <t>-714.180304516678 29.842825858676 781.735461418707</t>
  </si>
  <si>
    <t>-576.149940578344 -5.82110704336401 850.749667886927</t>
  </si>
  <si>
    <t>9763-20170724T111000.485891700.bin</t>
  </si>
  <si>
    <t>-774.096986692576 37.0647466340088 -62.3938083596832</t>
  </si>
  <si>
    <t>-805.028870473004 25.7360274423527 -173.439291313241</t>
  </si>
  <si>
    <t>-806.346609275511 20.1683312049495 -271.896986285716</t>
  </si>
  <si>
    <t>-797.823446247034 16.0759313099347 -360.490771433687</t>
  </si>
  <si>
    <t>-779.340029046597 12.7521804440867 -447.585772834941</t>
  </si>
  <si>
    <t>-743.239152308291 8.61742162297378 -566.751417406907</t>
  </si>
  <si>
    <t>-684.555783505402 21.1579455329129 -624.231964066748</t>
  </si>
  <si>
    <t>-767.264860447261 36.707239267007 -517.689860093929</t>
  </si>
  <si>
    <t>-813.456498541024 166.225332577272 -517.76302758408</t>
  </si>
  <si>
    <t>-1030.54742862625 175.324612306439 -319.319129981752</t>
  </si>
  <si>
    <t>-987.885271704235 145.076113537853 -84.125916710222</t>
  </si>
  <si>
    <t>-816.455699784461 118.903822122341 -59.8622870460836</t>
  </si>
  <si>
    <t>-778.94107154917 279.654274752056 308.385769374489</t>
  </si>
  <si>
    <t>-823.143571030394 351.851808753592 747.207847219656</t>
  </si>
  <si>
    <t>-700.611591398945 430.474163729335 809.591431113331</t>
  </si>
  <si>
    <t>-729.379591295902 -19.603139583422 336.119376225517</t>
  </si>
  <si>
    <t>-714.09161391321 29.8636687448893 781.401918581509</t>
  </si>
  <si>
    <t>-576.328430715936 -6.81613526879164 850.417751880537</t>
  </si>
  <si>
    <t>9763-20170724T111000.519981700.bin</t>
  </si>
  <si>
    <t>-778.903642375027 37.698744283497 -63.1579322386557</t>
  </si>
  <si>
    <t>-808.708986160069 26.563253037084 -174.530712336493</t>
  </si>
  <si>
    <t>-808.607087664295 21.1015399832095 -273.002968438716</t>
  </si>
  <si>
    <t>-798.639772645248 17.0541763262681 -361.448060348695</t>
  </si>
  <si>
    <t>-778.574251532078 13.7067453923764 -448.191391762209</t>
  </si>
  <si>
    <t>-740.145113981305 9.45199968613042 -566.62246895811</t>
  </si>
  <si>
    <t>-679.934655582147 21.0649125251425 -622.70140115396</t>
  </si>
  <si>
    <t>-764.993119747121 37.6379148991596 -518.027525459008</t>
  </si>
  <si>
    <t>-809.382563025489 167.69848395825 -517.925582484823</t>
  </si>
  <si>
    <t>-1028.3773773656 179.299774209406 -321.717040497384</t>
  </si>
  <si>
    <t>-989.659995055952 137.891930721762 -87.5436322020643</t>
  </si>
  <si>
    <t>-821.414910483303 119.701424087446 -61.2147204898579</t>
  </si>
  <si>
    <t>-785.814301611694 278.338529106695 308.138237568305</t>
  </si>
  <si>
    <t>-823.433942845183 352.638457770955 747.008561265498</t>
  </si>
  <si>
    <t>-700.787057041159 431.051722056333 809.430018582684</t>
  </si>
  <si>
    <t>-732.439505308122 -18.3311561485903 335.661069254137</t>
  </si>
  <si>
    <t>-714.061187172558 29.723610255558 781.204347974656</t>
  </si>
  <si>
    <t>-576.313360871313 -7.06551789714513 850.192586572888</t>
  </si>
  <si>
    <t>9763-20170724T111000.586164800.bin</t>
  </si>
  <si>
    <t>-786.921792121378 38.9334771431859 -64.4471390168532</t>
  </si>
  <si>
    <t>-815.042724727535 28.3207398409163 -176.307809398</t>
  </si>
  <si>
    <t>-812.4717106343 23.3498351976141 -274.77263752777</t>
  </si>
  <si>
    <t>-799.898034404583 19.7129433741043 -362.90279583037</t>
  </si>
  <si>
    <t>-776.897672945826 16.7060724095954 -448.927137223118</t>
  </si>
  <si>
    <t>-734.079973411258 12.8220017009226 -565.855892348366</t>
  </si>
  <si>
    <t>-670.662796130322 22.5929711235744 -618.655856127598</t>
  </si>
  <si>
    <t>-760.435145563461 40.9542649490986 -518.030353789826</t>
  </si>
  <si>
    <t>-802.253516346062 171.891560737721 -517.969399122668</t>
  </si>
  <si>
    <t>-1024.17891703027 184.03694066415 -325.115169219743</t>
  </si>
  <si>
    <t>-987.226278758599 125.770528927085 -94.2679479938007</t>
  </si>
  <si>
    <t>-829.865355532388 121.520488249927 -63.4430262701314</t>
  </si>
  <si>
    <t>-798.657274605358 275.350570598443 308.332500003574</t>
  </si>
  <si>
    <t>-824.101675761576 354.821365677999 746.882050253033</t>
  </si>
  <si>
    <t>-700.90706252672 432.185572136972 809.532714683732</t>
  </si>
  <si>
    <t>-737.22072855404 -16.2057110855126 334.820060488471</t>
  </si>
  <si>
    <t>-714.040335397086 29.6206941482747 780.711588257604</t>
  </si>
  <si>
    <t>-576.310136197591 -7.31292040666722 849.657385591531</t>
  </si>
  <si>
    <t>9763-20170724T111000.624265800.bin</t>
  </si>
  <si>
    <t>-789.925036324572 39.4036266602361 -64.9920110763463</t>
  </si>
  <si>
    <t>-817.434157857057 29.0764183247034 -177.031373959345</t>
  </si>
  <si>
    <t>-813.836640029992 24.3516787112699 -275.476256436745</t>
  </si>
  <si>
    <t>-800.151176458713 20.9195487485113 -363.448785300198</t>
  </si>
  <si>
    <t>-775.878720529898 18.0861889934599 -449.128755827464</t>
  </si>
  <si>
    <t>-731.142334346148 14.400450572899 -565.343771493158</t>
  </si>
  <si>
    <t>-666.315355134615 23.2428499345638 -616.571466156166</t>
  </si>
  <si>
    <t>-758.19282344638 42.4810955061294 -517.877058647323</t>
  </si>
  <si>
    <t>-799.585849767076 173.591201635669 -518.152000995654</t>
  </si>
  <si>
    <t>-1021.96364795901 184.325990287458 -325.735519109699</t>
  </si>
  <si>
    <t>-988.36358322385 119.419469744205 -96.1509771935235</t>
  </si>
  <si>
    <t>-832.960504999015 122.325599182961 -64.1347164040884</t>
  </si>
  <si>
    <t>-803.815834398221 274.325563461333 308.559890333586</t>
  </si>
  <si>
    <t>-824.013219802377 355.744543273397 746.998114545451</t>
  </si>
  <si>
    <t>-701.260989902731 433.706762179411 809.777034910797</t>
  </si>
  <si>
    <t>-738.891004222533 -15.318202984442 334.452949298241</t>
  </si>
  <si>
    <t>-714.057239918255 29.4998225390677 780.501900654562</t>
  </si>
  <si>
    <t>-576.304086948907 -7.42118366610248 849.409070877193</t>
  </si>
  <si>
    <t>9763-20170724T111000.684207900.bin</t>
  </si>
  <si>
    <t>-794.485100490266 40.5307092148537 -64.6517446517274</t>
  </si>
  <si>
    <t>-820.579241595232 31.1157151638313 -177.109203202683</t>
  </si>
  <si>
    <t>-815.10661657254 26.9359750038375 -275.492280694093</t>
  </si>
  <si>
    <t>-799.503238116186 23.866627460553 -363.158377726452</t>
  </si>
  <si>
    <t>-773.132261426222 21.2453343414672 -448.222741617217</t>
  </si>
  <si>
    <t>-725.32192352004 17.6809066411956 -563.210979628914</t>
  </si>
  <si>
    <t>-658.35172387065 24.9522144560256 -611.864565092173</t>
  </si>
  <si>
    <t>-753.550509092982 45.7367539389456 -516.420798842619</t>
  </si>
  <si>
    <t>-794.264107916997 177.068112600278 -517.285572670902</t>
  </si>
  <si>
    <t>-1015.79449490673 185.038631534127 -323.760301656429</t>
  </si>
  <si>
    <t>-996.948480976327 110.253011826933 -95.4999744818143</t>
  </si>
  <si>
    <t>-837.68733250323 124.255993802403 -64.1464920120397</t>
  </si>
  <si>
    <t>-812.156304920231 273.178485466244 310.052574313456</t>
  </si>
  <si>
    <t>-824.515084431398 357.70648168178 748.196417068038</t>
  </si>
  <si>
    <t>-701.721949152583 435.665939561614 810.897982638159</t>
  </si>
  <si>
    <t>-741.437001341644 -13.8344577154562 334.300549085511</t>
  </si>
  <si>
    <t>-714.150267352394 29.1237574306765 780.319048168193</t>
  </si>
  <si>
    <t>-576.277845397901 -7.62849289489213 849.077588891307</t>
  </si>
  <si>
    <t>9763-20170724T111000.718299300.bin</t>
  </si>
  <si>
    <t>-797.387991983675 40.5763470397342 -62.7331856359643</t>
  </si>
  <si>
    <t>-820.402034623981 32.4749461317579 -175.962931110969</t>
  </si>
  <si>
    <t>-813.068084284334 29.0640161056867 -274.25436412516</t>
  </si>
  <si>
    <t>-796.134074365862 26.4694729652342 -361.688734029799</t>
  </si>
  <si>
    <t>-768.798136390289 24.0681898221969 -446.454356082084</t>
  </si>
  <si>
    <t>-720.022104876488 20.5126827907779 -561.036459059145</t>
  </si>
  <si>
    <t>-652.339710816611 27.2244344292358 -608.776236805285</t>
  </si>
  <si>
    <t>-748.62913060928 48.5696635051913 -514.47732244218</t>
  </si>
  <si>
    <t>-788.612582422343 180.044472425827 -515.650906206534</t>
  </si>
  <si>
    <t>-1008.15164283505 186.542849802544 -319.815477683036</t>
  </si>
  <si>
    <t>-1002.20349729773 109.522034679473 -91.5978223995613</t>
  </si>
  <si>
    <t>-840.220315136703 124.302073785845 -63.2873509483585</t>
  </si>
  <si>
    <t>-815.887637700338 272.364287377603 311.332702960329</t>
  </si>
  <si>
    <t>-824.802823190874 358.453179388937 749.091711415757</t>
  </si>
  <si>
    <t>-702.001620414137 436.561588851712 811.592143187901</t>
  </si>
  <si>
    <t>-741.946417940437 -13.0936591059167 334.753007120718</t>
  </si>
  <si>
    <t>-714.16888334039 28.9172745697151 780.417459585678</t>
  </si>
  <si>
    <t>-576.172228446198 -7.55490060175316 849.076504163198</t>
  </si>
  <si>
    <t>9763-20170724T111000.783512300.bin</t>
  </si>
  <si>
    <t>-797.803005089161 41.7820970315888 -64.3066008378402</t>
  </si>
  <si>
    <t>-822.768542250397 30.556227545299 -176.854100724435</t>
  </si>
  <si>
    <t>-816.182742795302 26.0034387187143 -275.152484601638</t>
  </si>
  <si>
    <t>-799.470279923308 22.8093562545614 -362.609439693776</t>
  </si>
  <si>
    <t>-771.901034187361 20.133099378113 -447.29121893323</t>
  </si>
  <si>
    <t>-722.345078532593 16.4215349361398 -561.533275738425</t>
  </si>
  <si>
    <t>-653.966974847498 22.6041264848868 -608.344139138827</t>
  </si>
  <si>
    <t>-751.269241704411 44.5417181496709 -515.208840602818</t>
  </si>
  <si>
    <t>-790.233711996648 176.412741468446 -516.042221015875</t>
  </si>
  <si>
    <t>-1001.51293717766 178.363443264725 -311.229114208829</t>
  </si>
  <si>
    <t>-1013.82362954995 98.6321936217441 -84.1999294637973</t>
  </si>
  <si>
    <t>-844.0798513039 123.914214509466 -62.8259605875055</t>
  </si>
  <si>
    <t>-819.691456477412 271.545452378245 311.960403361107</t>
  </si>
  <si>
    <t>-824.870207892608 358.904843774399 750.511681263277</t>
  </si>
  <si>
    <t>-702.444678086149 437.831280243933 812.720454401223</t>
  </si>
  <si>
    <t>-740.408831875243 -11.1349251087263 335.070300053481</t>
  </si>
  <si>
    <t>-714.032703139316 28.6672938895122 780.736780157668</t>
  </si>
  <si>
    <t>-575.805571649013 -7.21680678052508 849.241201739681</t>
  </si>
  <si>
    <t>9763-20170724T111000.817603000.bin</t>
  </si>
  <si>
    <t>-796.977563295669 41.5969748719945 -64.4518839260521</t>
  </si>
  <si>
    <t>-823.289511059928 29.5110322629666 -176.602795474096</t>
  </si>
  <si>
    <t>-817.398645420353 24.4901842760819 -274.922406706709</t>
  </si>
  <si>
    <t>-801.102117917626 20.9545977438629 -362.444828097638</t>
  </si>
  <si>
    <t>-773.735210450536 18.0006567977957 -447.183012422956</t>
  </si>
  <si>
    <t>-724.247734920651 13.9491826504277 -561.443213171322</t>
  </si>
  <si>
    <t>-655.824106092577 19.9147120010571 -608.215424554817</t>
  </si>
  <si>
    <t>-753.104590207005 42.2202405899338 -515.168553979472</t>
  </si>
  <si>
    <t>-791.103141230843 174.23812494665 -514.867920435329</t>
  </si>
  <si>
    <t>-996.300244163137 175.415245434352 -303.955634810534</t>
  </si>
  <si>
    <t>-1016.55149120029 96.3211858853356 -77.273249165623</t>
  </si>
  <si>
    <t>-844.510652128813 123.882331427122 -62.6219700185455</t>
  </si>
  <si>
    <t>-819.294614472656 271.750280330105 312.016311285971</t>
  </si>
  <si>
    <t>-825.13917327701 359.088247288487 751.084317050929</t>
  </si>
  <si>
    <t>-702.50996932216 437.707803023241 813.280597741515</t>
  </si>
  <si>
    <t>-739.96408648808 -11.0031496688944 335.109700850738</t>
  </si>
  <si>
    <t>-713.924118025597 28.7537000995931 780.866986369831</t>
  </si>
  <si>
    <t>-575.712502345958 -7.24264585953233 849.344108705359</t>
  </si>
  <si>
    <t>9763-20170724T111000.887366900.bin</t>
  </si>
  <si>
    <t>-795.690879002606 41.7685696531285 -63.1468990847698</t>
  </si>
  <si>
    <t>-823.571165764951 29.3120551237216 -174.877682246685</t>
  </si>
  <si>
    <t>-818.897147860732 23.987191905308 -273.246685405634</t>
  </si>
  <si>
    <t>-803.615535881944 20.1440386042505 -360.938974330331</t>
  </si>
  <si>
    <t>-777.166559862607 16.826752786319 -445.954740089292</t>
  </si>
  <si>
    <t>-728.854567736367 12.1881605968069 -560.694809347617</t>
  </si>
  <si>
    <t>-661.073329147065 17.7220019560546 -608.44520684086</t>
  </si>
  <si>
    <t>-757.094002899107 40.7432572061202 -514.214070529086</t>
  </si>
  <si>
    <t>-794.015445439195 173.146230330505 -512.898842599048</t>
  </si>
  <si>
    <t>-986.802068353054 173.377640024294 -290.582693657663</t>
  </si>
  <si>
    <t>-1011.29706898843 99.7751436517169 -62.4740953491861</t>
  </si>
  <si>
    <t>-843.254251272085 124.353826242468 -61.3409644879181</t>
  </si>
  <si>
    <t>-816.514962261529 273.223162704586 312.794942855209</t>
  </si>
  <si>
    <t>-825.439951993358 359.173300487376 752.127777810785</t>
  </si>
  <si>
    <t>-702.33423644237 436.995032791525 814.385978315588</t>
  </si>
  <si>
    <t>-738.3385794352 -10.8938149023347 335.346460725173</t>
  </si>
  <si>
    <t>-713.640216430091 28.8268644154141 781.046715009722</t>
  </si>
  <si>
    <t>-575.398364686517 -7.0670135460482 849.516676917488</t>
  </si>
  <si>
    <t>9763-20170724T111000.918449800.bin</t>
  </si>
  <si>
    <t>-793.423940866441 42.2477066250035 -62.949644044633</t>
  </si>
  <si>
    <t>-822.448916587557 29.9732179871671 -174.408635321447</t>
  </si>
  <si>
    <t>-818.692351931585 24.6403616216048 -272.816494695569</t>
  </si>
  <si>
    <t>-804.205246249592 20.765476784492 -360.642137001141</t>
  </si>
  <si>
    <t>-778.504441403887 17.4121934936193 -445.88575092597</t>
  </si>
  <si>
    <t>-731.180892854721 12.7408122541033 -561.035587026367</t>
  </si>
  <si>
    <t>-664.013257507872 17.9722005970384 -609.679017001746</t>
  </si>
  <si>
    <t>-758.952540346565 41.3309214895939 -514.295186097</t>
  </si>
  <si>
    <t>-795.637940308908 173.809664303982 -512.475673105361</t>
  </si>
  <si>
    <t>-983.810847259051 175.051032406995 -286.24426135814</t>
  </si>
  <si>
    <t>-1004.7200039158 104.935675263695 -56.6848539479764</t>
  </si>
  <si>
    <t>-840.391347126959 125.208368283343 -60.6809418275808</t>
  </si>
  <si>
    <t>-813.13780310326 274.900842850003 313.089211687836</t>
  </si>
  <si>
    <t>-825.346353146178 359.010346126372 752.644868705925</t>
  </si>
  <si>
    <t>-702.346858967888 436.93799511695 814.980619503722</t>
  </si>
  <si>
    <t>-737.242948587043 -11.1715728202712 335.331696171308</t>
  </si>
  <si>
    <t>-713.501310734641 28.9273418547382 781.084798725431</t>
  </si>
  <si>
    <t>-575.269157152331 -6.96363578366436 849.576017139902</t>
  </si>
  <si>
    <t>9763-20170724T111000.957612900.bin</t>
  </si>
  <si>
    <t>-790.381444280456 42.4667135589993 -62.9259261293777</t>
  </si>
  <si>
    <t>-819.836679964539 30.9888422244076 -174.356952234545</t>
  </si>
  <si>
    <t>-816.689666695111 25.8607263893045 -272.797016461131</t>
  </si>
  <si>
    <t>-802.869561524758 22.0984351101838 -360.734911693385</t>
  </si>
  <si>
    <t>-777.939565785418 18.8505335076457 -446.21123339646</t>
  </si>
  <si>
    <t>-731.781649303839 14.3840142853614 -561.841311592753</t>
  </si>
  <si>
    <t>-665.384916189025 19.1977345221135 -611.573996239685</t>
  </si>
  <si>
    <t>-759.021814878064 42.9090635365942 -514.749761868574</t>
  </si>
  <si>
    <t>-796.056467415973 175.274329884106 -512.489595758478</t>
  </si>
  <si>
    <t>-980.12783891277 178.651544433705 -282.930060096705</t>
  </si>
  <si>
    <t>-996.060751531549 113.943939245135 -51.3918846335818</t>
  </si>
  <si>
    <t>-836.319080086133 126.329460775743 -60.1095154442263</t>
  </si>
  <si>
    <t>-808.277252169756 277.209119434582 313.124489559545</t>
  </si>
  <si>
    <t>-825.254967705618 358.877015291534 753.063423750136</t>
  </si>
  <si>
    <t>-702.294224250202 436.779827574409 815.506634525526</t>
  </si>
  <si>
    <t>-736.211219302841 -12.0095946318988 335.386784754636</t>
  </si>
  <si>
    <t>-713.37407143684 28.8275304123199 781.129126491041</t>
  </si>
  <si>
    <t>-575.084988811846 -6.77803763776274 849.654205046469</t>
  </si>
  <si>
    <t>9763-20170724T111001.020782200.bin</t>
  </si>
  <si>
    <t>-785.113853101828 43.1633971807773 -62.0998193925012</t>
  </si>
  <si>
    <t>-812.177301583128 32.3100985933611 -174.198054415668</t>
  </si>
  <si>
    <t>-809.029023927912 27.6553594330426 -272.661692744668</t>
  </si>
  <si>
    <t>-796.062056093178 24.4762167435583 -360.752501005867</t>
  </si>
  <si>
    <t>-772.789143290533 22.0652325425203 -446.722106079533</t>
  </si>
  <si>
    <t>-729.707151917012 19.1289769223768 -563.581701928728</t>
  </si>
  <si>
    <t>-665.417937850854 22.9481320578866 -616.092120869986</t>
  </si>
  <si>
    <t>-755.699655785334 47.0231160172484 -515.419327162814</t>
  </si>
  <si>
    <t>-795.123629556066 178.513977705516 -511.989639486595</t>
  </si>
  <si>
    <t>-965.850776381997 184.246153613937 -272.384592732571</t>
  </si>
  <si>
    <t>-991.492563849623 152.567416624593 -34.9191827482847</t>
  </si>
  <si>
    <t>-827.235645481956 128.306618374819 -60.3001554134895</t>
  </si>
  <si>
    <t>-797.602577981538 282.150574738073 311.598427393712</t>
  </si>
  <si>
    <t>-824.895617624554 358.392424716748 752.668471946697</t>
  </si>
  <si>
    <t>-702.355228859054 436.654495825114 815.486958117924</t>
  </si>
  <si>
    <t>-733.600702588582 -14.0120605727889 336.524782527857</t>
  </si>
  <si>
    <t>-713.194640156419 28.7318101141723 781.505337228161</t>
  </si>
  <si>
    <t>-574.890493194693 -6.56847578239785 850.157803966755</t>
  </si>
  <si>
    <t>9763-20170724T111001.082948900.bin</t>
  </si>
  <si>
    <t>-776.21657561058 42.9082510458147 -61.0191325561303</t>
  </si>
  <si>
    <t>-806.010535645375 31.6143143318968 -172.378851206309</t>
  </si>
  <si>
    <t>-805.804135270935 27.6699794362212 -270.923690691006</t>
  </si>
  <si>
    <t>-795.65915726298 25.5923977930183 -359.416601705285</t>
  </si>
  <si>
    <t>-775.310605883144 24.7494363200394 -446.154477111874</t>
  </si>
  <si>
    <t>-736.365342295273 24.4961318675314 -564.493076336263</t>
  </si>
  <si>
    <t>-675.073929306423 27.0826162391863 -620.543861732526</t>
  </si>
  <si>
    <t>-760.893752640926 51.1967055346145 -514.907197770265</t>
  </si>
  <si>
    <t>-803.504435001476 181.85513815283 -509.32129537071</t>
  </si>
  <si>
    <t>-956.950587694457 192.828747014268 -258.472702357796</t>
  </si>
  <si>
    <t>-972.761508436495 195.904172511415 -18.0742137232132</t>
  </si>
  <si>
    <t>-818.589524412763 128.589973380012 -59.0824138579895</t>
  </si>
  <si>
    <t>-786.559341777535 285.882919352947 311.171101249248</t>
  </si>
  <si>
    <t>-824.756944696298 357.781604741166 752.034200218853</t>
  </si>
  <si>
    <t>-701.629315339161 434.840623154154 815.191474682549</t>
  </si>
  <si>
    <t>-727.965000587507 -15.4320230979156 337.035861922596</t>
  </si>
  <si>
    <t>-713.013440365542 28.7214193337481 781.810156915709</t>
  </si>
  <si>
    <t>-574.651157644853 -6.16450943892096 850.55720211847</t>
  </si>
  <si>
    <t>9763-20170724T111001.118053400.bin</t>
  </si>
  <si>
    <t>-771.431624701411 42.0985405139218 -60.6706915406077</t>
  </si>
  <si>
    <t>-802.436477823822 30.7241036508008 -171.691126992669</t>
  </si>
  <si>
    <t>-803.582291825536 26.9684463791809 -270.236697105807</t>
  </si>
  <si>
    <t>-794.756067763912 25.1674975992169 -358.876973619507</t>
  </si>
  <si>
    <t>-775.799591878592 24.7091974098003 -445.932610236414</t>
  </si>
  <si>
    <t>-738.851525662118 25.1061565822315 -564.909453071424</t>
  </si>
  <si>
    <t>-679.204158180575 26.7291267800642 -622.741799527314</t>
  </si>
  <si>
    <t>-762.595532335702 51.5166058690088 -514.789442837823</t>
  </si>
  <si>
    <t>-805.545425517998 182.056303347103 -508.475617560803</t>
  </si>
  <si>
    <t>-951.743489498542 199.471239182165 -253.693142242383</t>
  </si>
  <si>
    <t>-950.580505166361 217.852729680619 -13.4607044545451</t>
  </si>
  <si>
    <t>-813.482861197368 127.665009030324 -57.9157229462771</t>
  </si>
  <si>
    <t>-779.994966105908 287.569453335381 311.088101770553</t>
  </si>
  <si>
    <t>-824.398347533513 357.096548139963 751.770312952092</t>
  </si>
  <si>
    <t>-701.574813371174 434.491050560103 815.108480388118</t>
  </si>
  <si>
    <t>-724.912881656071 -16.6016339610005 337.106521667443</t>
  </si>
  <si>
    <t>-712.934187288805 28.6872705574478 781.913762876148</t>
  </si>
  <si>
    <t>-574.536392233247 -6.02724134772552 850.676215368524</t>
  </si>
  <si>
    <t>9763-20170724T111001.186240400.bin</t>
  </si>
  <si>
    <t>-762.007295720055 39.8535590974075 -59.7316316329352</t>
  </si>
  <si>
    <t>-795.40309555028 28.359333549477 -170.044122714047</t>
  </si>
  <si>
    <t>-799.124752617443 24.4577303103165 -268.520437678097</t>
  </si>
  <si>
    <t>-792.796330592392 22.5031965369112 -357.37073982907</t>
  </si>
  <si>
    <t>-776.4708350991 21.8640043772543 -444.956816847837</t>
  </si>
  <si>
    <t>-743.301949634271 21.9772514397782 -565.042638065836</t>
  </si>
  <si>
    <t>-687.202598847983 21.1710282823947 -626.33905802207</t>
  </si>
  <si>
    <t>-765.199383853067 48.5830003237288 -514.190288757616</t>
  </si>
  <si>
    <t>-807.385357909746 179.192969779143 -507.239107065909</t>
  </si>
  <si>
    <t>-940.476426557069 207.837641727899 -246.361037718279</t>
  </si>
  <si>
    <t>-892.348155259227 254.879998165791 -15.0138698975301</t>
  </si>
  <si>
    <t>-803.560917247561 125.736254933872 -55.7407390028154</t>
  </si>
  <si>
    <t>-767.629418409917 289.774129326203 311.213103699247</t>
  </si>
  <si>
    <t>-823.977681450793 355.654110137325 751.215514032545</t>
  </si>
  <si>
    <t>-701.284676736871 433.059836505906 814.79312140249</t>
  </si>
  <si>
    <t>-718.393181362846 -19.1152321270924 337.35566887411</t>
  </si>
  <si>
    <t>-712.762375147139 28.606479804796 782.085321212725</t>
  </si>
  <si>
    <t>-574.32524784461 -5.90973779528758 850.86804512225</t>
  </si>
  <si>
    <t>9763-20170724T111001.219334600.bin</t>
  </si>
  <si>
    <t>-757.896392866508 39.2433036334728 -59.2084204160918</t>
  </si>
  <si>
    <t>-792.211413626305 28.0802199451696 -169.272428754821</t>
  </si>
  <si>
    <t>-797.056203828198 24.2341881880384 -267.702180425282</t>
  </si>
  <si>
    <t>-791.86914882536 22.238103998252 -356.625458888256</t>
  </si>
  <si>
    <t>-776.797378259136 21.4618113431461 -444.434767632062</t>
  </si>
  <si>
    <t>-745.482686473573 21.284366737309 -565.017333419423</t>
  </si>
  <si>
    <t>-691.218592817969 19.3317846964824 -627.919102639436</t>
  </si>
  <si>
    <t>-766.320293671246 48.0922755651882 -513.82696885804</t>
  </si>
  <si>
    <t>-807.166311893038 179.084304831189 -506.231348699055</t>
  </si>
  <si>
    <t>-934.576061437426 212.183393607984 -243.053928002079</t>
  </si>
  <si>
    <t>-861.784192962929 269.522238478981 -20.6478298259094</t>
  </si>
  <si>
    <t>-798.745919000245 125.708100239424 -55.0830270119769</t>
  </si>
  <si>
    <t>-762.391257706801 289.960238105962 311.733321517726</t>
  </si>
  <si>
    <t>-823.93530551619 355.036047008703 751.001551550933</t>
  </si>
  <si>
    <t>-701.304852508655 432.544534128729 814.574983491318</t>
  </si>
  <si>
    <t>-715.536819213993 -20.1809165386267 337.462887598017</t>
  </si>
  <si>
    <t>-712.671033043149 28.7338308095991 782.095667757526</t>
  </si>
  <si>
    <t>-574.284954429445 -5.91898189123276 850.9125700472</t>
  </si>
  <si>
    <t>9763-20170724T111001.282539800.bin</t>
  </si>
  <si>
    <t>-751.58984214585 40.2311527647398 -59.2574737303433</t>
  </si>
  <si>
    <t>-787.100860391381 29.4563836337761 -168.98023550843</t>
  </si>
  <si>
    <t>-793.77797496012 25.7238223146301 -267.306945334089</t>
  </si>
  <si>
    <t>-790.56151469525 23.7495074839317 -356.323665628309</t>
  </si>
  <si>
    <t>-777.74685407371 22.90574926405 -444.490111288022</t>
  </si>
  <si>
    <t>-749.855807247624 22.541466523197 -565.909928849174</t>
  </si>
  <si>
    <t>-699.061256102486 18.7344019178759 -631.564099539607</t>
  </si>
  <si>
    <t>-768.510247077519 49.6216473906193 -514.025668515407</t>
  </si>
  <si>
    <t>-805.18851941964 181.70692336572 -504.308661386187</t>
  </si>
  <si>
    <t>-922.334152591776 222.809150418795 -237.515225630988</t>
  </si>
  <si>
    <t>-798.660506788827 292.930011300537 -42.9933753385898</t>
  </si>
  <si>
    <t>-790.925298420662 127.275348505183 -54.8868961357492</t>
  </si>
  <si>
    <t>-753.734864547936 290.357130293815 312.367571943177</t>
  </si>
  <si>
    <t>-824.110327713317 354.226245277343 750.472497117761</t>
  </si>
  <si>
    <t>-700.934093367422 430.985839442508 813.898732842233</t>
  </si>
  <si>
    <t>-711.214903267863 -21.1899769144925 337.488312627633</t>
  </si>
  <si>
    <t>-712.461578098728 29.0347186011436 782.027976925763</t>
  </si>
  <si>
    <t>-574.232918173394 -6.0292809258608 850.952428794643</t>
  </si>
  <si>
    <t>9763-20170724T111001.315587500.bin</t>
  </si>
  <si>
    <t>-749.539829569286 41.3973130314071 -59.3904415219093</t>
  </si>
  <si>
    <t>-785.101429522256 30.9448306366926 -169.127978441763</t>
  </si>
  <si>
    <t>-792.411158535754 27.3219264522577 -267.413878421322</t>
  </si>
  <si>
    <t>-790.00955334009 25.38724831544 -356.457341714697</t>
  </si>
  <si>
    <t>-778.241481420076 24.5208667901261 -444.769203339512</t>
  </si>
  <si>
    <t>-752.042752746287 24.0627295158797 -566.56512664671</t>
  </si>
  <si>
    <t>-702.91317716457 19.4075776433724 -633.420507289384</t>
  </si>
  <si>
    <t>-769.53114954038 51.28952314956 -514.352292988597</t>
  </si>
  <si>
    <t>-803.618709414641 183.993182726142 -503.476088519647</t>
  </si>
  <si>
    <t>-913.699041096968 227.795585646786 -234.116005771261</t>
  </si>
  <si>
    <t>-765.189818628359 298.283723401293 -57.9700902070329</t>
  </si>
  <si>
    <t>-787.99100319672 128.63268497322 -55.1435836919793</t>
  </si>
  <si>
    <t>-750.1359719044 291.030509170402 312.34609404228</t>
  </si>
  <si>
    <t>-824.27230500906 353.991010336441 750.017198127297</t>
  </si>
  <si>
    <t>-700.849612633863 430.40332042627 813.383351018277</t>
  </si>
  <si>
    <t>-710.139308888115 -21.305029053779 337.468199111202</t>
  </si>
  <si>
    <t>-712.364067842138 29.1471102639121 781.994549003913</t>
  </si>
  <si>
    <t>-574.231610248205 -6.17128135925077 850.982669355004</t>
  </si>
  <si>
    <t>9763-20170724T111001.385679700.bin</t>
  </si>
  <si>
    <t>-746.378563791228 44.6613720940695 -59.6385007243193</t>
  </si>
  <si>
    <t>-781.586663769616 35.0542466148022 -169.567251435373</t>
  </si>
  <si>
    <t>-789.894454250363 31.6298941913519 -267.78072689911</t>
  </si>
  <si>
    <t>-788.942302458619 29.6754513595342 -356.851011779949</t>
  </si>
  <si>
    <t>-779.158245573397 28.5813256088732 -445.402237207354</t>
  </si>
  <si>
    <t>-756.269034545358 27.5909083134075 -567.860035740155</t>
  </si>
  <si>
    <t>-710.365973460843 21.2128777015719 -636.833062081581</t>
  </si>
  <si>
    <t>-771.279724962463 55.2681463360664 -515.115787014284</t>
  </si>
  <si>
    <t>-799.032403030625 189.247891535993 -502.013157536245</t>
  </si>
  <si>
    <t>-891.747632467709 237.534559002435 -226.943329382219</t>
  </si>
  <si>
    <t>-700.39407407489 294.510166147 -92.0789652084578</t>
  </si>
  <si>
    <t>-761.403012270345 0.7852078556366 -512.829014949735</t>
  </si>
  <si>
    <t>-782.435049990709 132.032682450715 -55.6036290865765</t>
  </si>
  <si>
    <t>-743.146456508482 293.440906147977 312.171432356368</t>
  </si>
  <si>
    <t>-824.666092270822 353.696478654813 748.857893474599</t>
  </si>
  <si>
    <t>-700.607193943952 429.301280235704 811.949740646551</t>
  </si>
  <si>
    <t>-709.318151685623 -21.0264310433295 337.47919458402</t>
  </si>
  <si>
    <t>-712.182665355487 29.4343480337998 781.989292746379</t>
  </si>
  <si>
    <t>-574.292017683048 -6.59739864162475 851.092145761164</t>
  </si>
  <si>
    <t>9763-20170724T111001.420773900.bin</t>
  </si>
  <si>
    <t>-745.061702395231 46.6027117244525 -59.737222383268</t>
  </si>
  <si>
    <t>-779.89144931123 37.6391748156311 -169.840606135131</t>
  </si>
  <si>
    <t>-788.521884715407 34.3641530673658 -268.031424794463</t>
  </si>
  <si>
    <t>-788.140729428369 32.3862536849588 -357.105621248778</t>
  </si>
  <si>
    <t>-779.205860598632 31.10314313459 -445.744008478569</t>
  </si>
  <si>
    <t>-757.789741445282 29.6764379732299 -568.463585036315</t>
  </si>
  <si>
    <t>-713.399759792215 22.4477408565244 -638.337124370244</t>
  </si>
  <si>
    <t>-771.579810671671 57.645953860354 -515.540522036839</t>
  </si>
  <si>
    <t>-795.832333916292 192.249787235674 -501.909666871062</t>
  </si>
  <si>
    <t>-879.082470853248 242.597754726908 -224.19446606417</t>
  </si>
  <si>
    <t>-671.207761144438 286.296651890686 -110.487374745668</t>
  </si>
  <si>
    <t>-762.848317432139 2.96264872231359 -513.380995029122</t>
  </si>
  <si>
    <t>-779.912361953897 133.826964519758 -55.6958715588429</t>
  </si>
  <si>
    <t>-739.531067150356 295.005256285013 312.061710711779</t>
  </si>
  <si>
    <t>-824.813262750227 353.407145303596 748.28397331221</t>
  </si>
  <si>
    <t>-700.614855140913 428.933963669294 811.194499297871</t>
  </si>
  <si>
    <t>-709.052803226407 -20.7024112073541 337.466594406646</t>
  </si>
  <si>
    <t>-712.098980566733 29.7741538148266 781.995965087908</t>
  </si>
  <si>
    <t>-574.489602646614 -7.17451569135346 851.17532400568</t>
  </si>
  <si>
    <t>9763-20170724T111001.483964300.bin</t>
  </si>
  <si>
    <t>-742.708064445996 50.6749963163711 -59.6324851297213</t>
  </si>
  <si>
    <t>-776.602972203473 43.3808637148145 -170.15005156849</t>
  </si>
  <si>
    <t>-785.659777176897 40.3696805191403 -268.311030996794</t>
  </si>
  <si>
    <t>-786.213615195511 38.1759567670315 -357.379054821804</t>
  </si>
  <si>
    <t>-778.772376356953 36.2135254833042 -446.14293524626</t>
  </si>
  <si>
    <t>-760.029997798068 33.357989390106 -569.274488857147</t>
  </si>
  <si>
    <t>-718.562141889957 24.3037520169273 -640.713114454551</t>
  </si>
  <si>
    <t>-771.443000049583 62.1193902033256 -516.210066710146</t>
  </si>
  <si>
    <t>-788.877823855236 197.818376577821 -502.698778369449</t>
  </si>
  <si>
    <t>-852.282811181708 252.014937442975 -220.504227856233</t>
  </si>
  <si>
    <t>-623.259514383908 257.608403193668 -145.88608703531</t>
  </si>
  <si>
    <t>-765.112299483061 7.10968453089527 -513.970777838011</t>
  </si>
  <si>
    <t>-775.092660453301 137.741333123809 -55.3416055691094</t>
  </si>
  <si>
    <t>-731.733038505417 299.458837437501 311.839647502388</t>
  </si>
  <si>
    <t>-825.099280816299 352.827443554434 747.040421038627</t>
  </si>
  <si>
    <t>-700.36558374064 427.760770112435 809.60092408446</t>
  </si>
  <si>
    <t>-708.858318700507 -20.2244417677057 337.482646525397</t>
  </si>
  <si>
    <t>-711.951371601847 29.8937760205167 782.069374220019</t>
  </si>
  <si>
    <t>-574.524229674725 -7.58971596834272 851.323209267955</t>
  </si>
  <si>
    <t>9763-20170724T111001.517098000.bin</t>
  </si>
  <si>
    <t>-741.238130952626 52.6921316306161 -59.4761439889838</t>
  </si>
  <si>
    <t>-774.498863452925 46.4101982047864 -170.248288065244</t>
  </si>
  <si>
    <t>-783.65276101296 43.4941880839492 -268.403066613945</t>
  </si>
  <si>
    <t>-784.588609205168 41.0928984058892 -357.462571589364</t>
  </si>
  <si>
    <t>-777.833977426431 38.6297052912837 -446.268798047555</t>
  </si>
  <si>
    <t>-760.37741020558 34.775729538841 -569.562092684046</t>
  </si>
  <si>
    <t>-720.260367666639 24.7291512341612 -641.6364768348</t>
  </si>
  <si>
    <t>-770.624254176937 64.0345255657921 -516.531623429784</t>
  </si>
  <si>
    <t>-784.630772759385 200.143307350404 -503.289907820394</t>
  </si>
  <si>
    <t>-837.966315187334 256.747375664545 -219.489747732414</t>
  </si>
  <si>
    <t>-605.203908678767 239.485736262659 -159.702483569926</t>
  </si>
  <si>
    <t>-765.494009631452 8.90889132170696 -514.082124289646</t>
  </si>
  <si>
    <t>-771.976000929642 139.58300359602 -54.8947649405314</t>
  </si>
  <si>
    <t>-727.453673819094 302.413560273363 311.65500549428</t>
  </si>
  <si>
    <t>-825.089421259907 352.406762205483 746.308202648352</t>
  </si>
  <si>
    <t>-700.503570971135 427.739516326123 808.683594439415</t>
  </si>
  <si>
    <t>-708.873242648831 -20.129242210649 337.543339636878</t>
  </si>
  <si>
    <t>-711.882891084917 30.0044326373936 782.15259403814</t>
  </si>
  <si>
    <t>-574.674652489598 -8.21714651562752 851.437034282293</t>
  </si>
  <si>
    <t>9763-20170724T111001.584094200.bin</t>
  </si>
  <si>
    <t>-738.050226519794 57.6419351303139 -58.8043544852409</t>
  </si>
  <si>
    <t>-769.978004399653 53.6144774040336 -170.072634981009</t>
  </si>
  <si>
    <t>-779.329555733044 50.8559473919486 -268.213355149566</t>
  </si>
  <si>
    <t>-781.065793817052 47.9223084479672 -357.244847903477</t>
  </si>
  <si>
    <t>-775.762209730895 44.2538856736351 -446.10803610882</t>
  </si>
  <si>
    <t>-761.035765321166 38.0282984925379 -569.660398640708</t>
  </si>
  <si>
    <t>-723.512092868587 25.8975192073058 -642.802999731507</t>
  </si>
  <si>
    <t>-768.766807707385 68.4057786795174 -516.832751162496</t>
  </si>
  <si>
    <t>-775.2207458383 205.130482195578 -504.312395405038</t>
  </si>
  <si>
    <t>-810.202852348688 266.346110374882 -218.620172992183</t>
  </si>
  <si>
    <t>-581.71070847129 200.042805799415 -180.593564177518</t>
  </si>
  <si>
    <t>-766.265417289399 13.1300089950423 -513.749520205493</t>
  </si>
  <si>
    <t>-765.059498659681 144.162627156104 -53.8424269527736</t>
  </si>
  <si>
    <t>-718.237871680534 309.379511708681 311.350415299665</t>
  </si>
  <si>
    <t>-825.34888651637 352.070447255153 744.372275917111</t>
  </si>
  <si>
    <t>-700.595484248988 427.432015625434 806.376494302311</t>
  </si>
  <si>
    <t>-709.832120537699 -19.8937278543403 337.760048943121</t>
  </si>
  <si>
    <t>-711.885510355126 30.1212612724498 782.438616322873</t>
  </si>
  <si>
    <t>-574.950563917362 -9.22637194986237 851.632991810594</t>
  </si>
  <si>
    <t>9763-20170724T111001.618183900.bin</t>
  </si>
  <si>
    <t>-736.755424569811 60.9644521624782 -58.4640371003973</t>
  </si>
  <si>
    <t>-768.024898738547 58.1144519967247 -169.955423768265</t>
  </si>
  <si>
    <t>-777.472331247877 55.4954985912291 -268.090702831517</t>
  </si>
  <si>
    <t>-779.601506598696 52.3556895768616 -357.106731209463</t>
  </si>
  <si>
    <t>-775.014426600863 48.1463880162351 -445.985805197218</t>
  </si>
  <si>
    <t>-761.641175430266 40.8201119206597 -569.631646112998</t>
  </si>
  <si>
    <t>-725.429758848389 27.6121797785227 -643.247514751186</t>
  </si>
  <si>
    <t>-768.017555308511 71.6969799498975 -516.912764063296</t>
  </si>
  <si>
    <t>-769.917673645402 208.57909856986 -504.862291969924</t>
  </si>
  <si>
    <t>-798.591852514177 272.284694718196 -219.011539788938</t>
  </si>
  <si>
    <t>-577.024218707334 182.450289705359 -189.203822113457</t>
  </si>
  <si>
    <t>-767.034590734772 16.3909835627587 -513.529542610552</t>
  </si>
  <si>
    <t>-762.171438920823 147.536794852862 -53.2347129616996</t>
  </si>
  <si>
    <t>-712.83118187841 313.288177301782 311.38380512689</t>
  </si>
  <si>
    <t>-825.584524316547 352.102889381004 743.291801389985</t>
  </si>
  <si>
    <t>-700.602808343201 427.223947561428 805.128086752862</t>
  </si>
  <si>
    <t>-710.255683069392 -19.1494914343821 337.829989510991</t>
  </si>
  <si>
    <t>-711.843634266959 30.2504653860424 782.560265502846</t>
  </si>
  <si>
    <t>-575.123280916574 -9.8766904347176 851.731544628129</t>
  </si>
  <si>
    <t>9763-20170724T111001.685378600.bin</t>
  </si>
  <si>
    <t>-732.898484548477 68.8795518037155 -58.6228733526884</t>
  </si>
  <si>
    <t>-763.378239206904 67.7802234469523 -170.363649022509</t>
  </si>
  <si>
    <t>-773.103788160561 65.3535567194303 -268.476676606561</t>
  </si>
  <si>
    <t>-775.934178781614 61.8820353423339 -357.460838043095</t>
  </si>
  <si>
    <t>-772.528662777856 56.8155211201165 -446.348319517507</t>
  </si>
  <si>
    <t>-761.336945189069 47.7425116630729 -570.094972358561</t>
  </si>
  <si>
    <t>-727.681887447343 32.4449965537297 -644.515086700383</t>
  </si>
  <si>
    <t>-764.99896433984 79.349378563074 -517.550703525122</t>
  </si>
  <si>
    <t>-756.791638628354 216.14191362491 -506.522120374001</t>
  </si>
  <si>
    <t>-780.086286278222 281.70711130903 -220.602951848593</t>
  </si>
  <si>
    <t>-575.618481436979 155.364458172922 -203.830517889012</t>
  </si>
  <si>
    <t>-767.524773930716 24.1208733636217 -513.729708435287</t>
  </si>
  <si>
    <t>-755.493404001845 155.738131752331 -53.5300858636281</t>
  </si>
  <si>
    <t>-701.36192190444 318.433302167335 311.784425388307</t>
  </si>
  <si>
    <t>-825.558122146334 351.370617328649 740.965878030993</t>
  </si>
  <si>
    <t>-700.068616194625 426.072778979798 802.278919470054</t>
  </si>
  <si>
    <t>-708.463329960017 -16.532229409921 337.594970249559</t>
  </si>
  <si>
    <t>-711.632980877997 30.8836920717249 782.55974435398</t>
  </si>
  <si>
    <t>-575.503884745492 -11.0907789576872 851.80085639424</t>
  </si>
  <si>
    <t>9763-20170724T111001.720464700.bin</t>
  </si>
  <si>
    <t>-729.51325610817 73.4779934583626 -59.4723283768427</t>
  </si>
  <si>
    <t>-759.792200832435 72.6064747383011 -171.269728486332</t>
  </si>
  <si>
    <t>-769.736461223403 70.0510609680241 -269.35755337517</t>
  </si>
  <si>
    <t>-772.939836873513 66.3523077999912 -358.319957851901</t>
  </si>
  <si>
    <t>-770.089906555354 60.9401783616267 -447.206590593176</t>
  </si>
  <si>
    <t>-759.872394265735 51.2627702848695 -570.991684932943</t>
  </si>
  <si>
    <t>-727.4348714522 35.0388094625218 -645.755579345562</t>
  </si>
  <si>
    <t>-762.232507625829 83.0769369384584 -518.497846375353</t>
  </si>
  <si>
    <t>-749.276179156166 219.525941432936 -507.798849877051</t>
  </si>
  <si>
    <t>-771.347622978692 286.265669435481 -222.054461257658</t>
  </si>
  <si>
    <t>-576.598426254277 144.963093979805 -209.518236445849</t>
  </si>
  <si>
    <t>-766.504542138727 27.965691530278 -514.542088844755</t>
  </si>
  <si>
    <t>-750.731459254724 160.699888450867 -54.9556638309357</t>
  </si>
  <si>
    <t>-696.175546122427 319.760661143495 311.893110710902</t>
  </si>
  <si>
    <t>-825.536760122192 351.042305222689 739.934171289889</t>
  </si>
  <si>
    <t>-699.56847597041 425.196713079404 800.929016972646</t>
  </si>
  <si>
    <t>-706.702564875567 -14.3353625723189 337.266119547288</t>
  </si>
  <si>
    <t>-711.510911438517 31.4921904379089 782.379375574516</t>
  </si>
  <si>
    <t>-575.83689729367 -11.7517648099424 851.73209804728</t>
  </si>
  <si>
    <t>9763-20170724T111001.785652400.bin</t>
  </si>
  <si>
    <t>-721.387491361309 83.505418564172 -62.4155372460375</t>
  </si>
  <si>
    <t>-751.045003914722 82.3845964748612 -174.377076888741</t>
  </si>
  <si>
    <t>-761.444914363051 79.3958070817112 -272.405533849982</t>
  </si>
  <si>
    <t>-765.473095943014 75.2913403665975 -361.316506362016</t>
  </si>
  <si>
    <t>-763.859423382902 69.464478396435 -450.207974891452</t>
  </si>
  <si>
    <t>-755.795549296606 59.2204149902873 -574.106558833802</t>
  </si>
  <si>
    <t>-725.526697856595 41.738608161294 -649.493633584426</t>
  </si>
  <si>
    <t>-755.701716137736 91.1220999417496 -521.612755507187</t>
  </si>
  <si>
    <t>-734.812311344624 226.570069446061 -511.183750418251</t>
  </si>
  <si>
    <t>-752.906919309699 300.405038350681 -226.908954882694</t>
  </si>
  <si>
    <t>-578.986745916245 133.913937512109 -217.781874610016</t>
  </si>
  <si>
    <t>-762.986341391491 36.3346017970939 -517.557068174042</t>
  </si>
  <si>
    <t>-739.355733088803 170.434660103539 -59.3441512257564</t>
  </si>
  <si>
    <t>-688.775234211908 322.103127935298 311.186360996219</t>
  </si>
  <si>
    <t>-825.609456242162 350.716638312661 737.835960006565</t>
  </si>
  <si>
    <t>-699.377551843744 425.01217971093 798.110223492946</t>
  </si>
  <si>
    <t>-702.270310977677 -8.3496008734096 336.018215998809</t>
  </si>
  <si>
    <t>-710.846490831785 34.2624610136299 781.385749351022</t>
  </si>
  <si>
    <t>-577.140824917473 -13.6097649168046 851.516215769004</t>
  </si>
  <si>
    <t>9763-20170724T111001.817741300.bin</t>
  </si>
  <si>
    <t>-717.737787189049 87.7370630668843 -64.5119548354774</t>
  </si>
  <si>
    <t>-747.178025527265 86.2039496913017 -176.525880978708</t>
  </si>
  <si>
    <t>-757.824444663993 82.9546885440573 -274.519572278381</t>
  </si>
  <si>
    <t>-762.246127652478 78.691527329609 -363.404368112863</t>
  </si>
  <si>
    <t>-761.19080232643 72.788188194058 -452.299262406022</t>
  </si>
  <si>
    <t>-754.070853180503 62.5350519707381 -576.25481148072</t>
  </si>
  <si>
    <t>-724.667718985761 44.7525175650744 -651.913657197834</t>
  </si>
  <si>
    <t>-752.930238775544 94.3503825332791 -523.720946675746</t>
  </si>
  <si>
    <t>-728.849300399533 229.318347875066 -513.547280331134</t>
  </si>
  <si>
    <t>-744.194939245834 308.389550360967 -230.521835056157</t>
  </si>
  <si>
    <t>-581.032381299146 131.377295938492 -220.7526045543</t>
  </si>
  <si>
    <t>-761.477509451014 39.7434974561893 -519.695069626577</t>
  </si>
  <si>
    <t>-734.523071993586 175.043914498375 -62.5650338464046</t>
  </si>
  <si>
    <t>-687.970785645503 321.960753207993 310.400110997482</t>
  </si>
  <si>
    <t>-825.664013099187 350.848202656637 737.053015891062</t>
  </si>
  <si>
    <t>-699.35352131888 425.159808271242 797.143129789783</t>
  </si>
  <si>
    <t>-701.043000224553 0.208298034260679 -68.2524682998695</t>
  </si>
  <si>
    <t>-700.157394356679 -5.2464485182827 335.262245577644</t>
  </si>
  <si>
    <t>-710.255101863182 36.6880460591174 780.728121995456</t>
  </si>
  <si>
    <t>-577.99800260572 -14.3709645356375 851.356341638423</t>
  </si>
  <si>
    <t>9763-20170724T111001.886960700.bin</t>
  </si>
  <si>
    <t>-711.421996323241 89.7762051205859 -68.195921382614</t>
  </si>
  <si>
    <t>-741.224186099905 86.7954324399866 -180.08500754246</t>
  </si>
  <si>
    <t>-752.506016211891 82.8263170735804 -277.981008911223</t>
  </si>
  <si>
    <t>-757.610550329122 78.1688322580612 -366.809470050871</t>
  </si>
  <si>
    <t>-757.327936570399 72.124498667069 -455.700557395101</t>
  </si>
  <si>
    <t>-751.365256199202 61.9492159260813 -579.723622453371</t>
  </si>
  <si>
    <t>-723.17541613291 43.9798295532892 -655.798944335789</t>
  </si>
  <si>
    <t>-748.66634361217 93.5485702205151 -527.116510468696</t>
  </si>
  <si>
    <t>-719.541173237203 227.583178976088 -517.421685219057</t>
  </si>
  <si>
    <t>-728.546588837766 318.189035250751 -237.599084260483</t>
  </si>
  <si>
    <t>-583.217859186255 126.486550928772 -224.157523431096</t>
  </si>
  <si>
    <t>-759.311947866352 39.3052366974312 -523.17793654099</t>
  </si>
  <si>
    <t>-726.088061260188 180.218829798343 -69.0707879088874</t>
  </si>
  <si>
    <t>-691.077741149645 317.525587925658 308.786124303356</t>
  </si>
  <si>
    <t>-825.635544318527 351.970407464933 736.480354383288</t>
  </si>
  <si>
    <t>-699.476997686816 426.401408469917 796.740613830252</t>
  </si>
  <si>
    <t>-700.933633430847 0.637949765626672 334.086407512973</t>
  </si>
  <si>
    <t>-708.07531469043 47.3118319067135 779.275426103208</t>
  </si>
  <si>
    <t>-581.421294959447 -15.1372852024447 851.012234268664</t>
  </si>
  <si>
    <t>9763-20170724T111001.920019000.bin</t>
  </si>
  <si>
    <t>-708.897014373835 89.9934370843939 -69.4895780508075</t>
  </si>
  <si>
    <t>-738.918606603047 86.4172561052578 -181.302641716015</t>
  </si>
  <si>
    <t>-750.388016244698 82.1859661024455 -279.16577280171</t>
  </si>
  <si>
    <t>-755.649878013414 77.4054307036786 -367.978523899175</t>
  </si>
  <si>
    <t>-755.50607046604 71.3474650489738 -456.868948924722</t>
  </si>
  <si>
    <t>-749.710279312686 61.268848244275 -580.907969093192</t>
  </si>
  <si>
    <t>-721.853215332689 43.3383694519712 -657.114831643676</t>
  </si>
  <si>
    <t>-746.524393203858 92.7438546212416 -528.25350262104</t>
  </si>
  <si>
    <t>-715.500628519376 226.282377346596 -518.492804326588</t>
  </si>
  <si>
    <t>-721.98514193183 321.506015142995 -240.137550053696</t>
  </si>
  <si>
    <t>-582.855739486166 125.311005509679 -225.946217034007</t>
  </si>
  <si>
    <t>-757.997332559766 38.663953930848 -524.395451651455</t>
  </si>
  <si>
    <t>-722.01612922906 181.180217315432 -71.6293367048702</t>
  </si>
  <si>
    <t>-693.813854144408 314.794612289561 308.115979767852</t>
  </si>
  <si>
    <t>-825.510383370106 352.463459698786 736.492427940573</t>
  </si>
  <si>
    <t>-699.126638634602 426.39611671534 796.894605886098</t>
  </si>
  <si>
    <t>-701.104941852304 4.20930337421714 333.622476359498</t>
  </si>
  <si>
    <t>-706.189768695668 55.1814550544636 778.540300546237</t>
  </si>
  <si>
    <t>-584.202010486531 -15.3584332088976 850.862233384494</t>
  </si>
  <si>
    <t>9763-20170724T111001.984205200.bin</t>
  </si>
  <si>
    <t>-707.314860531966 91.3314133006661 -71.1002080667416</t>
  </si>
  <si>
    <t>-737.689447030148 87.6317596502845 -182.813801269852</t>
  </si>
  <si>
    <t>-749.197978281792 83.5079027427823 -280.676966216667</t>
  </si>
  <si>
    <t>-754.372023784533 78.9588475953692 -369.506989456281</t>
  </si>
  <si>
    <t>-754.005473248426 73.2690470467669 -458.421271902559</t>
  </si>
  <si>
    <t>-747.745056277141 63.8618000688452 -582.4902288798</t>
  </si>
  <si>
    <t>-720.046774695543 46.2546174930535 -658.830291574465</t>
  </si>
  <si>
    <t>-744.101784790842 94.9070470130264 -529.610819544875</t>
  </si>
  <si>
    <t>-709.938911548409 227.623406222194 -519.169752991629</t>
  </si>
  <si>
    <t>-715.023581332847 327.971178025041 -242.591276571162</t>
  </si>
  <si>
    <t>-583.640585241156 126.598519062516 -227.151753139998</t>
  </si>
  <si>
    <t>-756.898071025341 41.0960474181302 -526.17628079944</t>
  </si>
  <si>
    <t>-718.052786956458 182.527042655648 -74.3835532852886</t>
  </si>
  <si>
    <t>-697.003781921651 309.999006782392 307.92842711006</t>
  </si>
  <si>
    <t>-825.074383360794 352.89490222901 736.778436329421</t>
  </si>
  <si>
    <t>-698.677436907682 426.743884029047 797.2543589177</t>
  </si>
  <si>
    <t>-696.915713354487 0.717237121382368 -70.3068280115859</t>
  </si>
  <si>
    <t>-702.344849316407 12.5014805457859 333.037142501861</t>
  </si>
  <si>
    <t>-701.757991640639 70.0681330016396 777.603892184994</t>
  </si>
  <si>
    <t>-590.966914072323 -16.4708484157272 850.567113348266</t>
  </si>
  <si>
    <t>9763-20170724T111002.019299400.bin</t>
  </si>
  <si>
    <t>-707.237627130926 91.9980036852858 -71.2219951789278</t>
  </si>
  <si>
    <t>-737.787104932494 88.5626392662966 -182.896281343324</t>
  </si>
  <si>
    <t>-749.197177015172 84.6948479347707 -280.781478119573</t>
  </si>
  <si>
    <t>-754.175185197881 80.4137457589909 -369.636011196856</t>
  </si>
  <si>
    <t>-753.501658478997 75.0312060078668 -458.567543615397</t>
  </si>
  <si>
    <t>-746.692774451848 66.1019120824567 -582.643019227006</t>
  </si>
  <si>
    <t>-718.860666685792 48.6616866830282 -658.972895853092</t>
  </si>
  <si>
    <t>-743.007097377484 96.87694822197 -529.608823287328</t>
  </si>
  <si>
    <t>-707.549071863512 229.236365983992 -518.612819844608</t>
  </si>
  <si>
    <t>-713.499194475957 329.506503285519 -242.023222288678</t>
  </si>
  <si>
    <t>-584.396295290896 126.5827715458 -227.692493810621</t>
  </si>
  <si>
    <t>-756.370618027656 43.1854319173071 -526.478228540222</t>
  </si>
  <si>
    <t>-716.332230744743 182.276459032625 -74.6951143654933</t>
  </si>
  <si>
    <t>-696.530603691202 308.461464638555 308.110218288639</t>
  </si>
  <si>
    <t>-824.687427138662 352.80386394179 736.856253448601</t>
  </si>
  <si>
    <t>-697.850444406628 425.884262487151 797.34528011103</t>
  </si>
  <si>
    <t>-698.04755838668 2.01123460517692 -70.2904984641095</t>
  </si>
  <si>
    <t>-703.110920002707 15.8402041805671 332.993279429032</t>
  </si>
  <si>
    <t>-699.838661671076 75.4986267951631 777.407409519321</t>
  </si>
  <si>
    <t>-594.291402960067 -17.3126698802612 850.435634661963</t>
  </si>
  <si>
    <t>9763-20170724T111002.082488100.bin</t>
  </si>
  <si>
    <t>-708.414764669282 90.6051145570218 -70.172403750724</t>
  </si>
  <si>
    <t>-739.317858684236 88.4211231327704 -181.780882915101</t>
  </si>
  <si>
    <t>-750.470076564801 85.448214825818 -279.726992388127</t>
  </si>
  <si>
    <t>-754.984763956554 81.9356193634935 -368.639934766832</t>
  </si>
  <si>
    <t>-753.618703752867 77.2781738278022 -457.604447944184</t>
  </si>
  <si>
    <t>-745.600377780059 69.3240167122331 -581.674024989459</t>
  </si>
  <si>
    <t>-717.327233566278 52.0676454948498 -657.883414655691</t>
  </si>
  <si>
    <t>-741.899308354946 99.5444639536377 -528.322963616943</t>
  </si>
  <si>
    <t>-703.918807276743 231.103669811956 -515.909355164879</t>
  </si>
  <si>
    <t>-712.177043967454 326.279344687383 -237.58478685665</t>
  </si>
  <si>
    <t>-585.397736170261 121.651917273667 -227.316835334661</t>
  </si>
  <si>
    <t>-756.358560179493 46.1040319723479 -525.831351936296</t>
  </si>
  <si>
    <t>-714.387487750995 179.054902566028 -72.7451638538167</t>
  </si>
  <si>
    <t>-691.196138193194 309.610889657815 308.40042812954</t>
  </si>
  <si>
    <t>-823.834406703864 352.581169379161 736.345541163758</t>
  </si>
  <si>
    <t>-696.995287724693 425.553206325898 796.960793495054</t>
  </si>
  <si>
    <t>-702.405678237467 1.86061420000442 -69.5302299735258</t>
  </si>
  <si>
    <t>-705.547849630439 17.1699120221911 333.719616506713</t>
  </si>
  <si>
    <t>-699.413811020954 78.680159018445 777.777015659189</t>
  </si>
  <si>
    <t>-597.71486909789 -18.6512351801725 850.380152044672</t>
  </si>
  <si>
    <t>9763-20170724T111002.120591900.bin</t>
  </si>
  <si>
    <t>-710.19145957262 86.4995148060621 -68.6211394756893</t>
  </si>
  <si>
    <t>-741.255653591667 85.3059864538163 -180.199907235916</t>
  </si>
  <si>
    <t>-752.320876126475 82.9880761345003 -278.173599167582</t>
  </si>
  <si>
    <t>-756.669649233014 79.9886962669952 -367.113542588579</t>
  </si>
  <si>
    <t>-755.054159900684 75.7580757517226 -456.095236278539</t>
  </si>
  <si>
    <t>-746.605046766861 68.3067366453452 -580.167460396093</t>
  </si>
  <si>
    <t>-718.11598144251 51.0528551611769 -656.296973950839</t>
  </si>
  <si>
    <t>-742.825030983416 98.2386959554415 -526.659510711084</t>
  </si>
  <si>
    <t>-703.424894283003 229.357426495451 -513.464186207247</t>
  </si>
  <si>
    <t>-711.821245433476 321.057250676105 -233.97926516495</t>
  </si>
  <si>
    <t>-586.914683633048 115.20198015381 -225.449717916716</t>
  </si>
  <si>
    <t>-757.821072373841 44.9325679645158 -524.479377711134</t>
  </si>
  <si>
    <t>-714.297069222489 174.237931538071 -70.0919892098598</t>
  </si>
  <si>
    <t>-686.071704790947 310.387348606816 308.750211885089</t>
  </si>
  <si>
    <t>-823.22069000122 352.14426522055 735.534017405261</t>
  </si>
  <si>
    <t>-696.752268408123 425.633470540368 796.299128249195</t>
  </si>
  <si>
    <t>-708.871956903035 15.3373964787461 334.69777456425</t>
  </si>
  <si>
    <t>-700.415658761348 77.7623277811454 778.449916572481</t>
  </si>
  <si>
    <t>-597.766908519583 -18.9560810974608 850.533662522517</t>
  </si>
  <si>
    <t>9763-20170724T111002.184380300.bin</t>
  </si>
  <si>
    <t>-714.554183633503 72.7143022652344 -63.7889329197671</t>
  </si>
  <si>
    <t>-746.493870367805 73.8470153835929 -175.120883678242</t>
  </si>
  <si>
    <t>-757.42131385524 73.0469383276136 -273.134122164702</t>
  </si>
  <si>
    <t>-761.299203249239 71.1682726265703 -362.126797756699</t>
  </si>
  <si>
    <t>-758.883750466235 67.7700025879358 -451.125851827724</t>
  </si>
  <si>
    <t>-748.991459709386 61.1486346574607 -575.138398275393</t>
  </si>
  <si>
    <t>-719.873631868079 43.7226836427026 -650.990369892247</t>
  </si>
  <si>
    <t>-745.504602634073 90.6273612924624 -521.359646563822</t>
  </si>
  <si>
    <t>-703.93103955579 220.803684882264 -506.309890658155</t>
  </si>
  <si>
    <t>-709.460529250893 309.062298250533 -225.648160479244</t>
  </si>
  <si>
    <t>-591.041384886848 99.3547800763758 -218.540921353543</t>
  </si>
  <si>
    <t>-761.18457860204 37.4974180463919 -519.773632214922</t>
  </si>
  <si>
    <t>-716.30108817891 159.6437152606 -62.9063807610474</t>
  </si>
  <si>
    <t>-674.597373248433 314.226182940407 307.525340215505</t>
  </si>
  <si>
    <t>-820.414980778092 349.852270738584 731.927907206927</t>
  </si>
  <si>
    <t>-695.902034331581 425.139402447167 794.503748211554</t>
  </si>
  <si>
    <t>-715.507412803402 8.57011373168962 336.933664559529</t>
  </si>
  <si>
    <t>-701.977145297717 76.0047774011759 779.710251275032</t>
  </si>
  <si>
    <t>-597.16202955941 -18.9421931641386 851.027742372901</t>
  </si>
  <si>
    <t>9763-20170724T111002.218471700.bin</t>
  </si>
  <si>
    <t>-716.485401010528 65.9839447090098 -61.5419535930567</t>
  </si>
  <si>
    <t>-748.97513797882 68.4396039921103 -172.693139857243</t>
  </si>
  <si>
    <t>-759.678317642759 68.4453780991125 -270.734620367319</t>
  </si>
  <si>
    <t>-763.081271214739 67.1171952596555 -359.756474625266</t>
  </si>
  <si>
    <t>-759.931161817246 64.0670347255455 -448.745345777743</t>
  </si>
  <si>
    <t>-748.757487397683 57.6999238556095 -572.662378710252</t>
  </si>
  <si>
    <t>-719.211043361623 40.2062514815907 -648.332795062471</t>
  </si>
  <si>
    <t>-745.810012980272 87.0631737757917 -518.78816317145</t>
  </si>
  <si>
    <t>-703.720895968163 216.951924558758 -502.749226744167</t>
  </si>
  <si>
    <t>-707.441590857117 305.200856650817 -222.054673966191</t>
  </si>
  <si>
    <t>-593.963714114493 92.7806774334003 -214.896345116362</t>
  </si>
  <si>
    <t>-761.538958847451 33.9403536756413 -517.476863185001</t>
  </si>
  <si>
    <t>-717.291118693528 153.151292976523 -60.1011202165295</t>
  </si>
  <si>
    <t>-669.15779640163 318.521249446385 304.851793084159</t>
  </si>
  <si>
    <t>-817.712789189791 347.130113693092 728.291777443857</t>
  </si>
  <si>
    <t>-695.780737464775 424.537890133819 793.313970334282</t>
  </si>
  <si>
    <t>-717.400257081084 4.74492437745084 337.804952872175</t>
  </si>
  <si>
    <t>-702.554229343044 75.2210591785688 780.166957330807</t>
  </si>
  <si>
    <t>-596.716192668575 -18.756761908779 851.257079323291</t>
  </si>
  <si>
    <t>9763-20170724T111002.282223200.bin</t>
  </si>
  <si>
    <t>-720.506389995393 56.149250358199 -59.3714097327251</t>
  </si>
  <si>
    <t>-754.42537475267 59.9371208642274 -170.057260622827</t>
  </si>
  <si>
    <t>-764.661540454547 60.8672478342592 -268.143978668656</t>
  </si>
  <si>
    <t>-766.958099938349 60.188391446678 -357.208615175234</t>
  </si>
  <si>
    <t>-762.034576388847 57.5528002982792 -446.130287842183</t>
  </si>
  <si>
    <t>-747.712083748219 51.474195897486 -569.737490392368</t>
  </si>
  <si>
    <t>-717.144215691993 33.8927398077185 -644.980587504402</t>
  </si>
  <si>
    <t>-746.264357204788 80.749008708061 -515.754096025223</t>
  </si>
  <si>
    <t>-704.260341352565 210.430167557192 -497.822473799496</t>
  </si>
  <si>
    <t>-707.847716426619 297.813796346933 -216.855608238342</t>
  </si>
  <si>
    <t>-602.488124004423 81.2626330346338 -209.378126918344</t>
  </si>
  <si>
    <t>-761.764851837712 27.5490683844814 -514.933955217054</t>
  </si>
  <si>
    <t>-721.943517129783 144.506103591977 -57.3135726055399</t>
  </si>
  <si>
    <t>-662.325531966237 330.888960571608 295.619593739657</t>
  </si>
  <si>
    <t>-805.989532237341 340.112623302407 720.286455034296</t>
  </si>
  <si>
    <t>-694.453210911665 426.184874715181 792.664045238442</t>
  </si>
  <si>
    <t>-721.121455400259 -0.263509723058633 338.532837835983</t>
  </si>
  <si>
    <t>-703.52709712212 73.5718806902778 780.595254639796</t>
  </si>
  <si>
    <t>-596.388792647645 -19.1381288722037 851.401436737038</t>
  </si>
  <si>
    <t>9763-20170724T111002.316312800.bin</t>
  </si>
  <si>
    <t>-720.311491187096 59.3381611436307 -59.5435500310311</t>
  </si>
  <si>
    <t>-755.082743397381 63.081236133386 -169.966260644889</t>
  </si>
  <si>
    <t>-765.198620188828 64.2264568496685 -268.063165882615</t>
  </si>
  <si>
    <t>-767.028721961707 63.7933485728172 -357.140081975045</t>
  </si>
  <si>
    <t>-761.28206729572 61.4301436847391 -446.020070119797</t>
  </si>
  <si>
    <t>-745.442963660347 55.7357274244532 -569.460311658759</t>
  </si>
  <si>
    <t>-714.307499847763 38.2364343427839 -644.489560296993</t>
  </si>
  <si>
    <t>-744.76553378191 84.873284115512 -515.387636993967</t>
  </si>
  <si>
    <t>-703.31514167737 214.530092768424 -496.571643641829</t>
  </si>
  <si>
    <t>-708.87261573515 300.626372221402 -215.239499973694</t>
  </si>
  <si>
    <t>-605.322023388715 83.1760763657721 -208.645876674401</t>
  </si>
  <si>
    <t>-760.060297014357 31.6098298435177 -514.893126890265</t>
  </si>
  <si>
    <t>-720.92871151067 152.767445382589 -57.4536981504</t>
  </si>
  <si>
    <t>-658.798049235088 347.498273775323 290.503756469254</t>
  </si>
  <si>
    <t>-787.991231335082 347.484851001953 718.599171322081</t>
  </si>
  <si>
    <t>-684.02730536471 440.66419279375 793.407774318079</t>
  </si>
  <si>
    <t>-720.928179341507 1.40373148286017 338.375420215884</t>
  </si>
  <si>
    <t>-703.710516164122 73.1944073325994 780.543396530807</t>
  </si>
  <si>
    <t>-596.354904186884 -19.2906593882199 851.314625496682</t>
  </si>
  <si>
    <t>9763-20170724T111002.386506600.bin</t>
  </si>
  <si>
    <t>-718.472318181283 63.9748733094521 -59.6880798334622</t>
  </si>
  <si>
    <t>-754.817236761209 67.3040875586271 -169.616049348178</t>
  </si>
  <si>
    <t>-764.9146273922 68.9065478062575 -267.708512668828</t>
  </si>
  <si>
    <t>-766.130630360987 69.1458978331116 -356.796789772532</t>
  </si>
  <si>
    <t>-759.161973875746 67.6812645115374 -445.608480699383</t>
  </si>
  <si>
    <t>-740.980446637888 63.4449142856683 -568.78435080527</t>
  </si>
  <si>
    <t>-708.662127002512 46.4743688346753 -643.433851774475</t>
  </si>
  <si>
    <t>-741.711047099052 92.0469874999649 -514.427278393859</t>
  </si>
  <si>
    <t>-702.201150431739 222.107767996288 -494.119911811255</t>
  </si>
  <si>
    <t>-712.148206379323 304.707313773109 -211.861875464628</t>
  </si>
  <si>
    <t>-606.149088523654 88.3861633311012 -207.368773371059</t>
  </si>
  <si>
    <t>-756.251304446656 38.57118045469 -514.734319657438</t>
  </si>
  <si>
    <t>-719.003172558487 160.615910637858 -57.3090152197072</t>
  </si>
  <si>
    <t>-660.291151978037 363.598960850546 286.501228764284</t>
  </si>
  <si>
    <t>-759.840050141284 333.064462739528 722.235061031866</t>
  </si>
  <si>
    <t>-670.60747811495 440.491939966244 796.962702968752</t>
  </si>
  <si>
    <t>-717.532763714541 3.92223583201439 338.245693469102</t>
  </si>
  <si>
    <t>-703.828621799353 72.9357619285061 780.376758857778</t>
  </si>
  <si>
    <t>-596.015607656408 -19.0416250358253 851.114726139839</t>
  </si>
  <si>
    <t>9763-20170724T111002.418591200.bin</t>
  </si>
  <si>
    <t>-718.368367979598 62.0369762458713 -59.4043177947858</t>
  </si>
  <si>
    <t>-755.373255625473 64.9865097069228 -169.122917011395</t>
  </si>
  <si>
    <t>-765.589725735646 66.7096139628825 -267.200969021097</t>
  </si>
  <si>
    <t>-766.710151751857 67.2157430153948 -356.289323991611</t>
  </si>
  <si>
    <t>-759.43319012326 66.1683297356735 -445.08238642921</t>
  </si>
  <si>
    <t>-740.594792577016 62.6615422582686 -568.182458619914</t>
  </si>
  <si>
    <t>-707.740484000993 46.0614276168121 -642.681102548553</t>
  </si>
  <si>
    <t>-741.902453389506 91.0177496234328 -513.707462112799</t>
  </si>
  <si>
    <t>-703.783826422094 221.470300250125 -492.865356131445</t>
  </si>
  <si>
    <t>-714.752943735773 302.460372796928 -210.179212090583</t>
  </si>
  <si>
    <t>-607.198635499504 86.9050805619786 -205.839054965951</t>
  </si>
  <si>
    <t>-755.8668554635 37.3914604843053 -514.316855498281</t>
  </si>
  <si>
    <t>-719.916148609444 158.513491031196 -57.1595666901143</t>
  </si>
  <si>
    <t>-663.395924888669 360.346183588031 287.693575990569</t>
  </si>
  <si>
    <t>-749.194024182492 318.103798184925 725.496417498099</t>
  </si>
  <si>
    <t>-664.306887562488 430.113839200244 798.539102353772</t>
  </si>
  <si>
    <t>-715.660642795739 3.05601840262307 338.353050022076</t>
  </si>
  <si>
    <t>-703.843412514256 72.8343590039044 780.30075339533</t>
  </si>
  <si>
    <t>-595.629776993766 -18.6792874049493 851.028424554832</t>
  </si>
  <si>
    <t>9763-20170724T111002.484777500.bin</t>
  </si>
  <si>
    <t>-719.4792686496 56.3782934478081 -59.0081051638377</t>
  </si>
  <si>
    <t>-757.247111931185 58.0686007779318 -168.493058013487</t>
  </si>
  <si>
    <t>-767.855614884158 59.5357455154995 -266.533690982848</t>
  </si>
  <si>
    <t>-769.189121021882 60.0998338232425 -355.618703304799</t>
  </si>
  <si>
    <t>-761.966171530973 59.3921761703136 -444.419516601024</t>
  </si>
  <si>
    <t>-743.024924390948 56.6372994330459 -567.522844692531</t>
  </si>
  <si>
    <t>-709.317944338024 40.7832860902599 -641.802897763109</t>
  </si>
  <si>
    <t>-745.112743042865 84.8427411302964 -512.993936957937</t>
  </si>
  <si>
    <t>-710.48691855539 216.241211690678 -492.036259159432</t>
  </si>
  <si>
    <t>-720.201358444303 296.034776382864 -208.964115241325</t>
  </si>
  <si>
    <t>-610.270153611245 81.7409143896389 -202.314710320112</t>
  </si>
  <si>
    <t>-757.607021946016 30.8562299886689 -513.708340847548</t>
  </si>
  <si>
    <t>-724.063168263376 152.632356053186 -57.1655446762021</t>
  </si>
  <si>
    <t>-668.423314838209 343.122588558056 294.220690274815</t>
  </si>
  <si>
    <t>-735.418330259786 293.79855420732 734.479459890516</t>
  </si>
  <si>
    <t>-655.746838728012 413.028275615658 801.740159040704</t>
  </si>
  <si>
    <t>-712.799274962672 -0.0348431448214797 338.497742391005</t>
  </si>
  <si>
    <t>-704.052023724716 72.26171685595 780.223582412333</t>
  </si>
  <si>
    <t>-594.637425909775 -17.8660862114534 850.882690035729</t>
  </si>
  <si>
    <t>9763-20170724T111002.522878100.bin</t>
  </si>
  <si>
    <t>-720.240626288187 54.1212368945708 -58.938314379535</t>
  </si>
  <si>
    <t>-758.288613891225 55.306352380474 -168.332785087788</t>
  </si>
  <si>
    <t>-769.134576606913 56.5363358004042 -266.350778313214</t>
  </si>
  <si>
    <t>-770.671153257883 56.956244278897 -355.433361238646</t>
  </si>
  <si>
    <t>-763.634163218917 56.1805395681549 -444.248496805576</t>
  </si>
  <si>
    <t>-744.929364755054 53.4097399547109 -567.38764802401</t>
  </si>
  <si>
    <t>-710.91004823427 37.8637441540445 -641.590344262967</t>
  </si>
  <si>
    <t>-747.366047205994 81.7241212590429 -512.929726963829</t>
  </si>
  <si>
    <t>-714.886396496852 213.747858097314 -492.287294642366</t>
  </si>
  <si>
    <t>-722.879554279544 294.020922004206 -209.297021072378</t>
  </si>
  <si>
    <t>-611.489693141427 80.5520105221831 -200.691860830423</t>
  </si>
  <si>
    <t>-758.954935107079 27.5339595530404 -513.47066316017</t>
  </si>
  <si>
    <t>-726.063508217442 150.538942441028 -57.500950721971</t>
  </si>
  <si>
    <t>-670.357239489794 332.773164095847 298.226635496293</t>
  </si>
  <si>
    <t>-739.222788754378 293.660000405653 739.15526009462</t>
  </si>
  <si>
    <t>-657.972350925803 413.083965393428 804.144489696499</t>
  </si>
  <si>
    <t>-712.064789578955 -1.11308807995965 338.456186397582</t>
  </si>
  <si>
    <t>-704.141616424729 72.0136689217848 780.199267853506</t>
  </si>
  <si>
    <t>-594.128530213273 -17.4123973653132 850.820708911716</t>
  </si>
  <si>
    <t>9763-20170724T111002.586574200.bin</t>
  </si>
  <si>
    <t>-722.364283504295 50.5036518302536 -58.9435500419664</t>
  </si>
  <si>
    <t>-761.133192713535 50.3210899898472 -168.090916417162</t>
  </si>
  <si>
    <t>-772.461785163732 50.840884286617 -266.060657249013</t>
  </si>
  <si>
    <t>-774.353920299672 50.790024769221 -355.137284226176</t>
  </si>
  <si>
    <t>-767.577854246365 49.7296478532435 -443.969708443122</t>
  </si>
  <si>
    <t>-749.126699662088 46.7562009618168 -567.142455939064</t>
  </si>
  <si>
    <t>-714.603496117162 31.7125461450055 -641.215820439364</t>
  </si>
  <si>
    <t>-752.469629888124 75.3588917743855 -512.883498128324</t>
  </si>
  <si>
    <t>-725.000254047435 208.535517737145 -493.086249968002</t>
  </si>
  <si>
    <t>-730.216767143702 291.180833340399 -210.714710813179</t>
  </si>
  <si>
    <t>-615.113073008179 79.8178975587625 -199.413732854824</t>
  </si>
  <si>
    <t>-762.022541886536 20.7705084657182 -512.996885900599</t>
  </si>
  <si>
    <t>-732.899681897754 145.844503047763 -56.5230083641724</t>
  </si>
  <si>
    <t>-667.750558898837 322.680284749334 300.323460757721</t>
  </si>
  <si>
    <t>-734.571734054816 290.738979981371 742.268280708299</t>
  </si>
  <si>
    <t>-647.524644045318 406.707236423716 805.997970909804</t>
  </si>
  <si>
    <t>-709.980000832882 -2.70462663845728 338.362994907719</t>
  </si>
  <si>
    <t>-704.268197748815 71.5797679826092 780.120654447503</t>
  </si>
  <si>
    <t>-593.228398182668 -16.5825655429721 850.724631966256</t>
  </si>
  <si>
    <t>9763-20170724T111002.620654300.bin</t>
  </si>
  <si>
    <t>-724.494974814438 48.6915110090295 -58.3445048318112</t>
  </si>
  <si>
    <t>-763.765773727693 48.2445103643772 -167.311547610647</t>
  </si>
  <si>
    <t>-775.355943226496 48.6398076560868 -265.25114841583</t>
  </si>
  <si>
    <t>-777.405450803172 48.5260584307439 -354.324284387323</t>
  </si>
  <si>
    <t>-770.701082150143 47.4673326809739 -443.162307584608</t>
  </si>
  <si>
    <t>-752.255745644327 44.5718171990602 -566.337731709235</t>
  </si>
  <si>
    <t>-717.544081884047 29.8629182868349 -640.390298888531</t>
  </si>
  <si>
    <t>-756.107202459101 73.2247884855938 -512.139084126053</t>
  </si>
  <si>
    <t>-731.052743314075 206.912521359433 -492.633663351177</t>
  </si>
  <si>
    <t>-736.028421587074 290.423841234773 -210.512584170117</t>
  </si>
  <si>
    <t>-618.362958464811 80.5033268129137 -198.717730242728</t>
  </si>
  <si>
    <t>-764.63804730337 18.4671867222855 -512.129495294786</t>
  </si>
  <si>
    <t>-737.136918942738 143.909642824374 -55.7616492941323</t>
  </si>
  <si>
    <t>-668.630157471275 318.943224189407 301.344434963593</t>
  </si>
  <si>
    <t>-734.789069967495 290.400226747281 743.062973201488</t>
  </si>
  <si>
    <t>-646.857963839136 405.813263467294 806.586481573628</t>
  </si>
  <si>
    <t>-709.382900961077 -3.63095496463166 338.450821101966</t>
  </si>
  <si>
    <t>-704.301167555857 71.4323979822698 780.05684521797</t>
  </si>
  <si>
    <t>-593.034920626466 -16.4372050443667 850.668905783358</t>
  </si>
  <si>
    <t>9763-20170724T111002.651787200.bin</t>
  </si>
  <si>
    <t>-725.207314051394 47.9573664502273 -57.8433903203977</t>
  </si>
  <si>
    <t>-764.827043038755 47.3521663689307 -166.683315947739</t>
  </si>
  <si>
    <t>-776.614465143968 47.6844007369505 -264.599700833065</t>
  </si>
  <si>
    <t>-778.793118238648 47.5595680552246 -353.669764104896</t>
  </si>
  <si>
    <t>-772.162834645578 46.5525390840362 -442.513791488534</t>
  </si>
  <si>
    <t>-753.758028952929 43.8076434751483 -565.698929379953</t>
  </si>
  <si>
    <t>-718.890777860315 29.4383183048649 -639.744818656027</t>
  </si>
  <si>
    <t>-758.041117499029 72.4605151278474 -511.53260337233</t>
  </si>
  <si>
    <t>-735.02631332143 206.563281610591 -492.234353710994</t>
  </si>
  <si>
    <t>-740.714890750616 290.310825589594 -210.196762992163</t>
  </si>
  <si>
    <t>-619.994010300839 82.118237286219 -198.651899218069</t>
  </si>
  <si>
    <t>-765.673038079846 17.5704903801015 -511.44978208257</t>
  </si>
  <si>
    <t>-738.002224582079 143.289688182691 -55.483401623527</t>
  </si>
  <si>
    <t>-668.120035452787 316.996399394422 302.003735833182</t>
  </si>
  <si>
    <t>-734.404961303441 289.890299233163 743.801837410558</t>
  </si>
  <si>
    <t>-646.992914800255 405.835225294384 807.072295268195</t>
  </si>
  <si>
    <t>-708.779674680018 -4.08152790249824 338.551621761853</t>
  </si>
  <si>
    <t>-704.269949637704 71.4557364774068 779.979004689884</t>
  </si>
  <si>
    <t>-592.992408834277 -16.3842720111979 850.609844589531</t>
  </si>
  <si>
    <t>9763-20170724T111002.715949100.bin</t>
  </si>
  <si>
    <t>-724.289911743263 48.5271438594782 -58.0113540390793</t>
  </si>
  <si>
    <t>-764.376187955362 47.343792900896 -166.675528924933</t>
  </si>
  <si>
    <t>-776.499440685529 47.4115343736012 -264.551363049722</t>
  </si>
  <si>
    <t>-778.940275161765 47.1661591763304 -353.614453954837</t>
  </si>
  <si>
    <t>-772.520054541085 46.1846027449456 -442.474122210831</t>
  </si>
  <si>
    <t>-754.344136739765 43.6456894103781 -565.697587905451</t>
  </si>
  <si>
    <t>-719.166953760377 29.8109706502369 -639.698814260049</t>
  </si>
  <si>
    <t>-759.213889199174 72.2947013314201 -511.578845269681</t>
  </si>
  <si>
    <t>-739.294754475261 206.982008185874 -492.606265268503</t>
  </si>
  <si>
    <t>-747.966191926157 289.090097612272 -210.16283347147</t>
  </si>
  <si>
    <t>-620.652127566425 84.8473620676114 -198.893093856229</t>
  </si>
  <si>
    <t>-765.470965109074 17.231321737187 -511.367190506666</t>
  </si>
  <si>
    <t>-737.857334368357 143.744806509797 -55.6089270252745</t>
  </si>
  <si>
    <t>-667.707736473962 316.103274470212 302.478169713675</t>
  </si>
  <si>
    <t>-734.098038081129 289.414221372534 744.592231330274</t>
  </si>
  <si>
    <t>-646.486963799918 405.484172534474 807.356676656926</t>
  </si>
  <si>
    <t>-707.246898111618 -3.89648801940393 338.595811150542</t>
  </si>
  <si>
    <t>-704.172610944679 71.6493893610977 779.879843341375</t>
  </si>
  <si>
    <t>-592.880080617582 -16.1614311445237 850.523572214355</t>
  </si>
  <si>
    <t>9763-20170724T111002.784136800.bin</t>
  </si>
  <si>
    <t>-722.869772663441 50.0230931233805 -59.0455002472178</t>
  </si>
  <si>
    <t>-763.178307490031 48.1725212021101 -167.618298713574</t>
  </si>
  <si>
    <t>-775.58404620846 47.8869275409247 -265.458164483049</t>
  </si>
  <si>
    <t>-778.307460401147 47.4191468056288 -354.512183182621</t>
  </si>
  <si>
    <t>-772.188921952418 46.3260866173837 -443.391943320176</t>
  </si>
  <si>
    <t>-754.44587948303 43.7548247874556 -566.677689522124</t>
  </si>
  <si>
    <t>-719.000348653271 30.1630472812185 -640.595989695031</t>
  </si>
  <si>
    <t>-759.576483998168 72.4650897034021 -512.615594679627</t>
  </si>
  <si>
    <t>-741.660028215771 207.484483323741 -494.013908750563</t>
  </si>
  <si>
    <t>-751.638748271763 288.98985661037 -211.439218559552</t>
  </si>
  <si>
    <t>-620.277363501399 87.3604078590747 -199.584552880638</t>
  </si>
  <si>
    <t>-764.930692974069 17.3074914684867 -512.235987848436</t>
  </si>
  <si>
    <t>-737.560483957333 145.100847376712 -56.7379832575818</t>
  </si>
  <si>
    <t>-668.169654975233 314.6059001436 302.855683109151</t>
  </si>
  <si>
    <t>-733.810608345333 289.085673709648 745.032756189959</t>
  </si>
  <si>
    <t>-646.107533690059 405.247886935362 807.497445881396</t>
  </si>
  <si>
    <t>-704.86004902817 -3.07319361056261 338.111105084347</t>
  </si>
  <si>
    <t>-704.081785508578 71.7660097672119 779.688221897764</t>
  </si>
  <si>
    <t>-592.66328302823 -15.8722601923273 850.347675521183</t>
  </si>
  <si>
    <t>9763-20170724T111002.819230700.bin</t>
  </si>
  <si>
    <t>-722.241508703256 50.5337487400161 -59.4803072331777</t>
  </si>
  <si>
    <t>-762.680411467268 48.2669166703909 -167.996480355615</t>
  </si>
  <si>
    <t>-775.226494544792 47.7618145327242 -265.817897322149</t>
  </si>
  <si>
    <t>-778.081709515288 47.1497613615948 -354.866720915724</t>
  </si>
  <si>
    <t>-772.095864542101 45.9693325683916 -443.75449547457</t>
  </si>
  <si>
    <t>-754.535860979014 43.3356973425944 -567.065189903425</t>
  </si>
  <si>
    <t>-718.995879151885 29.7785109100723 -640.94413837991</t>
  </si>
  <si>
    <t>-759.732274286825 72.0869016785787 -513.031118438332</t>
  </si>
  <si>
    <t>-742.44299375147 207.207895943628 -494.596812740343</t>
  </si>
  <si>
    <t>-752.138092315587 289.964594137487 -212.376097439785</t>
  </si>
  <si>
    <t>-620.000886623622 88.8897456394775 -199.749941716814</t>
  </si>
  <si>
    <t>-764.794014820131 16.902343221574 -512.57322476724</t>
  </si>
  <si>
    <t>-737.783965451464 145.781626299096 -57.3639916990362</t>
  </si>
  <si>
    <t>-668.498439944523 313.683568465248 303.001178127192</t>
  </si>
  <si>
    <t>-733.569617304634 288.781280317307 745.382769840365</t>
  </si>
  <si>
    <t>-646.216317797813 405.277464617478 807.715201125552</t>
  </si>
  <si>
    <t>-703.213476547871 -2.88042861386202 337.871579083332</t>
  </si>
  <si>
    <t>-704.066203572529 71.7375340471531 779.545061718318</t>
  </si>
  <si>
    <t>-592.525001977271 -15.731537395166 850.220453472383</t>
  </si>
  <si>
    <t>9763-20170724T111002.884413800.bin</t>
  </si>
  <si>
    <t>-721.121144786812 50.3736690640244 -60.0768478698686</t>
  </si>
  <si>
    <t>-762.090494523336 47.2201583412716 -168.371889784449</t>
  </si>
  <si>
    <t>-774.974951554136 46.2330832828493 -266.145403054913</t>
  </si>
  <si>
    <t>-778.072002159761 45.2871566307872 -355.183246058086</t>
  </si>
  <si>
    <t>-772.256148384975 43.8717445667244 -444.078893229227</t>
  </si>
  <si>
    <t>-754.853897338 41.0082827624019 -567.406810849919</t>
  </si>
  <si>
    <t>-719.172595049314 27.4254146999633 -641.213096338056</t>
  </si>
  <si>
    <t>-760.136180644734 69.87365819354 -513.44204712189</t>
  </si>
  <si>
    <t>-743.542819266799 205.136756251297 -495.405363820916</t>
  </si>
  <si>
    <t>-752.166270321645 290.451248205129 -213.912424898147</t>
  </si>
  <si>
    <t>-619.644815826318 89.7409700343051 -199.615775788494</t>
  </si>
  <si>
    <t>-764.887214270521 14.6629276999761 -512.830526468531</t>
  </si>
  <si>
    <t>-737.780961439476 146.187798752833 -58.4720543068245</t>
  </si>
  <si>
    <t>-670.255399583259 311.359721946392 303.485416707438</t>
  </si>
  <si>
    <t>-733.431864032834 288.572066784875 746.237094791574</t>
  </si>
  <si>
    <t>-646.228018741855 405.266744324745 808.407565959306</t>
  </si>
  <si>
    <t>-699.550111360535 -2.85357562767058 337.64425520329</t>
  </si>
  <si>
    <t>-703.893130648456 72.0938248500252 779.222809209759</t>
  </si>
  <si>
    <t>-592.595701789052 -15.6565793159907 849.933861374998</t>
  </si>
  <si>
    <t>9763-20170724T111002.917497000.bin</t>
  </si>
  <si>
    <t>-720.616472790419 49.8575203073929 -60.1862858309082</t>
  </si>
  <si>
    <t>-761.845751144968 46.2912830587893 -168.369739584772</t>
  </si>
  <si>
    <t>-774.883533168438 45.0515044333447 -266.120241220184</t>
  </si>
  <si>
    <t>-778.082921346381 43.9119051003672 -355.152223941231</t>
  </si>
  <si>
    <t>-772.331239150484 42.3359058239225 -444.049283742482</t>
  </si>
  <si>
    <t>-754.976541125341 39.2792770490673 -567.379132430075</t>
  </si>
  <si>
    <t>-719.261054654721 25.6507746928974 -641.160573408081</t>
  </si>
  <si>
    <t>-760.274989674711 68.2322658421531 -513.4629824299</t>
  </si>
  <si>
    <t>-743.840074235319 203.548053742984 -495.651749489362</t>
  </si>
  <si>
    <t>-751.965778894083 289.56689982262 -214.358464641053</t>
  </si>
  <si>
    <t>-619.668889038917 88.7704172249328 -199.222009815134</t>
  </si>
  <si>
    <t>-764.951876759367 13.0164757393891 -512.752518762224</t>
  </si>
  <si>
    <t>-737.821968455332 146.082376126532 -58.7984867657495</t>
  </si>
  <si>
    <t>-671.207956657701 310.25510544203 303.781965896132</t>
  </si>
  <si>
    <t>-733.442069838245 288.580929999861 746.703951791534</t>
  </si>
  <si>
    <t>-645.894583223863 405.043943189622 808.825139312955</t>
  </si>
  <si>
    <t>-697.830144114749 -3.05317858629951 337.618840238417</t>
  </si>
  <si>
    <t>-703.835831232668 72.2480122264838 779.062659441892</t>
  </si>
  <si>
    <t>-592.588526282073 -15.5622248444829 849.778353615131</t>
  </si>
  <si>
    <t>9763-20170724T111002.986704900.bin</t>
  </si>
  <si>
    <t>-720.120873267188 48.5128085676324 -59.8571368932269</t>
  </si>
  <si>
    <t>-761.776806931226 44.4130153967903 -167.858097811583</t>
  </si>
  <si>
    <t>-775.072875221702 42.7902753072999 -265.567988380662</t>
  </si>
  <si>
    <t>-778.452675715295 41.3246100162264 -354.588639407577</t>
  </si>
  <si>
    <t>-772.825005504276 39.4385689611572 -443.48760359064</t>
  </si>
  <si>
    <t>-755.584877159025 35.960806164318 -566.822472743188</t>
  </si>
  <si>
    <t>-719.82027967575 22.2547655114004 -640.565738560459</t>
  </si>
  <si>
    <t>-760.88505743235 65.1018342121524 -513.007742344009</t>
  </si>
  <si>
    <t>-744.660658383742 200.489401474928 -495.617317976436</t>
  </si>
  <si>
    <t>-752.147086549593 286.898977263106 -214.426041590917</t>
  </si>
  <si>
    <t>-621.832664087397 84.9548720120633 -197.467955749279</t>
  </si>
  <si>
    <t>-765.458059031215 9.88045455719248 -512.089887558929</t>
  </si>
  <si>
    <t>-738.344408116359 145.094262929604 -58.4503510585462</t>
  </si>
  <si>
    <t>-671.716104345454 309.228200848118 304.145027657228</t>
  </si>
  <si>
    <t>-733.340233147795 288.513396919675 747.363011521173</t>
  </si>
  <si>
    <t>-645.311213784237 404.626743798921 809.458716041036</t>
  </si>
  <si>
    <t>-695.372563741075 -3.69742713561163 337.868197550612</t>
  </si>
  <si>
    <t>-703.735137720673 72.6321268865427 778.905399200043</t>
  </si>
  <si>
    <t>-592.642890334144 -15.3627875389038 849.635132009567</t>
  </si>
  <si>
    <t>9763-20170724T111003.018778200.bin</t>
  </si>
  <si>
    <t>-719.859309059887 47.8113073447216 -59.4610429520538</t>
  </si>
  <si>
    <t>-761.685004812983 43.6411016193115 -167.393690091456</t>
  </si>
  <si>
    <t>-775.09426988399 41.9238738661265 -265.08656669051</t>
  </si>
  <si>
    <t>-778.561612955107 40.3565580099034 -354.102165973206</t>
  </si>
  <si>
    <t>-773.007448823335 38.351828551713 -443.002872914628</t>
  </si>
  <si>
    <t>-755.853910005063 34.6898905063367 -566.344759848754</t>
  </si>
  <si>
    <t>-720.069987590387 20.9326496232966 -640.069001661522</t>
  </si>
  <si>
    <t>-761.14041262251 63.913277314497 -512.57332644671</t>
  </si>
  <si>
    <t>-745.029839676781 199.337460647597 -495.338165374116</t>
  </si>
  <si>
    <t>-752.458360524104 285.847497186747 -214.176412019691</t>
  </si>
  <si>
    <t>-622.55439611224 83.6674630069051 -196.884096452294</t>
  </si>
  <si>
    <t>-765.664488188932 8.68952326891576 -511.562799439591</t>
  </si>
  <si>
    <t>-738.236846965923 144.536398026383 -57.9991113629889</t>
  </si>
  <si>
    <t>-671.163333178479 309.171646212196 304.286783861505</t>
  </si>
  <si>
    <t>-733.211028937735 288.415297712651 747.515389699381</t>
  </si>
  <si>
    <t>-645.269736588295 404.586365807498 809.627595527118</t>
  </si>
  <si>
    <t>-694.713335359558 -4.15601028894207 338.100292187482</t>
  </si>
  <si>
    <t>-703.814943642178 72.6225267155437 778.934072585003</t>
  </si>
  <si>
    <t>-592.550705207796 -15.1763513097944 849.637439459222</t>
  </si>
  <si>
    <t>9763-20170724T111003.083988800.bin</t>
  </si>
  <si>
    <t>-718.739170583112 46.9553542536105 -58.8287951731573</t>
  </si>
  <si>
    <t>-760.854533353202 42.7977547839005 -166.649118383644</t>
  </si>
  <si>
    <t>-774.480155763926 41.0128251509809 -264.31078956062</t>
  </si>
  <si>
    <t>-778.128625034032 39.3518645758518 -353.317407227801</t>
  </si>
  <si>
    <t>-772.740596883268 37.2220988487584 -442.225628830898</t>
  </si>
  <si>
    <t>-755.804631783176 33.3528777660613 -565.591140768749</t>
  </si>
  <si>
    <t>-719.998940872673 19.5072373358748 -639.288327155507</t>
  </si>
  <si>
    <t>-761.010723852878 62.6676522755688 -511.861646795643</t>
  </si>
  <si>
    <t>-744.95805651885 198.108561768373 -494.760003041746</t>
  </si>
  <si>
    <t>-752.346363624265 284.749014454288 -213.63717150634</t>
  </si>
  <si>
    <t>-622.652018751298 82.4558875585035 -196.095539761379</t>
  </si>
  <si>
    <t>-765.503723731441 7.44325216421112 -510.74650317567</t>
  </si>
  <si>
    <t>-736.673388078405 143.621006814003 -57.2983088183368</t>
  </si>
  <si>
    <t>-669.74286275191 309.190387789537 304.588084596222</t>
  </si>
  <si>
    <t>-732.932135486246 288.183986337947 747.636733160508</t>
  </si>
  <si>
    <t>-644.887706378327 404.251667585281 809.795280597584</t>
  </si>
  <si>
    <t>-694.371746151367 -4.62226719123146 338.533726049681</t>
  </si>
  <si>
    <t>-703.910618396906 72.8281417081575 779.090674237787</t>
  </si>
  <si>
    <t>-592.785283512322 -15.1936479398546 849.735101792816</t>
  </si>
  <si>
    <t>9763-20170724T111003.118079800.bin</t>
  </si>
  <si>
    <t>-718.137974074573 46.7329244517405 -58.6859645940002</t>
  </si>
  <si>
    <t>-760.358931494251 42.5800290956927 -166.46526437845</t>
  </si>
  <si>
    <t>-774.08594527476 40.7853938270159 -264.112525993035</t>
  </si>
  <si>
    <t>-777.829843733772 39.1113981933322 -353.115002188835</t>
  </si>
  <si>
    <t>-772.540457700499 36.9641083313668 -442.028634957334</t>
  </si>
  <si>
    <t>-755.744643174952 33.06650755693 -565.412260020965</t>
  </si>
  <si>
    <t>-719.920960713577 19.16745969767 -639.090688472487</t>
  </si>
  <si>
    <t>-760.87519209792 62.3926209018209 -511.681772721402</t>
  </si>
  <si>
    <t>-744.694654043716 197.816041912798 -494.564987712855</t>
  </si>
  <si>
    <t>-751.596626720731 284.89876920236 -213.566592101671</t>
  </si>
  <si>
    <t>-622.361235091078 82.3244377926803 -195.884520296669</t>
  </si>
  <si>
    <t>-765.395961824804 7.17074053351553 -510.55264688262</t>
  </si>
  <si>
    <t>-735.716337028134 143.278402033553 -57.1106083264585</t>
  </si>
  <si>
    <t>-669.30070358201 309.374379665323 304.629416663571</t>
  </si>
  <si>
    <t>-732.85408868484 288.113431283999 747.618561963507</t>
  </si>
  <si>
    <t>-645.081978296492 404.367823225283 809.81357815609</t>
  </si>
  <si>
    <t>-694.422539402899 -4.70340056534315 338.696378133385</t>
  </si>
  <si>
    <t>-703.946336408916 72.9154713653952 779.173935041058</t>
  </si>
  <si>
    <t>-592.81758118276 -15.1234874851457 849.7912306397</t>
  </si>
  <si>
    <t>9763-20170724T111003.187307400.bin</t>
  </si>
  <si>
    <t>-717.213419773027 45.8536533855131 -58.6107903306374</t>
  </si>
  <si>
    <t>-759.62700367401 41.6752944993018 -166.313460930693</t>
  </si>
  <si>
    <t>-773.591512350156 39.8486309256377 -263.9264726851</t>
  </si>
  <si>
    <t>-777.577531217928 38.1456101016674 -352.917825126681</t>
  </si>
  <si>
    <t>-772.555397202442 35.9694581915337 -441.846339817914</t>
  </si>
  <si>
    <t>-756.157676711892 32.0330362145232 -565.282306416186</t>
  </si>
  <si>
    <t>-720.333594758914 18.048993809185 -638.94450090828</t>
  </si>
  <si>
    <t>-761.02814823276 61.3689496228189 -511.533044439848</t>
  </si>
  <si>
    <t>-744.384946845208 196.750254186869 -494.379715248633</t>
  </si>
  <si>
    <t>-749.458305929829 284.408249449264 -213.521083151417</t>
  </si>
  <si>
    <t>-621.422636737063 81.0720032735912 -195.856319452171</t>
  </si>
  <si>
    <t>-765.71879540934 6.16151028168179 -510.395525032845</t>
  </si>
  <si>
    <t>-734.306679888863 142.176154167563 -57.0640467648954</t>
  </si>
  <si>
    <t>-668.966492383235 309.244334867682 304.423896057852</t>
  </si>
  <si>
    <t>-732.647237120367 287.925083351814 747.423321084946</t>
  </si>
  <si>
    <t>-645.372855271751 404.470800439636 809.773856291092</t>
  </si>
  <si>
    <t>-694.285099736074 -5.23098211655315 338.909108520778</t>
  </si>
  <si>
    <t>-704.043300470818 72.9630753007318 779.292233189544</t>
  </si>
  <si>
    <t>-592.863139796369 -15.0388643807423 849.874582554424</t>
  </si>
  <si>
    <t>9763-20170724T111003.221396000.bin</t>
  </si>
  <si>
    <t>-717.056472795349 45.2914385549293 -58.6205712644581</t>
  </si>
  <si>
    <t>-759.570981041239 41.074629826242 -166.281816871935</t>
  </si>
  <si>
    <t>-773.654549699349 39.2225442769036 -263.877340928675</t>
  </si>
  <si>
    <t>-777.759746905694 37.5016416884478 -352.862870639032</t>
  </si>
  <si>
    <t>-772.867287821502 35.3123407008266 -441.798262560259</t>
  </si>
  <si>
    <t>-756.660466882674 31.3626753011372 -565.259002455526</t>
  </si>
  <si>
    <t>-720.84641590743 17.3610481211526 -638.922860780481</t>
  </si>
  <si>
    <t>-761.387833492268 60.6993960405034 -511.497410903415</t>
  </si>
  <si>
    <t>-744.425458273207 196.026849169803 -494.290629963905</t>
  </si>
  <si>
    <t>-748.576956398633 283.825619009531 -213.460926626001</t>
  </si>
  <si>
    <t>-621.058237350371 80.1582101659615 -195.870692272515</t>
  </si>
  <si>
    <t>-766.196621408737 5.50207749706306 -510.362730401053</t>
  </si>
  <si>
    <t>-734.080004538549 141.656455763728 -57.2340605273656</t>
  </si>
  <si>
    <t>-669.149151780518 308.955830320952 304.220694466774</t>
  </si>
  <si>
    <t>-732.704720782289 288.195308164773 747.167131371634</t>
  </si>
  <si>
    <t>-645.338779432308 404.502483005385 809.833849457651</t>
  </si>
  <si>
    <t>-694.258318512429 -5.49361449068101 338.967794048358</t>
  </si>
  <si>
    <t>-704.040478196838 73.1105933437784 779.311709570288</t>
  </si>
  <si>
    <t>-592.952839436201 -15.0134327057194 849.887907162261</t>
  </si>
  <si>
    <t>9763-20170724T111003.284565600.bin</t>
  </si>
  <si>
    <t>-716.971425417689 44.3584694576498 -58.5344839196216</t>
  </si>
  <si>
    <t>-759.700570589961 40.1600630403868 -166.11139923921</t>
  </si>
  <si>
    <t>-773.979784895504 38.3209744775677 -263.678778172383</t>
  </si>
  <si>
    <t>-778.264200727607 36.6119936906202 -352.656137316632</t>
  </si>
  <si>
    <t>-773.551508403295 34.4325680587299 -441.601494553016</t>
  </si>
  <si>
    <t>-757.595033108947 30.4940798000862 -565.095179022897</t>
  </si>
  <si>
    <t>-721.796974055614 16.5078499990009 -638.769606376433</t>
  </si>
  <si>
    <t>-762.093716093117 59.8157337840307 -511.305655713139</t>
  </si>
  <si>
    <t>-744.535534609769 195.043610767014 -493.94364342023</t>
  </si>
  <si>
    <t>-747.607168008024 282.955236626395 -213.135368034076</t>
  </si>
  <si>
    <t>-620.899617954585 78.763953181623 -195.757648578854</t>
  </si>
  <si>
    <t>-767.139697825623 4.6388915881671 -510.197886393241</t>
  </si>
  <si>
    <t>-733.600620716269 141.091780827668 -57.3382535158289</t>
  </si>
  <si>
    <t>-669.734653130932 309.731531795986 303.683031297036</t>
  </si>
  <si>
    <t>-733.143792633071 289.161757842639 746.727840606689</t>
  </si>
  <si>
    <t>-645.245804452177 404.589648432942 810.270646395485</t>
  </si>
  <si>
    <t>-694.53407846037 -6.04209538546365 339.061623393206</t>
  </si>
  <si>
    <t>-704.1145557193 73.2047869071844 779.311517461588</t>
  </si>
  <si>
    <t>-593.126361123811 -15.0545586769222 849.875341430465</t>
  </si>
  <si>
    <t>9763-20170724T111003.317654500.bin</t>
  </si>
  <si>
    <t>-716.539882838822 44.0909296097575 -58.295676092582</t>
  </si>
  <si>
    <t>-759.364751623734 39.9524274664577 -165.836925896969</t>
  </si>
  <si>
    <t>-773.720151938221 38.1384707472516 -263.393459182538</t>
  </si>
  <si>
    <t>-778.070754270896 36.4417573428282 -352.367827631092</t>
  </si>
  <si>
    <t>-773.421856235799 34.2637534393848 -441.316610777831</t>
  </si>
  <si>
    <t>-757.550731091589 30.3147478195297 -564.820984802206</t>
  </si>
  <si>
    <t>-721.763215991956 16.3212341440212 -638.499142249015</t>
  </si>
  <si>
    <t>-761.963261363775 59.63643288905 -511.024331604277</t>
  </si>
  <si>
    <t>-744.190627528564 194.831244322526 -493.586533322507</t>
  </si>
  <si>
    <t>-746.926287183117 282.806407885974 -212.79460331553</t>
  </si>
  <si>
    <t>-620.743907693845 78.2881689873448 -195.440034766023</t>
  </si>
  <si>
    <t>-767.106448893747 4.46857113547958 -509.921326680763</t>
  </si>
  <si>
    <t>-732.716530858005 140.932525022437 -56.9594333007071</t>
  </si>
  <si>
    <t>-669.752718044068 311.101186325009 303.502509222604</t>
  </si>
  <si>
    <t>-733.356394508623 289.477938359218 746.5580015125</t>
  </si>
  <si>
    <t>-645.324517137557 404.680604804201 810.322805542137</t>
  </si>
  <si>
    <t>-694.540353083474 -6.27170943044848 339.210399984986</t>
  </si>
  <si>
    <t>-704.14795494625 73.2651821421155 779.352385183054</t>
  </si>
  <si>
    <t>-593.219033120855 -15.0716110458507 849.912433452351</t>
  </si>
  <si>
    <t>9763-20170724T111003.383834800.bin</t>
  </si>
  <si>
    <t>-715.199004124134 43.6448629038423 -57.8881837283126</t>
  </si>
  <si>
    <t>-758.112230746217 39.6431817623543 -165.399324175258</t>
  </si>
  <si>
    <t>-772.577477382115 37.8797656068491 -262.940790486626</t>
  </si>
  <si>
    <t>-777.043067851885 36.2024165770645 -351.909780974535</t>
  </si>
  <si>
    <t>-772.52462182957 34.0156466796457 -440.865032474209</t>
  </si>
  <si>
    <t>-756.853497773165 30.0259643535255 -564.393680783079</t>
  </si>
  <si>
    <t>-721.066333943006 15.9985481047293 -638.065500166967</t>
  </si>
  <si>
    <t>-761.102459012764 59.3583250507641 -510.589563780423</t>
  </si>
  <si>
    <t>-742.957557232737 194.501323594599 -493.057088806466</t>
  </si>
  <si>
    <t>-745.378679246387 282.347463921907 -212.221928057734</t>
  </si>
  <si>
    <t>-619.311793033253 77.7479423436153 -194.987919278357</t>
  </si>
  <si>
    <t>-766.396928895304 4.20485906898875 -509.479913573088</t>
  </si>
  <si>
    <t>-730.52953174746 140.581695951948 -56.4490656211801</t>
  </si>
  <si>
    <t>-669.288941254946 313.232886463875 303.12820041056</t>
  </si>
  <si>
    <t>-733.163567605025 289.550374207058 745.886616739044</t>
  </si>
  <si>
    <t>-645.713711650187 405.067824785908 809.883140463828</t>
  </si>
  <si>
    <t>-694.637777732794 -6.56692589275463 339.508931029132</t>
  </si>
  <si>
    <t>-704.208091913068 73.3520426479249 779.486360610953</t>
  </si>
  <si>
    <t>-593.209207788229 -14.9355937730948 849.997601079231</t>
  </si>
  <si>
    <t>9763-20170724T111003.416924400.bin</t>
  </si>
  <si>
    <t>-714.53583182224 43.34124994172 -57.8628307895667</t>
  </si>
  <si>
    <t>-757.466452244179 39.3663582553718 -165.368213838663</t>
  </si>
  <si>
    <t>-771.97352009918 37.5949852164872 -262.903137321627</t>
  </si>
  <si>
    <t>-776.488565485064 35.8983071775369 -351.869194781596</t>
  </si>
  <si>
    <t>-772.032033604327 33.6797913079577 -440.826883829643</t>
  </si>
  <si>
    <t>-756.45977129634 29.6327016295513 -564.366193231321</t>
  </si>
  <si>
    <t>-720.665609461959 15.5725915257399 -638.028295426825</t>
  </si>
  <si>
    <t>-760.638225230997 58.9874836335766 -510.568752716832</t>
  </si>
  <si>
    <t>-742.370031042677 194.104757028581 -493.015888189114</t>
  </si>
  <si>
    <t>-744.697224920991 281.91666186481 -212.169122925009</t>
  </si>
  <si>
    <t>-618.469689700324 77.4099028868868 -195.008725622923</t>
  </si>
  <si>
    <t>-765.986622413296 3.83973110283796 -509.436464655825</t>
  </si>
  <si>
    <t>-729.549245927594 140.263102971315 -56.488676153519</t>
  </si>
  <si>
    <t>-669.115812366979 313.312304390109 303.033891102965</t>
  </si>
  <si>
    <t>-733.003677705913 289.407231469653 745.746749690336</t>
  </si>
  <si>
    <t>-645.88893913924 405.190304299956 809.720297883335</t>
  </si>
  <si>
    <t>-694.603440073686 -6.71647696165064 339.570273376111</t>
  </si>
  <si>
    <t>-704.279245506833 73.294770005517 779.534741896024</t>
  </si>
  <si>
    <t>-593.157395222737 -14.8624200732479 850.015313446299</t>
  </si>
  <si>
    <t>9763-20170724T111003.484667100.bin</t>
  </si>
  <si>
    <t>-714.037015982549 42.7430523577459 -58.1235206648664</t>
  </si>
  <si>
    <t>-757.012273394397 38.6666648577311 -165.607088891815</t>
  </si>
  <si>
    <t>-771.601073909925 36.829499314093 -263.128631068507</t>
  </si>
  <si>
    <t>-776.206421336615 35.0821356081055 -352.089196172211</t>
  </si>
  <si>
    <t>-771.855575417368 32.8217953383737 -441.050968308628</t>
  </si>
  <si>
    <t>-756.445928577655 28.7255799284244 -564.609054299036</t>
  </si>
  <si>
    <t>-720.618870390262 14.5982313421314 -638.242318506159</t>
  </si>
  <si>
    <t>-760.543705023921 58.1008426087546 -510.816643370504</t>
  </si>
  <si>
    <t>-742.268225020312 193.209590011741 -493.292904404785</t>
  </si>
  <si>
    <t>-744.379172794212 281.22079239317 -212.506822165353</t>
  </si>
  <si>
    <t>-618.0007867266 76.8053629843207 -195.369686891105</t>
  </si>
  <si>
    <t>-765.910157591947 2.95536974053084 -509.657755474333</t>
  </si>
  <si>
    <t>-729.178383639754 139.535641485214 -56.9625818427621</t>
  </si>
  <si>
    <t>-669.418710000797 311.900190203916 303.001118518241</t>
  </si>
  <si>
    <t>-732.977337372996 289.165867359399 745.703986872288</t>
  </si>
  <si>
    <t>-645.877404866553 405.012308121737 809.582742889814</t>
  </si>
  <si>
    <t>-694.219550422444 -6.87690797203368 339.498524494939</t>
  </si>
  <si>
    <t>-704.208249170377 73.5505171453929 779.491982667677</t>
  </si>
  <si>
    <t>-593.146874030139 -14.6844435348171 849.970538953599</t>
  </si>
  <si>
    <t>9763-20170724T111003.519761700.bin</t>
  </si>
  <si>
    <t>-714.251912320339 42.3403464567991 -58.25450864277</t>
  </si>
  <si>
    <t>-757.245407549425 38.199765590799 -165.728419442955</t>
  </si>
  <si>
    <t>-771.860762796267 36.3311160679277 -263.245332790414</t>
  </si>
  <si>
    <t>-776.493536004629 34.5666313095849 -352.20415506327</t>
  </si>
  <si>
    <t>-772.172660516215 32.3016048943828 -441.167331363795</t>
  </si>
  <si>
    <t>-756.806917077892 28.2125161171411 -564.731021563485</t>
  </si>
  <si>
    <t>-720.962199588633 14.0846463698517 -638.355604339589</t>
  </si>
  <si>
    <t>-760.899663371997 57.5860917984969 -510.937279043658</t>
  </si>
  <si>
    <t>-742.710084355632 192.713330675172 -493.424429829786</t>
  </si>
  <si>
    <t>-744.81617911417 280.858352436171 -212.680515420137</t>
  </si>
  <si>
    <t>-618.309921600044 76.5211739799938 -195.553790547444</t>
  </si>
  <si>
    <t>-766.23784702725 2.43776955272824 -509.776010482442</t>
  </si>
  <si>
    <t>-729.708969290228 139.188526057018 -57.199968041088</t>
  </si>
  <si>
    <t>-669.678483474402 310.986297746783 302.98955909881</t>
  </si>
  <si>
    <t>-733.098586204123 289.163804119923 745.710870324626</t>
  </si>
  <si>
    <t>-645.809914504113 404.853434666217 809.616442523356</t>
  </si>
  <si>
    <t>-694.019349162486 -7.0629071758367 339.412436614294</t>
  </si>
  <si>
    <t>-704.223750734513 73.5560497034594 779.428587794861</t>
  </si>
  <si>
    <t>-593.050412256204 -14.5425187251162 849.901116344186</t>
  </si>
  <si>
    <t>9763-20170724T111003.584941200.bin</t>
  </si>
  <si>
    <t>-714.642809967092 42.0281687571687 -58.2929142611307</t>
  </si>
  <si>
    <t>-757.620571781726 37.8387886599303 -165.771254047083</t>
  </si>
  <si>
    <t>-772.234487533464 35.9426392682085 -263.287912905128</t>
  </si>
  <si>
    <t>-776.870599820217 34.1616907500265 -352.246094404488</t>
  </si>
  <si>
    <t>-772.557288146321 31.8897985279641 -441.209449702914</t>
  </si>
  <si>
    <t>-757.205162995565 27.8026160895142 -564.775032025856</t>
  </si>
  <si>
    <t>-721.331969836426 13.6974781709728 -638.390046260983</t>
  </si>
  <si>
    <t>-761.308696278165 57.1767325669025 -510.982514139021</t>
  </si>
  <si>
    <t>-743.215584655878 192.319814538667 -493.50296868453</t>
  </si>
  <si>
    <t>-745.416740816627 280.513784518932 -212.77513252063</t>
  </si>
  <si>
    <t>-618.759593220446 76.2733899279142 -195.607903452019</t>
  </si>
  <si>
    <t>-766.613161569348 2.02555573964992 -509.817344666823</t>
  </si>
  <si>
    <t>-730.319388319792 138.905744260359 -57.2964821245048</t>
  </si>
  <si>
    <t>-669.8506267825 310.391855583395 302.968360990114</t>
  </si>
  <si>
    <t>-733.137051800451 289.142945489284 745.777143629034</t>
  </si>
  <si>
    <t>-645.728304867886 404.729327183829 809.705992317325</t>
  </si>
  <si>
    <t>-693.95170636995 -7.14864295698771 339.358650659365</t>
  </si>
  <si>
    <t>-704.21210590443 73.6525412655701 779.370026715915</t>
  </si>
  <si>
    <t>-593.140687769524 -14.5719485621325 849.84600628695</t>
  </si>
  <si>
    <t>9763-20170724T111003.620035800.bin</t>
  </si>
  <si>
    <t>-715.276935865521 41.9264931812631 -58.2318642212549</t>
  </si>
  <si>
    <t>-758.233490251061 37.6910228856295 -165.71690639119</t>
  </si>
  <si>
    <t>-772.843455533758 35.7407513517105 -263.232992953415</t>
  </si>
  <si>
    <t>-777.482554309221 33.9073601863242 -352.190156400324</t>
  </si>
  <si>
    <t>-773.178646663201 31.5826773590438 -441.152505269481</t>
  </si>
  <si>
    <t>-757.846567633415 27.4224962571316 -564.718170877358</t>
  </si>
  <si>
    <t>-721.900179679438 13.3723102638078 -638.307882920555</t>
  </si>
  <si>
    <t>-761.976007461715 56.8317168859412 -510.946742061856</t>
  </si>
  <si>
    <t>-744.057929846986 192.019779085443 -493.605374870357</t>
  </si>
  <si>
    <t>-746.612540535865 280.31665611109 -212.91266298405</t>
  </si>
  <si>
    <t>-619.554159733946 76.3401019832504 -195.573093055971</t>
  </si>
  <si>
    <t>-767.210954745615 1.67460517583731 -509.739260714444</t>
  </si>
  <si>
    <t>-731.105557468104 138.806676710702 -57.1480772457451</t>
  </si>
  <si>
    <t>-670.1901181849 310.50438625281 302.940577828937</t>
  </si>
  <si>
    <t>-733.3906817073 289.18724665431 745.798318706667</t>
  </si>
  <si>
    <t>-645.470933407078 404.343573712663 809.801335701353</t>
  </si>
  <si>
    <t>-694.232585719541 -7.04625711760582 339.337558696092</t>
  </si>
  <si>
    <t>-704.20331390255 73.8559095550168 779.318776536005</t>
  </si>
  <si>
    <t>-593.232804897821 -14.4981075492742 849.791289768571</t>
  </si>
  <si>
    <t>9763-20170724T111003.665165900.bin</t>
  </si>
  <si>
    <t>-715.309690106805 42.1238413087731 -58.2060917504276</t>
  </si>
  <si>
    <t>-758.215428518797 37.8726192172849 -165.71073001297</t>
  </si>
  <si>
    <t>-772.806699639267 35.8839984658375 -263.228855048616</t>
  </si>
  <si>
    <t>-777.440556293315 34.0069160231837 -352.185257249007</t>
  </si>
  <si>
    <t>-773.14402621941 31.6300989376768 -441.146686521155</t>
  </si>
  <si>
    <t>-757.835428584454 27.3895292992161 -564.712379336217</t>
  </si>
  <si>
    <t>-721.847343966416 13.335924284574 -638.281350108524</t>
  </si>
  <si>
    <t>-761.970003924408 56.8351348551882 -510.961330476077</t>
  </si>
  <si>
    <t>-744.147135776964 192.051401240146 -493.720445854433</t>
  </si>
  <si>
    <t>-746.797603750112 280.410430630535 -213.048383086643</t>
  </si>
  <si>
    <t>-619.525774873051 76.5839331423917 -195.511982443853</t>
  </si>
  <si>
    <t>-767.173863313272 1.67620624605433 -509.713227287018</t>
  </si>
  <si>
    <t>-730.996074732454 138.98298833939 -57.0998814849366</t>
  </si>
  <si>
    <t>-670.218920818392 310.938964287928 302.888883847292</t>
  </si>
  <si>
    <t>-733.270671232327 289.133404326719 745.736029064781</t>
  </si>
  <si>
    <t>-645.491973114783 404.365410163157 809.79697128415</t>
  </si>
  <si>
    <t>-694.358784811863 -6.81060520315441 339.354115162084</t>
  </si>
  <si>
    <t>-704.181671887715 74.0078674470469 779.322107368509</t>
  </si>
  <si>
    <t>-593.197701099381 -14.3380875877288 849.783778000482</t>
  </si>
  <si>
    <t>9763-20170724T111003.717302500.bin</t>
  </si>
  <si>
    <t>-714.92985603949 42.5416981489921 -58.3073332077537</t>
  </si>
  <si>
    <t>-757.743717573305 38.2009624037023 -165.844947023455</t>
  </si>
  <si>
    <t>-772.311599285095 36.105193046094 -263.364572500608</t>
  </si>
  <si>
    <t>-776.948997801188 34.117849527795 -352.318281404826</t>
  </si>
  <si>
    <t>-772.681774399473 31.6188157116358 -441.277780129168</t>
  </si>
  <si>
    <t>-757.441346178713 27.1949693106362 -564.845413789729</t>
  </si>
  <si>
    <t>-721.372425954592 13.0705611182439 -638.36111008098</t>
  </si>
  <si>
    <t>-761.579714081468 56.7233607887092 -511.140238612103</t>
  </si>
  <si>
    <t>-743.904038066677 191.984204816586 -494.116202506618</t>
  </si>
  <si>
    <t>-746.726223200194 280.66071002276 -213.545833988368</t>
  </si>
  <si>
    <t>-619.110463884255 77.0860996600536 -195.588481161782</t>
  </si>
  <si>
    <t>-766.715916262584 1.56010495534656 -509.798726048945</t>
  </si>
  <si>
    <t>-730.474596471364 139.333139792242 -57.2350258838054</t>
  </si>
  <si>
    <t>-670.486217999405 311.448861044863 302.809718397676</t>
  </si>
  <si>
    <t>-733.142603486564 288.965516073877 745.705038566211</t>
  </si>
  <si>
    <t>-645.689891506819 404.448009922774 809.760710822887</t>
  </si>
  <si>
    <t>-694.179012675384 -6.41444194313863 339.319529633197</t>
  </si>
  <si>
    <t>-704.231973874968 74.0447313356553 779.330517438647</t>
  </si>
  <si>
    <t>-593.006714207271 -14.0148426503733 849.770354954179</t>
  </si>
  <si>
    <t>9763-20170724T111003.764981200.bin</t>
  </si>
  <si>
    <t>-714.880442912932 42.6403276956848 -58.415077212197</t>
  </si>
  <si>
    <t>-757.704220234884 38.2287270338575 -165.945971692845</t>
  </si>
  <si>
    <t>-772.298726120426 36.0709495501114 -263.460098571407</t>
  </si>
  <si>
    <t>-776.967386806848 34.0251738363772 -352.410922095793</t>
  </si>
  <si>
    <t>-772.738201604306 31.4647353589294 -441.370524995919</t>
  </si>
  <si>
    <t>-757.558626566237 26.9514360210042 -564.942401233305</t>
  </si>
  <si>
    <t>-721.470012180725 12.7480970284105 -638.433277848848</t>
  </si>
  <si>
    <t>-761.67946463368 56.5194946259539 -511.257622852023</t>
  </si>
  <si>
    <t>-744.058405889466 191.797924463064 -494.328997251214</t>
  </si>
  <si>
    <t>-746.955179427962 280.697500807943 -213.830011717699</t>
  </si>
  <si>
    <t>-619.211158721829 77.2167252536419 -195.718763152303</t>
  </si>
  <si>
    <t>-766.797336210735 1.35566992061058 -509.871529889352</t>
  </si>
  <si>
    <t>-730.564915624869 139.329584073017 -57.3746128807067</t>
  </si>
  <si>
    <t>-670.754870874202 311.073808007512 302.87719522006</t>
  </si>
  <si>
    <t>-733.042725462732 288.756588598212 745.854022347505</t>
  </si>
  <si>
    <t>-645.693598502308 404.39674368515 809.766162036211</t>
  </si>
  <si>
    <t>-693.940092270237 -6.26914106073446 339.268658257931</t>
  </si>
  <si>
    <t>-704.246545267042 74.0537240344788 779.315328242007</t>
  </si>
  <si>
    <t>-593.040377995373 -14.023755854088 849.762694071944</t>
  </si>
  <si>
    <t>9763-20170724T111003.816109000.bin</t>
  </si>
  <si>
    <t>-715.841794916646 42.5565967682519 -58.5223930914067</t>
  </si>
  <si>
    <t>-758.724176973611 38.063057140027 -166.026513771108</t>
  </si>
  <si>
    <t>-773.402439523138 35.8237642771783 -263.52619388389</t>
  </si>
  <si>
    <t>-778.160530782677 33.6987764214828 -352.470492565641</t>
  </si>
  <si>
    <t>-774.034183418005 31.0530881826626 -441.432362697732</t>
  </si>
  <si>
    <t>-759.011477463547 26.4140059626347 -565.018901323567</t>
  </si>
  <si>
    <t>-722.926585500395 12.059645731817 -638.482013599992</t>
  </si>
  <si>
    <t>-763.067522806896 56.0369294323486 -511.359352397968</t>
  </si>
  <si>
    <t>-745.495222808153 191.338910111687 -494.590754922414</t>
  </si>
  <si>
    <t>-748.577210524728 280.550927940347 -214.192991301226</t>
  </si>
  <si>
    <t>-620.593346200931 77.2331701073886 -195.947119153632</t>
  </si>
  <si>
    <t>-768.177095357313 0.87405661179173 -509.909671915332</t>
  </si>
  <si>
    <t>-732.181627444462 139.059624950673 -57.5051267143001</t>
  </si>
  <si>
    <t>-671.441784117942 309.656949635132 303.135735772797</t>
  </si>
  <si>
    <t>-733.202492315284 288.420025535777 746.306092696679</t>
  </si>
  <si>
    <t>-645.334569572768 403.860250779855 809.867879650084</t>
  </si>
  <si>
    <t>-693.872012821493 -6.04689260299619 339.140749739396</t>
  </si>
  <si>
    <t>-704.184045921109 74.2866268182861 779.254936064032</t>
  </si>
  <si>
    <t>-593.035666739981 -13.8449922235613 849.725565974286</t>
  </si>
  <si>
    <t>9763-20170724T111003.882951800.bin</t>
  </si>
  <si>
    <t>-717.380325385476 42.5276204309916 -58.4822208452906</t>
  </si>
  <si>
    <t>-760.385552872086 38.0117806767648 -165.936297577365</t>
  </si>
  <si>
    <t>-775.245880549477 35.7667072871773 -263.40821524656</t>
  </si>
  <si>
    <t>-780.197530469763 33.6419940243509 -352.34196959676</t>
  </si>
  <si>
    <t>-776.292629281971 31.0018278804432 -441.313952925471</t>
  </si>
  <si>
    <t>-761.60624329351 26.3759381987397 -564.941355293607</t>
  </si>
  <si>
    <t>-725.583469742497 11.9559189120546 -638.422442362854</t>
  </si>
  <si>
    <t>-765.502663389649 55.9919890500082 -511.266323315588</t>
  </si>
  <si>
    <t>-747.83373052393 191.292986659797 -494.595524468717</t>
  </si>
  <si>
    <t>-750.922013148088 280.470342074051 -214.186920209211</t>
  </si>
  <si>
    <t>-622.80978877317 77.2361025359269 -195.914827594824</t>
  </si>
  <si>
    <t>-770.635202421076 0.831147134149887 -509.811980108993</t>
  </si>
  <si>
    <t>-733.945707305514 138.764870982826 -57.3657301810701</t>
  </si>
  <si>
    <t>-671.884800165403 308.82482969919 303.304035199509</t>
  </si>
  <si>
    <t>-733.218267452656 288.110260492529 746.627440276431</t>
  </si>
  <si>
    <t>-645.187288161866 403.576096067529 809.916133319495</t>
  </si>
  <si>
    <t>-694.548504107377 -5.811741326846 339.081795510616</t>
  </si>
  <si>
    <t>-704.165268700711 74.4601468571677 779.224828798139</t>
  </si>
  <si>
    <t>-593.167843819639 -13.8270229515497 849.738833123002</t>
  </si>
  <si>
    <t>9763-20170724T111003.915035100.bin</t>
  </si>
  <si>
    <t>-718.048219968222 42.6080973895723 -58.4290804728554</t>
  </si>
  <si>
    <t>-761.108676474082 38.1361940823735 -165.862995328606</t>
  </si>
  <si>
    <t>-776.057940839982 35.9230931799621 -263.321956087672</t>
  </si>
  <si>
    <t>-781.107111546275 33.8256971228652 -352.250892613559</t>
  </si>
  <si>
    <t>-777.315838690134 31.2123051927142 -441.228600510246</t>
  </si>
  <si>
    <t>-762.804435975963 26.6235828212493 -564.878042263762</t>
  </si>
  <si>
    <t>-726.823145435779 12.1962141821891 -638.378026834667</t>
  </si>
  <si>
    <t>-766.614899718645 56.2226182770887 -511.187393437654</t>
  </si>
  <si>
    <t>-748.869462925705 191.515098741346 -494.515761013909</t>
  </si>
  <si>
    <t>-751.87468240666 280.704054990585 -214.109731482528</t>
  </si>
  <si>
    <t>-623.782151908739 77.4577719164781 -195.828837111867</t>
  </si>
  <si>
    <t>-771.765594228119 1.06324296646108 -509.744791933804</t>
  </si>
  <si>
    <t>-734.508559600502 138.747394271921 -57.2582765540568</t>
  </si>
  <si>
    <t>-672.082504100578 308.803927010458 303.350185172793</t>
  </si>
  <si>
    <t>-733.253282886989 287.986414755228 746.700398779122</t>
  </si>
  <si>
    <t>-645.083096231378 403.414173968667 809.86486593084</t>
  </si>
  <si>
    <t>-694.99944413336 -5.66970263510666 339.061645896832</t>
  </si>
  <si>
    <t>-704.186733600287 74.4261776813487 779.219970677545</t>
  </si>
  <si>
    <t>-593.094430557684 -13.7101111138481 849.773374681419</t>
  </si>
  <si>
    <t>9763-20170724T111003.952141700.bin</t>
  </si>
  <si>
    <t>-718.503016286421 42.805923167351 -58.4029287531525</t>
  </si>
  <si>
    <t>-761.621766424565 38.3862650379519 -165.815616760831</t>
  </si>
  <si>
    <t>-776.651565527015 36.2160439984591 -263.263157917139</t>
  </si>
  <si>
    <t>-781.785350956555 34.157547500316 -352.188254701602</t>
  </si>
  <si>
    <t>-778.089605724681 31.5824097108152 -441.171133726228</t>
  </si>
  <si>
    <t>-763.722496985605 27.0470574287588 -564.83931770561</t>
  </si>
  <si>
    <t>-727.788283723209 12.6242916089013 -638.363061144682</t>
  </si>
  <si>
    <t>-767.455257014423 56.621520628255 -511.129646836298</t>
  </si>
  <si>
    <t>-749.60155383964 191.901683154582 -494.450133952309</t>
  </si>
  <si>
    <t>-752.542433311286 281.063193110095 -214.034686291389</t>
  </si>
  <si>
    <t>-624.492039541791 77.7883024277735 -195.780455937798</t>
  </si>
  <si>
    <t>-772.634168812023 1.46433617463708 -509.708471986241</t>
  </si>
  <si>
    <t>-734.781195335536 138.807588291446 -57.1833252703556</t>
  </si>
  <si>
    <t>-672.16687553437 308.978336065315 303.338551302276</t>
  </si>
  <si>
    <t>-733.119667583456 287.781476504763 746.689400621395</t>
  </si>
  <si>
    <t>-645.140518337938 403.404493106445 809.763029476062</t>
  </si>
  <si>
    <t>-695.328794860362 -5.43501806416225 339.02777727327</t>
  </si>
  <si>
    <t>-704.156528631935 74.5008453985997 779.21028083796</t>
  </si>
  <si>
    <t>-593.134692455022 -13.6743578968412 849.825967436109</t>
  </si>
  <si>
    <t>9763-20170724T111004.017317000.bin</t>
  </si>
  <si>
    <t>-719.176396268977 43.4731852610475 -58.4493260559138</t>
  </si>
  <si>
    <t>-762.398397975339 39.1655070122351 -165.824974250723</t>
  </si>
  <si>
    <t>-777.615159479479 37.0759936752288 -263.245349216134</t>
  </si>
  <si>
    <t>-782.958532355488 35.0834194043523 -352.159600194281</t>
  </si>
  <si>
    <t>-779.511403414706 32.5667597870902 -441.154035429445</t>
  </si>
  <si>
    <t>-765.531311639972 28.1044120981624 -564.869247417952</t>
  </si>
  <si>
    <t>-729.750030719414 13.7195021350303 -638.47507542762</t>
  </si>
  <si>
    <t>-769.045391754356 57.6425282902169 -511.124911043064</t>
  </si>
  <si>
    <t>-750.911583858432 192.883299239522 -494.429910025988</t>
  </si>
  <si>
    <t>-753.696760732811 281.880234671203 -213.960659488761</t>
  </si>
  <si>
    <t>-625.816810083246 78.4916565859862 -195.775527468518</t>
  </si>
  <si>
    <t>-774.321097266351 2.49375599757877 -509.73183771695</t>
  </si>
  <si>
    <t>-735.270486828038 139.206681868265 -57.1554445328647</t>
  </si>
  <si>
    <t>-672.458625325663 309.675034678404 303.191534933929</t>
  </si>
  <si>
    <t>-733.084194660525 287.627888239081 746.55263165286</t>
  </si>
  <si>
    <t>-645.180753575558 403.361918018689 809.528095845675</t>
  </si>
  <si>
    <t>-695.803292670673 -4.96585225772151 338.94090161791</t>
  </si>
  <si>
    <t>-704.172548254234 74.5861222542826 779.241274268145</t>
  </si>
  <si>
    <t>-593.232318751157 -13.6352594705741 849.927328001015</t>
  </si>
  <si>
    <t>9763-20170724T111004.086534700.bin</t>
  </si>
  <si>
    <t>-719.919618383261 44.3003585597544 -58.6238274578213</t>
  </si>
  <si>
    <t>-763.234712577737 40.105634979916 -165.966296782946</t>
  </si>
  <si>
    <t>-778.667560908327 38.1159098488338 -263.354921696822</t>
  </si>
  <si>
    <t>-784.260737060981 36.2158856674764 -352.255616774203</t>
  </si>
  <si>
    <t>-781.117447670332 33.7930364376839 -441.263962192152</t>
  </si>
  <si>
    <t>-767.61478311113 29.4631256101484 -565.037078563706</t>
  </si>
  <si>
    <t>-732.026096399716 15.1577829031448 -638.751503382251</t>
  </si>
  <si>
    <t>-770.872727571989 58.9390524644705 -511.242382336003</t>
  </si>
  <si>
    <t>-752.486605474503 194.126318769213 -494.467532107155</t>
  </si>
  <si>
    <t>-754.83900483493 282.893899318542 -213.921667112961</t>
  </si>
  <si>
    <t>-627.211681370748 79.3348442888337 -195.871507338587</t>
  </si>
  <si>
    <t>-776.240594781328 3.79800298666851 -509.898937262333</t>
  </si>
  <si>
    <t>-735.875578647421 139.641529591699 -57.2502979669239</t>
  </si>
  <si>
    <t>-672.691091114138 310.178573724711 302.9989009287</t>
  </si>
  <si>
    <t>-733.114954013579 287.548229448361 746.394448340955</t>
  </si>
  <si>
    <t>-644.959348616091 403.137609544592 809.282954400964</t>
  </si>
  <si>
    <t>-696.600704324683 -4.62917339558226 338.785093938887</t>
  </si>
  <si>
    <t>-704.264031487909 74.4429101416185 779.260131703909</t>
  </si>
  <si>
    <t>-593.142573746743 -13.4931477464261 850.016951944969</t>
  </si>
  <si>
    <t>9763-20170724T111004.117649300.bin</t>
  </si>
  <si>
    <t>-720.468214287037 44.5744676824911 -58.685208276557</t>
  </si>
  <si>
    <t>-763.830067484222 40.4746074800405 -166.012659271529</t>
  </si>
  <si>
    <t>-779.359390494548 38.5714913299571 -263.387564959055</t>
  </si>
  <si>
    <t>-785.062960274201 36.7541844180473 -352.283000848094</t>
  </si>
  <si>
    <t>-782.05205284982 34.4190759557791 -441.298270407012</t>
  </si>
  <si>
    <t>-768.756588779077 30.2183516506457 -565.098090060094</t>
  </si>
  <si>
    <t>-733.263883911783 15.9725384822818 -638.870483050392</t>
  </si>
  <si>
    <t>-771.907610954433 59.6365439671295 -511.265522933271</t>
  </si>
  <si>
    <t>-753.39967320271 194.796424282694 -494.389795801871</t>
  </si>
  <si>
    <t>-755.457564158449 283.400448697445 -213.789871402548</t>
  </si>
  <si>
    <t>-627.864815388624 79.8034670503394 -195.924270441223</t>
  </si>
  <si>
    <t>-777.306963171827 4.49714699953574 -509.9744112033</t>
  </si>
  <si>
    <t>-736.29698146532 139.728793333361 -57.2510211552792</t>
  </si>
  <si>
    <t>-672.72462972244 310.331508976332 302.898899889906</t>
  </si>
  <si>
    <t>-733.070112000938 287.485942462201 746.326263107521</t>
  </si>
  <si>
    <t>-644.942028451088 403.123058376009 809.165658685506</t>
  </si>
  <si>
    <t>-697.224387987738 -4.3880981152829 338.690000229044</t>
  </si>
  <si>
    <t>-704.286632202592 74.370178245636 779.256160282757</t>
  </si>
  <si>
    <t>-593.096939859164 -13.447432940668 850.05341571881</t>
  </si>
  <si>
    <t>9763-20170724T111004.184801400.bin</t>
  </si>
  <si>
    <t>-721.512147749085 44.6517804774207 -58.7269812556891</t>
  </si>
  <si>
    <t>-765.015528547151 40.8070185645056 -166.006475430228</t>
  </si>
  <si>
    <t>-780.737938999996 39.1201937257083 -263.354378449694</t>
  </si>
  <si>
    <t>-786.644872098723 37.5031341335234 -352.240510291894</t>
  </si>
  <si>
    <t>-783.864082929221 35.3754582276174 -441.268442023269</t>
  </si>
  <si>
    <t>-770.914876430091 31.4741781990379 -565.114788760722</t>
  </si>
  <si>
    <t>-735.624873708394 17.3389707671658 -639.005468849361</t>
  </si>
  <si>
    <t>-773.877682789238 60.7585484399719 -511.198538483723</t>
  </si>
  <si>
    <t>-755.070665541904 195.856615539075 -494.115492282541</t>
  </si>
  <si>
    <t>-756.725953740547 283.837137405896 -213.31684781525</t>
  </si>
  <si>
    <t>-629.14837456361 80.1890362332642 -195.934772413733</t>
  </si>
  <si>
    <t>-779.348967624203 5.62335087119936 -510.033794708011</t>
  </si>
  <si>
    <t>-737.058162377481 139.551536767967 -57.1513083928468</t>
  </si>
  <si>
    <t>-672.330372896856 310.26821122707 302.738646343408</t>
  </si>
  <si>
    <t>-732.898197248848 287.294704445092 746.114811110049</t>
  </si>
  <si>
    <t>-644.799600445737 402.99242821468 808.884461648732</t>
  </si>
  <si>
    <t>-698.15651016248 -4.14752885805274 338.540024105003</t>
  </si>
  <si>
    <t>-704.329235249057 74.254162559816 779.252928814458</t>
  </si>
  <si>
    <t>-593.094863437757 -13.4681244466997 850.097688415862</t>
  </si>
  <si>
    <t>9763-20170724T111004.216887400.bin</t>
  </si>
  <si>
    <t>-721.816707970774 44.648282455631 -58.7477765117429</t>
  </si>
  <si>
    <t>-765.430181683476 40.8959283044733 -165.985848586493</t>
  </si>
  <si>
    <t>-781.272312313368 39.3074486086716 -263.315963376329</t>
  </si>
  <si>
    <t>-787.296153932577 37.7887437496684 -352.19601267936</t>
  </si>
  <si>
    <t>-784.638797350488 35.7694170929799 -441.230218189726</t>
  </si>
  <si>
    <t>-771.869091469278 32.0303826699464 -565.100155909526</t>
  </si>
  <si>
    <t>-736.689045468581 17.9543270857225 -639.0546600531</t>
  </si>
  <si>
    <t>-774.731177551319 61.2417527527623 -511.138969751009</t>
  </si>
  <si>
    <t>-755.731137836438 196.302138752319 -493.953129303967</t>
  </si>
  <si>
    <t>-757.214206197067 283.922027023969 -213.040880452269</t>
  </si>
  <si>
    <t>-629.692975648263 80.2149761914879 -195.935191852917</t>
  </si>
  <si>
    <t>-780.245394173202 6.10961188152942 -510.043176800588</t>
  </si>
  <si>
    <t>-737.194005752523 139.432170825351 -57.1429757067007</t>
  </si>
  <si>
    <t>-672.109276204361 310.14908555077 302.682451620338</t>
  </si>
  <si>
    <t>-732.81274190004 287.218212215125 746.033144503412</t>
  </si>
  <si>
    <t>-644.512849658455 402.77464642039 808.779363668573</t>
  </si>
  <si>
    <t>-698.222843764464 -4.08203620209588 338.488510699827</t>
  </si>
  <si>
    <t>-704.286534231336 74.348702020719 779.234428897819</t>
  </si>
  <si>
    <t>-593.168330006007 -13.5005586567991 850.104455019177</t>
  </si>
  <si>
    <t>9763-20170724T111004.283802500.bin</t>
  </si>
  <si>
    <t>-721.780959573395 44.4980686568915 -58.8109087911239</t>
  </si>
  <si>
    <t>-765.62136773412 40.8883799348632 -165.961389713098</t>
  </si>
  <si>
    <t>-781.721240180195 39.4693045972208 -263.251934450119</t>
  </si>
  <si>
    <t>-787.99953274927 38.1265984930437 -352.117125906897</t>
  </si>
  <si>
    <t>-785.616573989146 36.3062093713297 -441.16346078136</t>
  </si>
  <si>
    <t>-773.24637169653 32.8702081750348 -565.082673354876</t>
  </si>
  <si>
    <t>-738.294553531281 18.919052375546 -639.168972448463</t>
  </si>
  <si>
    <t>-775.881253459137 61.9442058716431 -511.035780838859</t>
  </si>
  <si>
    <t>-756.52060583663 196.930213174705 -493.659614989794</t>
  </si>
  <si>
    <t>-757.402534796034 284.05819609045 -212.591540560362</t>
  </si>
  <si>
    <t>-630.195966458249 80.1170037388024 -195.936850449737</t>
  </si>
  <si>
    <t>-781.498504023734 6.82002634122773 -510.068048908152</t>
  </si>
  <si>
    <t>-736.866626217465 139.26786479525 -57.1930453106596</t>
  </si>
  <si>
    <t>-671.735703934698 309.903991580564 302.662491251707</t>
  </si>
  <si>
    <t>-732.64515101705 287.057644543321 745.964627178351</t>
  </si>
  <si>
    <t>-644.40528613918 402.680778418367 808.672164137211</t>
  </si>
  <si>
    <t>-698.121825610365 -4.24528703442684 338.400323757166</t>
  </si>
  <si>
    <t>-704.325422094823 74.2724913692959 779.193189536876</t>
  </si>
  <si>
    <t>-593.190545265103 -13.5427557591343 850.079097091662</t>
  </si>
  <si>
    <t>9763-20170724T111004.315887200.bin</t>
  </si>
  <si>
    <t>-721.683623296699 44.457201515665 -58.8402532502738</t>
  </si>
  <si>
    <t>-765.616793515118 40.8775887473003 -165.953710879112</t>
  </si>
  <si>
    <t>-781.855055838327 39.515878361507 -263.222004437487</t>
  </si>
  <si>
    <t>-788.280919184053 38.2385791121196 -352.077527073355</t>
  </si>
  <si>
    <t>-786.066062078727 36.4969705551107 -441.129807940728</t>
  </si>
  <si>
    <t>-773.950229397359 33.1854405505655 -565.077503731779</t>
  </si>
  <si>
    <t>-739.129830408457 19.2928518110803 -639.236637145708</t>
  </si>
  <si>
    <t>-776.448420795191 62.2026631343001 -510.993681727585</t>
  </si>
  <si>
    <t>-756.914721066235 197.149298714978 -493.527300293271</t>
  </si>
  <si>
    <t>-757.326524789102 284.145849299892 -212.417585310819</t>
  </si>
  <si>
    <t>-630.325882572041 80.0666861961399 -195.882454395544</t>
  </si>
  <si>
    <t>-782.115197043518 7.08274891722203 -510.074906372313</t>
  </si>
  <si>
    <t>-736.701356593726 139.23080879595 -57.205857397385</t>
  </si>
  <si>
    <t>-671.514396061123 309.829459388369 302.657249697908</t>
  </si>
  <si>
    <t>-732.540356403879 286.997632178066 745.944034528373</t>
  </si>
  <si>
    <t>-644.280251655149 402.615780843668 808.632506055675</t>
  </si>
  <si>
    <t>-698.152391296977 -4.27409780044991 338.367762226612</t>
  </si>
  <si>
    <t>-704.308682784005 74.3040318457338 779.173400568988</t>
  </si>
  <si>
    <t>-593.174853190218 -13.5067462983279 850.066245763025</t>
  </si>
  <si>
    <t>9763-20170724T111004.385634500.bin</t>
  </si>
  <si>
    <t>-721.755075389675 44.4610429979703 -58.8148191677548</t>
  </si>
  <si>
    <t>-765.824748974298 40.9473483812267 -165.874227785554</t>
  </si>
  <si>
    <t>-782.318100290165 39.6874650604041 -263.101027733177</t>
  </si>
  <si>
    <t>-789.028437590972 38.5223800242452 -351.937131424825</t>
  </si>
  <si>
    <t>-787.149231260755 36.9137824438412 -440.999624631168</t>
  </si>
  <si>
    <t>-775.552354162647 33.8096750176696 -565.00242755774</t>
  </si>
  <si>
    <t>-741.000540164978 20.0493931118817 -639.311553369358</t>
  </si>
  <si>
    <t>-777.781790695153 62.73214532771 -510.855917960629</t>
  </si>
  <si>
    <t>-757.969470851473 197.619667238995 -493.245957927736</t>
  </si>
  <si>
    <t>-757.537656653881 284.360569856963 -212.057336665781</t>
  </si>
  <si>
    <t>-630.78196532148 80.1116558075678 -195.74042495548</t>
  </si>
  <si>
    <t>-783.529158687332 7.61928152000428 -510.01391639954</t>
  </si>
  <si>
    <t>-736.736523400868 139.166129101767 -57.1151402642848</t>
  </si>
  <si>
    <t>-671.135931407424 309.857783541601 302.628794192543</t>
  </si>
  <si>
    <t>-732.42241559765 286.926904571258 745.884970852478</t>
  </si>
  <si>
    <t>-644.113521796628 402.521861601536 808.548295130654</t>
  </si>
  <si>
    <t>-698.271016960064 -4.12209617500321 338.337712407233</t>
  </si>
  <si>
    <t>-704.235584424496 74.472275176784 779.146533431528</t>
  </si>
  <si>
    <t>-593.28274024245 -13.5530313249787 850.057218780348</t>
  </si>
  <si>
    <t>9763-20170724T111004.420727400.bin</t>
  </si>
  <si>
    <t>-721.851525823766 44.4828739502773 -58.7829027765266</t>
  </si>
  <si>
    <t>-765.974771423651 40.9912589466826 -165.821185119696</t>
  </si>
  <si>
    <t>-782.564799025317 39.7634656877644 -263.031828238936</t>
  </si>
  <si>
    <t>-789.38346233994 38.6345756524906 -351.860265285899</t>
  </si>
  <si>
    <t>-787.632098251428 37.0694400766351 -440.926072334731</t>
  </si>
  <si>
    <t>-776.232484953179 34.0344519948599 -564.948961230973</t>
  </si>
  <si>
    <t>-741.806869883682 20.3230431899374 -639.32561333059</t>
  </si>
  <si>
    <t>-778.360092208029 62.9249916446788 -510.78140497726</t>
  </si>
  <si>
    <t>-758.454325792794 197.79145973771 -493.124468497245</t>
  </si>
  <si>
    <t>-757.759170675216 284.340350557819 -211.877316110085</t>
  </si>
  <si>
    <t>-631.001241198726 80.0827597083057 -195.687705735026</t>
  </si>
  <si>
    <t>-784.137674247715 7.81492664547159 -509.963707487494</t>
  </si>
  <si>
    <t>-736.793175225439 139.17223298671 -57.0793433563148</t>
  </si>
  <si>
    <t>-671.015929684758 309.898576258242 302.615785600813</t>
  </si>
  <si>
    <t>-732.393528437748 286.915684864251 745.848978460665</t>
  </si>
  <si>
    <t>-644.03026887787 402.471512937531 808.507475218698</t>
  </si>
  <si>
    <t>-698.333796089961 -4.09834006781284 338.342319564985</t>
  </si>
  <si>
    <t>-704.24881514285 74.4486117104429 779.144373803873</t>
  </si>
  <si>
    <t>-593.328342896011 -13.6162794932875 850.05661447923</t>
  </si>
  <si>
    <t>9763-20170724T111004.484692500.bin</t>
  </si>
  <si>
    <t>-721.800240776018 44.5170635452164 -58.8053227942462</t>
  </si>
  <si>
    <t>-766.017747075593 41.0325294727249 -165.804807397819</t>
  </si>
  <si>
    <t>-782.773782163704 39.8417937414242 -262.987584402345</t>
  </si>
  <si>
    <t>-789.775040641734 38.7605334394952 -351.802251187672</t>
  </si>
  <si>
    <t>-788.237513796697 37.2583516519835 -440.873119378594</t>
  </si>
  <si>
    <t>-777.167298514703 34.3277789617723 -564.928222352668</t>
  </si>
  <si>
    <t>-742.949273163324 20.68454297893 -639.41315784232</t>
  </si>
  <si>
    <t>-779.133899644395 63.1708881204881 -510.729335089371</t>
  </si>
  <si>
    <t>-759.114615189159 198.014559101747 -492.999201096458</t>
  </si>
  <si>
    <t>-758.042162762458 284.210845672686 -211.644828804462</t>
  </si>
  <si>
    <t>-631.136462869776 80.0300283828442 -195.641862409205</t>
  </si>
  <si>
    <t>-784.943494298414 8.06364150446234 -509.946020338602</t>
  </si>
  <si>
    <t>-736.654833590538 139.273930987985 -57.1227645605445</t>
  </si>
  <si>
    <t>-670.912178806384 309.931151510189 302.611365054433</t>
  </si>
  <si>
    <t>-732.390171703297 286.95853421276 745.813260761992</t>
  </si>
  <si>
    <t>-644.051662280978 402.536740270104 808.464863548681</t>
  </si>
  <si>
    <t>-698.196723730116 -4.06912277557421 338.331135234815</t>
  </si>
  <si>
    <t>-704.227961622166 74.4896636023477 779.123804155596</t>
  </si>
  <si>
    <t>-593.436960769017 -13.7358806595125 850.038540173153</t>
  </si>
  <si>
    <t>9763-20170724T111004.516775000.bin</t>
  </si>
  <si>
    <t>-721.622468692795 44.5031946356635 -58.8180381654142</t>
  </si>
  <si>
    <t>-765.862518159219 41.0048368517314 -165.807844906508</t>
  </si>
  <si>
    <t>-782.692086087777 39.8184110811208 -262.977772308582</t>
  </si>
  <si>
    <t>-789.781824351888 38.7486569014968 -351.785718483746</t>
  </si>
  <si>
    <t>-788.353140058151 37.265884399068 -440.858633240752</t>
  </si>
  <si>
    <t>-777.456346883601 34.3715022364477 -564.930063791356</t>
  </si>
  <si>
    <t>-743.323552570455 20.7478876347163 -639.457829308544</t>
  </si>
  <si>
    <t>-779.342446620609 63.1983887054316 -510.719664762385</t>
  </si>
  <si>
    <t>-759.293025793444 198.031583711118 -492.959171871771</t>
  </si>
  <si>
    <t>-758.005912750748 284.16106649271 -211.585255844596</t>
  </si>
  <si>
    <t>-631.009094836617 80.0326027145488 -195.63953366398</t>
  </si>
  <si>
    <t>-785.160341072059 8.09196653287245 -509.944999347219</t>
  </si>
  <si>
    <t>-736.468499702843 139.309082742072 -57.1470557504322</t>
  </si>
  <si>
    <t>-670.808256169899 309.910324709467 302.628768602916</t>
  </si>
  <si>
    <t>-732.319834833002 286.884047654901 745.811621040348</t>
  </si>
  <si>
    <t>-644.048106039238 402.514223479468 808.462089350179</t>
  </si>
  <si>
    <t>-698.028049794864 -4.07994696998821 338.316158733507</t>
  </si>
  <si>
    <t>-704.206881979838 74.5403537149427 779.110833818995</t>
  </si>
  <si>
    <t>-593.385515039662 -13.6571331805617 850.012770251376</t>
  </si>
  <si>
    <t>9763-20170724T111004.584960300.bin</t>
  </si>
  <si>
    <t>-721.436404873029 44.6270007383655 -58.828050800649</t>
  </si>
  <si>
    <t>-765.745054097501 41.080793071555 -165.787779063677</t>
  </si>
  <si>
    <t>-782.715052173243 39.8837678973114 -262.933236110654</t>
  </si>
  <si>
    <t>-789.963397292737 38.8169142286765 -351.728257926601</t>
  </si>
  <si>
    <t>-788.724019960118 37.3495632466784 -440.804464433184</t>
  </si>
  <si>
    <t>-778.121156339026 34.4898745553919 -564.902026018496</t>
  </si>
  <si>
    <t>-744.123820551398 20.8921437622002 -639.496433051117</t>
  </si>
  <si>
    <t>-779.877057350766 63.3013023196222 -510.679060255651</t>
  </si>
  <si>
    <t>-759.812784662389 198.124990018169 -492.885620956304</t>
  </si>
  <si>
    <t>-758.039064596629 284.220601139098 -211.503933794769</t>
  </si>
  <si>
    <t>-630.932697305598 80.1568639769462 -195.603695080228</t>
  </si>
  <si>
    <t>-785.696723912138 8.19499900127403 -509.90641289977</t>
  </si>
  <si>
    <t>-736.370052687017 139.524586447529 -57.1583224578233</t>
  </si>
  <si>
    <t>-670.737810817979 310.085824020485 302.641510637654</t>
  </si>
  <si>
    <t>-732.302593395548 286.922544385652 745.801045022326</t>
  </si>
  <si>
    <t>-643.93515375983 402.477351401035 808.455335211927</t>
  </si>
  <si>
    <t>-697.758657316322 -3.92053289082105 338.298516412833</t>
  </si>
  <si>
    <t>-704.150488584939 74.6749485803953 779.081072578061</t>
  </si>
  <si>
    <t>-593.459238130343 -13.6959324291893 849.970758103288</t>
  </si>
  <si>
    <t>9763-20170724T111004.617046700.bin</t>
  </si>
  <si>
    <t>-721.399052896054 44.6647666689132 -58.8067580477601</t>
  </si>
  <si>
    <t>-765.737296009382 41.1056408774284 -165.753712928751</t>
  </si>
  <si>
    <t>-782.746191667331 39.9028300874502 -262.892415768391</t>
  </si>
  <si>
    <t>-790.034277240238 38.8327513756749 -351.684259687825</t>
  </si>
  <si>
    <t>-788.839213612809 37.3642460671772 -440.760844482674</t>
  </si>
  <si>
    <t>-778.303016126536 34.5049745214296 -564.864028546879</t>
  </si>
  <si>
    <t>-744.349416266213 20.9136797273095 -639.479423606875</t>
  </si>
  <si>
    <t>-780.032362416388 63.3166192757585 -510.640407613932</t>
  </si>
  <si>
    <t>-759.974080423592 198.139950330256 -492.841374307383</t>
  </si>
  <si>
    <t>-758.015795605508 284.224741301492 -211.457808195259</t>
  </si>
  <si>
    <t>-630.859268389468 80.1891104499837 -195.599717206388</t>
  </si>
  <si>
    <t>-785.846563593483 8.20986968437228 -509.864397083998</t>
  </si>
  <si>
    <t>-736.362496888729 139.564393420758 -57.1386041833356</t>
  </si>
  <si>
    <t>-670.678963426919 310.139265846021 302.645419510244</t>
  </si>
  <si>
    <t>-732.254269788534 286.882037638507 745.79580935926</t>
  </si>
  <si>
    <t>-644.038593000224 402.547806734808 808.459161654778</t>
  </si>
  <si>
    <t>-697.60280184805 -3.86574420298757 338.307188840692</t>
  </si>
  <si>
    <t>-704.121434241126 74.7613775957475 779.075427438144</t>
  </si>
  <si>
    <t>-593.501302093532 -13.7021209238424 849.960634333246</t>
  </si>
  <si>
    <t>9763-20170724T111004.684265400.bin</t>
  </si>
  <si>
    <t>-721.40319420535 44.8923552891551 -58.8053271351357</t>
  </si>
  <si>
    <t>-765.779670283553 41.2925712633009 -165.735169584281</t>
  </si>
  <si>
    <t>-782.820614719913 40.0667133335933 -262.867791407017</t>
  </si>
  <si>
    <t>-790.136622116065 38.9792155563282 -351.65713480057</t>
  </si>
  <si>
    <t>-788.96757020059 37.4960949945803 -440.733920065134</t>
  </si>
  <si>
    <t>-778.466376680712 34.6189797981797 -564.839721741768</t>
  </si>
  <si>
    <t>-744.563429666284 21.0112660145251 -639.475305194222</t>
  </si>
  <si>
    <t>-780.187169107869 63.4389893649468 -510.620269340249</t>
  </si>
  <si>
    <t>-760.201819838481 198.271652446577 -492.797778058551</t>
  </si>
  <si>
    <t>-758.111123333411 284.171886400052 -211.358618686665</t>
  </si>
  <si>
    <t>-630.704104809879 80.283177785821 -195.61953133194</t>
  </si>
  <si>
    <t>-785.987639982878 8.33105773889292 -509.833591239545</t>
  </si>
  <si>
    <t>-736.452410701855 139.793815412978 -57.142101608375</t>
  </si>
  <si>
    <t>-670.693775944381 310.296560189658 302.662562538772</t>
  </si>
  <si>
    <t>-732.207628448095 286.854826647723 745.803763100163</t>
  </si>
  <si>
    <t>-643.940380357266 402.481162317666 808.467875833039</t>
  </si>
  <si>
    <t>-697.376879542449 -3.76766882943002 338.303375921108</t>
  </si>
  <si>
    <t>-704.118857547681 74.7929907556554 779.065279887098</t>
  </si>
  <si>
    <t>-593.58700812869 -13.7795553586607 849.951682443393</t>
  </si>
  <si>
    <t>9763-20170724T111004.716352200.bin</t>
  </si>
  <si>
    <t>-721.387151349944 45.1110275358155 -58.8277204402432</t>
  </si>
  <si>
    <t>-765.773565349367 41.4999577921417 -165.753030327472</t>
  </si>
  <si>
    <t>-782.812298394421 40.264419972927 -262.886104020052</t>
  </si>
  <si>
    <t>-790.121687056653 39.1670583266368 -351.675682252095</t>
  </si>
  <si>
    <t>-788.941951329299 37.6728271912998 -440.752203058441</t>
  </si>
  <si>
    <t>-778.420566540537 34.778434875102 -564.855967053426</t>
  </si>
  <si>
    <t>-744.52124721169 21.1561391426949 -639.490456862254</t>
  </si>
  <si>
    <t>-780.155903986702 63.6067450107539 -510.641218475614</t>
  </si>
  <si>
    <t>-760.23994865276 198.444994062192 -492.780639684197</t>
  </si>
  <si>
    <t>-758.103359762731 284.233157102615 -211.307725638463</t>
  </si>
  <si>
    <t>-630.560376257123 80.4268665322747 -195.603380728504</t>
  </si>
  <si>
    <t>-785.945198922918 8.49755912810679 -509.846714133077</t>
  </si>
  <si>
    <t>-736.441485433819 140.009526899311 -57.165587806366</t>
  </si>
  <si>
    <t>-670.723177417433 310.466501106889 302.667871766652</t>
  </si>
  <si>
    <t>-732.226188336084 286.897872475385 745.803078241155</t>
  </si>
  <si>
    <t>-643.864895254872 402.454426578374 808.463042526649</t>
  </si>
  <si>
    <t>-697.376194852867 -3.7012974231302 338.283221278455</t>
  </si>
  <si>
    <t>-704.151552334543 74.7347207522034 779.068906271978</t>
  </si>
  <si>
    <t>-593.502029776099 -13.6984140430677 849.945758619788</t>
  </si>
  <si>
    <t>9763-20170724T111004.785424200.bin</t>
  </si>
  <si>
    <t>-721.348217847014 45.4199796074936 -58.8495131866129</t>
  </si>
  <si>
    <t>-765.756738088447 41.7933240891239 -165.765178553329</t>
  </si>
  <si>
    <t>-782.749827800867 40.5404242666873 -262.905898893662</t>
  </si>
  <si>
    <t>-789.991459214113 39.4227189588651 -351.700891351805</t>
  </si>
  <si>
    <t>-788.717109359749 37.9018860060328 -440.77567027938</t>
  </si>
  <si>
    <t>-778.037036531655 34.9619163104521 -564.864684141276</t>
  </si>
  <si>
    <t>-744.086435787419 21.3050721999225 -639.469454976827</t>
  </si>
  <si>
    <t>-779.848586441516 63.810752974211 -510.663534978506</t>
  </si>
  <si>
    <t>-760.07603971657 198.658222497145 -492.711910328906</t>
  </si>
  <si>
    <t>-757.911885359368 284.264083479774 -211.183582101261</t>
  </si>
  <si>
    <t>-629.996555538463 80.6776814542618 -195.656695726832</t>
  </si>
  <si>
    <t>-785.625250058449 8.70058649286239 -509.855030690223</t>
  </si>
  <si>
    <t>-736.399904830875 140.270036043527 -57.1461539396205</t>
  </si>
  <si>
    <t>-670.553265340576 310.747037481467 302.654414110175</t>
  </si>
  <si>
    <t>-732.146073501389 286.819459228495 745.774457947512</t>
  </si>
  <si>
    <t>-643.935940790878 402.496924791797 808.423950140953</t>
  </si>
  <si>
    <t>-697.360737685555 -3.56062028040515 338.278147297172</t>
  </si>
  <si>
    <t>-704.201749427052 74.6377072562191 779.090943408431</t>
  </si>
  <si>
    <t>-593.419679946834 -13.6355818635298 849.96044186502</t>
  </si>
  <si>
    <t>9763-20170724T111004.820517400.bin</t>
  </si>
  <si>
    <t>-721.352278274187 45.5551479750702 -58.8528543347645</t>
  </si>
  <si>
    <t>-765.781065812963 41.9342821102537 -165.760316527682</t>
  </si>
  <si>
    <t>-782.739901380954 40.6723125427775 -262.906899626557</t>
  </si>
  <si>
    <t>-789.929029280444 39.5383868919794 -351.705896517531</t>
  </si>
  <si>
    <t>-788.581502579608 37.9926944659342 -440.77920447839</t>
  </si>
  <si>
    <t>-777.77861693192 35.0077848712344 -564.856506541019</t>
  </si>
  <si>
    <t>-743.798793096571 21.3293937050225 -639.44393404343</t>
  </si>
  <si>
    <t>-779.644564880657 63.8763797620268 -510.667623207703</t>
  </si>
  <si>
    <t>-759.93756776151 198.729552519563 -492.673283176277</t>
  </si>
  <si>
    <t>-757.796521660721 284.263942292757 -211.123098096043</t>
  </si>
  <si>
    <t>-629.710371510506 80.7769709693707 -195.698320878538</t>
  </si>
  <si>
    <t>-785.420506818652 8.76629752821964 -509.844728816585</t>
  </si>
  <si>
    <t>-736.428217701909 140.371064931881 -57.126310343401</t>
  </si>
  <si>
    <t>-670.432134821505 310.872471037399 302.635512190121</t>
  </si>
  <si>
    <t>-732.117305617013 286.798304542917 745.742614418971</t>
  </si>
  <si>
    <t>-644.025882016857 402.56698842861 808.3911183236</t>
  </si>
  <si>
    <t>-697.287488911463 -3.4769317186624 338.273605871889</t>
  </si>
  <si>
    <t>-704.196998427332 74.6575152063501 779.100824329644</t>
  </si>
  <si>
    <t>-593.533226004446 -13.7564769860737 849.97974496785</t>
  </si>
  <si>
    <t>9763-20170724T111004.884212400.bin</t>
  </si>
  <si>
    <t>-721.354104694661 45.9693225587503 -58.9333999583376</t>
  </si>
  <si>
    <t>-765.800439206019 42.3398507310167 -165.833196781146</t>
  </si>
  <si>
    <t>-782.690513656539 41.0474502218976 -262.991336351293</t>
  </si>
  <si>
    <t>-789.783009179483 39.8732156819774 -351.79773521554</t>
  </si>
  <si>
    <t>-788.30540546863 38.2720558957385 -440.867880888533</t>
  </si>
  <si>
    <t>-777.287711115725 35.1917791431079 -564.924091827687</t>
  </si>
  <si>
    <t>-743.230275603084 21.4858606580542 -639.471162409666</t>
  </si>
  <si>
    <t>-779.244867769173 64.1016931273239 -510.760398706056</t>
  </si>
  <si>
    <t>-759.686970707309 198.963987000458 -492.698759024799</t>
  </si>
  <si>
    <t>-757.539155831973 284.292310973809 -211.086110434908</t>
  </si>
  <si>
    <t>-629.154897990085 80.977493092289 -195.87303069288</t>
  </si>
  <si>
    <t>-785.027511842743 8.99279243064939 -509.905654049484</t>
  </si>
  <si>
    <t>-736.457783508671 140.706237548028 -57.198643191528</t>
  </si>
  <si>
    <t>-670.356144164591 311.110339657375 302.589784737537</t>
  </si>
  <si>
    <t>-732.111675963826 286.831274600378 745.686295313464</t>
  </si>
  <si>
    <t>-643.822291550188 402.456339858398 808.3216517131</t>
  </si>
  <si>
    <t>-697.248674310378 -3.37578817295343 338.236119547406</t>
  </si>
  <si>
    <t>-704.216069716761 74.6326955778873 779.111328943396</t>
  </si>
  <si>
    <t>-593.536550047372 -13.7594769571415 849.992412104905</t>
  </si>
  <si>
    <t>9763-20170724T111004.916292100.bin</t>
  </si>
  <si>
    <t>-721.331981290138 46.2120581478625 -58.9822512154976</t>
  </si>
  <si>
    <t>-765.77201658486 42.5726930694332 -165.88447025566</t>
  </si>
  <si>
    <t>-782.636607386351 41.2713955468289 -263.046948526684</t>
  </si>
  <si>
    <t>-789.698136503483 40.0883951081519 -351.855559431689</t>
  </si>
  <si>
    <t>-788.182227041601 38.4772163566231 -440.924844118935</t>
  </si>
  <si>
    <t>-777.102531299503 35.3816522111706 -564.975150928234</t>
  </si>
  <si>
    <t>-743.006394138628 21.6779103146309 -639.50505544083</t>
  </si>
  <si>
    <t>-779.086666415703 64.2982724036201 -510.816176977767</t>
  </si>
  <si>
    <t>-759.608565871882 199.162552648848 -492.693150543954</t>
  </si>
  <si>
    <t>-757.360422760886 284.438436365502 -211.0653777643</t>
  </si>
  <si>
    <t>-628.86223044528 81.1878383635808 -195.957668930654</t>
  </si>
  <si>
    <t>-784.86942466416 9.18937273551273 -509.957396378506</t>
  </si>
  <si>
    <t>-736.39712659277 140.861979256714 -57.2602793012854</t>
  </si>
  <si>
    <t>-670.306374535063 311.20905715858 302.556923179255</t>
  </si>
  <si>
    <t>-732.080250131214 286.820342253485 745.652001734816</t>
  </si>
  <si>
    <t>-643.825685891652 402.477968115925 808.275496936824</t>
  </si>
  <si>
    <t>-697.263590771835 -3.29376250690257 338.220404233189</t>
  </si>
  <si>
    <t>-704.219034368396 74.6280085528942 779.117572014678</t>
  </si>
  <si>
    <t>-593.507654600216 -13.7267779259387 849.995649871028</t>
  </si>
  <si>
    <t>9763-20170724T111004.982977400.bin</t>
  </si>
  <si>
    <t>-721.317589072645 46.5878663721733 -59.0654203894469</t>
  </si>
  <si>
    <t>-765.765876945336 42.9432862741282 -165.9638637721</t>
  </si>
  <si>
    <t>-782.612351396464 41.6301746748841 -263.129374651122</t>
  </si>
  <si>
    <t>-789.646674768819 40.4326484792296 -351.940047760399</t>
  </si>
  <si>
    <t>-788.093351642858 38.8024618055056 -441.008343031077</t>
  </si>
  <si>
    <t>-776.951275207023 35.6755149311857 -565.052121679412</t>
  </si>
  <si>
    <t>-742.797179744658 21.9746249119125 -639.55601935268</t>
  </si>
  <si>
    <t>-778.951822196731 64.6047197503817 -510.900456707765</t>
  </si>
  <si>
    <t>-759.542756489213 199.465114854497 -492.646388601726</t>
  </si>
  <si>
    <t>-757.055628112684 284.538402982974 -210.959464000959</t>
  </si>
  <si>
    <t>-628.392904959582 81.3789338595166 -196.027483670309</t>
  </si>
  <si>
    <t>-784.756621353605 9.49836829187552 -510.032782014335</t>
  </si>
  <si>
    <t>-736.389221107038 141.100904870018 -57.3421405579429</t>
  </si>
  <si>
    <t>-670.100367036744 311.399329731569 302.461935515431</t>
  </si>
  <si>
    <t>-732.020136328988 286.793884150232 745.558590515551</t>
  </si>
  <si>
    <t>-643.796628302852 402.486408862689 808.161792506027</t>
  </si>
  <si>
    <t>-697.368013478949 -3.28625374527792 338.194485147081</t>
  </si>
  <si>
    <t>-704.300097070373 74.4245180112634 779.128373273653</t>
  </si>
  <si>
    <t>-593.449143411344 -13.7543224667252 850.007297697863</t>
  </si>
  <si>
    <t>9763-20170724T111005.017066300.bin</t>
  </si>
  <si>
    <t>-721.354220641938 46.7228629198321 -59.0847245889624</t>
  </si>
  <si>
    <t>-765.816882559817 43.0861214619204 -165.977420003784</t>
  </si>
  <si>
    <t>-782.654246274496 41.7688756955122 -263.144492303121</t>
  </si>
  <si>
    <t>-789.67160627435 40.5621539844606 -351.956388939962</t>
  </si>
  <si>
    <t>-788.093053833838 38.9163679560829 -441.023840978002</t>
  </si>
  <si>
    <t>-776.907617565869 35.7599826459464 -565.063162279331</t>
  </si>
  <si>
    <t>-742.735935743344 22.0606362036915 -639.559403826893</t>
  </si>
  <si>
    <t>-778.91336033622 64.7006911930994 -510.9178278247</t>
  </si>
  <si>
    <t>-759.494871823403 199.551533934154 -492.616449490917</t>
  </si>
  <si>
    <t>-756.915098573551 284.527866942931 -210.900949584014</t>
  </si>
  <si>
    <t>-628.226081674128 81.3814332463935 -196.015657636615</t>
  </si>
  <si>
    <t>-784.745826050871 9.59718999522784 -510.041558561345</t>
  </si>
  <si>
    <t>-736.402828733193 141.1712797703 -57.3573728229159</t>
  </si>
  <si>
    <t>-669.96268885169 311.47840607613 302.414630125985</t>
  </si>
  <si>
    <t>-731.985084791932 286.775309395692 745.500691850606</t>
  </si>
  <si>
    <t>-643.747798497256 402.462760925137 808.09399083879</t>
  </si>
  <si>
    <t>-697.409671667788 -3.2736182096678 338.191966891341</t>
  </si>
  <si>
    <t>-704.276314176279 74.4590403187058 779.13487797613</t>
  </si>
  <si>
    <t>-593.417935491425 -13.7105925945707 850.013856535328</t>
  </si>
  <si>
    <t>9763-20170724T111005.086793500.bin</t>
  </si>
  <si>
    <t>-721.438861525226 46.7956435922811 -59.1025429337026</t>
  </si>
  <si>
    <t>-765.881091456336 43.2294731435973 -166.006044496028</t>
  </si>
  <si>
    <t>-782.673012193136 41.9497172591264 -263.181484591855</t>
  </si>
  <si>
    <t>-789.639157963023 40.7681239110898 -351.997739118019</t>
  </si>
  <si>
    <t>-787.999101739602 39.1382444663946 -441.064551855214</t>
  </si>
  <si>
    <t>-776.71859775403 35.9945449132515 -565.095408810631</t>
  </si>
  <si>
    <t>-742.527927927957 22.3192171029764 -639.58715767935</t>
  </si>
  <si>
    <t>-778.739037385856 64.9268777993584 -510.946057451618</t>
  </si>
  <si>
    <t>-759.257837170256 199.754790110844 -492.540623935262</t>
  </si>
  <si>
    <t>-756.516558184091 284.61133288096 -210.790577841584</t>
  </si>
  <si>
    <t>-627.863397921054 81.4383198962223 -195.960198354382</t>
  </si>
  <si>
    <t>-784.626181885212 9.82896869452088 -510.084997272496</t>
  </si>
  <si>
    <t>-736.301665096845 141.220749922745 -57.3723786237624</t>
  </si>
  <si>
    <t>-669.621963814842 311.569422897664 302.335563142032</t>
  </si>
  <si>
    <t>-731.887496605328 286.726800864806 745.374162021246</t>
  </si>
  <si>
    <t>-643.497785914023 402.30507668545 807.954391835689</t>
  </si>
  <si>
    <t>-697.596121318218 -3.29006823214104 338.177990507086</t>
  </si>
  <si>
    <t>-704.331063886487 74.2966520065029 779.141870226336</t>
  </si>
  <si>
    <t>-593.331935045887 -13.6915135563459 850.025841621968</t>
  </si>
  <si>
    <t>9763-20170724T111005.115865000.bin</t>
  </si>
  <si>
    <t>-721.386570643077 46.7562119915438 -59.1211848529799</t>
  </si>
  <si>
    <t>-765.839717521857 43.2285094396129 -166.021639692077</t>
  </si>
  <si>
    <t>-782.620588211604 41.9716529333814 -263.199246739806</t>
  </si>
  <si>
    <t>-789.568889992509 40.8070289517545 -352.017027763419</t>
  </si>
  <si>
    <t>-787.903475642169 39.1901131296404 -441.083576873074</t>
  </si>
  <si>
    <t>-776.579718963225 36.0605223093903 -565.110913639008</t>
  </si>
  <si>
    <t>-742.381370743874 22.3965009285862 -639.60125192613</t>
  </si>
  <si>
    <t>-778.605213675634 64.9852383811813 -510.957778627281</t>
  </si>
  <si>
    <t>-759.077241826553 199.800824648075 -492.502973340779</t>
  </si>
  <si>
    <t>-756.220952122989 284.571834995406 -210.728344659981</t>
  </si>
  <si>
    <t>-627.630300547778 81.3553067916446 -195.950555451611</t>
  </si>
  <si>
    <t>-784.520160977591 9.89026190993991 -510.107670113837</t>
  </si>
  <si>
    <t>-736.177472445947 141.201806648213 -57.3828535580992</t>
  </si>
  <si>
    <t>-669.456428805318 311.589595038341 302.298863383786</t>
  </si>
  <si>
    <t>-731.837079307056 286.715244002428 745.314333304738</t>
  </si>
  <si>
    <t>-643.43975836613 402.287820806306 807.893176330569</t>
  </si>
  <si>
    <t>-697.546106968769 -3.28698335537774 338.166576352215</t>
  </si>
  <si>
    <t>-704.287227646658 74.3843776465455 779.13388238112</t>
  </si>
  <si>
    <t>-593.418389440544 -13.7559043307751 850.033151095103</t>
  </si>
  <si>
    <t>9763-20170724T111005.182083400.bin</t>
  </si>
  <si>
    <t>-721.220158127439 46.4852901823338 -59.1291218727958</t>
  </si>
  <si>
    <t>-765.735468122331 43.0082121908099 -166.005364924974</t>
  </si>
  <si>
    <t>-782.539336971508 41.7977778284799 -263.179514010978</t>
  </si>
  <si>
    <t>-789.494751191469 40.6750865644635 -351.997337091466</t>
  </si>
  <si>
    <t>-787.822820242884 39.0991090323855 -441.064502395308</t>
  </si>
  <si>
    <t>-776.475454769464 36.0238968240446 -565.091181446124</t>
  </si>
  <si>
    <t>-742.278044177309 22.3643563361684 -639.582573807974</t>
  </si>
  <si>
    <t>-778.481055220176 64.9215512685578 -510.922686129181</t>
  </si>
  <si>
    <t>-758.824606426409 199.701371092951 -492.340274442971</t>
  </si>
  <si>
    <t>-755.565909815724 284.335479385343 -210.528836304503</t>
  </si>
  <si>
    <t>-627.27308138087 80.9228336719716 -195.861088445114</t>
  </si>
  <si>
    <t>-784.457030996337 9.8327221945965 -510.103584114112</t>
  </si>
  <si>
    <t>-735.894587201212 141.020118468224 -57.404186410946</t>
  </si>
  <si>
    <t>-669.192879200987 311.418853122826 302.275922954542</t>
  </si>
  <si>
    <t>-731.727222074386 286.64752680399 745.246567009942</t>
  </si>
  <si>
    <t>-643.547134756527 402.387277247144 807.822864035926</t>
  </si>
  <si>
    <t>-697.430970363182 -3.49061614642687 338.145714982445</t>
  </si>
  <si>
    <t>-704.304671143745 74.2968848493006 779.107289041363</t>
  </si>
  <si>
    <t>-593.253368921213 -13.6092307092295 850.011725489995</t>
  </si>
  <si>
    <t>9763-20170724T111005.221187600.bin</t>
  </si>
  <si>
    <t>-721.10616057234 46.4686900795937 -59.1356934230326</t>
  </si>
  <si>
    <t>-765.6637245428 43.0128273311097 -165.99491110509</t>
  </si>
  <si>
    <t>-782.491823001236 41.8289460645292 -263.165196333361</t>
  </si>
  <si>
    <t>-789.46348789863 40.7325506342172 -351.982116064919</t>
  </si>
  <si>
    <t>-787.801866857013 39.1838367465466 -441.049831043048</t>
  </si>
  <si>
    <t>-776.462511295827 36.1470394832672 -565.078267631605</t>
  </si>
  <si>
    <t>-742.271797202175 22.4917366646891 -639.573439249144</t>
  </si>
  <si>
    <t>-778.449959943936 65.0263799664972 -510.899329738616</t>
  </si>
  <si>
    <t>-758.735500655874 199.786477946929 -492.246498926476</t>
  </si>
  <si>
    <t>-755.263510936415 284.361160829225 -210.419803550643</t>
  </si>
  <si>
    <t>-627.116517879781 80.8503841085067 -195.840598638635</t>
  </si>
  <si>
    <t>-784.455008068692 9.94037195405554 -510.099684985547</t>
  </si>
  <si>
    <t>-735.774827621929 141.002601036114 -57.396824982692</t>
  </si>
  <si>
    <t>-669.084795977515 311.420700240131 302.276255326196</t>
  </si>
  <si>
    <t>-731.699397107469 286.641379423641 745.230304163822</t>
  </si>
  <si>
    <t>-643.40055425341 402.296242532075 807.797150994863</t>
  </si>
  <si>
    <t>-697.34219271185 -3.4670134543494 338.127313848019</t>
  </si>
  <si>
    <t>-704.24346622332 74.4285580144756 779.091023652884</t>
  </si>
  <si>
    <t>-593.475951030344 -13.8198341316306 850.014123410743</t>
  </si>
  <si>
    <t>9763-20170724T111005.285367500.bin</t>
  </si>
  <si>
    <t>-720.974415897919 46.3452966243995 -59.1069836746383</t>
  </si>
  <si>
    <t>-765.586832338847 42.9280937790472 -165.944702014262</t>
  </si>
  <si>
    <t>-782.464994316194 41.7958912991103 -263.106924260418</t>
  </si>
  <si>
    <t>-789.48182105705 40.7527571469259 -351.920878165005</t>
  </si>
  <si>
    <t>-787.864514545858 39.262483017983 -440.990548406704</t>
  </si>
  <si>
    <t>-776.585741834254 36.3123308741065 -565.026436329482</t>
  </si>
  <si>
    <t>-742.422521786963 22.673177322823 -639.537169389129</t>
  </si>
  <si>
    <t>-778.527337760321 65.1516999925366 -510.824666072541</t>
  </si>
  <si>
    <t>-758.733138736321 199.879636725976 -492.021598713333</t>
  </si>
  <si>
    <t>-754.916321679887 284.214989286739 -210.127556820411</t>
  </si>
  <si>
    <t>-626.830445145779 80.6482476624883 -195.791778241258</t>
  </si>
  <si>
    <t>-784.570846004168 10.0693850215175 -510.064087365374</t>
  </si>
  <si>
    <t>-735.580035356336 140.907772384769 -57.3437081141047</t>
  </si>
  <si>
    <t>-668.857558376614 311.430576860992 302.273816485948</t>
  </si>
  <si>
    <t>-731.626651133176 286.605398048979 745.192223002277</t>
  </si>
  <si>
    <t>-643.384479977781 402.310182831518 807.746700728314</t>
  </si>
  <si>
    <t>-697.369465691893 -3.59380150229617 338.12653585344</t>
  </si>
  <si>
    <t>-704.302331216259 74.259855195291 779.08140703443</t>
  </si>
  <si>
    <t>-593.371677573345 -13.7891226931633 849.997513897155</t>
  </si>
  <si>
    <t>9763-20170724T111005.317450700.bin</t>
  </si>
  <si>
    <t>-720.910139663567 46.3389466276381 -59.0849438491698</t>
  </si>
  <si>
    <t>-765.540350583074 42.9466383510949 -165.915867082614</t>
  </si>
  <si>
    <t>-782.440269732067 41.8437979510531 -263.074746981102</t>
  </si>
  <si>
    <t>-789.478861841478 40.8305854027176 -351.887326809356</t>
  </si>
  <si>
    <t>-787.885493825079 39.3738185069124 -440.957956015442</t>
  </si>
  <si>
    <t>-776.641821313505 36.4743781841103 -564.998253959344</t>
  </si>
  <si>
    <t>-742.490321811854 22.8547844097257 -639.517974195966</t>
  </si>
  <si>
    <t>-778.563407105608 65.2911433287918 -510.783679890378</t>
  </si>
  <si>
    <t>-758.754830474861 200.005769441681 -491.905282022559</t>
  </si>
  <si>
    <t>-754.827622027874 284.160855601001 -209.959014147821</t>
  </si>
  <si>
    <t>-626.667550611623 80.6304314350709 -195.774309550821</t>
  </si>
  <si>
    <t>-784.6159019462 10.2094798718604 -510.044795682763</t>
  </si>
  <si>
    <t>-735.481874050269 140.898813452466 -57.3171682937957</t>
  </si>
  <si>
    <t>-668.768894341062 311.458202554774 302.28488895166</t>
  </si>
  <si>
    <t>-731.61697433969 286.619392254244 745.182677471402</t>
  </si>
  <si>
    <t>-643.387943322846 402.340128909017 807.725770442415</t>
  </si>
  <si>
    <t>-697.398204218761 -3.56590796717092 338.127286740132</t>
  </si>
  <si>
    <t>-704.273227813325 74.3216569514175 779.077293017284</t>
  </si>
  <si>
    <t>-593.490807518174 -13.9060528566592 850.002791943105</t>
  </si>
  <si>
    <t>9763-20170724T111005.382158800.bin</t>
  </si>
  <si>
    <t>-720.826254525072 46.4135265289806 -59.0703910403619</t>
  </si>
  <si>
    <t>-765.498483240587 43.0561324204177 -165.885059211395</t>
  </si>
  <si>
    <t>-782.433033164521 42.00546230177 -263.038382283081</t>
  </si>
  <si>
    <t>-789.501731720691 41.0491466871449 -351.849099836218</t>
  </si>
  <si>
    <t>-787.936140291144 39.6590114934802 -440.921362535552</t>
  </si>
  <si>
    <t>-776.727730272272 36.8631588207345 -564.967111282889</t>
  </si>
  <si>
    <t>-742.585921568145 23.3015267242827 -639.502080885797</t>
  </si>
  <si>
    <t>-778.640956130839 65.6353419562997 -510.728648746559</t>
  </si>
  <si>
    <t>-758.85632123417 200.33353713705 -491.705694680557</t>
  </si>
  <si>
    <t>-754.733703764508 284.148837781032 -209.660948127504</t>
  </si>
  <si>
    <t>-626.373516744166 80.7259178055228 -195.744029268452</t>
  </si>
  <si>
    <t>-784.678860610704 10.551530282577 -510.032740962887</t>
  </si>
  <si>
    <t>-735.381351455824 140.944864508918 -57.2809965029495</t>
  </si>
  <si>
    <t>-668.656486737725 311.544209391277 302.299815603868</t>
  </si>
  <si>
    <t>-731.592343599561 286.636466783089 745.178162184736</t>
  </si>
  <si>
    <t>-643.257915394268 402.289213772588 807.698358207145</t>
  </si>
  <si>
    <t>-697.393638249598 -3.62089218915162 338.134334175546</t>
  </si>
  <si>
    <t>-704.292269388573 74.2582910636747 779.078566010423</t>
  </si>
  <si>
    <t>-593.411765024994 -13.851425728391 849.997537622067</t>
  </si>
  <si>
    <t>9763-20170724T111005.416248800.bin</t>
  </si>
  <si>
    <t>-720.779775311233 46.3918549360865 -59.0579850698068</t>
  </si>
  <si>
    <t>-765.469324839348 43.0518210313476 -165.865935117583</t>
  </si>
  <si>
    <t>-782.408963961185 42.0262146424398 -263.018592590548</t>
  </si>
  <si>
    <t>-789.477187797031 41.0969593769437 -351.829742972042</t>
  </si>
  <si>
    <t>-787.906170149162 39.7391679772468 -440.902251773235</t>
  </si>
  <si>
    <t>-776.684835843661 36.9941879636467 -564.948105685839</t>
  </si>
  <si>
    <t>-742.542925796894 23.4689325258437 -639.489587197641</t>
  </si>
  <si>
    <t>-778.614788471242 65.7453693336888 -510.699138026141</t>
  </si>
  <si>
    <t>-758.866787362356 200.445352132323 -491.623020532003</t>
  </si>
  <si>
    <t>-754.664689183153 284.143294632764 -209.544708623296</t>
  </si>
  <si>
    <t>-626.204673728025 80.7745802992567 -195.755026817474</t>
  </si>
  <si>
    <t>-784.630811395309 10.658930374731 -510.024334953945</t>
  </si>
  <si>
    <t>-735.310652829951 140.929482540009 -57.256455887642</t>
  </si>
  <si>
    <t>-668.571464189894 311.565867717337 302.304013390983</t>
  </si>
  <si>
    <t>-731.553366198202 286.617113633581 745.1679029032</t>
  </si>
  <si>
    <t>-643.339271051793 402.361979611894 807.687252302844</t>
  </si>
  <si>
    <t>-697.35278992522 -3.61944507414501 338.132932597225</t>
  </si>
  <si>
    <t>-704.270220143614 74.2982401971422 779.075506861325</t>
  </si>
  <si>
    <t>-593.412993527123 -13.8388144376472 849.996579683309</t>
  </si>
  <si>
    <t>9763-20170724T111005.486944700.bin</t>
  </si>
  <si>
    <t>-720.675430225191 46.3677538934176 -59.0553002715253</t>
  </si>
  <si>
    <t>-765.414095657695 43.0268938848294 -165.842453660136</t>
  </si>
  <si>
    <t>-782.365801020876 42.0249826161785 -262.993435241473</t>
  </si>
  <si>
    <t>-789.43109950166 41.1276971495927 -351.805101751902</t>
  </si>
  <si>
    <t>-787.842353593046 39.8124409945453 -440.878046589927</t>
  </si>
  <si>
    <t>-776.580726262158 37.1385157346967 -564.921789253969</t>
  </si>
  <si>
    <t>-742.438569351644 23.6917455266748 -639.477413505154</t>
  </si>
  <si>
    <t>-778.554051301767 65.8614702289478 -510.659376307886</t>
  </si>
  <si>
    <t>-758.916100759473 200.561979185027 -491.496587393272</t>
  </si>
  <si>
    <t>-754.686048443374 284.085320221814 -209.3669726693</t>
  </si>
  <si>
    <t>-625.915449337499 80.898361571155 -195.800899358356</t>
  </si>
  <si>
    <t>-784.518577017207 10.7690255225625 -510.013105917147</t>
  </si>
  <si>
    <t>-735.260600805964 140.935985560697 -57.2243361296449</t>
  </si>
  <si>
    <t>-668.501890215711 311.656841203946 302.292458205179</t>
  </si>
  <si>
    <t>-731.498578146604 286.603151054429 745.151736318135</t>
  </si>
  <si>
    <t>-643.274707954108 402.342311916831 807.668348168863</t>
  </si>
  <si>
    <t>-697.273610728459 -3.71143196395815 338.124714069696</t>
  </si>
  <si>
    <t>-704.289131485915 74.2059430285303 779.056252603776</t>
  </si>
  <si>
    <t>-593.421359451726 -13.9072402754891 849.990635023086</t>
  </si>
  <si>
    <t>9763-20170724T111005.514016100.bin</t>
  </si>
  <si>
    <t>-720.637603190662 46.4107449684448 -59.0694009399685</t>
  </si>
  <si>
    <t>-765.398245617415 43.0493828631311 -165.846733215467</t>
  </si>
  <si>
    <t>-782.36361493171 42.0499920772268 -262.995343976503</t>
  </si>
  <si>
    <t>-789.438433070124 41.1628699287317 -351.806315049717</t>
  </si>
  <si>
    <t>-787.855260031566 39.8657018877043 -440.879628909752</t>
  </si>
  <si>
    <t>-776.597686131989 37.2252836484895 -564.924292279413</t>
  </si>
  <si>
    <t>-742.455982537407 23.8260501520176 -639.488636398381</t>
  </si>
  <si>
    <t>-778.58535880805 65.9352290218785 -510.655562257907</t>
  </si>
  <si>
    <t>-759.00702703878 200.641368342445 -491.47127857987</t>
  </si>
  <si>
    <t>-754.810618498873 284.055323124201 -209.308616602441</t>
  </si>
  <si>
    <t>-625.878892359596 80.9664676614534 -195.798952123144</t>
  </si>
  <si>
    <t>-784.517727392495 10.8392752273521 -510.021203975544</t>
  </si>
  <si>
    <t>-735.251924242574 140.980838876279 -57.2309269778164</t>
  </si>
  <si>
    <t>-668.519891478046 311.734225081314 302.275375642773</t>
  </si>
  <si>
    <t>-731.4716327191 286.593579226455 745.141574680403</t>
  </si>
  <si>
    <t>-643.271443847126 402.349598333152 807.659568463013</t>
  </si>
  <si>
    <t>-697.176526640797 -3.67110986091666 338.110440685913</t>
  </si>
  <si>
    <t>-704.226223923084 74.3110107252382 779.038041959836</t>
  </si>
  <si>
    <t>-593.41152246941 -13.8551001333444 849.98983934342</t>
  </si>
  <si>
    <t>9763-20170724T111005.585229300.bin</t>
  </si>
  <si>
    <t>-720.500714382647 46.3373927254456 -59.0585870130913</t>
  </si>
  <si>
    <t>-765.293815093182 42.9386628809762 -165.821166046348</t>
  </si>
  <si>
    <t>-782.277097897851 41.9259203175661 -262.966381296162</t>
  </si>
  <si>
    <t>-789.362900193076 41.034259264281 -351.776613388741</t>
  </si>
  <si>
    <t>-787.785167172364 39.7416735641427 -440.850093388437</t>
  </si>
  <si>
    <t>-776.527988049472 37.1171137512633 -564.895130102766</t>
  </si>
  <si>
    <t>-742.369139572393 23.801029795356 -639.466501691683</t>
  </si>
  <si>
    <t>-778.554245682444 65.8241243287762 -510.626324175204</t>
  </si>
  <si>
    <t>-759.147216903057 200.559374802304 -491.431878167446</t>
  </si>
  <si>
    <t>-754.992705721502 283.816058530004 -209.222371265411</t>
  </si>
  <si>
    <t>-625.770074551806 80.9122214905351 -195.71724739978</t>
  </si>
  <si>
    <t>-784.409120156885 10.7199089369278 -509.991661878537</t>
  </si>
  <si>
    <t>-735.208633083193 141.005585227452 -57.2286452694129</t>
  </si>
  <si>
    <t>-668.552491642724 311.808421405567 302.268288966611</t>
  </si>
  <si>
    <t>-731.428325551921 286.581126344061 745.130071660381</t>
  </si>
  <si>
    <t>-643.318198710292 402.400567940981 807.658316103942</t>
  </si>
  <si>
    <t>-696.927476135543 -3.76071340736689 338.098671874616</t>
  </si>
  <si>
    <t>-704.27208792668 74.1592376803424 779.021517430459</t>
  </si>
  <si>
    <t>-593.320925769577 -13.8322618030893 849.976880004359</t>
  </si>
  <si>
    <t>9763-20170724T111005.623330300.bin</t>
  </si>
  <si>
    <t>-720.382018830837 46.3610583491868 -59.0479174336903</t>
  </si>
  <si>
    <t>-765.189143577138 42.9289376076786 -165.803448772533</t>
  </si>
  <si>
    <t>-782.156438799057 41.905090538728 -262.951395205809</t>
  </si>
  <si>
    <t>-789.214914013313 41.0099383935376 -351.763596579468</t>
  </si>
  <si>
    <t>-787.59685454382 39.7202602942025 -440.836357405255</t>
  </si>
  <si>
    <t>-776.269686916404 37.1063735250073 -564.875547562687</t>
  </si>
  <si>
    <t>-742.082789523972 23.8191511398177 -639.439073694345</t>
  </si>
  <si>
    <t>-778.351896334002 65.81140090197 -510.607670474697</t>
  </si>
  <si>
    <t>-759.053612628353 200.554758921432 -491.415365082243</t>
  </si>
  <si>
    <t>-754.945552093789 283.799703137755 -209.201749231337</t>
  </si>
  <si>
    <t>-625.586932740305 80.9839855913942 -195.676404103465</t>
  </si>
  <si>
    <t>-784.156609254694 10.7017651331289 -509.976461341</t>
  </si>
  <si>
    <t>-735.138561317962 141.056046214891 -57.2214514912415</t>
  </si>
  <si>
    <t>-668.521692760579 311.857582842107 302.283362362919</t>
  </si>
  <si>
    <t>-731.428395519675 286.602718896669 745.129653891937</t>
  </si>
  <si>
    <t>-643.392758562422 402.475819480646 807.663627965748</t>
  </si>
  <si>
    <t>-696.744545381981 -3.7452031545763 338.101675674231</t>
  </si>
  <si>
    <t>-704.277971992136 74.1319036589739 779.014967812588</t>
  </si>
  <si>
    <t>-593.404195204207 -13.9529244909972 849.975358599371</t>
  </si>
  <si>
    <t>9763-20170724T111005.685501700.bin</t>
  </si>
  <si>
    <t>-720.190412720326 46.4565480483957 -59.0460085261067</t>
  </si>
  <si>
    <t>-764.987714587729 42.9872947805184 -165.80458095804</t>
  </si>
  <si>
    <t>-781.898116380651 41.9389075720369 -262.962102447397</t>
  </si>
  <si>
    <t>-788.885298783821 41.0244115596552 -351.779743814477</t>
  </si>
  <si>
    <t>-787.175700623068 39.7191137610471 -440.850679033546</t>
  </si>
  <si>
    <t>-775.70033768412 37.0875446274231 -564.87567775711</t>
  </si>
  <si>
    <t>-741.467009716265 23.7763234116019 -639.413604931079</t>
  </si>
  <si>
    <t>-777.893842254353 65.8051000723253 -510.618879317639</t>
  </si>
  <si>
    <t>-758.823516965715 200.587627048136 -491.445711462025</t>
  </si>
  <si>
    <t>-754.897225147166 283.854840727939 -209.235940120195</t>
  </si>
  <si>
    <t>-625.211945717891 81.2503430215934 -195.669740501671</t>
  </si>
  <si>
    <t>-783.6063858833 10.6860184688826 -509.977831191963</t>
  </si>
  <si>
    <t>-735.033653591361 141.198476434326 -57.2251731902173</t>
  </si>
  <si>
    <t>-668.364882070928 311.942367729166 302.297378197581</t>
  </si>
  <si>
    <t>-731.373397685079 286.584445384025 745.118060100868</t>
  </si>
  <si>
    <t>-643.34415192786 402.452791329336 807.670124201745</t>
  </si>
  <si>
    <t>-696.376603414665 -3.69284846142637 338.110022110298</t>
  </si>
  <si>
    <t>-704.252291229335 74.2004882080478 779.013136886382</t>
  </si>
  <si>
    <t>-593.327424725886 -13.8295981616757 849.961351335113</t>
  </si>
  <si>
    <t>9763-20170724T111005.717586700.bin</t>
  </si>
  <si>
    <t>-720.092100932519 46.6061769542316 -59.0746004388667</t>
  </si>
  <si>
    <t>-764.880549690199 43.1046856705393 -165.835749748329</t>
  </si>
  <si>
    <t>-781.771695838555 42.031358569955 -262.996511949995</t>
  </si>
  <si>
    <t>-788.736208788581 41.0960513427872 -351.815659207882</t>
  </si>
  <si>
    <t>-786.999678793804 39.7725318682838 -440.885746667919</t>
  </si>
  <si>
    <t>-775.481239131796 37.1185457481356 -564.90632737984</t>
  </si>
  <si>
    <t>-741.249203273282 23.7231833879928 -639.429815036456</t>
  </si>
  <si>
    <t>-777.716747584425 65.8483660360293 -510.657768581766</t>
  </si>
  <si>
    <t>-758.756554462235 200.650806463264 -491.51276130571</t>
  </si>
  <si>
    <t>-754.93245404317 283.911276415511 -209.299621057481</t>
  </si>
  <si>
    <t>-625.108437677136 81.3982071272585 -195.699203988671</t>
  </si>
  <si>
    <t>-783.382966739015 10.7245594938122 -510.004417330838</t>
  </si>
  <si>
    <t>-734.963382207128 141.325176864013 -57.2644436830717</t>
  </si>
  <si>
    <t>-668.324488828453 311.957079527176 302.316806041293</t>
  </si>
  <si>
    <t>-731.356281267246 286.588196284701 745.119592612907</t>
  </si>
  <si>
    <t>-643.332605186623 402.455623707213 807.680598253626</t>
  </si>
  <si>
    <t>-696.242660106522 -3.61308591203851 338.10052336246</t>
  </si>
  <si>
    <t>-704.23074367095 74.2587567204087 779.013970209534</t>
  </si>
  <si>
    <t>-593.378774398821 -13.8653027175824 849.960000541187</t>
  </si>
  <si>
    <t>9763-20170724T111005.781297200.bin</t>
  </si>
  <si>
    <t>-719.919131280213 46.9456007965232 -59.1481883731972</t>
  </si>
  <si>
    <t>-764.669359176522 43.3951411982994 -165.923772985326</t>
  </si>
  <si>
    <t>-781.52658192909 42.2871411894284 -263.090005721024</t>
  </si>
  <si>
    <t>-788.460002693342 41.3246476526674 -351.911408456537</t>
  </si>
  <si>
    <t>-786.691956368001 39.9796323446976 -440.980606240644</t>
  </si>
  <si>
    <t>-775.129297136533 37.3022670960177 -564.996418843321</t>
  </si>
  <si>
    <t>-740.990197224712 23.539302944358 -639.495589183015</t>
  </si>
  <si>
    <t>-777.422154892151 66.04606969217 -510.757682486453</t>
  </si>
  <si>
    <t>-758.660568461656 200.874280862156 -491.616627738636</t>
  </si>
  <si>
    <t>-754.954788310905 284.191420559971 -209.418697150924</t>
  </si>
  <si>
    <t>-624.80669706539 81.8830328530312 -195.867100977963</t>
  </si>
  <si>
    <t>-783.012751335636 10.914858677309 -510.088710109346</t>
  </si>
  <si>
    <t>-734.80891882391 141.579353418417 -57.3626724679177</t>
  </si>
  <si>
    <t>-668.193129628521 311.957354352669 302.343243330748</t>
  </si>
  <si>
    <t>-731.327234728722 286.587359839102 745.139720142235</t>
  </si>
  <si>
    <t>-643.232711310436 402.404398182618 807.693737795508</t>
  </si>
  <si>
    <t>-696.076872764879 -3.53307815187372 338.080620151</t>
  </si>
  <si>
    <t>-704.245429605505 74.2288280541652 779.024018676942</t>
  </si>
  <si>
    <t>-593.35388658366 -13.861162719908 849.95020606224</t>
  </si>
  <si>
    <t>9763-20170724T111005.820401400.bin</t>
  </si>
  <si>
    <t>-719.859924836326 47.2139146657182 -59.1957220250914</t>
  </si>
  <si>
    <t>-764.59031368427 43.6470462464931 -165.978991247336</t>
  </si>
  <si>
    <t>-781.429109598715 42.5352980801608 -263.148342165952</t>
  </si>
  <si>
    <t>-788.345574153815 41.5734234169031 -351.971085588433</t>
  </si>
  <si>
    <t>-786.559335355988 40.2334920024764 -441.039943541207</t>
  </si>
  <si>
    <t>-774.970553903806 37.5688165650004 -565.053801995111</t>
  </si>
  <si>
    <t>-740.893759903496 23.5540917106887 -639.534508142044</t>
  </si>
  <si>
    <t>-777.29076852583 66.3087248986435 -510.814014654037</t>
  </si>
  <si>
    <t>-758.586034640315 201.142140625858 -491.648130334313</t>
  </si>
  <si>
    <t>-754.941718410655 284.408856152777 -209.434358601586</t>
  </si>
  <si>
    <t>-624.594621906379 82.2207158151627 -196.001026356599</t>
  </si>
  <si>
    <t>-782.849674735558 11.174034039841 -510.148752647028</t>
  </si>
  <si>
    <t>-734.819275045206 141.786143755201 -57.3942386587941</t>
  </si>
  <si>
    <t>-668.12787090311 312.054648771269 302.349461981166</t>
  </si>
  <si>
    <t>-731.390910607046 286.7057118194 745.136207554163</t>
  </si>
  <si>
    <t>-642.978111161715 402.287000078979 807.677413619523</t>
  </si>
  <si>
    <t>-696.091276255762 -3.54249256354115 338.070418057465</t>
  </si>
  <si>
    <t>-704.290580646654 74.1248412786431 779.033885063351</t>
  </si>
  <si>
    <t>-593.273474759974 -13.8195814902756 849.944023469922</t>
  </si>
  <si>
    <t>9763-20170724T111005.884681100.bin</t>
  </si>
  <si>
    <t>-719.917597127272 47.6206567156328 -59.2610003365058</t>
  </si>
  <si>
    <t>-764.581882305768 44.0798360581662 -166.07293440193</t>
  </si>
  <si>
    <t>-781.355268093695 42.9852370257704 -263.253664422829</t>
  </si>
  <si>
    <t>-788.210314063084 42.0377720268216 -352.081349357672</t>
  </si>
  <si>
    <t>-786.360573114642 40.7114768707493 -441.149093689237</t>
  </si>
  <si>
    <t>-774.681769445914 38.0656209621307 -565.154827777292</t>
  </si>
  <si>
    <t>-740.759697111562 23.4561708828974 -639.59190586749</t>
  </si>
  <si>
    <t>-777.054672919124 66.7986221182491 -510.913763824776</t>
  </si>
  <si>
    <t>-758.42152373927 201.631280960946 -491.689767253593</t>
  </si>
  <si>
    <t>-755.017258353781 284.654810466781 -209.401313350451</t>
  </si>
  <si>
    <t>-624.240344409458 82.7235179056938 -196.284337710643</t>
  </si>
  <si>
    <t>-782.587392307267 11.6614363713852 -510.25839735022</t>
  </si>
  <si>
    <t>-734.897082614008 141.958935521212 -57.4406396734029</t>
  </si>
  <si>
    <t>-667.936826120695 312.062502264122 302.331048562669</t>
  </si>
  <si>
    <t>-731.302304731158 286.637977580393 745.124593405983</t>
  </si>
  <si>
    <t>-642.968162322735 402.28632591887 807.653264750513</t>
  </si>
  <si>
    <t>-696.214647763036 -3.5075846607665 338.053411440542</t>
  </si>
  <si>
    <t>-704.290384619792 74.1033045414993 779.045560639987</t>
  </si>
  <si>
    <t>-593.237054149485 -13.8006998936221 849.949279046293</t>
  </si>
  <si>
    <t>9763-20170724T111005.915763600.bin</t>
  </si>
  <si>
    <t>-719.969024992409 47.5869809750916 -59.2558765066996</t>
  </si>
  <si>
    <t>-764.607472313766 44.0963947149967 -166.080264051149</t>
  </si>
  <si>
    <t>-781.334502379437 43.026308368298 -263.2694435036</t>
  </si>
  <si>
    <t>-788.138051628056 42.0943819526178 -352.101139909873</t>
  </si>
  <si>
    <t>-786.228931357199 40.7773414153285 -441.167886136397</t>
  </si>
  <si>
    <t>-774.458637811071 38.137780034936 -565.164997017118</t>
  </si>
  <si>
    <t>-740.61021148001 23.2255111232112 -639.57573698306</t>
  </si>
  <si>
    <t>-776.868916457587 66.8677223690597 -510.924018584789</t>
  </si>
  <si>
    <t>-758.230806900583 201.697466741814 -491.659315685754</t>
  </si>
  <si>
    <t>-755.047838093335 284.593528368824 -209.330938244311</t>
  </si>
  <si>
    <t>-624.106010434096 82.7584288262174 -196.378343084066</t>
  </si>
  <si>
    <t>-782.407496668471 11.7307874218791 -510.276028672997</t>
  </si>
  <si>
    <t>-734.853952851856 141.920550693804 -57.4233712266732</t>
  </si>
  <si>
    <t>-667.845652592201 312.028151575916 302.33755944379</t>
  </si>
  <si>
    <t>-731.272746218797 286.634979143666 745.121793403089</t>
  </si>
  <si>
    <t>-642.93590092757 402.283664897499 807.645734453752</t>
  </si>
  <si>
    <t>-696.294954620651 -3.54445750167315 338.048381755523</t>
  </si>
  <si>
    <t>-704.337943743967 73.9842795006311 779.057680460081</t>
  </si>
  <si>
    <t>-593.220491702564 -13.8451731483538 849.953308257273</t>
  </si>
  <si>
    <t>9763-20170724T111005.987962000.bin</t>
  </si>
  <si>
    <t>-720.007985619627 47.3654155848972 -59.2159951322539</t>
  </si>
  <si>
    <t>-764.617525202439 43.9877393019401 -166.056245100848</t>
  </si>
  <si>
    <t>-781.249050709854 42.9626051574555 -263.262077217358</t>
  </si>
  <si>
    <t>-787.939809462687 42.0494768467288 -352.10257222783</t>
  </si>
  <si>
    <t>-785.892349257404 40.7278158652653 -441.166097823766</t>
  </si>
  <si>
    <t>-773.904534192974 38.0569285603906 -565.141820862549</t>
  </si>
  <si>
    <t>-740.173638507179 22.5967451237834 -639.493903164782</t>
  </si>
  <si>
    <t>-776.369575384012 66.796490561017 -510.908327315453</t>
  </si>
  <si>
    <t>-757.547821555345 201.595585432341 -491.616792991985</t>
  </si>
  <si>
    <t>-754.788103765638 284.364306759607 -209.246569947061</t>
  </si>
  <si>
    <t>-623.918965570594 82.4733639865808 -196.433145717646</t>
  </si>
  <si>
    <t>-781.989674494178 11.6679938161578 -510.264170527943</t>
  </si>
  <si>
    <t>-734.738595378969 141.696691091508 -57.3414198124459</t>
  </si>
  <si>
    <t>-667.558397628562 311.859561270388 302.361388817013</t>
  </si>
  <si>
    <t>-731.205545917781 286.618639363482 745.11717143532</t>
  </si>
  <si>
    <t>-642.965903382548 402.343363814301 807.638426014376</t>
  </si>
  <si>
    <t>-696.418197264878 -3.66543920519416 338.056619038106</t>
  </si>
  <si>
    <t>-704.319842201911 74.0187257926164 779.06333172628</t>
  </si>
  <si>
    <t>-593.32360534547 -13.9667114817103 849.955691708206</t>
  </si>
  <si>
    <t>9763-20170724T111006.016044400.bin</t>
  </si>
  <si>
    <t>-720.045545316646 47.2610462272978 -59.2017494188236</t>
  </si>
  <si>
    <t>-764.637498214951 43.9308451522988 -166.050615029108</t>
  </si>
  <si>
    <t>-781.226344508868 42.9226330296851 -263.264094081376</t>
  </si>
  <si>
    <t>-787.867924369009 42.0139925926169 -352.108249800445</t>
  </si>
  <si>
    <t>-785.761538468136 40.684586111322 -441.170346430126</t>
  </si>
  <si>
    <t>-773.682314966384 37.9893477556134 -565.136573108563</t>
  </si>
  <si>
    <t>-740.003415715919 22.2829087192176 -639.460666993333</t>
  </si>
  <si>
    <t>-776.15777689734 66.7366832815969 -510.90767026909</t>
  </si>
  <si>
    <t>-757.206066589036 201.515353559111 -491.610892569482</t>
  </si>
  <si>
    <t>-754.473814681929 284.344221127712 -209.258161282008</t>
  </si>
  <si>
    <t>-623.865621851865 82.286973377581 -196.406634147702</t>
  </si>
  <si>
    <t>-781.838135263837 11.6141607850072 -510.262775530063</t>
  </si>
  <si>
    <t>-734.718479050744 141.627406140039 -57.3256474081652</t>
  </si>
  <si>
    <t>-667.516430910028 311.786093099681 302.37497257165</t>
  </si>
  <si>
    <t>-731.230612312253 286.689118301287 745.12669689687</t>
  </si>
  <si>
    <t>-642.78450839626 402.260205008224 807.640074045504</t>
  </si>
  <si>
    <t>-696.513237607308 -3.78954292359276 338.066024157375</t>
  </si>
  <si>
    <t>-704.365008698828 73.9015818306243 779.067769697883</t>
  </si>
  <si>
    <t>-593.284418476542 -13.9819129931188 849.9542448904</t>
  </si>
  <si>
    <t>9763-20170724T111006.085160500.bin</t>
  </si>
  <si>
    <t>-720.032701740257 47.0280531893964 -59.1681032121174</t>
  </si>
  <si>
    <t>-764.570391169064 43.7763389518409 -166.042101571373</t>
  </si>
  <si>
    <t>-781.077105659698 42.7765576358379 -263.269530450001</t>
  </si>
  <si>
    <t>-787.632596998567 41.8495404570135 -352.120033314394</t>
  </si>
  <si>
    <t>-785.430378235248 40.4733233986972 -441.179082042462</t>
  </si>
  <si>
    <t>-773.209071009603 37.6812933763827 -565.129339044056</t>
  </si>
  <si>
    <t>-739.686987379837 21.555496233259 -639.434417055571</t>
  </si>
  <si>
    <t>-775.67086056866 66.463114587355 -510.917883735686</t>
  </si>
  <si>
    <t>-756.378156241508 201.198570931113 -491.623780126698</t>
  </si>
  <si>
    <t>-753.589330680903 284.200322341359 -209.322086623784</t>
  </si>
  <si>
    <t>-623.606994004505 81.7485562753131 -196.329218601675</t>
  </si>
  <si>
    <t>-781.50331904114 11.3568231737854 -510.251820384587</t>
  </si>
  <si>
    <t>-734.520271116885 141.367193590458 -57.2945149116781</t>
  </si>
  <si>
    <t>-667.332824825523 311.588907016172 302.379052091108</t>
  </si>
  <si>
    <t>-731.184854834107 286.684804874101 745.142950130844</t>
  </si>
  <si>
    <t>-642.822200965004 402.330327664925 807.636082560736</t>
  </si>
  <si>
    <t>-696.732542285064 -3.87033414265125 338.088244157132</t>
  </si>
  <si>
    <t>-704.313351132664 73.9916373345868 779.07424323559</t>
  </si>
  <si>
    <t>-593.453116864424 -14.1588209872903 849.974145019022</t>
  </si>
  <si>
    <t>9763-20170724T111006.119250200.bin</t>
  </si>
  <si>
    <t>-720.048209163681 46.8636162169178 -59.1483355210886</t>
  </si>
  <si>
    <t>-764.559165463951 43.6402158534788 -166.034405695238</t>
  </si>
  <si>
    <t>-781.028770066327 42.6354912751467 -263.268020036868</t>
  </si>
  <si>
    <t>-787.546334000804 41.6909070535839 -352.121252045863</t>
  </si>
  <si>
    <t>-785.302347673915 40.2825082134159 -441.178653165807</t>
  </si>
  <si>
    <t>-773.020436596287 37.4286223288186 -565.121331640511</t>
  </si>
  <si>
    <t>-739.613225552707 21.1488641683945 -639.444661778383</t>
  </si>
  <si>
    <t>-775.465875125271 66.2329270923065 -510.921381949217</t>
  </si>
  <si>
    <t>-755.979660214948 200.940651976095 -491.645703390308</t>
  </si>
  <si>
    <t>-753.186951027899 283.999219431523 -209.361049603005</t>
  </si>
  <si>
    <t>-623.493839504488 81.3665641615175 -196.301976803236</t>
  </si>
  <si>
    <t>-781.384273110169 11.1359431768296 -510.239225128908</t>
  </si>
  <si>
    <t>-734.456644611125 141.24008596986 -57.2883203217814</t>
  </si>
  <si>
    <t>-667.275431712336 311.496593853696 302.369953342692</t>
  </si>
  <si>
    <t>-731.202502320833 286.737532151825 745.140637779346</t>
  </si>
  <si>
    <t>-642.70920081004 402.290969517423 807.619548038565</t>
  </si>
  <si>
    <t>-696.895773406608 -3.97158679535187 338.112242117353</t>
  </si>
  <si>
    <t>-704.323449282786 73.9497479156066 779.080872492853</t>
  </si>
  <si>
    <t>-593.392256750604 -14.1144387525555 849.977139459696</t>
  </si>
  <si>
    <t>9763-20170724T111006.186093000.bin</t>
  </si>
  <si>
    <t>-720.005082101949 46.441691938096 -59.1025825852055</t>
  </si>
  <si>
    <t>-764.43494069741 43.2724967334971 -166.023782705232</t>
  </si>
  <si>
    <t>-780.811039598241 42.2382157406742 -263.27313839562</t>
  </si>
  <si>
    <t>-787.237232017268 41.2344991043128 -352.132151577345</t>
  </si>
  <si>
    <t>-784.897641623099 39.7323424180236 -441.185472895844</t>
  </si>
  <si>
    <t>-772.480452463084 36.7105820042084 -565.111063866484</t>
  </si>
  <si>
    <t>-739.346303548208 20.1676482538332 -639.498334318903</t>
  </si>
  <si>
    <t>-774.906992761837 65.5799450241616 -510.944641118295</t>
  </si>
  <si>
    <t>-755.098378382557 200.254191349307 -491.744899811172</t>
  </si>
  <si>
    <t>-752.319342678705 283.506895786663 -209.517289810807</t>
  </si>
  <si>
    <t>-623.164048076208 80.544219041748 -196.253105493152</t>
  </si>
  <si>
    <t>-780.982220358799 10.5007663704032 -510.21039920238</t>
  </si>
  <si>
    <t>-734.192154986354 140.850227191986 -57.2974528815259</t>
  </si>
  <si>
    <t>-667.065218858625 311.1404027146 302.354931120436</t>
  </si>
  <si>
    <t>-731.083699206957 286.636786051213 745.117106056504</t>
  </si>
  <si>
    <t>-642.780498726106 402.341948045874 807.584438335002</t>
  </si>
  <si>
    <t>-697.101831775534 -4.23818921358452 338.171707503863</t>
  </si>
  <si>
    <t>-704.326665363953 73.903427451065 779.093806864981</t>
  </si>
  <si>
    <t>-593.328515413569 -14.0764421829099 849.990183148438</t>
  </si>
  <si>
    <t>9763-20170724T111006.218175900.bin</t>
  </si>
  <si>
    <t>-719.943332551527 46.1844100681033 -59.0757948449095</t>
  </si>
  <si>
    <t>-764.307734348701 43.0245474445369 -166.024496063476</t>
  </si>
  <si>
    <t>-780.611233727175 41.9540537421308 -263.285523383971</t>
  </si>
  <si>
    <t>-786.967500806212 40.8997401153938 -352.149043637505</t>
  </si>
  <si>
    <t>-784.555871416267 39.3288240165784 -441.199415992204</t>
  </si>
  <si>
    <t>-772.036109296993 36.1915253302168 -565.111597557767</t>
  </si>
  <si>
    <t>-739.032966859122 19.4800830437625 -639.519500132725</t>
  </si>
  <si>
    <t>-774.474280817066 65.1077075509525 -510.970836302207</t>
  </si>
  <si>
    <t>-754.555304001031 199.771115654841 -491.83919839903</t>
  </si>
  <si>
    <t>-751.853143988156 283.153818444027 -209.649096609075</t>
  </si>
  <si>
    <t>-622.920062269229 80.0579954171412 -196.261368381256</t>
  </si>
  <si>
    <t>-780.616409717314 10.036485759349 -510.197063498957</t>
  </si>
  <si>
    <t>-734.054420413152 140.687734371995 -57.3119220599866</t>
  </si>
  <si>
    <t>-666.996267518542 310.991270624106 302.347059936537</t>
  </si>
  <si>
    <t>-731.136095201949 286.744799015178 745.099622339621</t>
  </si>
  <si>
    <t>-642.674635327311 402.330680937855 807.564260169154</t>
  </si>
  <si>
    <t>-697.117567885749 -4.34810083115553 338.209762177682</t>
  </si>
  <si>
    <t>-704.302681892145 73.9372499979386 779.093525314508</t>
  </si>
  <si>
    <t>-593.399893759928 -14.1577099345345 849.995753203719</t>
  </si>
  <si>
    <t>9763-20170724T111006.281352900.bin</t>
  </si>
  <si>
    <t>-719.638153391231 45.807402774024 -59.069557568609</t>
  </si>
  <si>
    <t>-763.856466148358 42.6391584371818 -166.078506948988</t>
  </si>
  <si>
    <t>-779.993340455656 41.4807774696837 -263.366181098204</t>
  </si>
  <si>
    <t>-786.186934952297 40.3132863011961 -352.23995349097</t>
  </si>
  <si>
    <t>-783.602160391941 38.5929501201831 -441.282587257041</t>
  </si>
  <si>
    <t>-770.834473425237 35.2088299415345 -565.162951387373</t>
  </si>
  <si>
    <t>-738.079270348508 18.1092170432898 -639.592423123315</t>
  </si>
  <si>
    <t>-773.325247790913 64.2265494858448 -511.079034141081</t>
  </si>
  <si>
    <t>-753.200362893483 198.884014744427 -492.10436238034</t>
  </si>
  <si>
    <t>-750.740066880114 282.613979353507 -210.014841783426</t>
  </si>
  <si>
    <t>-622.192881290793 79.2951516280627 -196.305664803244</t>
  </si>
  <si>
    <t>-779.580531906217 9.16938345924837 -510.219666988902</t>
  </si>
  <si>
    <t>-733.684977714038 140.367563871469 -57.3721189380108</t>
  </si>
  <si>
    <t>-666.792494524618 310.65080162471 302.327358223967</t>
  </si>
  <si>
    <t>-731.041468671235 286.675132807137 745.07525268278</t>
  </si>
  <si>
    <t>-642.655587003298 402.322989955451 807.53194268098</t>
  </si>
  <si>
    <t>-697.057350058679 -4.59081885400428 338.269358998644</t>
  </si>
  <si>
    <t>-704.250045423783 74.0447693621154 779.091649994552</t>
  </si>
  <si>
    <t>-593.609537499365 -14.3745706721961 850.000024314372</t>
  </si>
  <si>
    <t>9763-20170724T111006.319454300.bin</t>
  </si>
  <si>
    <t>-719.548194959842 45.7749325009459 -59.1099676990917</t>
  </si>
  <si>
    <t>-763.703306947305 42.5916245951507 -166.144766333715</t>
  </si>
  <si>
    <t>-779.774961028549 41.3939924227579 -263.442802636507</t>
  </si>
  <si>
    <t>-785.905911476768 40.178861386491 -352.320044596487</t>
  </si>
  <si>
    <t>-783.257645060035 38.3976044195924 -441.359744279851</t>
  </si>
  <si>
    <t>-770.400123209083 34.9134035145353 -565.227975250735</t>
  </si>
  <si>
    <t>-737.743667597457 17.6486597514067 -639.662672137782</t>
  </si>
  <si>
    <t>-772.905220204881 63.9721540402984 -511.166796163893</t>
  </si>
  <si>
    <t>-752.706750817382 198.624634548307 -492.246623112455</t>
  </si>
  <si>
    <t>-750.331938794626 282.558205825697 -210.216999850072</t>
  </si>
  <si>
    <t>-621.918533696921 79.1661257340593 -196.343379757928</t>
  </si>
  <si>
    <t>-779.210800954995 8.92117019662783 -510.272711349356</t>
  </si>
  <si>
    <t>-733.564053052802 140.309579551787 -57.4388906568421</t>
  </si>
  <si>
    <t>-666.804057105958 310.566689669654 302.297620872048</t>
  </si>
  <si>
    <t>-731.024678169386 286.677783863361 745.062581691421</t>
  </si>
  <si>
    <t>-642.643650382512 402.331617888169 807.513980507105</t>
  </si>
  <si>
    <t>-697.098465121824 -4.65635901718224 338.281681408718</t>
  </si>
  <si>
    <t>-704.247340610877 74.0488711941653 779.094311331518</t>
  </si>
  <si>
    <t>-593.585713914716 -14.3461248032077 849.999988424906</t>
  </si>
  <si>
    <t>9763-20170724T111006.386777000.bin</t>
  </si>
  <si>
    <t>-719.486646745845 45.5260209833705 -59.1225974143705</t>
  </si>
  <si>
    <t>-763.515000601941 42.3595255698397 -166.209947464634</t>
  </si>
  <si>
    <t>-779.452155866992 41.0972078331497 -263.529309364683</t>
  </si>
  <si>
    <t>-785.455711422425 39.7908687865647 -352.414030019026</t>
  </si>
  <si>
    <t>-782.676010052533 37.8853881889968 -441.447103654919</t>
  </si>
  <si>
    <t>-769.633688779752 34.1930612536539 -565.290075667536</t>
  </si>
  <si>
    <t>-737.079393997934 16.6504798388646 -639.704523498771</t>
  </si>
  <si>
    <t>-772.182794458525 63.3383726293378 -511.27748914491</t>
  </si>
  <si>
    <t>-751.891415195358 197.996281432096 -492.476034125328</t>
  </si>
  <si>
    <t>-749.690479639113 282.206639775749 -210.527487373487</t>
  </si>
  <si>
    <t>-621.485249948925 78.7037841156634 -196.355907849572</t>
  </si>
  <si>
    <t>-778.563016855033 8.29722328145454 -510.308338458522</t>
  </si>
  <si>
    <t>-733.431185611176 140.137969663946 -57.5071545419312</t>
  </si>
  <si>
    <t>-666.885761193711 310.412978339615 302.260609573898</t>
  </si>
  <si>
    <t>-731.019156337218 286.721208860633 745.046391998346</t>
  </si>
  <si>
    <t>-642.588781427626 402.338707219808 807.496144086845</t>
  </si>
  <si>
    <t>-697.278230550347 -4.75498035519468 338.306253972968</t>
  </si>
  <si>
    <t>-704.218676108542 74.0996910635931 779.095276353196</t>
  </si>
  <si>
    <t>-593.627153192926 -14.3837576425199 849.999806493877</t>
  </si>
  <si>
    <t>9763-20170724T111006.418863400.bin</t>
  </si>
  <si>
    <t>-719.425647315504 45.3105451366878 -59.0998585691735</t>
  </si>
  <si>
    <t>-763.419702223676 42.13806363308 -166.201151088247</t>
  </si>
  <si>
    <t>-779.30499841655 40.8395981252629 -263.528529133177</t>
  </si>
  <si>
    <t>-785.253870369581 39.4869068390144 -352.416350449715</t>
  </si>
  <si>
    <t>-782.412690814365 37.5198580404754 -441.44603729194</t>
  </si>
  <si>
    <t>-769.279288712014 33.7250098183731 -565.276371377431</t>
  </si>
  <si>
    <t>-736.743732206023 16.0856656320821 -639.675950681938</t>
  </si>
  <si>
    <t>-771.85239306315 62.9132503410683 -511.287941784003</t>
  </si>
  <si>
    <t>-751.5313025633 197.57530844962 -492.566921814467</t>
  </si>
  <si>
    <t>-749.439255364041 281.988398289205 -210.678166312691</t>
  </si>
  <si>
    <t>-621.322878016279 78.4396979944718 -196.3618545665</t>
  </si>
  <si>
    <t>-778.265076234123 7.87659327324127 -510.281478700009</t>
  </si>
  <si>
    <t>-733.336454846976 139.959361784707 -57.5037830154295</t>
  </si>
  <si>
    <t>-666.885307543538 310.258090706623 302.270117385237</t>
  </si>
  <si>
    <t>-730.973561153811 286.6880344226 745.048006456101</t>
  </si>
  <si>
    <t>-642.67136601675 402.40079540427 807.50263805986</t>
  </si>
  <si>
    <t>-697.284059670064 -4.85634122702822 338.32078367157</t>
  </si>
  <si>
    <t>-704.201084151993 74.1314395406262 779.085975366313</t>
  </si>
  <si>
    <t>-593.630897972571 -14.3806399541345 849.988318934751</t>
  </si>
  <si>
    <t>9763-20170724T111006.486047200.bin</t>
  </si>
  <si>
    <t>-719.154450467948 44.8438286605538 -59.0293976506733</t>
  </si>
  <si>
    <t>-763.061999745863 41.6641468908597 -166.166037304646</t>
  </si>
  <si>
    <t>-778.850965704925 40.3050704174771 -263.508252922127</t>
  </si>
  <si>
    <t>-784.706300953281 38.8728107537886 -352.400943456939</t>
  </si>
  <si>
    <t>-781.767712780138 36.8000858779333 -441.425100791305</t>
  </si>
  <si>
    <t>-768.495816696658 32.8291600900561 -565.235082779865</t>
  </si>
  <si>
    <t>-735.933939614365 15.0608931669994 -639.592481263353</t>
  </si>
  <si>
    <t>-771.108538624642 62.0917987937623 -511.288993211273</t>
  </si>
  <si>
    <t>-750.736981823893 196.765412468903 -492.727388088842</t>
  </si>
  <si>
    <t>-748.840695157667 281.588845155959 -210.960447507871</t>
  </si>
  <si>
    <t>-620.876300496225 77.9675846099481 -196.316816936946</t>
  </si>
  <si>
    <t>-777.563849529817 7.0613348207844 -510.215824875729</t>
  </si>
  <si>
    <t>-733.123524257147 139.634236616365 -57.4776282722692</t>
  </si>
  <si>
    <t>-666.888363063961 309.93259527124 302.336267354807</t>
  </si>
  <si>
    <t>-730.950712296595 286.70247583949 745.110023172781</t>
  </si>
  <si>
    <t>-642.576353296302 402.365831868603 807.553614419586</t>
  </si>
  <si>
    <t>-696.965806501148 -5.07707097522143 338.366917519209</t>
  </si>
  <si>
    <t>-704.181844185301 74.1805055514169 779.074254408805</t>
  </si>
  <si>
    <t>-593.652230178592 -14.3974295688158 849.957504742505</t>
  </si>
  <si>
    <t>9763-20170724T111006.520137900.bin</t>
  </si>
  <si>
    <t>-718.95727422398 44.5681502734833 -58.9976682774641</t>
  </si>
  <si>
    <t>-762.834010275405 41.3740398447894 -166.146517415462</t>
  </si>
  <si>
    <t>-778.580986079133 39.9950497515215 -263.495212289773</t>
  </si>
  <si>
    <t>-784.392137233095 38.5414210773147 -352.390391235544</t>
  </si>
  <si>
    <t>-781.40393809284 36.4436078129243 -441.412370745829</t>
  </si>
  <si>
    <t>-768.058054461152 32.4337243589503 -565.213112876941</t>
  </si>
  <si>
    <t>-735.466775694345 14.6336666357452 -639.550236209906</t>
  </si>
  <si>
    <t>-770.705025078853 61.7134309232279 -511.277972629652</t>
  </si>
  <si>
    <t>-750.351133085039 196.395685235731 -492.772775431017</t>
  </si>
  <si>
    <t>-748.525896504157 281.370659864739 -211.051036874128</t>
  </si>
  <si>
    <t>-620.595965718302 77.7385069891034 -196.259929659332</t>
  </si>
  <si>
    <t>-777.15669364767 6.68299163573874 -510.191003516873</t>
  </si>
  <si>
    <t>-732.932629334009 139.460714483015 -57.4616132009638</t>
  </si>
  <si>
    <t>-666.864950992728 309.762444237558 302.381450087765</t>
  </si>
  <si>
    <t>-730.931059950403 286.699212465883 745.150667551053</t>
  </si>
  <si>
    <t>-642.593279743865 402.393997699816 807.5884048206</t>
  </si>
  <si>
    <t>-696.743274599946 -5.23989777820634 338.394517222395</t>
  </si>
  <si>
    <t>-704.205937856535 74.121104588824 779.058982868193</t>
  </si>
  <si>
    <t>-593.550568986254 -14.3111122610785 849.927853836886</t>
  </si>
  <si>
    <t>9763-20170724T111006.586325900.bin</t>
  </si>
  <si>
    <t>-718.641394536163 44.1721468618575 -58.9438126961762</t>
  </si>
  <si>
    <t>-762.502826858919 40.9622551779999 -166.098309481288</t>
  </si>
  <si>
    <t>-778.229029694046 39.5834489651943 -263.450422688999</t>
  </si>
  <si>
    <t>-784.018297923208 38.1355922452672 -352.347118090287</t>
  </si>
  <si>
    <t>-781.004601564192 36.0496284815854 -441.368689453916</t>
  </si>
  <si>
    <t>-767.618561813933 32.0621401615122 -565.165761120547</t>
  </si>
  <si>
    <t>-735.025371653792 14.2544863748685 -639.500077820182</t>
  </si>
  <si>
    <t>-770.287423249941 61.332710007393 -511.226578377437</t>
  </si>
  <si>
    <t>-749.923263198146 196.027594739297 -492.768965871586</t>
  </si>
  <si>
    <t>-748.397026222975 281.11660496424 -211.080005351729</t>
  </si>
  <si>
    <t>-620.418085797114 77.5232548996232 -196.180250881515</t>
  </si>
  <si>
    <t>-776.730511159421 6.30086711448484 -510.15074895219</t>
  </si>
  <si>
    <t>-732.689384151888 139.224368441407 -57.4095448125162</t>
  </si>
  <si>
    <t>-666.782516857087 309.563910411315 302.445239949612</t>
  </si>
  <si>
    <t>-730.905012538902 286.714692871547 745.217274021903</t>
  </si>
  <si>
    <t>-642.566616567633 402.406839662956 807.659391616445</t>
  </si>
  <si>
    <t>-696.321077664706 -5.47733750592079 338.438526575238</t>
  </si>
  <si>
    <t>-704.230427796495 74.076801913714 779.038072256589</t>
  </si>
  <si>
    <t>-593.46903221727 -14.2411123274146 849.884215098406</t>
  </si>
  <si>
    <t>9763-20170724T111006.617414800.bin</t>
  </si>
  <si>
    <t>-718.512728285446 44.1326035053826 -58.9422727550863</t>
  </si>
  <si>
    <t>-762.386895177299 40.8840198482126 -166.090431669519</t>
  </si>
  <si>
    <t>-778.154883856882 39.495052718044 -263.435705117259</t>
  </si>
  <si>
    <t>-783.993616280217 38.0473862438025 -352.329210587492</t>
  </si>
  <si>
    <t>-781.040641429955 35.9710468217436 -441.352804939679</t>
  </si>
  <si>
    <t>-767.750102956798 32.006795063307 -565.161035462943</t>
  </si>
  <si>
    <t>-735.207099691859 14.2004093164574 -639.517699152104</t>
  </si>
  <si>
    <t>-770.372155176503 61.2665829952043 -511.21381719027</t>
  </si>
  <si>
    <t>-749.998445049753 195.967168964503 -492.781969067363</t>
  </si>
  <si>
    <t>-748.577405901514 281.021721214253 -211.082015878312</t>
  </si>
  <si>
    <t>-620.574778782253 77.4462723875017 -196.142839762589</t>
  </si>
  <si>
    <t>-776.825388913733 6.23605170231303 -510.144507408619</t>
  </si>
  <si>
    <t>-732.599403807997 139.188570514672 -57.423972067623</t>
  </si>
  <si>
    <t>-666.7793095118 309.482750535289 302.468124327828</t>
  </si>
  <si>
    <t>-730.868178705904 286.683797284468 745.251990450274</t>
  </si>
  <si>
    <t>-642.63103250339 402.451546346572 807.696640339922</t>
  </si>
  <si>
    <t>-696.185595687409 -5.53011165848602 338.456218173254</t>
  </si>
  <si>
    <t>-704.224583942229 74.1049314472853 779.033393738001</t>
  </si>
  <si>
    <t>-593.51904320109 -14.283957041348 849.877982406847</t>
  </si>
  <si>
    <t>9763-20170724T111006.694630900.bin</t>
  </si>
  <si>
    <t>-718.427895126353 44.1627861547131 -58.9322895709929</t>
  </si>
  <si>
    <t>-762.358848329332 40.8535115726349 -166.055356566674</t>
  </si>
  <si>
    <t>-778.292095442974 39.4601504784446 -263.373610868549</t>
  </si>
  <si>
    <t>-784.326160662632 38.0287033731688 -352.254333457332</t>
  </si>
  <si>
    <t>-781.612096588612 35.9889866111425 -441.286357265744</t>
  </si>
  <si>
    <t>-768.698400668967 32.0972391659907 -565.136705314481</t>
  </si>
  <si>
    <t>-736.348582812782 14.3140631556312 -639.583219618692</t>
  </si>
  <si>
    <t>-771.136392128551 61.3231477310892 -511.16259132238</t>
  </si>
  <si>
    <t>-750.681495938641 196.011218942007 -492.777504108308</t>
  </si>
  <si>
    <t>-749.138674963783 281.126347780833 -211.096480651155</t>
  </si>
  <si>
    <t>-621.228670787822 77.5027598163738 -196.015805617593</t>
  </si>
  <si>
    <t>-777.625387640684 6.29641778344012 -510.110085365312</t>
  </si>
  <si>
    <t>-732.550746005666 139.247944549539 -57.4458765507204</t>
  </si>
  <si>
    <t>-666.871142064072 309.500813785334 302.491296474461</t>
  </si>
  <si>
    <t>-730.912747128694 286.770888404018 745.312924636037</t>
  </si>
  <si>
    <t>-642.385447801357 402.329208209734 807.735294216052</t>
  </si>
  <si>
    <t>-696.213425480531 -5.53105755354272 338.486537184685</t>
  </si>
  <si>
    <t>-704.21404275769 74.1498113363618 779.038771930784</t>
  </si>
  <si>
    <t>-593.4763621777 -14.2074552204672 849.872659004149</t>
  </si>
  <si>
    <t>9763-20170724T111006.715686800.bin</t>
  </si>
  <si>
    <t>-718.448728970852 44.1292256046268 -58.9114376747481</t>
  </si>
  <si>
    <t>-762.432435546257 40.8030826110894 -166.012211831759</t>
  </si>
  <si>
    <t>-778.472215637151 39.4213445956912 -263.313098700388</t>
  </si>
  <si>
    <t>-784.625972218943 38.0105312219953 -352.185988531974</t>
  </si>
  <si>
    <t>-782.054064491779 36.0017752249114 -441.223086634108</t>
  </si>
  <si>
    <t>-769.361130075559 32.1640429030899 -565.097951190531</t>
  </si>
  <si>
    <t>-737.128447929516 14.4103429557481 -639.602182638025</t>
  </si>
  <si>
    <t>-771.695408379432 61.3656029392441 -511.105851632387</t>
  </si>
  <si>
    <t>-751.17352003134 196.051094118871 -492.773991849279</t>
  </si>
  <si>
    <t>-749.487716966267 281.195029773256 -211.102333213151</t>
  </si>
  <si>
    <t>-621.675378741618 77.5157584808862 -195.944188347002</t>
  </si>
  <si>
    <t>-778.197998710917 6.34006888420436 -510.067439390944</t>
  </si>
  <si>
    <t>-732.598132021482 139.203800433942 -57.4013571544361</t>
  </si>
  <si>
    <t>-666.858871214466 309.522014133938 302.494137769268</t>
  </si>
  <si>
    <t>-730.8819398543 286.742760234347 745.31989623901</t>
  </si>
  <si>
    <t>-642.353210734464 402.305308702871 807.73174631985</t>
  </si>
  <si>
    <t>-696.285762741503 -5.5680648414982 338.500536927478</t>
  </si>
  <si>
    <t>-704.233635234024 74.105295694937 779.040795264008</t>
  </si>
  <si>
    <t>-593.400033112277 -14.1354236854131 849.870253236278</t>
  </si>
  <si>
    <t>9763-20170724T111006.781722100.bin</t>
  </si>
  <si>
    <t>-718.419209435593 44.1389266984861 -58.8637724313631</t>
  </si>
  <si>
    <t>-762.535637402299 40.8055823071195 -165.909699987643</t>
  </si>
  <si>
    <t>-778.814373038434 39.4642474434158 -263.171578567469</t>
  </si>
  <si>
    <t>-785.233144733159 38.1101808752919 -352.026574574155</t>
  </si>
  <si>
    <t>-782.972075468779 36.177991785964 -441.073862819409</t>
  </si>
  <si>
    <t>-770.758997168336 32.4685611567888 -565.000703424035</t>
  </si>
  <si>
    <t>-738.813633195218 14.7347592121105 -639.633445726585</t>
  </si>
  <si>
    <t>-772.86747571092 61.6122445267279 -510.968285587979</t>
  </si>
  <si>
    <t>-752.170861685619 196.280640369128 -492.714078520565</t>
  </si>
  <si>
    <t>-750.201972673359 281.496814100337 -211.06617103404</t>
  </si>
  <si>
    <t>-622.512429113823 77.7493793173444 -195.795040701861</t>
  </si>
  <si>
    <t>-779.39939307228 6.58961195743495 -509.964962861017</t>
  </si>
  <si>
    <t>-732.56134619748 139.134530706489 -57.3259322839284</t>
  </si>
  <si>
    <t>-666.709594773582 309.544396758345 302.505541724304</t>
  </si>
  <si>
    <t>-730.757535528663 286.604355574597 745.312322587646</t>
  </si>
  <si>
    <t>-642.477318383874 402.360358705199 807.717156424227</t>
  </si>
  <si>
    <t>-696.264424950201 -5.52029511088631 338.515791620606</t>
  </si>
  <si>
    <t>-704.18469925393 74.2373145169367 779.046278393003</t>
  </si>
  <si>
    <t>-593.534462544062 -14.2272024373283 849.882775116015</t>
  </si>
  <si>
    <t>9763-20170724T111006.815804300.bin</t>
  </si>
  <si>
    <t>-718.385692174498 44.1970606003633 -58.8605591791235</t>
  </si>
  <si>
    <t>-762.589075052317 40.8525789184196 -165.870248607283</t>
  </si>
  <si>
    <t>-778.984947913103 39.5315784456316 -263.112769160139</t>
  </si>
  <si>
    <t>-785.525116222418 38.2079044658281 -351.959255790974</t>
  </si>
  <si>
    <t>-783.399403787157 36.3179339637204 -441.010664576292</t>
  </si>
  <si>
    <t>-771.388090878739 32.6798565099657 -564.95944328509</t>
  </si>
  <si>
    <t>-739.554411800801 14.9109575096686 -639.631533642646</t>
  </si>
  <si>
    <t>-773.3994177651 61.7914590670989 -510.905933860357</t>
  </si>
  <si>
    <t>-752.631125450662 196.451520114779 -492.679075076777</t>
  </si>
  <si>
    <t>-750.519523064229 281.701868668906 -211.042608965108</t>
  </si>
  <si>
    <t>-622.86428693277 77.9329099775391 -195.771587117751</t>
  </si>
  <si>
    <t>-779.948135015082 6.77033545155155 -509.925641904233</t>
  </si>
  <si>
    <t>-732.520274110607 139.176396921585 -57.3160491939194</t>
  </si>
  <si>
    <t>-666.68001601399 309.616511442835 302.503297505987</t>
  </si>
  <si>
    <t>-730.756481069185 286.619304323629 745.306460839766</t>
  </si>
  <si>
    <t>-642.379221389568 402.306327519677 807.702505033005</t>
  </si>
  <si>
    <t>-696.20541156558 -5.4700804378258 338.523377819064</t>
  </si>
  <si>
    <t>-704.171115221562 74.2781018651858 779.05209307579</t>
  </si>
  <si>
    <t>-593.649782286857 -14.3434900555199 849.893795760879</t>
  </si>
  <si>
    <t>9763-20170724T111006.883995900.bin</t>
  </si>
  <si>
    <t>-718.350748373897 44.2430445914479 -58.8479355806842</t>
  </si>
  <si>
    <t>-762.709112769116 40.8815631208936 -165.792964340409</t>
  </si>
  <si>
    <t>-779.3197135118 39.5814367392973 -262.999290054795</t>
  </si>
  <si>
    <t>-786.085095231127 38.2907740674254 -351.829549463114</t>
  </si>
  <si>
    <t>-784.213423733185 36.4475630256266 -440.887518125924</t>
  </si>
  <si>
    <t>-772.584344652685 32.8883828277581 -564.875083150243</t>
  </si>
  <si>
    <t>-740.901985094891 14.9542134682647 -639.572062139691</t>
  </si>
  <si>
    <t>-774.403857767293 61.962638565758 -510.794742086199</t>
  </si>
  <si>
    <t>-753.521381257968 196.611349414885 -492.59236689487</t>
  </si>
  <si>
    <t>-751.013585600606 281.739803955993 -210.922172932889</t>
  </si>
  <si>
    <t>-623.35686797426 77.9689888954881 -195.690499867744</t>
  </si>
  <si>
    <t>-780.999576554092 6.9467198084858 -509.833950001357</t>
  </si>
  <si>
    <t>-732.496251679403 139.212943922471 -57.2932834676535</t>
  </si>
  <si>
    <t>-666.610311245504 309.674048322432 302.507704474892</t>
  </si>
  <si>
    <t>-730.708636975832 286.586440906176 745.300788070285</t>
  </si>
  <si>
    <t>-642.395573516654 402.325785436578 807.691055286669</t>
  </si>
  <si>
    <t>-696.088465793594 -5.42292704517104 338.525226833088</t>
  </si>
  <si>
    <t>-704.142982804796 74.3529209232074 779.053697355707</t>
  </si>
  <si>
    <t>-593.728392487986 -14.3952150144191 849.903446649478</t>
  </si>
  <si>
    <t>9763-20170724T111006.918106700.bin</t>
  </si>
  <si>
    <t>-718.361018435013 44.2424283406008 -58.8448125991929</t>
  </si>
  <si>
    <t>-762.801183294249 40.8642202493775 -165.755357428304</t>
  </si>
  <si>
    <t>-779.518389403953 39.5623746791734 -262.943376560014</t>
  </si>
  <si>
    <t>-786.393227466067 38.2741708677354 -351.765228434762</t>
  </si>
  <si>
    <t>-784.643811013076 36.4367049386651 -440.825907599247</t>
  </si>
  <si>
    <t>-773.197807186876 32.8886260974482 -564.830805311811</t>
  </si>
  <si>
    <t>-741.588300889525 14.8710443382038 -639.538352811053</t>
  </si>
  <si>
    <t>-774.922035376409 61.9561128096648 -510.743609637194</t>
  </si>
  <si>
    <t>-753.961243586182 196.591789834506 -492.546340776878</t>
  </si>
  <si>
    <t>-751.222340134771 281.711408894435 -210.875820462445</t>
  </si>
  <si>
    <t>-623.554704191796 77.9430837731352 -195.701037390656</t>
  </si>
  <si>
    <t>-781.547522119235 6.94391831002577 -509.781135216619</t>
  </si>
  <si>
    <t>-732.522302251239 139.263678025261 -57.2912291948276</t>
  </si>
  <si>
    <t>-666.616161744636 309.71544125189 302.510380576205</t>
  </si>
  <si>
    <t>-730.738035373673 286.648758175418 745.292703516721</t>
  </si>
  <si>
    <t>-642.37395263312 402.346636404854 807.688087881446</t>
  </si>
  <si>
    <t>-696.115847826116 -5.47155915667872 338.519245799098</t>
  </si>
  <si>
    <t>-704.216937326811 74.1829489416937 779.059529814568</t>
  </si>
  <si>
    <t>-593.596529420414 -14.3205069615624 849.894542979647</t>
  </si>
  <si>
    <t>9763-20170724T111006.982270000.bin</t>
  </si>
  <si>
    <t>-718.383475304813 44.507257477107 -58.9018090502558</t>
  </si>
  <si>
    <t>-762.981866380341 41.0848310572751 -165.745143741754</t>
  </si>
  <si>
    <t>-779.898188197923 39.7367581266344 -262.898074729544</t>
  </si>
  <si>
    <t>-786.977701633784 38.4017544166618 -351.703079569955</t>
  </si>
  <si>
    <t>-785.456576749327 36.5111680365471 -440.76682517132</t>
  </si>
  <si>
    <t>-774.35378135537 32.8810932643883 -564.800492035362</t>
  </si>
  <si>
    <t>-742.93703466429 14.8008245491378 -639.574304216676</t>
  </si>
  <si>
    <t>-775.894070594898 61.9801532857346 -510.724770757899</t>
  </si>
  <si>
    <t>-754.79329220331 196.607546721697 -492.605866394344</t>
  </si>
  <si>
    <t>-751.578334298656 281.746099470922 -210.945967213339</t>
  </si>
  <si>
    <t>-623.925356717574 77.9619958935982 -195.856546653388</t>
  </si>
  <si>
    <t>-782.585096588396 6.97688320002862 -509.71403962011</t>
  </si>
  <si>
    <t>-732.529108489958 139.514324548813 -57.4009641872007</t>
  </si>
  <si>
    <t>-666.535787626397 309.991546411063 302.372724824759</t>
  </si>
  <si>
    <t>-730.619913707532 286.758522654186 745.070727803059</t>
  </si>
  <si>
    <t>-642.254447116246 402.2767119963 807.795513387752</t>
  </si>
  <si>
    <t>-696.102362553791 -5.31893555117585 338.473507117616</t>
  </si>
  <si>
    <t>-704.150573810677 74.3108606044339 779.032256057464</t>
  </si>
  <si>
    <t>-593.640865735352 -14.3147324850738 849.88732027918</t>
  </si>
  <si>
    <t>9763-20170724T111007.020369200.bin</t>
  </si>
  <si>
    <t>-718.364459283046 44.647819866706 -58.9556326866045</t>
  </si>
  <si>
    <t>-763.064975060335 41.2050333787201 -165.755559520749</t>
  </si>
  <si>
    <t>-780.06882208906 39.8184375183132 -262.89264015882</t>
  </si>
  <si>
    <t>-787.226278672012 38.4380696138078 -351.690759503656</t>
  </si>
  <si>
    <t>-785.783226107327 36.4907720032647 -440.75454677805</t>
  </si>
  <si>
    <t>-774.788096069117 32.7679410985338 -564.795138369073</t>
  </si>
  <si>
    <t>-743.507021118725 14.7273288433571 -639.635309930542</t>
  </si>
  <si>
    <t>-776.262109474383 61.9050881270946 -510.738179728404</t>
  </si>
  <si>
    <t>-755.118630879085 196.530828848968 -492.69012596761</t>
  </si>
  <si>
    <t>-751.616956832453 281.727843443144 -211.051080490524</t>
  </si>
  <si>
    <t>-623.940426175091 77.9549740804941 -196.007842032985</t>
  </si>
  <si>
    <t>-782.990712965004 6.90711323348614 -509.683867944951</t>
  </si>
  <si>
    <t>-732.488282907085 139.669425707466 -57.4590204465877</t>
  </si>
  <si>
    <t>-666.459547682016 310.190731246096 302.287185601411</t>
  </si>
  <si>
    <t>-730.55322765996 286.794731694352 744.994831167978</t>
  </si>
  <si>
    <t>-642.291487995472 402.301552709846 807.886267876182</t>
  </si>
  <si>
    <t>-696.067129929295 -5.25669665803798 338.445159661081</t>
  </si>
  <si>
    <t>-704.165019245605 74.2789679760072 779.025521247546</t>
  </si>
  <si>
    <t>-593.594680111095 -14.273946048877 849.876583796109</t>
  </si>
  <si>
    <t>9763-20170724T111007.085548400.bin</t>
  </si>
  <si>
    <t>-718.272493275844 44.8674695637837 -58.959993089975</t>
  </si>
  <si>
    <t>-763.17390506764 41.3710915669267 -165.673945706405</t>
  </si>
  <si>
    <t>-780.352544901297 39.9124587297842 -262.77921256238</t>
  </si>
  <si>
    <t>-787.668222002368 38.4522808570505 -351.563134989422</t>
  </si>
  <si>
    <t>-786.381433526458 36.4076438211396 -440.627149696052</t>
  </si>
  <si>
    <t>-775.604577921344 32.5290283805198 -564.682091418354</t>
  </si>
  <si>
    <t>-744.681070408262 14.6314255429902 -639.704962101353</t>
  </si>
  <si>
    <t>-776.944406122256 61.7293750590939 -510.655678434486</t>
  </si>
  <si>
    <t>-755.735707257696 196.361779245072 -492.736157257305</t>
  </si>
  <si>
    <t>-751.751824222237 281.578537788119 -211.109678284812</t>
  </si>
  <si>
    <t>-623.841135094151 77.9370476543295 -196.281505152737</t>
  </si>
  <si>
    <t>-783.749803695935 6.74226684661789 -509.52771693954</t>
  </si>
  <si>
    <t>-732.342558235526 139.846438018432 -57.4157125181767</t>
  </si>
  <si>
    <t>-666.234488460752 310.487498553496 302.259064437213</t>
  </si>
  <si>
    <t>-730.471057435334 286.661260657552 745.032178059584</t>
  </si>
  <si>
    <t>-642.336451912281 402.28445609252 807.888355665115</t>
  </si>
  <si>
    <t>-695.936051825346 -5.14842732986381 338.448871588226</t>
  </si>
  <si>
    <t>-704.167960627405 74.2769781568786 779.031758751561</t>
  </si>
  <si>
    <t>-593.567766788814 -14.2387553714238 849.88294370648</t>
  </si>
  <si>
    <t>9763-20170724T111007.117633800.bin</t>
  </si>
  <si>
    <t>-718.254292910639 45.0114356232752 -58.9474047658916</t>
  </si>
  <si>
    <t>-763.26790136862 41.4844164393667 -165.613070260246</t>
  </si>
  <si>
    <t>-780.56267991059 40.023720477489 -262.697734120205</t>
  </si>
  <si>
    <t>-787.98876473363 38.5710218738514 -351.472605242419</t>
  </si>
  <si>
    <t>-786.817767100587 36.5425560030103 -440.538589037286</t>
  </si>
  <si>
    <t>-776.205734706415 32.6948965214156 -564.608687022756</t>
  </si>
  <si>
    <t>-745.47611361831 14.8632481506215 -639.726825840368</t>
  </si>
  <si>
    <t>-777.468353323206 61.8811303151647 -510.572775833958</t>
  </si>
  <si>
    <t>-756.265941645708 196.510273800075 -492.625220242912</t>
  </si>
  <si>
    <t>-752.04045962092 281.491280818067 -210.931173956773</t>
  </si>
  <si>
    <t>-623.991887604792 77.9252463359358 -196.257500035416</t>
  </si>
  <si>
    <t>-784.282672582186 6.89499360799027 -509.450391005444</t>
  </si>
  <si>
    <t>-732.379824917301 139.991375974119 -57.3755517208366</t>
  </si>
  <si>
    <t>-666.204009290866 310.650199543726 302.278524852083</t>
  </si>
  <si>
    <t>-730.547386890126 286.673808228857 745.062106009908</t>
  </si>
  <si>
    <t>-642.263635190634 402.250332627672 807.79389352522</t>
  </si>
  <si>
    <t>-695.845564241669 -5.07493686238286 338.46975697873</t>
  </si>
  <si>
    <t>-704.171172275536 74.2644634160415 779.04686113495</t>
  </si>
  <si>
    <t>-593.604174900707 -14.2907524023267 849.900353178006</t>
  </si>
  <si>
    <t>9763-20170724T111007.151734000.bin</t>
  </si>
  <si>
    <t>-718.212518759274 45.1158740931387 -58.9266112562078</t>
  </si>
  <si>
    <t>-763.33731286705 41.5859393582132 -165.54506834327</t>
  </si>
  <si>
    <t>-780.752387806413 40.1650772455714 -262.608784913155</t>
  </si>
  <si>
    <t>-788.295493769428 38.7643194714733 -351.374603777916</t>
  </si>
  <si>
    <t>-787.247221860458 36.8034809797182 -440.443692679858</t>
  </si>
  <si>
    <t>-776.811376683137 33.0658579654928 -564.532068726568</t>
  </si>
  <si>
    <t>-746.255107877778 15.2307349381581 -639.720184224022</t>
  </si>
  <si>
    <t>-777.989566908459 62.2033074560345 -510.467860177424</t>
  </si>
  <si>
    <t>-756.777336270766 196.814018287076 -492.433571261778</t>
  </si>
  <si>
    <t>-752.314483472934 281.446756961539 -210.638151300881</t>
  </si>
  <si>
    <t>-624.236859671211 77.8837805090352 -196.178895477602</t>
  </si>
  <si>
    <t>-784.817406254351 7.2178695695311 -509.385950671578</t>
  </si>
  <si>
    <t>-732.348025697721 140.060099849506 -57.3330724462337</t>
  </si>
  <si>
    <t>-666.106060277613 310.719162988264 302.308729076181</t>
  </si>
  <si>
    <t>-730.507937007761 286.555525245976 745.052656958948</t>
  </si>
  <si>
    <t>-642.334177137808 402.270216407599 807.684852354996</t>
  </si>
  <si>
    <t>-695.74667756284 -5.03724780262701 338.477477494944</t>
  </si>
  <si>
    <t>-704.162189622217 74.2615318575586 779.052773700479</t>
  </si>
  <si>
    <t>-593.580644244189 -14.2712968401315 849.911329484655</t>
  </si>
  <si>
    <t>9763-20170724T111007.218613500.bin</t>
  </si>
  <si>
    <t>-718.15292102164 45.4107542721986 -58.9265455652812</t>
  </si>
  <si>
    <t>-763.486310212065 41.9145371629411 -165.45771410841</t>
  </si>
  <si>
    <t>-781.12611082751 40.6152563454843 -262.482457730607</t>
  </si>
  <si>
    <t>-788.885733656317 39.3593041067529 -351.231905685029</t>
  </si>
  <si>
    <t>-788.063595937699 37.5747652822629 -440.307049073276</t>
  </si>
  <si>
    <t>-777.951253412436 34.1147853344437 -564.43024134844</t>
  </si>
  <si>
    <t>-747.66060834489 16.0826012051539 -639.678917286793</t>
  </si>
  <si>
    <t>-778.949676032389 63.1263850003875 -510.294833727296</t>
  </si>
  <si>
    <t>-757.609901676168 197.703988746478 -492.071635781707</t>
  </si>
  <si>
    <t>-752.697779543003 281.862424841028 -210.141660017371</t>
  </si>
  <si>
    <t>-624.620950948208 78.2718711319239 -196.071583264106</t>
  </si>
  <si>
    <t>-785.852573863212 8.14843824312993 -509.324723750643</t>
  </si>
  <si>
    <t>-732.255389531204 140.279975678635 -57.2873064212731</t>
  </si>
  <si>
    <t>-665.822906047783 310.939838078976 302.318861481703</t>
  </si>
  <si>
    <t>-730.549494792225 286.575562740031 744.98144141184</t>
  </si>
  <si>
    <t>-642.220934659159 402.237938784643 807.491703102573</t>
  </si>
  <si>
    <t>-695.611283404829 -4.93021158807187 338.447835436263</t>
  </si>
  <si>
    <t>-704.155547863004 74.259097161284 779.068217336639</t>
  </si>
  <si>
    <t>-593.57349332924 -14.2769774564108 849.922185958433</t>
  </si>
  <si>
    <t>9763-20170724T111007.286622400.bin</t>
  </si>
  <si>
    <t>-718.180557784026 45.7513442405098 -58.9825836120492</t>
  </si>
  <si>
    <t>-763.691263443268 42.3052652493479 -165.43968681516</t>
  </si>
  <si>
    <t>-781.558970918732 41.0803167008603 -262.423704153709</t>
  </si>
  <si>
    <t>-789.552729341963 39.9021627925872 -351.15343013177</t>
  </si>
  <si>
    <t>-788.991786693741 38.2049304153784 -440.232207820939</t>
  </si>
  <si>
    <t>-779.268995757169 34.8747458334256 -564.390285999636</t>
  </si>
  <si>
    <t>-749.192419850407 16.5225909651285 -639.647129422754</t>
  </si>
  <si>
    <t>-780.050282795665 63.8238383986873 -510.217687567174</t>
  </si>
  <si>
    <t>-758.497865438437 198.352577585511 -491.910801670176</t>
  </si>
  <si>
    <t>-752.805836314309 282.415683663193 -209.967263506993</t>
  </si>
  <si>
    <t>-624.90496533792 78.6955091880031 -196.170112507206</t>
  </si>
  <si>
    <t>-787.044610490604 8.8565320512007 -509.291193582009</t>
  </si>
  <si>
    <t>-732.186809833886 140.462537597773 -57.3007572872046</t>
  </si>
  <si>
    <t>-665.551337048921 311.03907821012 302.307316061346</t>
  </si>
  <si>
    <t>-730.54730301415 286.558229642167 744.913244334653</t>
  </si>
  <si>
    <t>-642.103151871555 402.173689622462 807.34749834461</t>
  </si>
  <si>
    <t>-695.633926681221 -4.83551085280897 338.397197968847</t>
  </si>
  <si>
    <t>-704.190168781863 74.2004024923808 779.089408570733</t>
  </si>
  <si>
    <t>-593.510882711781 -14.2311464691038 849.92172579214</t>
  </si>
  <si>
    <t>9763-20170724T111007.320712800.bin</t>
  </si>
  <si>
    <t>-718.264242575566 45.9798840784497 -59.0220762387668</t>
  </si>
  <si>
    <t>-763.855875222916 42.5493754806735 -165.445147930501</t>
  </si>
  <si>
    <t>-781.827958190332 41.3349083026842 -262.409890453525</t>
  </si>
  <si>
    <t>-789.929877491882 40.1643979359201 -351.129914560339</t>
  </si>
  <si>
    <t>-789.489983905738 38.4721056892104 -440.209592522437</t>
  </si>
  <si>
    <t>-779.950177110825 35.1454954734431 -564.38176829368</t>
  </si>
  <si>
    <t>-749.991394426937 16.6566069757869 -639.652295101031</t>
  </si>
  <si>
    <t>-780.626989103477 64.0898935549608 -510.205375005867</t>
  </si>
  <si>
    <t>-758.97364542831 198.604805623964 -491.900334181236</t>
  </si>
  <si>
    <t>-752.868389783857 282.685598972582 -209.970689512214</t>
  </si>
  <si>
    <t>-625.062012095025 78.8984220427337 -196.288460722204</t>
  </si>
  <si>
    <t>-787.669384498362 9.12882406853987 -509.273932599281</t>
  </si>
  <si>
    <t>-732.249588078022 140.556257342904 -57.3219278153301</t>
  </si>
  <si>
    <t>-665.506183565716 311.078368487425 302.292072283997</t>
  </si>
  <si>
    <t>-730.506629916115 286.50327038347 744.890675822946</t>
  </si>
  <si>
    <t>-642.075377391424 402.143991905084 807.296196370434</t>
  </si>
  <si>
    <t>-695.771987256776 -4.78946371637039 338.362349879586</t>
  </si>
  <si>
    <t>-704.230071691456 74.1001621085388 779.098198302891</t>
  </si>
  <si>
    <t>-593.496650633763 -14.2671534580923 849.926269293777</t>
  </si>
  <si>
    <t>9763-20170724T111007.384577000.bin</t>
  </si>
  <si>
    <t>-718.658385306868 46.5107150315425 -59.0727620275939</t>
  </si>
  <si>
    <t>-764.348629432616 43.088059985605 -165.453542832252</t>
  </si>
  <si>
    <t>-782.444403128207 41.868903512217 -262.395399463823</t>
  </si>
  <si>
    <t>-790.673421197032 40.6877218602322 -351.103513226919</t>
  </si>
  <si>
    <t>-790.375534978997 38.9770583430595 -440.183400949934</t>
  </si>
  <si>
    <t>-781.04932478004 35.6157797658343 -564.370969940756</t>
  </si>
  <si>
    <t>-751.294844377182 16.8952206286226 -639.66535667707</t>
  </si>
  <si>
    <t>-781.588342636055 64.5695337725565 -510.198153746237</t>
  </si>
  <si>
    <t>-759.715251316254 199.043756898837 -491.918003134514</t>
  </si>
  <si>
    <t>-753.108416097452 283.061212833113 -209.980879909799</t>
  </si>
  <si>
    <t>-625.430235190771 79.1844453741442 -196.44092333712</t>
  </si>
  <si>
    <t>-788.718007832583 9.62023421425965 -509.246232978464</t>
  </si>
  <si>
    <t>-732.619719888009 140.868258356149 -57.3635897811562</t>
  </si>
  <si>
    <t>-665.533073053144 311.37354864868 302.194414364031</t>
  </si>
  <si>
    <t>-730.561177260067 286.596181740512 744.808024660693</t>
  </si>
  <si>
    <t>-642.069195276769 402.214202435442 807.169080306424</t>
  </si>
  <si>
    <t>-696.159831864791 -4.55102802719966 338.326157263486</t>
  </si>
  <si>
    <t>-704.243647099863 74.0329267361999 779.12090918653</t>
  </si>
  <si>
    <t>-593.54544116671 -14.3654293105369 849.96524073426</t>
  </si>
  <si>
    <t>9763-20170724T111007.418667000.bin</t>
  </si>
  <si>
    <t>-718.906967906662 46.5930869248446 -59.0810540072813</t>
  </si>
  <si>
    <t>-764.634462673139 43.1907327382214 -165.446672484834</t>
  </si>
  <si>
    <t>-782.762239576735 41.9834940902911 -262.382570176761</t>
  </si>
  <si>
    <t>-791.020097971194 40.8101407881595 -351.088156758494</t>
  </si>
  <si>
    <t>-790.751084394225 39.1029385978823 -440.168219728963</t>
  </si>
  <si>
    <t>-781.465001406571 35.7414917680267 -564.358780989934</t>
  </si>
  <si>
    <t>-751.780596679519 16.938329782161 -639.660065438728</t>
  </si>
  <si>
    <t>-781.963242851066 64.6923789981479 -510.183898567449</t>
  </si>
  <si>
    <t>-759.956079656095 199.146516427266 -491.893769408556</t>
  </si>
  <si>
    <t>-753.262856851351 283.109934774899 -209.942584233969</t>
  </si>
  <si>
    <t>-625.644368481486 79.193121158974 -196.439639661363</t>
  </si>
  <si>
    <t>-789.139724235727 9.74914063209962 -509.233300059819</t>
  </si>
  <si>
    <t>-732.8201888418 140.898171060629 -57.3620191090286</t>
  </si>
  <si>
    <t>-665.485889603074 311.448527457621 302.128378506046</t>
  </si>
  <si>
    <t>-730.509370774031 286.553875917748 744.741765727273</t>
  </si>
  <si>
    <t>-642.042170258688 402.192670006285 807.099885101419</t>
  </si>
  <si>
    <t>-696.351339652348 -4.53204022994214 338.319739736005</t>
  </si>
  <si>
    <t>-704.288786903936 73.8982460794377 779.13464774146</t>
  </si>
  <si>
    <t>-593.390326444076 -14.2511111152107 849.976202779055</t>
  </si>
  <si>
    <t>9763-20170724T111007.482882100.bin</t>
  </si>
  <si>
    <t>-719.26418355807 46.8098264527248 -59.1883468431506</t>
  </si>
  <si>
    <t>-765.037522402565 43.4239512109584 -165.53468289091</t>
  </si>
  <si>
    <t>-783.240770806793 42.2159700179704 -262.456562446724</t>
  </si>
  <si>
    <t>-791.581633380495 41.0372911192662 -351.154353582088</t>
  </si>
  <si>
    <t>-791.410091223737 39.320084901804 -440.234431874116</t>
  </si>
  <si>
    <t>-782.275920162852 35.9403418189063 -564.435610579516</t>
  </si>
  <si>
    <t>-752.728579045013 17.0710164322131 -639.774475709064</t>
  </si>
  <si>
    <t>-782.66275751998 64.8933445861053 -510.261007101942</t>
  </si>
  <si>
    <t>-760.420465390001 199.317100267666 -492.00730917968</t>
  </si>
  <si>
    <t>-753.479955792447 283.150002114639 -210.02309155762</t>
  </si>
  <si>
    <t>-626.045862269832 79.1211914054356 -196.472360430177</t>
  </si>
  <si>
    <t>-789.92808151035 9.96185960389357 -509.300504632398</t>
  </si>
  <si>
    <t>-733.025130224765 141.041951978059 -57.4999148312162</t>
  </si>
  <si>
    <t>-665.339793191813 311.507093335539 301.964963205328</t>
  </si>
  <si>
    <t>-730.496308200432 286.622431830111 744.57085768925</t>
  </si>
  <si>
    <t>-641.979574695377 402.20964513009 806.953376960954</t>
  </si>
  <si>
    <t>-696.526859759662 -4.343208964724 338.269091701035</t>
  </si>
  <si>
    <t>-704.275128269145 73.8674104900742 779.150997698356</t>
  </si>
  <si>
    <t>-593.60872468556 -14.5496375170865 850.022062311486</t>
  </si>
  <si>
    <t>9763-20170724T111007.519964800.bin</t>
  </si>
  <si>
    <t>-719.429385403127 46.8630795268555 -59.2722112843131</t>
  </si>
  <si>
    <t>-765.225544024019 43.4653838168902 -165.608419983118</t>
  </si>
  <si>
    <t>-783.475033763314 42.2436936481704 -262.521262578614</t>
  </si>
  <si>
    <t>-791.868411374172 41.0536584589704 -351.213886947445</t>
  </si>
  <si>
    <t>-791.760247625084 39.3261486341694 -440.293942730336</t>
  </si>
  <si>
    <t>-782.724739540061 35.9341156910473 -564.502125826384</t>
  </si>
  <si>
    <t>-753.232343997838 17.0433865203322 -639.857120044032</t>
  </si>
  <si>
    <t>-783.050195529583 64.8901000252135 -510.328762503183</t>
  </si>
  <si>
    <t>-760.692006711215 199.294980458483 -492.099302127726</t>
  </si>
  <si>
    <t>-753.531370961551 283.208149032758 -210.14440691299</t>
  </si>
  <si>
    <t>-626.228843222638 79.1011882660664 -196.531089584071</t>
  </si>
  <si>
    <t>-790.351322395579 9.96361525740667 -509.359800189203</t>
  </si>
  <si>
    <t>-733.122247218785 141.063590929129 -57.6313877616235</t>
  </si>
  <si>
    <t>-665.383874157117 311.398782231142 301.885086978903</t>
  </si>
  <si>
    <t>-730.40974068828 286.535152915028 744.511179066564</t>
  </si>
  <si>
    <t>-641.960008499951 402.171113320015 806.899435117571</t>
  </si>
  <si>
    <t>-696.608116401272 -4.30908643189696 338.232305485162</t>
  </si>
  <si>
    <t>-704.272285579659 73.8290040792303 779.152355222815</t>
  </si>
  <si>
    <t>-593.554045584445 -14.520813130147 850.026112621838</t>
  </si>
  <si>
    <t>9763-20170724T111007.589152500.bin</t>
  </si>
  <si>
    <t>-719.902547880863 46.830143986745 -59.3751000465919</t>
  </si>
  <si>
    <t>-765.76043438643 43.4188078801963 -165.684260415117</t>
  </si>
  <si>
    <t>-784.0972684164 42.1576229331076 -262.580257808466</t>
  </si>
  <si>
    <t>-792.584415029768 40.9226364538517 -351.263254506181</t>
  </si>
  <si>
    <t>-792.584586484754 39.1422946214298 -440.342267021185</t>
  </si>
  <si>
    <t>-783.715878010115 35.6685453830064 -564.560220937686</t>
  </si>
  <si>
    <t>-754.29841681078 16.7285455061592 -639.932164754261</t>
  </si>
  <si>
    <t>-783.936376552159 64.6557996547026 -510.403017847033</t>
  </si>
  <si>
    <t>-761.389700449792 199.04200464072 -492.245909963459</t>
  </si>
  <si>
    <t>-753.651781038719 283.15886530955 -210.367108586042</t>
  </si>
  <si>
    <t>-626.611290121001 78.8953837452659 -196.654676306816</t>
  </si>
  <si>
    <t>-791.300794025228 9.7385501353283 -509.393093665547</t>
  </si>
  <si>
    <t>-733.572236271587 141.064767705133 -57.8018968434172</t>
  </si>
  <si>
    <t>-665.632160724734 311.246259953054 301.749280385796</t>
  </si>
  <si>
    <t>-730.507137010979 286.71768037241 744.436443562601</t>
  </si>
  <si>
    <t>-641.866710495591 402.217479366466 806.806793996612</t>
  </si>
  <si>
    <t>-696.878884127809 -4.21877633019176 338.170407575605</t>
  </si>
  <si>
    <t>-704.280659128808 73.7598784865868 779.152097880976</t>
  </si>
  <si>
    <t>-593.492768054918 -14.5029650453071 850.025164167841</t>
  </si>
  <si>
    <t>9763-20170724T111007.618237500.bin</t>
  </si>
  <si>
    <t>-720.177984734285 46.7774767833807 -59.3837388635924</t>
  </si>
  <si>
    <t>-766.070788099419 43.3568853429006 -165.677646736496</t>
  </si>
  <si>
    <t>-784.42227591229 42.0658264464355 -262.570325721718</t>
  </si>
  <si>
    <t>-792.916735939102 40.794044873644 -351.252168621314</t>
  </si>
  <si>
    <t>-792.918466736328 38.9657779769227 -440.330323236056</t>
  </si>
  <si>
    <t>-784.046739582151 35.4131433602097 -564.545723779778</t>
  </si>
  <si>
    <t>-754.639184513784 16.4199053256234 -639.90808001549</t>
  </si>
  <si>
    <t>-784.251328837126 64.4325858045027 -510.405623752766</t>
  </si>
  <si>
    <t>-761.658388310428 198.819159376263 -492.291438692481</t>
  </si>
  <si>
    <t>-753.747462045548 282.978078265998 -210.430094735454</t>
  </si>
  <si>
    <t>-626.762197061167 78.6820636002303 -196.689402658391</t>
  </si>
  <si>
    <t>-791.650042004825 9.52035573817511 -509.363589716308</t>
  </si>
  <si>
    <t>-733.877250759209 141.008189361828 -57.8135608244728</t>
  </si>
  <si>
    <t>-665.757009507514 311.21574446401 301.691159112117</t>
  </si>
  <si>
    <t>-730.520016497264 286.766663871452 744.395950750307</t>
  </si>
  <si>
    <t>-641.739920838639 402.160297027678 806.76317636331</t>
  </si>
  <si>
    <t>-697.080627143036 -4.25046261196167 338.16314113512</t>
  </si>
  <si>
    <t>-704.311030034374 73.6772780933602 779.158359919768</t>
  </si>
  <si>
    <t>-593.474842611082 -14.5300129919196 850.025226744639</t>
  </si>
  <si>
    <t>9763-20170724T111007.684071100.bin</t>
  </si>
  <si>
    <t>-720.538214554093 46.6681362933168 -59.3840603968042</t>
  </si>
  <si>
    <t>-766.482856338794 43.2297489296884 -165.65489058162</t>
  </si>
  <si>
    <t>-784.781637495196 41.8843837454228 -262.556882575224</t>
  </si>
  <si>
    <t>-793.188107251165 40.542225386132 -351.246068897133</t>
  </si>
  <si>
    <t>-793.063629000946 38.6200649762313 -440.322187261582</t>
  </si>
  <si>
    <t>-783.976594497624 34.9084239249505 -564.517404153842</t>
  </si>
  <si>
    <t>-754.51249606592 15.7525748731578 -639.816431519579</t>
  </si>
  <si>
    <t>-784.255489366987 63.9945740636922 -510.413479258787</t>
  </si>
  <si>
    <t>-761.630453755297 198.373444599209 -492.307802864029</t>
  </si>
  <si>
    <t>-753.752559616428 282.535875062646 -210.446367857225</t>
  </si>
  <si>
    <t>-626.650342885238 78.3092243301326 -196.756662719189</t>
  </si>
  <si>
    <t>-791.694970901819 9.08899590871579 -509.316912077126</t>
  </si>
  <si>
    <t>-734.196284276106 140.818269263831 -57.8248397616422</t>
  </si>
  <si>
    <t>-665.914301799881 311.203234344711 301.565249404683</t>
  </si>
  <si>
    <t>-730.388279846856 286.660544874016 744.295918309327</t>
  </si>
  <si>
    <t>-642.028046252121 402.362873020255 806.687621105922</t>
  </si>
  <si>
    <t>-697.374197021479 -4.32264275247917 338.173817277416</t>
  </si>
  <si>
    <t>-704.376088005152 73.5159588813722 779.184784709443</t>
  </si>
  <si>
    <t>-593.539873180613 -14.7050732406447 850.034229667105</t>
  </si>
  <si>
    <t>9763-20170724T111007.722172500.bin</t>
  </si>
  <si>
    <t>-720.69858342924 46.6596796573481 -59.401831229629</t>
  </si>
  <si>
    <t>-766.637808178549 43.2085541275746 -165.674616812067</t>
  </si>
  <si>
    <t>-784.880397604794 41.8318277618828 -262.586848094102</t>
  </si>
  <si>
    <t>-793.215525804196 40.4512860545747 -351.281988766296</t>
  </si>
  <si>
    <t>-792.999798816291 38.4787901904783 -440.356890078139</t>
  </si>
  <si>
    <t>-783.766487855555 34.6837351977188 -564.538809638668</t>
  </si>
  <si>
    <t>-754.237761369035 15.4336659177088 -639.78843395706</t>
  </si>
  <si>
    <t>-784.105302887478 63.8055706372734 -510.454432938584</t>
  </si>
  <si>
    <t>-761.508094132834 198.188584584756 -492.333956702216</t>
  </si>
  <si>
    <t>-753.785228206738 282.296222936093 -210.451960558471</t>
  </si>
  <si>
    <t>-626.573594567719 78.1350784180104 -196.806653658997</t>
  </si>
  <si>
    <t>-791.553765267492 8.90189188521708 -509.330351914118</t>
  </si>
  <si>
    <t>-734.362731389004 140.842518989638 -57.8618292669044</t>
  </si>
  <si>
    <t>-666.150953684039 311.330131923386 301.492896812744</t>
  </si>
  <si>
    <t>-730.439848636144 286.782540180793 744.24589252161</t>
  </si>
  <si>
    <t>-641.919736184533 402.352765650225 806.656084650863</t>
  </si>
  <si>
    <t>-697.53726356527 -4.32545747183985 338.172802885547</t>
  </si>
  <si>
    <t>-704.409678261239 73.429591767218 779.194183542092</t>
  </si>
  <si>
    <t>-593.438921563272 -14.6321716392722 850.031450101486</t>
  </si>
  <si>
    <t>9763-20170724T111007.784359300.bin</t>
  </si>
  <si>
    <t>-721.000983660436 46.7172845547207 -59.4945088750052</t>
  </si>
  <si>
    <t>-766.89758532539 43.191679446692 -165.783276787626</t>
  </si>
  <si>
    <t>-785.019368467593 41.7311265967373 -262.716865393154</t>
  </si>
  <si>
    <t>-793.21184031427 40.2612991553747 -351.424096938169</t>
  </si>
  <si>
    <t>-792.820658549547 38.1836978051169 -440.495721073011</t>
  </si>
  <si>
    <t>-783.309947176469 34.2226819782218 -564.651637301115</t>
  </si>
  <si>
    <t>-753.613645821023 14.7626957603984 -639.781155399164</t>
  </si>
  <si>
    <t>-783.76782342841 63.4165290965439 -510.607010770733</t>
  </si>
  <si>
    <t>-761.3150395826 197.814885036961 -492.430424234274</t>
  </si>
  <si>
    <t>-753.914817158572 281.858477093685 -210.52068451478</t>
  </si>
  <si>
    <t>-626.342534945152 77.9166095575142 -196.957722075027</t>
  </si>
  <si>
    <t>-791.222600727421 8.51480314827722 -509.426431245336</t>
  </si>
  <si>
    <t>-734.769894970245 140.878130327247 -57.9834814947118</t>
  </si>
  <si>
    <t>-666.945861034947 311.635920041668 301.316312944924</t>
  </si>
  <si>
    <t>-730.423377706021 286.842979612322 744.174518991721</t>
  </si>
  <si>
    <t>-642.010822327856 402.467476670776 806.636101005535</t>
  </si>
  <si>
    <t>-697.856657788861 -4.24575784399394 338.139009899308</t>
  </si>
  <si>
    <t>-704.39675804385 73.4329958589638 779.203622013408</t>
  </si>
  <si>
    <t>-593.539359884673 -14.7711893836236 850.041369742146</t>
  </si>
  <si>
    <t>9763-20170724T111007.816445400.bin</t>
  </si>
  <si>
    <t>-721.21016462959 46.7497039446666 -59.5307544082046</t>
  </si>
  <si>
    <t>-767.053366966663 43.1719720689812 -165.840642131011</t>
  </si>
  <si>
    <t>-785.107543744336 41.6670999606313 -262.78626308157</t>
  </si>
  <si>
    <t>-793.229674145705 40.1561718382363 -351.499225513259</t>
  </si>
  <si>
    <t>-792.760730946874 38.0357078305901 -440.569465924301</t>
  </si>
  <si>
    <t>-783.133193028736 34.0117946645523 -564.714366789933</t>
  </si>
  <si>
    <t>-753.334379025484 14.4798826319075 -639.784864848989</t>
  </si>
  <si>
    <t>-783.651570243999 63.2343644057423 -510.685799294297</t>
  </si>
  <si>
    <t>-761.298497178811 197.643165290714 -492.474705223619</t>
  </si>
  <si>
    <t>-754.018946492424 281.684063550477 -210.561049716669</t>
  </si>
  <si>
    <t>-626.237496134238 77.8718195927772 -197.021267367794</t>
  </si>
  <si>
    <t>-791.087909553481 8.33057787510552 -509.482965857847</t>
  </si>
  <si>
    <t>-735.060905801146 140.905559611847 -58.0485740622826</t>
  </si>
  <si>
    <t>-667.392210428103 311.750269237339 301.239131558838</t>
  </si>
  <si>
    <t>-730.437276139965 286.893706401528 744.157745280226</t>
  </si>
  <si>
    <t>-642.126972184834 402.585321763112 806.63972251579</t>
  </si>
  <si>
    <t>-698.137078568908 -4.22415854897281 338.126838416159</t>
  </si>
  <si>
    <t>-704.415987044106 73.3826131626683 779.212167475495</t>
  </si>
  <si>
    <t>-593.546927517793 -14.8112144385959 850.044610081205</t>
  </si>
  <si>
    <t>9763-20170724T111007.884137700.bin</t>
  </si>
  <si>
    <t>-721.829113402909 46.9228637116416 -59.589045244511</t>
  </si>
  <si>
    <t>-767.541830042072 43.2555332637357 -165.952193614857</t>
  </si>
  <si>
    <t>-785.487309718973 41.6899345398024 -262.916991240744</t>
  </si>
  <si>
    <t>-793.513598305962 40.1284551535391 -351.637811069515</t>
  </si>
  <si>
    <t>-792.951464560987 37.9622581964404 -440.706525912197</t>
  </si>
  <si>
    <t>-783.197860446513 33.8792203347607 -564.839604558613</t>
  </si>
  <si>
    <t>-753.223919338447 14.3100156964979 -639.830395692334</t>
  </si>
  <si>
    <t>-783.809476769054 63.1325984170426 -510.828691048358</t>
  </si>
  <si>
    <t>-761.714172505376 197.578739704297 -492.596672437114</t>
  </si>
  <si>
    <t>-754.662889724493 281.64508919295 -210.684703410495</t>
  </si>
  <si>
    <t>-626.477925147285 78.0923189452342 -197.05514776777</t>
  </si>
  <si>
    <t>-791.170590797467 8.21925644239491 -509.600762139349</t>
  </si>
  <si>
    <t>-735.851549047942 141.017745087051 -58.111839429753</t>
  </si>
  <si>
    <t>-668.296998288841 312.097497609664 301.085596522058</t>
  </si>
  <si>
    <t>-730.453919588581 286.972393860021 744.121798095972</t>
  </si>
  <si>
    <t>-642.132871886398 402.643702665051 806.626537342222</t>
  </si>
  <si>
    <t>-699.097733674577 -4.20131080023612 338.099185375732</t>
  </si>
  <si>
    <t>-704.50782243757 73.1444174140497 779.247223538052</t>
  </si>
  <si>
    <t>-593.327046348586 -14.6812948970078 850.048018007358</t>
  </si>
  <si>
    <t>9763-20170724T111007.917225200.bin</t>
  </si>
  <si>
    <t>-722.118710826242 47.096907864011 -59.6148197147771</t>
  </si>
  <si>
    <t>-767.736499191576 43.4098809992784 -166.017947353507</t>
  </si>
  <si>
    <t>-785.61418634526 41.8215406638624 -262.99482186256</t>
  </si>
  <si>
    <t>-793.586383331758 40.2377794167178 -351.720164546627</t>
  </si>
  <si>
    <t>-792.977455233669 38.0482090238047 -440.787989004283</t>
  </si>
  <si>
    <t>-783.166811729198 33.9322056959036 -564.915413843675</t>
  </si>
  <si>
    <t>-753.1154622532 14.3717344783495 -639.877600280555</t>
  </si>
  <si>
    <t>-783.829279475377 63.2033294227058 -510.914763879118</t>
  </si>
  <si>
    <t>-761.884693303289 197.679118804944 -492.690420695674</t>
  </si>
  <si>
    <t>-755.046280184295 281.833161782565 -210.799423216334</t>
  </si>
  <si>
    <t>-626.634402976202 78.4298550642839 -197.074292320812</t>
  </si>
  <si>
    <t>-791.138489335662 8.28357175031124 -509.671386646734</t>
  </si>
  <si>
    <t>-736.177273060152 141.141054724513 -58.1267435967935</t>
  </si>
  <si>
    <t>-668.665012017645 312.372895356109 301.006144865433</t>
  </si>
  <si>
    <t>-730.480798869004 287.044739392738 744.077383082241</t>
  </si>
  <si>
    <t>-642.123156473458 402.678331548315 806.600198448165</t>
  </si>
  <si>
    <t>-699.642741288945 -4.10490033025553 338.08533040992</t>
  </si>
  <si>
    <t>-704.507788471848 73.1198604056599 779.255626163437</t>
  </si>
  <si>
    <t>-593.472234646853 -14.8806718388068 850.067150699877</t>
  </si>
  <si>
    <t>9763-20170724T111007.986908000.bin</t>
  </si>
  <si>
    <t>-722.630109442305 47.4665571491232 -59.7311487315876</t>
  </si>
  <si>
    <t>-767.986790788405 43.7457484009428 -166.244657764363</t>
  </si>
  <si>
    <t>-785.662819242223 42.1064101694665 -263.257756865407</t>
  </si>
  <si>
    <t>-793.466003640641 40.4693598323788 -351.997112313028</t>
  </si>
  <si>
    <t>-792.703218719263 38.221712612763 -441.062297343248</t>
  </si>
  <si>
    <t>-782.694924835158 34.021291038086 -565.171231139638</t>
  </si>
  <si>
    <t>-752.520561455601 14.4852085212583 -640.090294173493</t>
  </si>
  <si>
    <t>-783.49916741967 63.3363844768933 -511.19626844911</t>
  </si>
  <si>
    <t>-761.888815690973 197.877018002535 -493.054198230953</t>
  </si>
  <si>
    <t>-755.590565347054 282.29536222611 -211.229585149799</t>
  </si>
  <si>
    <t>-626.712693915046 79.2024702173348 -197.276255423129</t>
  </si>
  <si>
    <t>-790.699360266462 8.40291143551576 -509.917634291439</t>
  </si>
  <si>
    <t>-736.669894792963 141.40244924603 -58.269798559363</t>
  </si>
  <si>
    <t>-669.309501446762 312.81821004715 300.803732418828</t>
  </si>
  <si>
    <t>-730.411019777815 287.179622230319 743.85439866736</t>
  </si>
  <si>
    <t>-642.322378350673 402.887964004288 806.617498080291</t>
  </si>
  <si>
    <t>-700.774718864015 -3.94266473901325 338.031059739469</t>
  </si>
  <si>
    <t>-704.564729456107 72.9280178006034 779.285551725132</t>
  </si>
  <si>
    <t>-593.396958903626 -14.9120434358451 850.088974100975</t>
  </si>
  <si>
    <t>9763-20170724T111008.020999700.bin</t>
  </si>
  <si>
    <t>-722.875498355848 47.6988698506339 -59.851892833082</t>
  </si>
  <si>
    <t>-768.087309901734 43.968908534996 -166.42681041775</t>
  </si>
  <si>
    <t>-785.644395140725 42.2983361382749 -263.4608972814</t>
  </si>
  <si>
    <t>-793.344887697824 40.6253868967324 -352.208462817083</t>
  </si>
  <si>
    <t>-792.485354742084 38.335589738967 -441.271845330962</t>
  </si>
  <si>
    <t>-782.349470532638 34.0713746645506 -565.368163102226</t>
  </si>
  <si>
    <t>-752.120674236678 14.528123298111 -640.263417287372</t>
  </si>
  <si>
    <t>-783.23564756028 63.4176140266181 -511.411502013489</t>
  </si>
  <si>
    <t>-761.774942159363 197.987691162652 -493.311472586953</t>
  </si>
  <si>
    <t>-755.75277661966 282.51114016873 -211.512278446583</t>
  </si>
  <si>
    <t>-626.625066343705 79.5839187101415 -197.461026961279</t>
  </si>
  <si>
    <t>-790.384076669896 8.47801486846993 -510.107525020874</t>
  </si>
  <si>
    <t>-736.882714364164 141.700033894937 -58.4648112150142</t>
  </si>
  <si>
    <t>-669.614257202713 313.180459758325 300.595264251359</t>
  </si>
  <si>
    <t>-730.418644117044 287.491681240116 743.576446310643</t>
  </si>
  <si>
    <t>-642.279489841571 402.939853124036 806.746906008591</t>
  </si>
  <si>
    <t>-701.194318020998 -3.83850803512223 337.973596708604</t>
  </si>
  <si>
    <t>-704.574791486487 72.8597800437137 779.275939032389</t>
  </si>
  <si>
    <t>-593.329884163457 -14.8833792660571 850.07838017404</t>
  </si>
  <si>
    <t>9763-20170724T111008.084186600.bin</t>
  </si>
  <si>
    <t>-722.860235602489 47.9832934820211 -60.0055593159252</t>
  </si>
  <si>
    <t>-767.842653290536 44.2142607076116 -166.676058919394</t>
  </si>
  <si>
    <t>-785.234923981351 42.4900348400997 -263.738909062735</t>
  </si>
  <si>
    <t>-792.8033710693 40.7636229225836 -352.496869959633</t>
  </si>
  <si>
    <t>-791.830231368395 38.4182565901524 -441.557489637552</t>
  </si>
  <si>
    <t>-781.555092306587 34.0762532270023 -565.639668972443</t>
  </si>
  <si>
    <t>-751.259190204115 14.5297264835699 -640.50700929526</t>
  </si>
  <si>
    <t>-782.542928295079 63.4617129386993 -511.706071166369</t>
  </si>
  <si>
    <t>-761.272985217646 198.076524829059 -493.698701757478</t>
  </si>
  <si>
    <t>-755.751947337977 282.772512130724 -211.941068355866</t>
  </si>
  <si>
    <t>-626.312611227098 80.057493395143 -197.695245867342</t>
  </si>
  <si>
    <t>-789.610232946761 8.51233433257312 -510.368524502333</t>
  </si>
  <si>
    <t>-736.813594097461 142.233369472048 -58.6766525583516</t>
  </si>
  <si>
    <t>-669.876973079925 314.15716570838 300.233361796039</t>
  </si>
  <si>
    <t>-730.405336329788 288.073212466722 743.266915890094</t>
  </si>
  <si>
    <t>-642.369544737891 403.243373199082 807.085697304642</t>
  </si>
  <si>
    <t>-701.344811642595 -3.69450476409656 337.882604391619</t>
  </si>
  <si>
    <t>-704.535998134923 72.8694333074604 779.231462252367</t>
  </si>
  <si>
    <t>-593.353270505592 -14.948681855195 850.03878221212</t>
  </si>
  <si>
    <t>9763-20170724T111008.117274500.bin</t>
  </si>
  <si>
    <t>-722.57726786019 47.936146762117 -60.002810925444</t>
  </si>
  <si>
    <t>-767.484535584363 44.1292748486435 -166.703480928032</t>
  </si>
  <si>
    <t>-784.821323687891 42.368751154851 -263.775691979259</t>
  </si>
  <si>
    <t>-792.343894831971 40.6086341077175 -352.536876701938</t>
  </si>
  <si>
    <t>-791.329932739192 38.2290853441541 -441.596133448312</t>
  </si>
  <si>
    <t>-781.00370506403 33.838638723375 -565.672317556617</t>
  </si>
  <si>
    <t>-750.674296473758 14.2711664977655 -640.520768368293</t>
  </si>
  <si>
    <t>-782.023864653828 63.2463223697373 -511.751572746563</t>
  </si>
  <si>
    <t>-760.800698910974 197.872438870522 -493.790617625335</t>
  </si>
  <si>
    <t>-755.436868304653 282.713635348708 -212.073677112738</t>
  </si>
  <si>
    <t>-625.916235925956 80.0585009097149 -197.7157185804</t>
  </si>
  <si>
    <t>-789.071557199067 8.29496033721171 -510.393647798958</t>
  </si>
  <si>
    <t>-736.547749835939 142.358553826472 -58.6758022761965</t>
  </si>
  <si>
    <t>-669.787661383412 314.504147434066 300.160802037083</t>
  </si>
  <si>
    <t>-730.453349408565 288.320046023114 743.200117989944</t>
  </si>
  <si>
    <t>-642.379463249142 403.369072447391 807.184164194829</t>
  </si>
  <si>
    <t>-701.150880441653 -3.73676821734261 337.899035579498</t>
  </si>
  <si>
    <t>-704.50617179246 72.901732674402 779.219253785154</t>
  </si>
  <si>
    <t>-593.359527948425 -14.9636794678122 850.024441795259</t>
  </si>
  <si>
    <t>9763-20170724T111008.185180100.bin</t>
  </si>
  <si>
    <t>-721.789172534017 47.6229674041674 -59.9526937257</t>
  </si>
  <si>
    <t>-766.621165253883 43.7235618219238 -166.681836739123</t>
  </si>
  <si>
    <t>-783.869032778061 41.8820704690834 -263.76825168062</t>
  </si>
  <si>
    <t>-791.301598855587 40.0467498888793 -352.535510584452</t>
  </si>
  <si>
    <t>-790.189187758345 37.5899495039553 -441.591556435338</t>
  </si>
  <si>
    <t>-779.716802048821 33.0893097704584 -565.651463893301</t>
  </si>
  <si>
    <t>-749.308949543977 13.4352323298394 -640.445315621623</t>
  </si>
  <si>
    <t>-780.814925287428 62.5467239069203 -511.759387617382</t>
  </si>
  <si>
    <t>-759.637847981296 197.189293300119 -493.899855876884</t>
  </si>
  <si>
    <t>-754.332971816722 282.428373856887 -212.301997794396</t>
  </si>
  <si>
    <t>-624.884238983304 79.7469725570977 -197.666344617777</t>
  </si>
  <si>
    <t>-787.835441891133 7.59289601089995 -510.358366850111</t>
  </si>
  <si>
    <t>-735.781163248604 142.338256871205 -58.6678214018599</t>
  </si>
  <si>
    <t>-669.426695993362 314.627422693136 300.174991794236</t>
  </si>
  <si>
    <t>-730.379454946213 288.431156446887 743.169089077439</t>
  </si>
  <si>
    <t>-642.362552059149 403.435731599691 807.311141100203</t>
  </si>
  <si>
    <t>-700.500394476889 -3.9246905851669 337.979738145462</t>
  </si>
  <si>
    <t>-704.443081313926 72.9210729790566 779.190208886734</t>
  </si>
  <si>
    <t>-593.356089814717 -15.0204368372101 849.994682761881</t>
  </si>
  <si>
    <t>9763-20170724T111008.218264400.bin</t>
  </si>
  <si>
    <t>-721.300343828237 47.3756061199701 -59.9316023324965</t>
  </si>
  <si>
    <t>-766.12676875883 43.4388092374534 -166.661737630434</t>
  </si>
  <si>
    <t>-783.346941555502 41.5513982805583 -263.752153454959</t>
  </si>
  <si>
    <t>-790.74544289608 39.669342346876 -352.521294469467</t>
  </si>
  <si>
    <t>-789.589991347337 37.1609806045585 -441.57526409193</t>
  </si>
  <si>
    <t>-779.049602822151 32.5837880552353 -565.626759689135</t>
  </si>
  <si>
    <t>-748.602147448202 12.8749893268582 -640.389991901654</t>
  </si>
  <si>
    <t>-780.181558791126 62.0749369589462 -511.753751558112</t>
  </si>
  <si>
    <t>-758.988010832492 196.728558013075 -493.95004665993</t>
  </si>
  <si>
    <t>-753.681292335914 282.195740018372 -212.421233433717</t>
  </si>
  <si>
    <t>-624.290284982243 79.4861974129494 -197.670225166022</t>
  </si>
  <si>
    <t>-787.194218298523 7.1209445599111 -510.321967306999</t>
  </si>
  <si>
    <t>-735.305330621992 142.221146776385 -58.6908750249733</t>
  </si>
  <si>
    <t>-669.143974230261 314.424528465659 300.22877393773</t>
  </si>
  <si>
    <t>-730.351500829957 288.421804874042 743.19683170288</t>
  </si>
  <si>
    <t>-642.347879611213 403.428602336916 807.353928580488</t>
  </si>
  <si>
    <t>-699.984216197426 -4.10047665293541 338.010955589703</t>
  </si>
  <si>
    <t>-704.405647487742 72.9252061970842 779.15859829994</t>
  </si>
  <si>
    <t>-593.330244868708 -15.0218300988322 849.974667518618</t>
  </si>
  <si>
    <t>9763-20170724T111008.282128000.bin</t>
  </si>
  <si>
    <t>-720.341767552651 47.034905218969 -59.9520150367347</t>
  </si>
  <si>
    <t>-765.100317140627 43.0265051774104 -166.707943395063</t>
  </si>
  <si>
    <t>-782.279793946957 41.0269466330128 -263.803396888745</t>
  </si>
  <si>
    <t>-789.652171628653 39.0275876015462 -352.572053275328</t>
  </si>
  <si>
    <t>-788.48170273529 36.3878990651706 -441.622119852902</t>
  </si>
  <si>
    <t>-777.931606883369 31.6148649308079 -565.665386107447</t>
  </si>
  <si>
    <t>-747.467934763499 11.7677444849669 -640.385244090456</t>
  </si>
  <si>
    <t>-779.048192943062 61.1886501502045 -511.837329235889</t>
  </si>
  <si>
    <t>-757.724053016168 195.844996738801 -494.208208072919</t>
  </si>
  <si>
    <t>-752.302896121475 281.668861355159 -212.790334668321</t>
  </si>
  <si>
    <t>-623.133356555762 78.8385158604397 -197.760817602377</t>
  </si>
  <si>
    <t>-786.100146515433 6.24195197702329 -510.322733006785</t>
  </si>
  <si>
    <t>-734.374885708369 142.048915259816 -58.824747045276</t>
  </si>
  <si>
    <t>-668.505744837784 313.810236883854 300.36044990173</t>
  </si>
  <si>
    <t>-730.316762825963 288.354851718256 743.27767045663</t>
  </si>
  <si>
    <t>-642.316230524405 403.393826923105 807.380753845014</t>
  </si>
  <si>
    <t>-698.919714915772 -4.45490437197759 338.062867933222</t>
  </si>
  <si>
    <t>-704.320435617604 72.94475143717 779.092037075153</t>
  </si>
  <si>
    <t>-593.294283989861 -15.0265423668866 849.955082365532</t>
  </si>
  <si>
    <t>9763-20170724T111008.314182600.bin</t>
  </si>
  <si>
    <t>-719.883879919389 46.9245931206087 -59.966482524341</t>
  </si>
  <si>
    <t>-764.600515558498 42.8888939276144 -166.738787125164</t>
  </si>
  <si>
    <t>-781.765249993262 40.8358063794058 -263.835770434871</t>
  </si>
  <si>
    <t>-789.133845791154 38.7780568250937 -352.603500071949</t>
  </si>
  <si>
    <t>-787.97102655799 36.0708303937286 -441.651528421402</t>
  </si>
  <si>
    <t>-777.443909626133 31.194712194032 -565.692819219054</t>
  </si>
  <si>
    <t>-746.994416204548 11.2695179949637 -640.397935513764</t>
  </si>
  <si>
    <t>-778.530023254256 60.8106313245526 -511.887259964918</t>
  </si>
  <si>
    <t>-757.08320729787 195.456697377597 -494.341836551368</t>
  </si>
  <si>
    <t>-751.489507013722 281.522010966037 -213.000886918348</t>
  </si>
  <si>
    <t>-622.517496360374 78.5779083564739 -197.808719830039</t>
  </si>
  <si>
    <t>-785.622655901638 5.87025975412462 -510.32948861698</t>
  </si>
  <si>
    <t>-733.940089573978 141.99968886581 -58.8911538915756</t>
  </si>
  <si>
    <t>-668.186664941222 313.506700671411 300.436800197487</t>
  </si>
  <si>
    <t>-730.364783799426 288.367242537169 743.340693972188</t>
  </si>
  <si>
    <t>-642.292181162113 403.389564558194 807.37471412852</t>
  </si>
  <si>
    <t>-698.406614957084 -4.53467891779428 338.093803987275</t>
  </si>
  <si>
    <t>-704.229182071173 73.0929388781947 779.065956790314</t>
  </si>
  <si>
    <t>-593.459713652247 -15.1749392292668 849.961656324749</t>
  </si>
  <si>
    <t>9763-20170724T111008.383379200.bin</t>
  </si>
  <si>
    <t>-719.002249296392 46.7347891790728 -59.9396287265049</t>
  </si>
  <si>
    <t>-763.684798461908 42.6486228776589 -166.724354857998</t>
  </si>
  <si>
    <t>-780.84119885255 40.5041637769086 -263.820864972755</t>
  </si>
  <si>
    <t>-788.213690202064 38.344901833505 -352.585858167275</t>
  </si>
  <si>
    <t>-787.066279933294 35.5164607498559 -441.630388972496</t>
  </si>
  <si>
    <t>-776.57462065099 30.4505849392071 -565.666908020922</t>
  </si>
  <si>
    <t>-746.184709411341 10.3567524339874 -640.35104161361</t>
  </si>
  <si>
    <t>-777.589261315566 60.1415229255776 -511.901476664363</t>
  </si>
  <si>
    <t>-755.81531528927 194.755831427566 -494.50318506844</t>
  </si>
  <si>
    <t>-749.660460146145 281.372495693875 -213.343386826122</t>
  </si>
  <si>
    <t>-621.329142928497 78.0494016409029 -197.800320937406</t>
  </si>
  <si>
    <t>-784.793608525988 5.21798984541147 -510.267637189142</t>
  </si>
  <si>
    <t>-733.070518366877 141.820825797077 -58.9063593891079</t>
  </si>
  <si>
    <t>-667.420439742481 313.04657274265 300.574474301407</t>
  </si>
  <si>
    <t>-730.347779191533 288.187900579987 743.447278094147</t>
  </si>
  <si>
    <t>-642.234841340141 403.294241968277 807.275039925387</t>
  </si>
  <si>
    <t>-697.522140526127 -4.73435051735851 338.181767705004</t>
  </si>
  <si>
    <t>-704.099870968037 73.3226032375196 779.046973592804</t>
  </si>
  <si>
    <t>-593.5778713895 -15.2362792641802 849.966037773664</t>
  </si>
  <si>
    <t>9763-20170724T111008.417464200.bin</t>
  </si>
  <si>
    <t>-718.521100936668 46.6893851733807 -59.8982742288961</t>
  </si>
  <si>
    <t>-763.190596591197 42.5955238060878 -166.688278056393</t>
  </si>
  <si>
    <t>-780.340060460162 40.4173588266831 -263.785185164875</t>
  </si>
  <si>
    <t>-787.708809653189 38.2166364437194 -352.549541341212</t>
  </si>
  <si>
    <t>-786.561454331366 35.3353616046616 -441.592291713387</t>
  </si>
  <si>
    <t>-776.074115534585 30.1832455115859 -565.625577028688</t>
  </si>
  <si>
    <t>-745.722989496129 10.0127575290799 -640.304895686143</t>
  </si>
  <si>
    <t>-777.059687402445 59.908230902668 -511.878364855382</t>
  </si>
  <si>
    <t>-755.120741294516 194.501154364898 -494.556792693022</t>
  </si>
  <si>
    <t>-748.690639285439 281.345212108309 -213.473254013442</t>
  </si>
  <si>
    <t>-620.670068121722 77.8370022331651 -197.788108940833</t>
  </si>
  <si>
    <t>-784.318604715884 4.99274021672727 -510.211047796843</t>
  </si>
  <si>
    <t>-732.576901008286 141.815236287069 -58.8980574689671</t>
  </si>
  <si>
    <t>-666.992106281342 312.953458686061 300.636433076785</t>
  </si>
  <si>
    <t>-730.37097402662 288.168017462453 743.44416781182</t>
  </si>
  <si>
    <t>-642.12438759156 403.213891894455 807.196408334269</t>
  </si>
  <si>
    <t>-697.116072086895 -4.83319658052369 338.240917880965</t>
  </si>
  <si>
    <t>-704.054422478315 73.4184158261664 779.04867448315</t>
  </si>
  <si>
    <t>-593.693816453106 -15.3403256956394 849.96936083811</t>
  </si>
  <si>
    <t>9763-20170724T111008.484287700.bin</t>
  </si>
  <si>
    <t>-717.533325123795 46.6166964251347 -59.8236178312068</t>
  </si>
  <si>
    <t>-762.144117808838 42.5449249698158 -166.638815663706</t>
  </si>
  <si>
    <t>-779.272288152557 40.3326650337026 -263.738811197789</t>
  </si>
  <si>
    <t>-786.636248278271 38.0811840986134 -352.502217769017</t>
  </si>
  <si>
    <t>-785.500063324876 35.1290401494821 -441.542847749662</t>
  </si>
  <si>
    <t>-775.045659932826 29.8576477345605 -565.574025320954</t>
  </si>
  <si>
    <t>-744.776950831542 9.57423093807256 -640.256137785177</t>
  </si>
  <si>
    <t>-775.968331769829 59.6279070526321 -511.850642701579</t>
  </si>
  <si>
    <t>-753.754648681234 194.188493730205 -494.609723639091</t>
  </si>
  <si>
    <t>-746.878998145384 281.269169735543 -213.609964474187</t>
  </si>
  <si>
    <t>-619.279034793504 77.5139679802542 -197.7065257726</t>
  </si>
  <si>
    <t>-783.323969549791 4.72693650553038 -510.137292691021</t>
  </si>
  <si>
    <t>-731.41398632577 141.750822513788 -58.8566638131158</t>
  </si>
  <si>
    <t>-665.982823180255 312.851023465956 300.723893155185</t>
  </si>
  <si>
    <t>-730.277082615941 287.925610911588 743.436167294447</t>
  </si>
  <si>
    <t>-642.106457105084 403.137264771766 806.993781717476</t>
  </si>
  <si>
    <t>-696.58891356597 -5.10112174228971 338.360138683795</t>
  </si>
  <si>
    <t>-704.046732418487 73.4404221060108 779.081812004828</t>
  </si>
  <si>
    <t>-593.605819890494 -15.2436876012698 849.970994287764</t>
  </si>
  <si>
    <t>9763-20170724T111008.517376900.bin</t>
  </si>
  <si>
    <t>-717.122410668625 46.6186537353256 -59.7848751782088</t>
  </si>
  <si>
    <t>-761.691750463558 42.5722179732384 -166.61839007162</t>
  </si>
  <si>
    <t>-778.807400939109 40.3532630354812 -263.720492358544</t>
  </si>
  <si>
    <t>-786.171762439516 38.0852706877081 -352.483359643609</t>
  </si>
  <si>
    <t>-785.047783287528 35.1064968878418 -441.523279573441</t>
  </si>
  <si>
    <t>-774.624082449644 29.7883037515189 -565.554929798169</t>
  </si>
  <si>
    <t>-744.397264210739 9.46601809280992 -640.243548841897</t>
  </si>
  <si>
    <t>-775.513386260791 59.576233016177 -511.840964096785</t>
  </si>
  <si>
    <t>-753.193054972987 194.124017275393 -494.632904710589</t>
  </si>
  <si>
    <t>-746.17357714666 281.211189313739 -213.638696353429</t>
  </si>
  <si>
    <t>-618.7017677365 77.3799944109173 -197.680052011878</t>
  </si>
  <si>
    <t>-782.908333368332 4.68102751980769 -510.108542809347</t>
  </si>
  <si>
    <t>-730.968601616136 141.700820579333 -58.7988580262846</t>
  </si>
  <si>
    <t>-665.523942114851 312.765485893973 300.796145682434</t>
  </si>
  <si>
    <t>-730.254518420285 287.730513039943 743.490251162454</t>
  </si>
  <si>
    <t>-642.097480260204 403.067045967764 806.839657079236</t>
  </si>
  <si>
    <t>-696.349728947778 -5.19654992297728 338.421432411592</t>
  </si>
  <si>
    <t>-704.033968277896 73.4698968830826 779.097102724704</t>
  </si>
  <si>
    <t>-593.596682496507 -15.2211873443416 849.982952836324</t>
  </si>
  <si>
    <t>9763-20170724T111008.582145300.bin</t>
  </si>
  <si>
    <t>-716.435188667688 46.4380435461644 -59.6990369841584</t>
  </si>
  <si>
    <t>-760.940800615318 42.428092703999 -166.560594320143</t>
  </si>
  <si>
    <t>-778.052353832084 40.2135015420035 -263.6633128483</t>
  </si>
  <si>
    <t>-785.436096775762 37.9426795654595 -352.424700733301</t>
  </si>
  <si>
    <t>-784.354137236271 34.956149427082 -441.464795761856</t>
  </si>
  <si>
    <t>-774.013816303062 29.6236793052367 -565.502958446214</t>
  </si>
  <si>
    <t>-743.86730618559 9.28012099992247 -640.218064215844</t>
  </si>
  <si>
    <t>-774.845869974696 59.4148862252846 -511.789851409714</t>
  </si>
  <si>
    <t>-752.368354917352 193.938523489408 -494.595980700464</t>
  </si>
  <si>
    <t>-745.066948366102 280.983039661252 -213.595676206163</t>
  </si>
  <si>
    <t>-617.753213873533 77.0563093350097 -197.596553735745</t>
  </si>
  <si>
    <t>-782.28247025668 4.5254720916314 -510.050129160329</t>
  </si>
  <si>
    <t>-730.219925879396 141.429344645882 -58.6998144702884</t>
  </si>
  <si>
    <t>-664.74077398633 312.324556802198 300.969474510748</t>
  </si>
  <si>
    <t>-730.203629509231 287.262587742229 743.568500786527</t>
  </si>
  <si>
    <t>-641.864987687223 402.723830077542 806.435667868643</t>
  </si>
  <si>
    <t>-695.848723260228 -5.39593405931464 338.534029126061</t>
  </si>
  <si>
    <t>-703.977292478183 73.5782512854371 779.126306070456</t>
  </si>
  <si>
    <t>-593.61791837654 -15.214136082629 850.006574882076</t>
  </si>
  <si>
    <t>9763-20170724T111008.615233500.bin</t>
  </si>
  <si>
    <t>-716.096653793526 46.3304488923941 -59.6780608622785</t>
  </si>
  <si>
    <t>-760.581138936906 42.3211066933645 -166.548557417102</t>
  </si>
  <si>
    <t>-777.692068276378 40.112830003523 -263.651451895261</t>
  </si>
  <si>
    <t>-785.082182883372 37.8518506635432 -352.41249087554</t>
  </si>
  <si>
    <t>-784.014290391834 34.8795752756041 -441.453297624588</t>
  </si>
  <si>
    <t>-773.700015333445 29.5725349578665 -565.494714252747</t>
  </si>
  <si>
    <t>-743.583649898844 9.233907365493 -640.223426619973</t>
  </si>
  <si>
    <t>-774.517286383109 59.352280312954 -511.775001810709</t>
  </si>
  <si>
    <t>-751.997791180796 193.866850095003 -494.568325801207</t>
  </si>
  <si>
    <t>-744.584737867752 280.91470105153 -213.57212611191</t>
  </si>
  <si>
    <t>-617.354170279246 76.9372783391145 -197.555664505815</t>
  </si>
  <si>
    <t>-781.960533676544 4.46348840410428 -510.045325705509</t>
  </si>
  <si>
    <t>-729.854060924418 141.321184012551 -58.7123407911727</t>
  </si>
  <si>
    <t>-664.429545559431 312.095803544508 301.024235829474</t>
  </si>
  <si>
    <t>-730.226917360008 287.162114098814 743.55296667899</t>
  </si>
  <si>
    <t>-641.93839059422 402.756218067135 806.245575666524</t>
  </si>
  <si>
    <t>-695.547637667413 -5.56607238030574 338.568959132831</t>
  </si>
  <si>
    <t>-703.999461468001 73.5324851913579 779.135971737345</t>
  </si>
  <si>
    <t>-593.578260288351 -15.1924602973895 850.004682885514</t>
  </si>
  <si>
    <t>9763-20170724T111008.683945600.bin</t>
  </si>
  <si>
    <t>-715.35907400203 46.3530391800659 -59.7046906587569</t>
  </si>
  <si>
    <t>-759.814163289633 42.3395997092402 -166.587171749041</t>
  </si>
  <si>
    <t>-776.934396993033 40.1484682991613 -263.689060033318</t>
  </si>
  <si>
    <t>-784.346943956595 37.9131816700037 -352.44872057561</t>
  </si>
  <si>
    <t>-783.314828570218 34.979000285341 -441.491162041117</t>
  </si>
  <si>
    <t>-773.063668201098 29.7383445633272 -565.540668742293</t>
  </si>
  <si>
    <t>-743.003723830034 9.42179280587334 -640.298127283853</t>
  </si>
  <si>
    <t>-773.864994183393 59.4908055092637 -511.80557474297</t>
  </si>
  <si>
    <t>-751.325316139215 193.997298204836 -494.557376473799</t>
  </si>
  <si>
    <t>-743.833070141563 280.987216708359 -213.545057808458</t>
  </si>
  <si>
    <t>-616.650413955514 76.980980824505 -197.517055079341</t>
  </si>
  <si>
    <t>-781.284364375364 4.5981314694136 -510.0997304305</t>
  </si>
  <si>
    <t>-729.081169177664 141.310135684546 -58.7728609196234</t>
  </si>
  <si>
    <t>-663.762251401955 311.941520646704 301.050625420125</t>
  </si>
  <si>
    <t>-730.189706779725 286.982607160623 743.443428125943</t>
  </si>
  <si>
    <t>-641.843959089835 402.639707222595 805.939789566235</t>
  </si>
  <si>
    <t>-695.021641151719 -5.78711785957375 338.591713708077</t>
  </si>
  <si>
    <t>-703.996540395908 73.5330719653366 779.140964043112</t>
  </si>
  <si>
    <t>-593.628762783839 -15.2646219668923 850.001512138439</t>
  </si>
  <si>
    <t>9763-20170724T111008.716033400.bin</t>
  </si>
  <si>
    <t>-714.97348178551 46.4001179631373 -59.7262167382426</t>
  </si>
  <si>
    <t>-759.396798906869 42.3834173214591 -166.621885439657</t>
  </si>
  <si>
    <t>-776.510414923311 40.1999443999143 -263.724925009849</t>
  </si>
  <si>
    <t>-783.925428253649 37.9769212685733 -352.48479875019</t>
  </si>
  <si>
    <t>-782.904272839221 35.0611028618996 -441.528038614852</t>
  </si>
  <si>
    <t>-772.676682309563 29.8534850882911 -565.580827147891</t>
  </si>
  <si>
    <t>-742.635794669669 9.55954105657702 -640.351978175438</t>
  </si>
  <si>
    <t>-773.480033150762 59.5932104068015 -511.838753707662</t>
  </si>
  <si>
    <t>-750.969014986202 194.101326711816 -494.563446859184</t>
  </si>
  <si>
    <t>-743.49183737101 281.054524702789 -213.539564202392</t>
  </si>
  <si>
    <t>-616.267283090854 77.0744685455834 -197.511220978119</t>
  </si>
  <si>
    <t>-780.874835967452 4.69694264288273 -510.143943326761</t>
  </si>
  <si>
    <t>-728.657696915585 141.32312482748 -58.8045307300257</t>
  </si>
  <si>
    <t>-663.351708995198 311.897706251654 301.048407052382</t>
  </si>
  <si>
    <t>-730.164931134174 286.934018410279 743.372921671451</t>
  </si>
  <si>
    <t>-641.939195936455 402.710270588884 805.818037617662</t>
  </si>
  <si>
    <t>-694.848313987646 -5.84038109799076 338.589523305033</t>
  </si>
  <si>
    <t>-703.996486328988 73.5313331910311 779.140408968043</t>
  </si>
  <si>
    <t>-593.642383121021 -15.2855859190945 849.997965776596</t>
  </si>
  <si>
    <t>9763-20170724T111008.751628300.bin</t>
  </si>
  <si>
    <t>-714.704434504765 46.4133565724278 -59.7592166110584</t>
  </si>
  <si>
    <t>-759.087667641926 42.4053535384983 -166.671832009389</t>
  </si>
  <si>
    <t>-776.175944859191 40.2263679444432 -263.779409779151</t>
  </si>
  <si>
    <t>-783.572448526773 38.0073582157329 -352.541005718232</t>
  </si>
  <si>
    <t>-782.536855802781 35.0960034825898 -441.584248120566</t>
  </si>
  <si>
    <t>-772.293992052717 29.8959849947792 -565.636045316849</t>
  </si>
  <si>
    <t>-742.253942449736 9.61453735671375 -640.410893198275</t>
  </si>
  <si>
    <t>-773.115415885026 59.6339560934593 -511.893297537173</t>
  </si>
  <si>
    <t>-750.65762492756 194.151763229265 -494.608669959765</t>
  </si>
  <si>
    <t>-743.212918672899 281.065581697284 -213.571817209105</t>
  </si>
  <si>
    <t>-615.887220873249 77.1474819802215 -197.559639168663</t>
  </si>
  <si>
    <t>-780.487772583791 4.7345510688383 -510.200661065687</t>
  </si>
  <si>
    <t>-728.369874591746 141.308293778604 -58.8535071389433</t>
  </si>
  <si>
    <t>-663.009084801722 311.773829556308 301.04123064439</t>
  </si>
  <si>
    <t>-730.070829326602 286.79492667254 743.303706522073</t>
  </si>
  <si>
    <t>-641.855633231088 402.599638812603 805.711123798241</t>
  </si>
  <si>
    <t>-694.778708716822 -5.86742844134233 338.574678025727</t>
  </si>
  <si>
    <t>-704.009711708102 73.4851598734508 779.131941251363</t>
  </si>
  <si>
    <t>-593.603684284128 -15.2693445375676 849.987009559683</t>
  </si>
  <si>
    <t>9763-20170724T111008.815378400.bin</t>
  </si>
  <si>
    <t>-714.387149904171 46.3473963041006 -59.8475610234467</t>
  </si>
  <si>
    <t>-758.691987637048 42.3360246841562 -166.792462447814</t>
  </si>
  <si>
    <t>-775.731773728267 40.1537304587409 -263.908495991546</t>
  </si>
  <si>
    <t>-783.092937785526 37.9331115466416 -352.672998036658</t>
  </si>
  <si>
    <t>-782.03066688874 35.023303602718 -441.715866408216</t>
  </si>
  <si>
    <t>-771.759355093918 29.829734233268 -565.76563837671</t>
  </si>
  <si>
    <t>-741.675031998771 9.58340929970609 -640.532260945425</t>
  </si>
  <si>
    <t>-772.620487164622 59.5686533957955 -512.023969860335</t>
  </si>
  <si>
    <t>-750.294039469142 194.101507628257 -494.717892613411</t>
  </si>
  <si>
    <t>-742.942434259923 280.912345052663 -213.646560114999</t>
  </si>
  <si>
    <t>-615.388301841199 77.1318991629537 -197.697407209543</t>
  </si>
  <si>
    <t>-779.937849989616 4.66185747723512 -510.331119684461</t>
  </si>
  <si>
    <t>-728.087418556394 141.168392957122 -58.9709020573263</t>
  </si>
  <si>
    <t>-662.561638309365 311.340146841228 301.032884015369</t>
  </si>
  <si>
    <t>-729.955711278516 286.634466544151 743.229147054037</t>
  </si>
  <si>
    <t>-641.96684269497 402.643444549119 805.576543806409</t>
  </si>
  <si>
    <t>-694.623173746715 -5.99466806975079 338.527692234827</t>
  </si>
  <si>
    <t>-704.003499654848 73.4655153512208 779.096335946457</t>
  </si>
  <si>
    <t>-593.611797340442 -15.3053094374368 849.953467765151</t>
  </si>
  <si>
    <t>9763-20170724T111008.883593200.bin</t>
  </si>
  <si>
    <t>-714.180253112412 46.2068695150047 -59.9162381365375</t>
  </si>
  <si>
    <t>-758.453286603399 42.1738477707163 -166.873573925053</t>
  </si>
  <si>
    <t>-775.471736623993 39.9975572373837 -263.993554096271</t>
  </si>
  <si>
    <t>-782.81507721305 37.793780304934 -352.75982317431</t>
  </si>
  <si>
    <t>-781.737398863072 34.91322606635 -441.803577524399</t>
  </si>
  <si>
    <t>-771.444972975097 29.7740047691095 -565.853825672779</t>
  </si>
  <si>
    <t>-741.217975204045 9.5643635855281 -640.572813831656</t>
  </si>
  <si>
    <t>-772.344567631023 59.4930845366771 -512.10177617392</t>
  </si>
  <si>
    <t>-750.170914930267 194.045835294693 -494.746738211088</t>
  </si>
  <si>
    <t>-742.849196928978 280.750362514283 -213.641953910391</t>
  </si>
  <si>
    <t>-615.049114998956 77.1189318737684 -197.761602757346</t>
  </si>
  <si>
    <t>-779.60377105584 4.57789470370108 -510.429080491433</t>
  </si>
  <si>
    <t>-727.957069792415 141.075387690099 -59.0632338165619</t>
  </si>
  <si>
    <t>-662.455850892879 311.02704204976 301.048865963279</t>
  </si>
  <si>
    <t>-730.014446411863 286.714666282502 743.230341183118</t>
  </si>
  <si>
    <t>-641.67464197128 402.484800670216 805.525671403701</t>
  </si>
  <si>
    <t>-694.439192497609 -6.11704251522178 338.48753546597</t>
  </si>
  <si>
    <t>-703.972672707325 73.506701611971 779.049893932132</t>
  </si>
  <si>
    <t>-593.623108625929 -15.3118374672918 849.912488415369</t>
  </si>
  <si>
    <t>9763-20170724T111008.917657100.bin</t>
  </si>
  <si>
    <t>-714.018985006232 46.1273211741868 -59.9180374853144</t>
  </si>
  <si>
    <t>-758.286994466102 42.0774429909779 -166.876786768737</t>
  </si>
  <si>
    <t>-775.312652432634 39.9146585166864 -263.995622977553</t>
  </si>
  <si>
    <t>-782.666605557098 37.7348814469192 -352.761740573391</t>
  </si>
  <si>
    <t>-781.602291534034 34.8905850055785 -441.806768341659</t>
  </si>
  <si>
    <t>-771.331336112818 29.8156976281916 -565.861502226308</t>
  </si>
  <si>
    <t>-741.017008526223 9.62782449440601 -640.55096221726</t>
  </si>
  <si>
    <t>-772.238682610275 59.5090621265722 -512.095358527337</t>
  </si>
  <si>
    <t>-750.14322004439 194.068797179508 -494.705258721279</t>
  </si>
  <si>
    <t>-742.840874870304 280.702233522664 -213.578146472114</t>
  </si>
  <si>
    <t>-614.952421764372 77.1232728788891 -197.734175598762</t>
  </si>
  <si>
    <t>-779.46359214041 4.58870627846272 -510.446827283695</t>
  </si>
  <si>
    <t>-727.814118487846 140.996095160192 -59.0591455859952</t>
  </si>
  <si>
    <t>-662.390714043609 310.962748197062 301.059888866345</t>
  </si>
  <si>
    <t>-729.975070369831 286.667910006331 743.233329238507</t>
  </si>
  <si>
    <t>-641.733696376046 402.517004732449 805.520778590208</t>
  </si>
  <si>
    <t>-694.330213681794 -6.2013455735455 338.47759936204</t>
  </si>
  <si>
    <t>-703.962661983051 73.515744776319 779.035600897643</t>
  </si>
  <si>
    <t>-593.685952574247 -15.3916179682055 849.900404771298</t>
  </si>
  <si>
    <t>9763-20170724T111008.987448500.bin</t>
  </si>
  <si>
    <t>-713.724915087007 45.9553189274216 -59.8779906752167</t>
  </si>
  <si>
    <t>-757.988805622549 41.8642919113177 -166.836795709037</t>
  </si>
  <si>
    <t>-775.031855155638 39.715814237527 -263.953052031955</t>
  </si>
  <si>
    <t>-782.408715089717 37.5693767438188 -352.718083469236</t>
  </si>
  <si>
    <t>-781.372881375956 34.779866802071 -441.765164060395</t>
  </si>
  <si>
    <t>-771.146328148071 29.8037660139025 -565.82747798456</t>
  </si>
  <si>
    <t>-740.632497317607 9.61977093073574 -640.436644256144</t>
  </si>
  <si>
    <t>-772.067635613253 59.4585994984136 -512.040356842388</t>
  </si>
  <si>
    <t>-750.127325319063 194.040202431855 -494.574137859163</t>
  </si>
  <si>
    <t>-742.912097948396 280.52528773679 -213.39894050944</t>
  </si>
  <si>
    <t>-614.771675600878 77.0972534316111 -197.648342437317</t>
  </si>
  <si>
    <t>-779.225448099954 4.52842089213982 -510.427163615689</t>
  </si>
  <si>
    <t>-727.566453359973 140.846365783823 -59.0008545545771</t>
  </si>
  <si>
    <t>-662.307366461124 310.977874747599 301.070352603303</t>
  </si>
  <si>
    <t>-729.939418764773 286.637803424027 743.221707602015</t>
  </si>
  <si>
    <t>-641.733692023887 402.512582531247 805.511822079084</t>
  </si>
  <si>
    <t>-694.181974279702 -6.33846094001638 338.508328077334</t>
  </si>
  <si>
    <t>-703.929966338388 73.5788442801309 779.024739531532</t>
  </si>
  <si>
    <t>-593.705057596779 -15.4013769556764 849.878781526245</t>
  </si>
  <si>
    <t>9763-20170724T111009.016534900.bin</t>
  </si>
  <si>
    <t>-713.617477478939 45.8072279150997 -59.8529602645825</t>
  </si>
  <si>
    <t>-757.881055793165 41.6982660211129 -166.811338378287</t>
  </si>
  <si>
    <t>-774.921854558625 39.5553172584441 -263.928174864986</t>
  </si>
  <si>
    <t>-782.2946801239 37.4224537459154 -352.693800825066</t>
  </si>
  <si>
    <t>-781.252928197468 34.6555372899597 -441.741395407706</t>
  </si>
  <si>
    <t>-771.015189273043 29.7205189898077 -565.804614377267</t>
  </si>
  <si>
    <t>-740.375551142713 9.5194032776667 -640.357523403885</t>
  </si>
  <si>
    <t>-771.962052101838 59.3601838975887 -512.009510005257</t>
  </si>
  <si>
    <t>-750.104744157052 193.944182495164 -494.513813705147</t>
  </si>
  <si>
    <t>-742.961218829544 280.390103988051 -213.324891616105</t>
  </si>
  <si>
    <t>-614.682823091933 77.047117985524 -197.604405312716</t>
  </si>
  <si>
    <t>-779.078241345498 4.4239991715167 -510.411431046104</t>
  </si>
  <si>
    <t>-727.500970352382 140.715548410015 -58.9714809425832</t>
  </si>
  <si>
    <t>-662.317547750697 310.929903173283 301.074200896669</t>
  </si>
  <si>
    <t>-729.935584306078 286.628207449209 743.225618400322</t>
  </si>
  <si>
    <t>-641.726300117816 402.503920845009 805.509029980515</t>
  </si>
  <si>
    <t>-694.15805308522 -6.4579805890744 338.527148768403</t>
  </si>
  <si>
    <t>-703.948627196685 73.5252891283953 779.022735736103</t>
  </si>
  <si>
    <t>-593.589534477315 -15.2989657854932 849.863718825906</t>
  </si>
  <si>
    <t>9763-20170724T111009.086236700.bin</t>
  </si>
  <si>
    <t>-713.553026662019 45.565447335212 -59.8548080910214</t>
  </si>
  <si>
    <t>-757.764911587418 41.4225959698106 -166.833225443869</t>
  </si>
  <si>
    <t>-774.778918655618 39.2592119281389 -263.954286844553</t>
  </si>
  <si>
    <t>-782.134484336337 37.1127087132777 -352.721038200665</t>
  </si>
  <si>
    <t>-781.082934445343 34.3380843780851 -441.768298257498</t>
  </si>
  <si>
    <t>-770.839140598394 29.3995430934378 -565.83078752912</t>
  </si>
  <si>
    <t>-739.908225371391 9.11911591443186 -640.241899868086</t>
  </si>
  <si>
    <t>-771.821885933522 59.0449761877844 -512.039579575124</t>
  </si>
  <si>
    <t>-750.115736351867 193.656070573367 -494.534620011266</t>
  </si>
  <si>
    <t>-743.131380924749 280.102125158916 -213.341605554641</t>
  </si>
  <si>
    <t>-614.604626506594 76.9159746679811 -197.620919378735</t>
  </si>
  <si>
    <t>-778.871895728181 4.10060524409073 -510.434571840465</t>
  </si>
  <si>
    <t>-727.536561913618 140.464422796989 -58.9940411394568</t>
  </si>
  <si>
    <t>-662.46795528882 310.710891732346 301.057190118713</t>
  </si>
  <si>
    <t>-729.900074679395 286.580010417997 743.242461019646</t>
  </si>
  <si>
    <t>-641.727638219988 402.486932875416 805.519972303442</t>
  </si>
  <si>
    <t>-694.253724624471 -6.68453051201641 338.548179377261</t>
  </si>
  <si>
    <t>-704.003449279659 73.3939719316786 779.030369447781</t>
  </si>
  <si>
    <t>-593.509148239683 -15.2778003147496 849.851405284353</t>
  </si>
  <si>
    <t>9763-20170724T111009.115305100.bin</t>
  </si>
  <si>
    <t>-713.603960717305 45.4908845900995 -59.875216685735</t>
  </si>
  <si>
    <t>-757.78236151013 41.3199496470488 -166.866397681552</t>
  </si>
  <si>
    <t>-774.778814451822 39.1240901902597 -263.989723293609</t>
  </si>
  <si>
    <t>-782.12452771004 36.9459339095356 -352.756534921294</t>
  </si>
  <si>
    <t>-781.068816408973 34.1388954431204 -441.802904725393</t>
  </si>
  <si>
    <t>-770.824782493355 29.1553494125342 -565.863448452447</t>
  </si>
  <si>
    <t>-739.812159602891 8.89342555525946 -640.245611740473</t>
  </si>
  <si>
    <t>-771.823699434316 58.8222883952881 -512.08441854452</t>
  </si>
  <si>
    <t>-750.190793474603 193.4516383755 -494.615588029139</t>
  </si>
  <si>
    <t>-743.281645476572 279.936993699163 -213.432634447559</t>
  </si>
  <si>
    <t>-614.652740656154 76.8201088645455 -197.651597304735</t>
  </si>
  <si>
    <t>-778.841651838582 3.87440350873976 -510.456619865405</t>
  </si>
  <si>
    <t>-727.60689293709 140.366557024867 -59.0299418965749</t>
  </si>
  <si>
    <t>-662.657167917243 310.608255666628 301.045108818145</t>
  </si>
  <si>
    <t>-729.906448404402 286.588995754399 743.260478466137</t>
  </si>
  <si>
    <t>-641.716010618208 402.481875822697 805.538253359873</t>
  </si>
  <si>
    <t>-694.385263216498 -6.70938206922983 338.546295835554</t>
  </si>
  <si>
    <t>-703.96295593267 73.4626632484537 779.023237988915</t>
  </si>
  <si>
    <t>-593.510494613992 -15.2564694318517 849.850282508729</t>
  </si>
  <si>
    <t>9763-20170724T111009.182994600.bin</t>
  </si>
  <si>
    <t>-713.779911484178 45.2838941010477 -59.8728735700466</t>
  </si>
  <si>
    <t>-757.85761423679 41.0299136190383 -166.902261318412</t>
  </si>
  <si>
    <t>-774.71691983248 38.6823756182589 -264.045981013961</t>
  </si>
  <si>
    <t>-781.921455872698 36.3344732456972 -352.819935267333</t>
  </si>
  <si>
    <t>-780.709603282086 33.3253585018379 -441.857664320568</t>
  </si>
  <si>
    <t>-770.235314678544 28.0259451945394 -565.885920330842</t>
  </si>
  <si>
    <t>-739.398237704644 7.96263735866523 -640.394844119159</t>
  </si>
  <si>
    <t>-771.34816900079 57.8315252906464 -512.185833638231</t>
  </si>
  <si>
    <t>-749.7608906995 192.490182039591 -494.919189308407</t>
  </si>
  <si>
    <t>-743.327432266012 279.453867515301 -213.872776830584</t>
  </si>
  <si>
    <t>-614.582977180229 76.432679945387 -197.805978330423</t>
  </si>
  <si>
    <t>-778.340975797093 2.88439208152249 -510.42868684363</t>
  </si>
  <si>
    <t>-727.844705111989 140.161013666544 -59.0849136515309</t>
  </si>
  <si>
    <t>-663.061954046452 310.480859299849 300.983067502118</t>
  </si>
  <si>
    <t>-729.988097012927 286.691402958186 743.281594645879</t>
  </si>
  <si>
    <t>-641.726528970133 402.531992035143 805.555590988125</t>
  </si>
  <si>
    <t>-694.645509070279 -6.84740381654274 338.575803157057</t>
  </si>
  <si>
    <t>-704.046703571355 73.2445870668057 779.033939318637</t>
  </si>
  <si>
    <t>-593.547114834898 -15.4156266551181 849.861359911238</t>
  </si>
  <si>
    <t>9763-20170724T111009.216088400.bin</t>
  </si>
  <si>
    <t>-713.840279275186 45.1448595456413 -59.8800157798865</t>
  </si>
  <si>
    <t>-757.844635617868 40.8391668169375 -166.937400606787</t>
  </si>
  <si>
    <t>-774.60180675772 38.4033042292049 -264.096705949785</t>
  </si>
  <si>
    <t>-781.699832742302 35.9561150644054 -352.87660100291</t>
  </si>
  <si>
    <t>-780.36888568618 32.8272874700833 -441.908482549987</t>
  </si>
  <si>
    <t>-769.718033367946 27.3387864873289 -565.913611492737</t>
  </si>
  <si>
    <t>-739.031232627961 7.3995911923148 -640.517570320416</t>
  </si>
  <si>
    <t>-770.901399618633 57.225384509472 -512.259956329878</t>
  </si>
  <si>
    <t>-749.302919399166 191.897985485362 -495.144571019934</t>
  </si>
  <si>
    <t>-743.101867116488 279.172675890836 -214.189265880603</t>
  </si>
  <si>
    <t>-614.37909545859 76.1608449434084 -197.832735320364</t>
  </si>
  <si>
    <t>-777.908596214839 2.2825585715691 -510.430080623926</t>
  </si>
  <si>
    <t>-727.963830741201 140.040823872464 -59.1261396575325</t>
  </si>
  <si>
    <t>-663.248013725374 310.405070618839 300.932772100635</t>
  </si>
  <si>
    <t>-729.979904830566 286.679844044914 743.274549880004</t>
  </si>
  <si>
    <t>-641.741093759959 402.535805167887 805.552715576014</t>
  </si>
  <si>
    <t>-694.760346844231 -6.92477156611903 338.606873909369</t>
  </si>
  <si>
    <t>-704.030867965052 73.2753834483487 779.041492309795</t>
  </si>
  <si>
    <t>-593.517434557026 -15.3703474551398 849.86525777478</t>
  </si>
  <si>
    <t>9763-20170724T111009.284997600.bin</t>
  </si>
  <si>
    <t>-713.817453403443 44.9215515053311 -59.9390183146959</t>
  </si>
  <si>
    <t>-757.6923127299 40.5211929310804 -167.045656832332</t>
  </si>
  <si>
    <t>-774.334376850021 37.9773998418473 -264.22198866661</t>
  </si>
  <si>
    <t>-781.329518440935 35.4213660967121 -353.006975778568</t>
  </si>
  <si>
    <t>-779.89767431718 32.1725349639319 -442.03309994795</t>
  </si>
  <si>
    <t>-769.109174352162 26.5044743704761 -566.018128759836</t>
  </si>
  <si>
    <t>-738.58397449426 6.76200706342752 -640.740736589669</t>
  </si>
  <si>
    <t>-770.343761222075 56.4677993270047 -512.408419931317</t>
  </si>
  <si>
    <t>-748.752740151432 191.161175244962 -495.450283931587</t>
  </si>
  <si>
    <t>-742.531117204316 278.887615623514 -214.636115642135</t>
  </si>
  <si>
    <t>-613.997713253709 75.797591941373 -197.767306329885</t>
  </si>
  <si>
    <t>-777.369557128662 1.52974815781454 -510.508367621432</t>
  </si>
  <si>
    <t>-727.936672889896 139.788111150923 -59.2826261093924</t>
  </si>
  <si>
    <t>-663.570172464956 310.183541189911 300.824140368153</t>
  </si>
  <si>
    <t>-729.938974153971 286.632041594343 743.245505324717</t>
  </si>
  <si>
    <t>-641.858583801948 402.593991598057 805.550841625589</t>
  </si>
  <si>
    <t>-694.906174943569 -6.95254597953135 338.638794307033</t>
  </si>
  <si>
    <t>-703.92490502874 73.5001906351627 779.051659740743</t>
  </si>
  <si>
    <t>-593.726971263417 -15.524389317547 849.891584016377</t>
  </si>
  <si>
    <t>9763-20170724T111009.317079400.bin</t>
  </si>
  <si>
    <t>-713.784203619643 44.776488931459 -59.9626634341704</t>
  </si>
  <si>
    <t>-757.624232023313 40.3394426296145 -167.082208061593</t>
  </si>
  <si>
    <t>-774.257579091157 37.7824869286901 -264.259622793335</t>
  </si>
  <si>
    <t>-781.252773552474 35.2233961471729 -353.044411247714</t>
  </si>
  <si>
    <t>-779.829402513113 31.9807918813262 -442.070880082724</t>
  </si>
  <si>
    <t>-769.060457278223 26.3316481291281 -566.058497572351</t>
  </si>
  <si>
    <t>-738.533326812959 6.63298840683046 -640.791894613648</t>
  </si>
  <si>
    <t>-770.291260548208 56.2872311766155 -512.444577795717</t>
  </si>
  <si>
    <t>-748.712773761594 190.98446577152 -495.476079160834</t>
  </si>
  <si>
    <t>-742.379483355515 278.796492655608 -214.691116584443</t>
  </si>
  <si>
    <t>-613.881298279046 75.6891862136558 -197.761519046312</t>
  </si>
  <si>
    <t>-777.30757690558 1.34782286479049 -510.550810470705</t>
  </si>
  <si>
    <t>-727.899456630615 139.658448276614 -59.3560858655827</t>
  </si>
  <si>
    <t>-663.733679608029 310.062811869045 300.782340162934</t>
  </si>
  <si>
    <t>-729.930052453716 286.665405403143 743.206182209488</t>
  </si>
  <si>
    <t>-641.836390847776 402.586656203715 805.568858757874</t>
  </si>
  <si>
    <t>-695.000476113871 -7.09144391056952 338.648351485398</t>
  </si>
  <si>
    <t>-703.972864691704 73.3997009436248 779.062569799355</t>
  </si>
  <si>
    <t>-593.557196733673 -15.3709712352529 849.882442851876</t>
  </si>
  <si>
    <t>9763-20170724T111009.384820700.bin</t>
  </si>
  <si>
    <t>-713.732133036942 44.5097002899943 -60.0647563434035</t>
  </si>
  <si>
    <t>-757.583139321667 40.0418752321821 -167.178400933996</t>
  </si>
  <si>
    <t>-774.276684569213 37.5083142345279 -264.346219352016</t>
  </si>
  <si>
    <t>-781.345641278966 34.9933290149238 -353.126452555742</t>
  </si>
  <si>
    <t>-780.013228898428 31.8196095582543 -442.156800670935</t>
  </si>
  <si>
    <t>-769.387380926437 26.2946672397602 -566.162365547423</t>
  </si>
  <si>
    <t>-738.804370249249 6.60845469554215 -640.876270798502</t>
  </si>
  <si>
    <t>-770.576912304901 56.1991334469353 -512.519072197701</t>
  </si>
  <si>
    <t>-749.063869171085 190.902646041176 -495.491259276913</t>
  </si>
  <si>
    <t>-742.704960739116 278.507528135326 -214.642144047849</t>
  </si>
  <si>
    <t>-614.055384267845 75.4852096140012 -197.846979647801</t>
  </si>
  <si>
    <t>-777.54942480116 1.25272248626607 -510.668450494356</t>
  </si>
  <si>
    <t>-727.908378486883 139.56325935317 -59.5802185733525</t>
  </si>
  <si>
    <t>-663.834324369265 310.106372914426 300.50909173393</t>
  </si>
  <si>
    <t>-729.826926790828 287.10746872566 742.772323812034</t>
  </si>
  <si>
    <t>-641.868470619615 402.748364808177 805.8417338262</t>
  </si>
  <si>
    <t>-695.098449906747 -7.33324925010129 338.6113712745</t>
  </si>
  <si>
    <t>-704.054547853994 73.2176281720608 779.033901730398</t>
  </si>
  <si>
    <t>-593.498348488719 -15.3921920347102 849.835980110051</t>
  </si>
  <si>
    <t>9763-20170724T111009.417909900.bin</t>
  </si>
  <si>
    <t>-713.622326073473 44.4736673141319 -60.114203557299</t>
  </si>
  <si>
    <t>-757.494017312218 39.9986783443815 -167.219191973889</t>
  </si>
  <si>
    <t>-774.240658007161 37.4861892752497 -264.378338648149</t>
  </si>
  <si>
    <t>-781.371326118451 35.0034257834927 -353.154636301713</t>
  </si>
  <si>
    <t>-780.113125093644 31.8765990192173 -442.187690201707</t>
  </si>
  <si>
    <t>-769.603319446641 26.4330609299245 -566.206704535781</t>
  </si>
  <si>
    <t>-738.995113909919 6.75294718995519 -640.9118645502</t>
  </si>
  <si>
    <t>-770.758228892363 56.3042144010942 -512.544014377085</t>
  </si>
  <si>
    <t>-749.275106031386 191.005886177791 -495.49458459474</t>
  </si>
  <si>
    <t>-742.986197492948 278.538587044294 -214.62159012655</t>
  </si>
  <si>
    <t>-614.191075253239 75.6014051290963 -197.914595936747</t>
  </si>
  <si>
    <t>-777.698483720745 1.35276560275679 -510.720177076368</t>
  </si>
  <si>
    <t>-727.770147813197 139.616848538267 -59.6682793926735</t>
  </si>
  <si>
    <t>-663.780308236639 310.305442212301 300.367028922592</t>
  </si>
  <si>
    <t>-729.766988832118 287.34991960888 742.649162564848</t>
  </si>
  <si>
    <t>-641.797255683241 402.792261032354 806.066580018466</t>
  </si>
  <si>
    <t>-695.064210812205 -7.3083978652071 338.576518195154</t>
  </si>
  <si>
    <t>-703.9950363407 73.3652862266381 778.999581383007</t>
  </si>
  <si>
    <t>-593.729093288662 -15.5964326921367 849.813183972048</t>
  </si>
  <si>
    <t>9763-20170724T111009.486098000.bin</t>
  </si>
  <si>
    <t>-713.135620887983 44.2317999460006 -60.0620158861117</t>
  </si>
  <si>
    <t>-757.062633534747 39.7234359486806 -167.142874774875</t>
  </si>
  <si>
    <t>-773.946725487586 37.230578128359 -264.278637542988</t>
  </si>
  <si>
    <t>-781.235864120164 34.7894419236873 -353.04332755063</t>
  </si>
  <si>
    <t>-780.168817327317 31.7314313871284 -442.081278677959</t>
  </si>
  <si>
    <t>-769.956653517702 26.4147477481802 -566.13062126269</t>
  </si>
  <si>
    <t>-739.354212365635 6.80956654454076 -640.857813377153</t>
  </si>
  <si>
    <t>-771.023270474409 56.2360366946114 -512.438276220291</t>
  </si>
  <si>
    <t>-749.575724938498 190.94821187477 -495.397878544347</t>
  </si>
  <si>
    <t>-743.279753461407 278.477544713945 -214.523826840168</t>
  </si>
  <si>
    <t>-614.312587477276 75.6465432803666 -197.852927145301</t>
  </si>
  <si>
    <t>-777.877648632654 1.2726200543193 -510.646959704516</t>
  </si>
  <si>
    <t>-727.17276410044 139.496264218868 -59.5435632272082</t>
  </si>
  <si>
    <t>-663.601602452232 310.77804273601 300.284185812202</t>
  </si>
  <si>
    <t>-729.580536718518 287.427338583175 742.627241207647</t>
  </si>
  <si>
    <t>-641.863672670604 402.862058398938 806.407066687469</t>
  </si>
  <si>
    <t>-694.837602109438 -7.501840566993 338.611992625326</t>
  </si>
  <si>
    <t>-704.012741337643 73.3530490208482 778.990869374034</t>
  </si>
  <si>
    <t>-593.666344043113 -15.5363574604953 849.769523823172</t>
  </si>
  <si>
    <t>9763-20170724T111009.515176600.bin</t>
  </si>
  <si>
    <t>-712.875737449283 44.1819185379068 -60.005856214779</t>
  </si>
  <si>
    <t>-756.829897130791 39.6246990758245 -167.07345536386</t>
  </si>
  <si>
    <t>-773.795684495949 37.1177396398334 -264.194656392609</t>
  </si>
  <si>
    <t>-781.182011925371 34.6766162534027 -352.951185630681</t>
  </si>
  <si>
    <t>-780.234128450368 31.6329058300125 -441.990942327116</t>
  </si>
  <si>
    <t>-770.2094254482 26.3521842841042 -566.057338176424</t>
  </si>
  <si>
    <t>-739.641934168771 6.79681844272682 -640.811771557006</t>
  </si>
  <si>
    <t>-771.209865305748 56.1596973737014 -512.356095103613</t>
  </si>
  <si>
    <t>-749.762802191831 190.875944469664 -495.34302637353</t>
  </si>
  <si>
    <t>-743.337372854057 278.448475722319 -214.485426939302</t>
  </si>
  <si>
    <t>-614.328166836397 75.649939161246 -197.74225825949</t>
  </si>
  <si>
    <t>-778.031854960348 1.19214194050755 -510.567642002707</t>
  </si>
  <si>
    <t>-726.944590336071 139.541776869047 -59.4528252409796</t>
  </si>
  <si>
    <t>-663.596024908513 311.123905206232 300.270904769708</t>
  </si>
  <si>
    <t>-729.629616579328 287.594936842396 742.619626219429</t>
  </si>
  <si>
    <t>-641.718053686721 402.826652807001 806.498308212917</t>
  </si>
  <si>
    <t>-694.719668671795 -7.55991074998428 338.672457019232</t>
  </si>
  <si>
    <t>-704.013225908228 73.3765646958991 779.009555769199</t>
  </si>
  <si>
    <t>-593.564272293006 -15.4099427505721 849.757890330372</t>
  </si>
  <si>
    <t>9763-20170724T111009.581010600.bin</t>
  </si>
  <si>
    <t>-712.472483537612 44.1986487254262 -59.930918717714</t>
  </si>
  <si>
    <t>-756.472758971295 39.518179740076 -166.974348690225</t>
  </si>
  <si>
    <t>-773.603649798623 36.9605185907189 -264.065206253115</t>
  </si>
  <si>
    <t>-781.188638903025 34.4982756009463 -352.804381510245</t>
  </si>
  <si>
    <t>-780.486730883912 31.460267567023 -441.846678727181</t>
  </si>
  <si>
    <t>-770.852118851838 26.216940153633 -565.945441552602</t>
  </si>
  <si>
    <t>-740.41635168348 6.73294554384074 -640.77227808945</t>
  </si>
  <si>
    <t>-771.69654693488 56.0099532047693 -512.233412389064</t>
  </si>
  <si>
    <t>-750.24173211906 190.729224012758 -495.278113482818</t>
  </si>
  <si>
    <t>-743.517465136039 278.412192410599 -214.461998219136</t>
  </si>
  <si>
    <t>-614.442039404229 75.670309974656 -197.547074328015</t>
  </si>
  <si>
    <t>-778.487256278425 1.03876087625576 -510.438143920904</t>
  </si>
  <si>
    <t>-726.580229397597 139.644005932108 -59.4244338777045</t>
  </si>
  <si>
    <t>-663.644449908294 311.476429723574 300.252383748531</t>
  </si>
  <si>
    <t>-729.631390448227 287.711207405443 742.593558998649</t>
  </si>
  <si>
    <t>-641.830735829578 402.948761798421 806.614401307941</t>
  </si>
  <si>
    <t>-694.476391606708 -7.50443026426456 338.778124200808</t>
  </si>
  <si>
    <t>-703.976559968465 73.4653549273507 779.049580588789</t>
  </si>
  <si>
    <t>-593.507698722954 -15.3233336188073 849.763804681359</t>
  </si>
  <si>
    <t>9763-20170724T111009.618102100.bin</t>
  </si>
  <si>
    <t>-712.406784603122 44.2061318569331 -59.9226451389674</t>
  </si>
  <si>
    <t>-756.437921259249 39.4584666244623 -166.95040513257</t>
  </si>
  <si>
    <t>-773.653298778607 36.8731421708048 -264.025661445361</t>
  </si>
  <si>
    <t>-781.337320100434 34.3995789377282 -352.755968310749</t>
  </si>
  <si>
    <t>-780.755431324399 31.3645655258338 -441.79927647205</t>
  </si>
  <si>
    <t>-771.310071717699 26.1411066887113 -565.913293087513</t>
  </si>
  <si>
    <t>-740.963838448704 6.68157710805872 -640.782927543396</t>
  </si>
  <si>
    <t>-772.078040749999 55.9261042380203 -512.195798141196</t>
  </si>
  <si>
    <t>-750.628847182958 190.651768591583 -495.282000489169</t>
  </si>
  <si>
    <t>-743.763314436102 278.350975189408 -214.47439452157</t>
  </si>
  <si>
    <t>-614.619879989739 75.6576285949905 -197.496565339811</t>
  </si>
  <si>
    <t>-778.85507450521 0.953384753694536 -510.398037902912</t>
  </si>
  <si>
    <t>-726.552729795734 139.693252859279 -59.4620295440417</t>
  </si>
  <si>
    <t>-663.72633640652 311.499081842202 300.246505939814</t>
  </si>
  <si>
    <t>-729.623281306271 287.728822557085 742.585094753195</t>
  </si>
  <si>
    <t>-641.881345356844 402.98502345487 806.652954481779</t>
  </si>
  <si>
    <t>-694.416363821147 -7.53068930960126 338.806052291194</t>
  </si>
  <si>
    <t>-703.992901391383 73.4214304977254 779.066733261591</t>
  </si>
  <si>
    <t>-593.299100296822 -15.1078651925686 849.754302569084</t>
  </si>
  <si>
    <t>9763-20170724T111009.682795000.bin</t>
  </si>
  <si>
    <t>-712.291141300422 44.3513125161235 -59.8952863708575</t>
  </si>
  <si>
    <t>-756.381756799146 39.5136201952528 -166.894578397237</t>
  </si>
  <si>
    <t>-773.767212454738 36.8913679280286 -263.938431856402</t>
  </si>
  <si>
    <t>-781.652310802735 34.40430063445 -352.650875348886</t>
  </si>
  <si>
    <t>-781.316552541598 31.3779821763314 -441.695569856045</t>
  </si>
  <si>
    <t>-772.259520318209 26.1917926629126 -565.840179307469</t>
  </si>
  <si>
    <t>-742.0990213675 6.74925894779699 -640.789265464005</t>
  </si>
  <si>
    <t>-772.869333336246 55.9618175123696 -512.112450381403</t>
  </si>
  <si>
    <t>-751.423144501719 190.701161436132 -495.295282619434</t>
  </si>
  <si>
    <t>-744.288666527384 278.492090492777 -214.522894375319</t>
  </si>
  <si>
    <t>-615.029075084037 75.8791817407814 -197.465683041698</t>
  </si>
  <si>
    <t>-779.62068069841 0.986124502926941 -510.308306410637</t>
  </si>
  <si>
    <t>-726.508802708274 139.801875766258 -59.4860095376192</t>
  </si>
  <si>
    <t>-663.675970353514 311.597117781735 300.226530291708</t>
  </si>
  <si>
    <t>-729.558683254499 287.686762623799 742.564208418999</t>
  </si>
  <si>
    <t>-641.996792600642 403.044023273227 806.696322322449</t>
  </si>
  <si>
    <t>-694.16671780242 -7.39987694879164 338.850155684237</t>
  </si>
  <si>
    <t>-703.900070736217 73.589405614377 779.073783353494</t>
  </si>
  <si>
    <t>-593.48838328384 -15.2773317423275 849.778905926413</t>
  </si>
  <si>
    <t>9763-20170724T111009.718892400.bin</t>
  </si>
  <si>
    <t>-712.263869929543 44.3897411851399 -59.8727411968374</t>
  </si>
  <si>
    <t>-756.383705236715 39.5392143684558 -166.85933604462</t>
  </si>
  <si>
    <t>-773.851576254141 36.9103035827575 -263.888295585375</t>
  </si>
  <si>
    <t>-781.834356584327 34.420498241388 -352.591760833515</t>
  </si>
  <si>
    <t>-781.619003559918 31.3956289289281 -441.637048525502</t>
  </si>
  <si>
    <t>-772.753405185574 26.2169151824896 -565.795799919877</t>
  </si>
  <si>
    <t>-742.677087179916 6.76647331501681 -640.776695341703</t>
  </si>
  <si>
    <t>-773.28363785263 55.9840601464407 -512.065405453045</t>
  </si>
  <si>
    <t>-751.82460852631 190.730450543109 -495.297730853171</t>
  </si>
  <si>
    <t>-744.58878449872 278.557604707194 -214.539420537462</t>
  </si>
  <si>
    <t>-615.284766935981 75.9763723555157 -197.447391780935</t>
  </si>
  <si>
    <t>-780.025744799277 1.00753751361754 -510.253866699337</t>
  </si>
  <si>
    <t>-726.483352514372 139.866358763042 -59.4596993395935</t>
  </si>
  <si>
    <t>-663.619613406185 311.708576256512 300.225077894036</t>
  </si>
  <si>
    <t>-729.56770907944 287.711822165133 742.541957618043</t>
  </si>
  <si>
    <t>-641.988027394277 403.040810620303 806.70018372303</t>
  </si>
  <si>
    <t>-694.117597556415 -7.39954823431844 338.86877443949</t>
  </si>
  <si>
    <t>-703.927921666359 73.5136204583832 779.091352355303</t>
  </si>
  <si>
    <t>-593.404175906699 -15.2244266613898 849.783010846533</t>
  </si>
  <si>
    <t>9763-20170724T111009.786557500.bin</t>
  </si>
  <si>
    <t>-712.193287236882 44.6504325356486 -59.8452226866607</t>
  </si>
  <si>
    <t>-756.391214058589 39.7789703851381 -166.798704452494</t>
  </si>
  <si>
    <t>-774.022938896635 37.1391045309433 -263.797723590379</t>
  </si>
  <si>
    <t>-782.192613918897 34.6428424109122 -352.483993071182</t>
  </si>
  <si>
    <t>-782.203119182047 31.6153746411333 -441.52938923758</t>
  </si>
  <si>
    <t>-773.690522645555 26.4373458263995 -565.712965666378</t>
  </si>
  <si>
    <t>-743.776255069283 6.96251117758902 -640.752236996322</t>
  </si>
  <si>
    <t>-774.058793153923 56.2032717754337 -511.98050338669</t>
  </si>
  <si>
    <t>-752.53164352652 190.948612796818 -495.304009163841</t>
  </si>
  <si>
    <t>-745.091672650988 278.820582654051 -214.565166961137</t>
  </si>
  <si>
    <t>-615.720714905091 76.2861707154525 -197.422738358817</t>
  </si>
  <si>
    <t>-780.814115338997 1.22879176299011 -510.151325181275</t>
  </si>
  <si>
    <t>-726.439506435589 140.145537514931 -59.4051845926338</t>
  </si>
  <si>
    <t>-663.520876278201 312.060365298884 300.23515461803</t>
  </si>
  <si>
    <t>-729.56328192061 287.70461034847 742.519031829578</t>
  </si>
  <si>
    <t>-641.819936904004 402.892834300603 806.706582242726</t>
  </si>
  <si>
    <t>-693.951406831605 -7.24207607581047 338.895533066783</t>
  </si>
  <si>
    <t>-703.870357718819 73.6505998526172 779.120490227873</t>
  </si>
  <si>
    <t>-593.443318301999 -15.2219527757675 849.794657766352</t>
  </si>
  <si>
    <t>9763-20170724T111009.820647500.bin</t>
  </si>
  <si>
    <t>-712.177701517724 44.7797488532719 -59.8568048714012</t>
  </si>
  <si>
    <t>-756.415224444827 39.8908372354827 -166.793021154671</t>
  </si>
  <si>
    <t>-774.137629833878 37.2520415751565 -263.77570225012</t>
  </si>
  <si>
    <t>-782.412006419769 34.7636912207336 -352.45239728464</t>
  </si>
  <si>
    <t>-782.54867810865 31.7512524429735 -441.498272477318</t>
  </si>
  <si>
    <t>-774.234742820171 26.6018955591089 -565.696377932086</t>
  </si>
  <si>
    <t>-744.40134845877 7.12252902390173 -640.766679080428</t>
  </si>
  <si>
    <t>-774.508613249369 56.3542973324547 -511.956009946905</t>
  </si>
  <si>
    <t>-752.925377689419 191.09179879948 -495.304742907174</t>
  </si>
  <si>
    <t>-745.36527304697 278.949484204743 -214.564495971059</t>
  </si>
  <si>
    <t>-616.00080933844 76.4136374446466 -197.390893590624</t>
  </si>
  <si>
    <t>-781.277875139658 1.38135379907726 -510.129925416112</t>
  </si>
  <si>
    <t>-726.434700812993 140.264401167118 -59.4029393563312</t>
  </si>
  <si>
    <t>-663.502671996347 312.165750948692 300.241598130879</t>
  </si>
  <si>
    <t>-729.570814600452 287.687946900033 742.519656013642</t>
  </si>
  <si>
    <t>-641.861577645356 402.899086550084 806.712852069922</t>
  </si>
  <si>
    <t>-693.878405988222 -7.1628405059696 338.893247182442</t>
  </si>
  <si>
    <t>-703.883149678357 73.5993674419292 779.125769341919</t>
  </si>
  <si>
    <t>-593.42499375301 -15.2361892950698 849.797908259647</t>
  </si>
  <si>
    <t>9763-20170724T111009.880812500.bin</t>
  </si>
  <si>
    <t>-712.236726962599 45.0879979665051 -59.903259195283</t>
  </si>
  <si>
    <t>-756.553008102199 40.2049470795773 -166.807115432688</t>
  </si>
  <si>
    <t>-774.432510265792 37.5964479317813 -263.761587999851</t>
  </si>
  <si>
    <t>-782.883854577249 35.1451549151598 -352.422862958808</t>
  </si>
  <si>
    <t>-783.231889890424 32.1797130949622 -441.46958638946</t>
  </si>
  <si>
    <t>-775.247067697922 27.1056255289286 -565.692362213075</t>
  </si>
  <si>
    <t>-745.542183232986 7.63367521430564 -640.81565691715</t>
  </si>
  <si>
    <t>-775.353956014176 56.8224583251899 -511.931791360655</t>
  </si>
  <si>
    <t>-753.62118649698 191.537995747084 -495.287534659042</t>
  </si>
  <si>
    <t>-745.761063240125 279.399156141315 -214.556634136997</t>
  </si>
  <si>
    <t>-616.581516202086 76.748363695744 -197.346029109439</t>
  </si>
  <si>
    <t>-782.167518710915 1.854474183805 -510.124439810866</t>
  </si>
  <si>
    <t>-726.599846105141 140.558010696991 -59.4482605532107</t>
  </si>
  <si>
    <t>-663.525756451563 312.30628531498 300.244472157423</t>
  </si>
  <si>
    <t>-729.572307877202 287.67311152187 742.519222724922</t>
  </si>
  <si>
    <t>-641.937196525937 402.924049361489 806.741661748275</t>
  </si>
  <si>
    <t>-693.635273561864 -6.89083786598712 338.82875016103</t>
  </si>
  <si>
    <t>-703.779170629515 73.7818638213662 779.098964291231</t>
  </si>
  <si>
    <t>-593.459198405057 -15.2090613014966 849.791438693122</t>
  </si>
  <si>
    <t>9763-20170724T111009.916924700.bin</t>
  </si>
  <si>
    <t>-712.346099891117 45.2078793381575 -59.9126272201283</t>
  </si>
  <si>
    <t>-756.700005683528 40.3339989117294 -166.801341796848</t>
  </si>
  <si>
    <t>-774.633981708908 37.7497918512286 -263.746562160417</t>
  </si>
  <si>
    <t>-783.143450057148 35.326959901568 -352.40283548417</t>
  </si>
  <si>
    <t>-783.557120205148 32.3953438270805 -441.450412674151</t>
  </si>
  <si>
    <t>-775.67184278122 27.3745344881559 -565.681884919091</t>
  </si>
  <si>
    <t>-746.012142316752 7.92078363429982 -640.827503853738</t>
  </si>
  <si>
    <t>-775.722074666784 57.0666456007962 -511.907417627039</t>
  </si>
  <si>
    <t>-753.895647787988 191.766072798216 -495.262619187085</t>
  </si>
  <si>
    <t>-745.932415147117 279.606355090178 -214.527847555759</t>
  </si>
  <si>
    <t>-616.888711919511 76.8696760012563 -197.309666039754</t>
  </si>
  <si>
    <t>-782.561553981732 2.1012802942605 -510.119995214964</t>
  </si>
  <si>
    <t>-726.74187155848 140.6666006062 -59.4457654793846</t>
  </si>
  <si>
    <t>-663.567519760637 312.294654522421 300.286718458355</t>
  </si>
  <si>
    <t>-729.60039703962 287.663441152611 742.583424692288</t>
  </si>
  <si>
    <t>-641.980614915192 402.945145845955 806.77231572266</t>
  </si>
  <si>
    <t>-693.574670450507 -6.86175196527165 338.810344389497</t>
  </si>
  <si>
    <t>-703.846056722028 73.6291838868024 779.103066175857</t>
  </si>
  <si>
    <t>-593.309848647188 -15.107507215861 849.777481008256</t>
  </si>
  <si>
    <t>9763-20170724T111009.987099400.bin</t>
  </si>
  <si>
    <t>-712.735343246241 45.533906513429 -59.928244656807</t>
  </si>
  <si>
    <t>-757.129794151922 40.7440321996937 -166.80403115258</t>
  </si>
  <si>
    <t>-775.162396326478 38.2387458346143 -263.732825800951</t>
  </si>
  <si>
    <t>-783.787002848993 35.8917157459609 -352.380206438475</t>
  </si>
  <si>
    <t>-784.340618351131 33.0417340266645 -441.429651530895</t>
  </si>
  <si>
    <t>-776.67666775391 28.1411811970484 -565.679662396115</t>
  </si>
  <si>
    <t>-747.106927529928 8.77007780117583 -640.882191554247</t>
  </si>
  <si>
    <t>-776.603778424219 57.777924869205 -511.874667985478</t>
  </si>
  <si>
    <t>-754.5887628388 192.445650268339 -495.183636217582</t>
  </si>
  <si>
    <t>-746.441969274094 280.172179930081 -214.41890188846</t>
  </si>
  <si>
    <t>-617.633154321459 77.2840200600822 -197.229623321635</t>
  </si>
  <si>
    <t>-783.4947920795 2.81750531130638 -510.132116594081</t>
  </si>
  <si>
    <t>-727.176415679229 140.884418375774 -59.4054146441865</t>
  </si>
  <si>
    <t>-663.723971693564 312.133052024996 300.458936743858</t>
  </si>
  <si>
    <t>-729.757108941923 287.590161068244 742.797679678575</t>
  </si>
  <si>
    <t>-641.880785765247 402.788865744325 806.784749975866</t>
  </si>
  <si>
    <t>-693.581290174056 -6.56491407438898 338.764781076174</t>
  </si>
  <si>
    <t>-703.747638797109 73.8275155840133 779.083163013142</t>
  </si>
  <si>
    <t>-593.521411174896 -15.2720567895321 849.785045656459</t>
  </si>
  <si>
    <t>9763-20170724T111010.021189400.bin</t>
  </si>
  <si>
    <t>-713.00704599328 45.7405566812131 -59.9490869758307</t>
  </si>
  <si>
    <t>-757.414071765647 40.990802421195 -166.821259334156</t>
  </si>
  <si>
    <t>-775.496671712903 38.5255317844426 -263.741952939105</t>
  </si>
  <si>
    <t>-784.182191169924 36.2184034225343 -352.384391600994</t>
  </si>
  <si>
    <t>-784.813248262658 33.4118792208537 -441.434757390553</t>
  </si>
  <si>
    <t>-777.272263442734 28.576331211219 -565.694765278404</t>
  </si>
  <si>
    <t>-747.73732407107 9.25639084054137 -640.924085084582</t>
  </si>
  <si>
    <t>-777.128697591402 58.1828675856345 -511.873298061094</t>
  </si>
  <si>
    <t>-755.019908708141 192.828733692545 -495.145422635498</t>
  </si>
  <si>
    <t>-746.801938064415 280.385947895773 -214.329925220376</t>
  </si>
  <si>
    <t>-618.113000409977 77.4197424828408 -197.160577166939</t>
  </si>
  <si>
    <t>-784.052572198294 3.22575600794471 -510.154970681639</t>
  </si>
  <si>
    <t>-727.449863858295 141.059680698759 -59.4138836074955</t>
  </si>
  <si>
    <t>-663.836929626951 312.092786594485 300.524651868321</t>
  </si>
  <si>
    <t>-729.861703391849 287.640784810297 742.860776848652</t>
  </si>
  <si>
    <t>-641.798965303184 402.737549042268 806.774571948136</t>
  </si>
  <si>
    <t>-693.668543393759 -6.42086183708034 338.723626961232</t>
  </si>
  <si>
    <t>-703.750360666226 73.8024387017217 779.076348526366</t>
  </si>
  <si>
    <t>-593.408870673019 -15.1507172405659 849.78253047763</t>
  </si>
  <si>
    <t>9763-20170724T111010.086367600.bin</t>
  </si>
  <si>
    <t>-713.52083395867 46.1836528917966 -59.9526417582888</t>
  </si>
  <si>
    <t>-757.992213934011 41.5333979182788 -166.80269635676</t>
  </si>
  <si>
    <t>-776.183235556102 39.1664665513322 -263.70538548056</t>
  </si>
  <si>
    <t>-784.988328754719 36.954490897539 -352.338393595231</t>
  </si>
  <si>
    <t>-785.758907900779 34.2486956806952 -441.390863858088</t>
  </si>
  <si>
    <t>-778.433885701054 29.5601166528982 -565.669394647104</t>
  </si>
  <si>
    <t>-748.955265041332 10.3651040730479 -640.952822923707</t>
  </si>
  <si>
    <t>-778.165765752817 59.099043184005 -511.811286819977</t>
  </si>
  <si>
    <t>-755.881637553187 193.700335890717 -494.982396803504</t>
  </si>
  <si>
    <t>-747.388599571952 281.015297016833 -214.099487556392</t>
  </si>
  <si>
    <t>-618.929320913039 77.8914593434024 -197.077590729099</t>
  </si>
  <si>
    <t>-785.148602064496 4.14764898167505 -510.149685702531</t>
  </si>
  <si>
    <t>-727.996731051314 141.395141831507 -59.3459665482558</t>
  </si>
  <si>
    <t>-663.973504994028 312.230249024731 300.613794461124</t>
  </si>
  <si>
    <t>-729.993748723016 287.690775921447 742.979990548717</t>
  </si>
  <si>
    <t>-641.634245225162 402.639610045676 806.750359967153</t>
  </si>
  <si>
    <t>-693.842502676947 -6.05055762287293 338.651449960835</t>
  </si>
  <si>
    <t>-703.66058465866 73.9812811230981 779.061820175936</t>
  </si>
  <si>
    <t>-593.538305496389 -15.2166714954078 849.801524815759</t>
  </si>
  <si>
    <t>9763-20170724T111010.120458900.bin</t>
  </si>
  <si>
    <t>-713.741479428787 46.3474907346304 -59.9328646795175</t>
  </si>
  <si>
    <t>-758.26710800698 41.7496737520937 -166.762449386054</t>
  </si>
  <si>
    <t>-776.525523106653 39.4417456192709 -263.65383861531</t>
  </si>
  <si>
    <t>-785.399230090377 37.2883568770917 -352.281603089466</t>
  </si>
  <si>
    <t>-786.245266167753 34.6459459607886 -441.335061130432</t>
  </si>
  <si>
    <t>-779.032323775445 30.0503730930636 -565.623797631152</t>
  </si>
  <si>
    <t>-749.58482308583 10.9247280021009 -640.937033209206</t>
  </si>
  <si>
    <t>-778.704307648569 59.5474443190783 -511.743057799778</t>
  </si>
  <si>
    <t>-756.334154421899 194.126827976417 -494.836121478909</t>
  </si>
  <si>
    <t>-747.688952642824 281.27054372943 -213.904743184249</t>
  </si>
  <si>
    <t>-619.303302069758 78.0922424481937 -196.975833691574</t>
  </si>
  <si>
    <t>-785.708532639019 4.59776158812019 -510.117894162019</t>
  </si>
  <si>
    <t>-728.215960980567 141.500196406706 -59.2684783885879</t>
  </si>
  <si>
    <t>-663.915799004819 312.309606463668 300.654131451029</t>
  </si>
  <si>
    <t>-729.959367920883 287.58306805247 743.023815446974</t>
  </si>
  <si>
    <t>-641.731867609656 402.669747032751 806.728301376429</t>
  </si>
  <si>
    <t>-693.910841045225 -5.93659290648566 338.623687163162</t>
  </si>
  <si>
    <t>-703.656789475148 73.9790545086435 779.057022672126</t>
  </si>
  <si>
    <t>-593.504173389938 -15.1729987197282 849.80759532539</t>
  </si>
  <si>
    <t>9763-20170724T111010.182638100.bin</t>
  </si>
  <si>
    <t>-714.042749901034 46.6094604209579 -59.8700247536079</t>
  </si>
  <si>
    <t>-758.669093084094 42.1193389385321 -166.662003888672</t>
  </si>
  <si>
    <t>-777.064649883646 39.9402083080345 -263.530607937679</t>
  </si>
  <si>
    <t>-786.08113297477 37.9169627060082 -352.146908230356</t>
  </si>
  <si>
    <t>-787.087470935955 35.4181811240096 -441.203036300283</t>
  </si>
  <si>
    <t>-780.114822794853 31.0366932329594 -565.513161023788</t>
  </si>
  <si>
    <t>-750.736437251176 12.0908478400702 -640.898747201942</t>
  </si>
  <si>
    <t>-779.665486234994 60.4388954034698 -511.581440024274</t>
  </si>
  <si>
    <t>-757.157474505137 194.964985675182 -494.468845667879</t>
  </si>
  <si>
    <t>-748.27123604222 281.64835885264 -213.402451801055</t>
  </si>
  <si>
    <t>-619.920576417509 78.4258802613331 -196.738573548188</t>
  </si>
  <si>
    <t>-786.700725049712 5.49082264647495 -510.03929262703</t>
  </si>
  <si>
    <t>-728.485123955328 141.65516421747 -59.0828834262945</t>
  </si>
  <si>
    <t>-663.831304054959 312.409452294258 300.802506519891</t>
  </si>
  <si>
    <t>-729.89754368057 287.252856043556 743.212400099449</t>
  </si>
  <si>
    <t>-641.776022457379 402.566940054234 806.65192443511</t>
  </si>
  <si>
    <t>-693.958818420587 -5.79421060720324 338.591403546572</t>
  </si>
  <si>
    <t>-703.694256756084 73.8881383325311 779.074380715913</t>
  </si>
  <si>
    <t>-593.446619419421 -15.1475604651114 849.823626415261</t>
  </si>
  <si>
    <t>9763-20170724T111010.214723400.bin</t>
  </si>
  <si>
    <t>-714.178669335587 46.7667126836641 -59.8214025236924</t>
  </si>
  <si>
    <t>-758.846940963008 42.3261999611782 -166.597916079949</t>
  </si>
  <si>
    <t>-777.311772982699 40.214125416745 -263.454740163738</t>
  </si>
  <si>
    <t>-786.40321533456 38.2618955571611 -352.065023236308</t>
  </si>
  <si>
    <t>-787.496713311188 35.8445844730209 -441.122293854699</t>
  </si>
  <si>
    <t>-780.656809170849 31.588166239876 -565.444151146373</t>
  </si>
  <si>
    <t>-751.313172917777 12.7850112990932 -640.878924051728</t>
  </si>
  <si>
    <t>-780.147651869972 60.9358147548678 -511.483376453964</t>
  </si>
  <si>
    <t>-757.593796695622 195.441711909991 -494.250320769453</t>
  </si>
  <si>
    <t>-748.582941452314 281.925877912887 -213.126848358792</t>
  </si>
  <si>
    <t>-620.16907542792 78.7290375725265 -196.639912731778</t>
  </si>
  <si>
    <t>-787.185540979152 5.98666577999711 -509.989249552633</t>
  </si>
  <si>
    <t>-728.622962394062 141.754825045815 -58.9544089943101</t>
  </si>
  <si>
    <t>-663.869507625145 312.480736935812 300.92648165182</t>
  </si>
  <si>
    <t>-729.995041817912 287.150034524881 743.360322077742</t>
  </si>
  <si>
    <t>-641.734490323056 402.49168184852 806.555688030409</t>
  </si>
  <si>
    <t>-693.965616196705 -5.713846471941 338.588885034491</t>
  </si>
  <si>
    <t>-703.697981669566 73.8691117559456 779.078564425833</t>
  </si>
  <si>
    <t>-593.383837540447 -15.0789831961247 849.8341816426</t>
  </si>
  <si>
    <t>9763-20170724T111010.283910400.bin</t>
  </si>
  <si>
    <t>-714.403897918116 47.0629316101727 -59.7483104088288</t>
  </si>
  <si>
    <t>-759.157811224437 42.6720680574817 -166.491154195888</t>
  </si>
  <si>
    <t>-777.771660474417 40.6050582458861 -263.320412595491</t>
  </si>
  <si>
    <t>-787.028167737255 38.6932736053532 -351.914430219222</t>
  </si>
  <si>
    <t>-788.316829632822 36.3147971692829 -440.970227887955</t>
  </si>
  <si>
    <t>-781.780712651794 32.1097344070899 -565.310092383662</t>
  </si>
  <si>
    <t>-752.4067693519 14.0486324813469 -640.914322267542</t>
  </si>
  <si>
    <t>-781.097893302028 61.429548177593 -511.336134829769</t>
  </si>
  <si>
    <t>-758.265001973973 195.867852636801 -493.958452824273</t>
  </si>
  <si>
    <t>-748.989575075667 282.102725385369 -212.766785607915</t>
  </si>
  <si>
    <t>-620.412387759133 78.9783863262342 -196.665966158985</t>
  </si>
  <si>
    <t>-788.216347716072 6.4906500929601 -509.852272045644</t>
  </si>
  <si>
    <t>-728.918232039699 141.909388150986 -58.7702133625354</t>
  </si>
  <si>
    <t>-663.852932631241 312.503555793992 301.117169841366</t>
  </si>
  <si>
    <t>-730.041752706204 286.791205471054 743.537491361963</t>
  </si>
  <si>
    <t>-641.746717228732 402.358330389538 806.271424043693</t>
  </si>
  <si>
    <t>-693.869435272798 -5.55664533703111 338.599891601242</t>
  </si>
  <si>
    <t>-703.719566588233 73.8184403611817 779.121241982717</t>
  </si>
  <si>
    <t>-593.354105624323 -15.0691822657868 849.872971257299</t>
  </si>
  <si>
    <t>9763-20170724T111010.318000100.bin</t>
  </si>
  <si>
    <t>-714.527332347943 47.2396279542349 -59.7150775761213</t>
  </si>
  <si>
    <t>-759.288616395283 42.8651445700389 -166.455497882914</t>
  </si>
  <si>
    <t>-777.964542908258 40.7523533706158 -263.27181721304</t>
  </si>
  <si>
    <t>-787.303458354135 38.7764685176658 -351.855770129947</t>
  </si>
  <si>
    <t>-788.700768649754 36.3115263278223 -440.907615433367</t>
  </si>
  <si>
    <t>-782.345073812905 31.9626792802119 -565.251838455553</t>
  </si>
  <si>
    <t>-752.770723873847 14.8700490177112 -641.003152216303</t>
  </si>
  <si>
    <t>-781.542241630212 61.3396698303559 -511.310594475812</t>
  </si>
  <si>
    <t>-758.411291964824 195.739768119895 -494.07105143043</t>
  </si>
  <si>
    <t>-748.876685402724 281.941709908977 -212.877984364637</t>
  </si>
  <si>
    <t>-620.41405764493 78.7405845258013 -196.829934353825</t>
  </si>
  <si>
    <t>-788.741186223709 6.41298132524526 -509.75762849658</t>
  </si>
  <si>
    <t>-728.951465156545 141.984628527294 -58.7244600581575</t>
  </si>
  <si>
    <t>-663.673109375043 312.578993555637 301.123950870725</t>
  </si>
  <si>
    <t>-730.020430637419 286.635098592458 743.524391134479</t>
  </si>
  <si>
    <t>-641.774445913075 402.326299924066 806.098142740387</t>
  </si>
  <si>
    <t>-693.862323276677 -5.42436476557396 338.620605699621</t>
  </si>
  <si>
    <t>-703.72648554026 73.8168702687713 779.154862261197</t>
  </si>
  <si>
    <t>-593.418071293093 -15.1486962609015 849.897301652075</t>
  </si>
  <si>
    <t>9763-20170724T111010.388191400.bin</t>
  </si>
  <si>
    <t>-714.82995046383 48.0410930534204 -59.8796665851671</t>
  </si>
  <si>
    <t>-759.413223095553 43.6978377280557 -166.695796299394</t>
  </si>
  <si>
    <t>-778.069617689386 41.3744094772023 -263.511199262043</t>
  </si>
  <si>
    <t>-787.45547278849 39.1308163790773 -352.083677751549</t>
  </si>
  <si>
    <t>-788.970164663762 36.3291804486207 -441.123568558943</t>
  </si>
  <si>
    <t>-782.854412898752 31.4473886551891 -565.460081309687</t>
  </si>
  <si>
    <t>-752.630769903253 17.7034360881594 -641.635335312526</t>
  </si>
  <si>
    <t>-781.849472233547 61.042484676861 -511.641675703924</t>
  </si>
  <si>
    <t>-758.420472473668 195.487961070658 -495.204655869538</t>
  </si>
  <si>
    <t>-747.336455050198 281.316067516243 -213.954092919961</t>
  </si>
  <si>
    <t>-618.139484806696 78.5070782096341 -198.871196361111</t>
  </si>
  <si>
    <t>-789.242093411709 6.14882337158451 -509.84999334409</t>
  </si>
  <si>
    <t>-728.864942013432 142.446492499275 -59.0350478191032</t>
  </si>
  <si>
    <t>-662.696116735638 312.774424188418 300.777022733765</t>
  </si>
  <si>
    <t>-729.89839601602 286.441676149388 743.189797527653</t>
  </si>
  <si>
    <t>-641.624123497705 402.194754668706 805.60951876523</t>
  </si>
  <si>
    <t>-694.009912914532 -4.84393722459345 338.669812653691</t>
  </si>
  <si>
    <t>-703.659833224157 74.0845233218643 779.281765439715</t>
  </si>
  <si>
    <t>-593.883735433864 -15.5770666054668 849.97307867391</t>
  </si>
  <si>
    <t>9763-20170724T111010.416266000.bin</t>
  </si>
  <si>
    <t>-715.497187682238 48.8480809395373 -60.1392302334641</t>
  </si>
  <si>
    <t>-759.9179901416 44.4956112972523 -167.022635782574</t>
  </si>
  <si>
    <t>-778.47455525663 42.0907920176069 -263.855179288409</t>
  </si>
  <si>
    <t>-787.79134597621 39.7586287384097 -352.432796111413</t>
  </si>
  <si>
    <t>-789.258418173806 36.8601950882717 -441.470399467527</t>
  </si>
  <si>
    <t>-783.099601483795 31.8415853888055 -565.799334472285</t>
  </si>
  <si>
    <t>-752.448790450543 20.2439622331344 -642.160671502871</t>
  </si>
  <si>
    <t>-782.094699117527 61.4932451837167 -512.012120577426</t>
  </si>
  <si>
    <t>-758.672732307052 195.972761832282 -495.910951092113</t>
  </si>
  <si>
    <t>-746.823959979579 280.979658707588 -214.442127523806</t>
  </si>
  <si>
    <t>-616.210335731778 78.9824936645086 -200.731857206846</t>
  </si>
  <si>
    <t>-789.52505182973 6.60670959319577 -510.164556579538</t>
  </si>
  <si>
    <t>-729.30052359788 142.928480107326 -59.497043024487</t>
  </si>
  <si>
    <t>-662.469919115422 312.668679222975 300.470462648994</t>
  </si>
  <si>
    <t>-729.857939243488 286.443155010882 742.919511034292</t>
  </si>
  <si>
    <t>-641.450802117594 402.119940962515 805.291909454375</t>
  </si>
  <si>
    <t>-694.939608469464 -4.34908144673818 338.626317252755</t>
  </si>
  <si>
    <t>-703.687718128302 74.0799861479941 779.359160339823</t>
  </si>
  <si>
    <t>-593.949856031425 -15.663738306801 850.005933057978</t>
  </si>
  <si>
    <t>9763-20170724T111010.495480500.bin</t>
  </si>
  <si>
    <t>-718.467352795432 51.4119172927603 -60.9419394688505</t>
  </si>
  <si>
    <t>-762.266309968665 47.1632843813668 -168.085784896225</t>
  </si>
  <si>
    <t>-780.348923067645 44.94597649662 -265.012286996648</t>
  </si>
  <si>
    <t>-789.265015918465 42.8564929807849 -353.637198123243</t>
  </si>
  <si>
    <t>-790.357844118547 40.2919712350522 -442.690531865071</t>
  </si>
  <si>
    <t>-783.699566460811 35.8522798224431 -567.01574158971</t>
  </si>
  <si>
    <t>-752.209490574168 28.4822825580777 -643.560315460757</t>
  </si>
  <si>
    <t>-783.036710807479 65.2697802846787 -513.094665107875</t>
  </si>
  <si>
    <t>-760.406088181369 199.867890678309 -496.780824608936</t>
  </si>
  <si>
    <t>-747.439698398318 281.209197995446 -214.280086992201</t>
  </si>
  <si>
    <t>-611.739593301803 82.3854770256121 -204.012239391678</t>
  </si>
  <si>
    <t>-790.222213797284 10.3421765360295 -511.51807678015</t>
  </si>
  <si>
    <t>-731.996770383684 144.38030706805 -60.5790161699197</t>
  </si>
  <si>
    <t>-662.657562452405 312.331727969246 299.752830137613</t>
  </si>
  <si>
    <t>-729.91605980633 286.679146923955 742.401367603569</t>
  </si>
  <si>
    <t>-640.904941182367 401.971633876533 804.626567003448</t>
  </si>
  <si>
    <t>-698.942010168069 -2.60731052697747 338.249648808373</t>
  </si>
  <si>
    <t>-703.642156408592 74.2408027865076 779.474571213904</t>
  </si>
  <si>
    <t>-594.634583047399 -16.3941356190326 850.114085638788</t>
  </si>
  <si>
    <t>9763-20170724T111010.515534200.bin</t>
  </si>
  <si>
    <t>-720.966265752844 53.1427331366895 -61.3703262811549</t>
  </si>
  <si>
    <t>-764.244648544593 49.0253644676291 -168.730689627155</t>
  </si>
  <si>
    <t>-781.953511404954 47.0799936444555 -265.732115953599</t>
  </si>
  <si>
    <t>-790.562879674278 45.3166201425547 -354.394521759553</t>
  </si>
  <si>
    <t>-791.377413829358 43.1694164955238 -443.461658381347</t>
  </si>
  <si>
    <t>-784.357045461554 39.4176261187436 -567.789678140215</t>
  </si>
  <si>
    <t>-752.691107308217 33.8572822551432 -644.414509086823</t>
  </si>
  <si>
    <t>-784.020031372773 68.5576980546239 -513.715188762241</t>
  </si>
  <si>
    <t>-762.187973431582 203.219683627623 -496.676616264707</t>
  </si>
  <si>
    <t>-748.776215318772 281.526952722289 -213.340545551356</t>
  </si>
  <si>
    <t>-609.395233863823 85.1519778913967 -205.556880155253</t>
  </si>
  <si>
    <t>-790.872627119093 13.5795182714251 -512.44296623409</t>
  </si>
  <si>
    <t>-734.620014714988 145.394936186173 -60.974089810494</t>
  </si>
  <si>
    <t>-663.471286944693 312.499206905485 299.398963379476</t>
  </si>
  <si>
    <t>-730.059376677788 286.982672226653 742.181567265023</t>
  </si>
  <si>
    <t>-640.429432696666 401.838242290877 804.32632658062</t>
  </si>
  <si>
    <t>-702.34453716499 -1.44833463621353 337.928864411282</t>
  </si>
  <si>
    <t>-703.745517264251 74.0363540568978 779.534864208913</t>
  </si>
  <si>
    <t>-594.735759197026 -16.603227880219 850.165210066905</t>
  </si>
  <si>
    <t>9763-20170724T111010.586750900.bin</t>
  </si>
  <si>
    <t>-726.955417937289 57.4242733000069 -61.9918782011556</t>
  </si>
  <si>
    <t>-768.819820382076 53.517818724722 -169.919287271891</t>
  </si>
  <si>
    <t>-785.411374014474 52.1633424259917 -267.128128448344</t>
  </si>
  <si>
    <t>-793.051056448502 51.114956697174 -355.890500008047</t>
  </si>
  <si>
    <t>-792.934301980973 49.88004006867 -444.97872709823</t>
  </si>
  <si>
    <t>-784.648143261702 47.6198568960749 -569.264842424592</t>
  </si>
  <si>
    <t>-752.760823092043 44.9505212521231 -645.953200970091</t>
  </si>
  <si>
    <t>-785.321820419696 76.1618642415051 -514.87542598238</t>
  </si>
  <si>
    <t>-765.650139379937 210.934833807639 -496.075285949987</t>
  </si>
  <si>
    <t>-753.557385388697 282.186523190422 -210.824153958548</t>
  </si>
  <si>
    <t>-604.740201383849 92.7033908492604 -210.164342167588</t>
  </si>
  <si>
    <t>-791.267287982755 21.067016520783 -514.269838287942</t>
  </si>
  <si>
    <t>-740.753687165809 148.081889971708 -61.2297782028929</t>
  </si>
  <si>
    <t>-665.905057397777 314.472684221592 298.723695531333</t>
  </si>
  <si>
    <t>-730.198771911979 287.434837472739 741.769979735158</t>
  </si>
  <si>
    <t>-640.279634373368 402.098331559856 803.851248677418</t>
  </si>
  <si>
    <t>-711.062798707505 1.46200823975005 337.318487824312</t>
  </si>
  <si>
    <t>-704.012933247127 73.570625535504 779.699514887054</t>
  </si>
  <si>
    <t>-595.364851049393 -17.5106307348733 850.318923116105</t>
  </si>
  <si>
    <t>9763-20170724T111010.617824500.bin</t>
  </si>
  <si>
    <t>-730.500664046898 59.6540280455729 -62.0658113389359</t>
  </si>
  <si>
    <t>-771.429306758788 55.8880891175563 -170.356488522276</t>
  </si>
  <si>
    <t>-787.210036179352 54.8225642191373 -267.703836743797</t>
  </si>
  <si>
    <t>-794.117468546986 54.1048923976641 -356.529558411638</t>
  </si>
  <si>
    <t>-793.270610165757 53.2768902153898 -445.618409189274</t>
  </si>
  <si>
    <t>-783.967086797375 51.66719154777 -569.842691582705</t>
  </si>
  <si>
    <t>-751.897834437678 50.175459491219 -646.487103979026</t>
  </si>
  <si>
    <t>-785.356454995219 79.9519554327949 -515.332428453441</t>
  </si>
  <si>
    <t>-767.019642419113 214.806484579221 -495.837021188372</t>
  </si>
  <si>
    <t>-756.767443341679 282.96797565337 -209.760089889653</t>
  </si>
  <si>
    <t>-602.690354309761 97.7589017987561 -212.724445760905</t>
  </si>
  <si>
    <t>-790.765966694943 24.7993355040603 -515.023097623292</t>
  </si>
  <si>
    <t>-744.628813486954 149.453747762668 -61.0119729340701</t>
  </si>
  <si>
    <t>-667.63687281665 316.286921907965 298.284062006798</t>
  </si>
  <si>
    <t>-730.382910840147 287.88634029341 741.501854702857</t>
  </si>
  <si>
    <t>-640.300702626471 402.389372633928 803.643303896963</t>
  </si>
  <si>
    <t>-715.952341286382 3.18147735717412 337.135497113741</t>
  </si>
  <si>
    <t>-704.166011865882 73.2914628061048 779.826361101025</t>
  </si>
  <si>
    <t>-595.854792049096 -18.2007478000924 850.431842084574</t>
  </si>
  <si>
    <t>9763-20170724T111010.684004100.bin</t>
  </si>
  <si>
    <t>-738.483545882106 63.3673307112113 -61.9207106171585</t>
  </si>
  <si>
    <t>-777.524505284619 59.9716868391256 -170.91836989411</t>
  </si>
  <si>
    <t>-791.17491365972 59.3968690821243 -268.59124458064</t>
  </si>
  <si>
    <t>-795.959393066493 59.183961872448 -357.559184508653</t>
  </si>
  <si>
    <t>-792.80167111644 58.9278418962858 -446.599791532556</t>
  </si>
  <si>
    <t>-780.084158730081 58.1881914410847 -570.529275483967</t>
  </si>
  <si>
    <t>-747.249836928021 58.7885674254771 -646.861247648822</t>
  </si>
  <si>
    <t>-783.576314185382 86.1427772468273 -515.942973536869</t>
  </si>
  <si>
    <t>-768.517807016621 221.260759916694 -495.516555536515</t>
  </si>
  <si>
    <t>-764.384988080224 285.655450588783 -208.414928098388</t>
  </si>
  <si>
    <t>-599.453218335071 110.185618369712 -216.076447377421</t>
  </si>
  <si>
    <t>-787.784526683674 30.8846713463536 -516.044963379063</t>
  </si>
  <si>
    <t>-753.282786807277 151.642217076188 -60.2963971846968</t>
  </si>
  <si>
    <t>-671.766152011997 320.074801924019 297.250971148633</t>
  </si>
  <si>
    <t>-731.575940452843 290.201031501301 740.745517944557</t>
  </si>
  <si>
    <t>-640.298257949451 403.503059993902 803.342081661482</t>
  </si>
  <si>
    <t>-724.545734481779 6.75008225347028 336.969159366205</t>
  </si>
  <si>
    <t>-704.434246691739 72.7539240217725 780.110560802933</t>
  </si>
  <si>
    <t>-596.561880759393 -19.3178815912124 850.634293038269</t>
  </si>
  <si>
    <t>9763-20170724T111010.720099100.bin</t>
  </si>
  <si>
    <t>-742.109849135479 64.5625194136778 -62.0171994703919</t>
  </si>
  <si>
    <t>-780.261758766514 61.294485632553 -171.3331107866</t>
  </si>
  <si>
    <t>-792.564132003988 60.9024829089385 -269.185842294662</t>
  </si>
  <si>
    <t>-795.897061389102 60.8740355070709 -358.220246712976</t>
  </si>
  <si>
    <t>-791.062964237644 60.8223898641741 -447.185868673679</t>
  </si>
  <si>
    <t>-775.778179465378 60.3854156498751 -570.826478194428</t>
  </si>
  <si>
    <t>-742.278535262132 61.9499639090955 -646.855064740965</t>
  </si>
  <si>
    <t>-780.736150757805 88.230075160162 -516.297458322672</t>
  </si>
  <si>
    <t>-767.649987248551 223.513944033758 -495.682524064507</t>
  </si>
  <si>
    <t>-768.290188081676 287.113443041391 -208.374543220546</t>
  </si>
  <si>
    <t>-597.760842356583 117.102371244015 -216.550142680492</t>
  </si>
  <si>
    <t>-784.272331748809 32.9254867952891 -516.539089783476</t>
  </si>
  <si>
    <t>-756.51418442159 152.2688322115 -60.2142982118828</t>
  </si>
  <si>
    <t>-673.578218677562 321.014521266885 296.858827323204</t>
  </si>
  <si>
    <t>-733.116119309474 293.068073307155 740.18160666316</t>
  </si>
  <si>
    <t>-640.296727096912 404.767633452293 803.388154183251</t>
  </si>
  <si>
    <t>-727.468930965921 8.40579500008062 336.828612585642</t>
  </si>
  <si>
    <t>-704.549660244852 72.401324520823 780.201634037094</t>
  </si>
  <si>
    <t>-596.732338357752 -19.7627406145889 850.68944166784</t>
  </si>
  <si>
    <t>9763-20170724T111010.783222800.bin</t>
  </si>
  <si>
    <t>-751.207645942266 74.836678139402 -62.7225440630983</t>
  </si>
  <si>
    <t>-786.597066538365 71.8990547107805 -172.973026246336</t>
  </si>
  <si>
    <t>-795.405217468564 71.953116714044 -271.202617553269</t>
  </si>
  <si>
    <t>-795.146888415941 72.381727963068 -360.298037108532</t>
  </si>
  <si>
    <t>-786.314524968422 72.846321629479 -448.954859242801</t>
  </si>
  <si>
    <t>-765.045922891583 73.1910993457823 -571.708128468597</t>
  </si>
  <si>
    <t>-729.986880792408 76.4742826122315 -646.974837267524</t>
  </si>
  <si>
    <t>-773.374030604777 100.727944322358 -517.434061017946</t>
  </si>
  <si>
    <t>-764.486113407486 236.363142249388 -496.969598248779</t>
  </si>
  <si>
    <t>-776.445056471487 298.481082672547 -209.585613758167</t>
  </si>
  <si>
    <t>-595.663676544705 139.377951722091 -217.007650275181</t>
  </si>
  <si>
    <t>-775.436714143292 45.3505913284871 -517.946918225672</t>
  </si>
  <si>
    <t>-767.252982324282 167.783075713015 -61.2009866805483</t>
  </si>
  <si>
    <t>-681.23517176681 334.783969864709 295.963315554989</t>
  </si>
  <si>
    <t>-752.543748207198 322.871857965194 737.689516516382</t>
  </si>
  <si>
    <t>-650.964889536259 424.342319403814 804.568716216823</t>
  </si>
  <si>
    <t>-733.885838478245 15.7656418549936 336.181741965531</t>
  </si>
  <si>
    <t>-704.474930896339 72.3940061455992 780.129100026292</t>
  </si>
  <si>
    <t>-597.88623617077 -21.1684585996099 850.643204951421</t>
  </si>
  <si>
    <t>9763-20170724T111010.818315700.bin</t>
  </si>
  <si>
    <t>-757.737482043835 84.1565329601835 -62.6757091369194</t>
  </si>
  <si>
    <t>-791.495359068247 81.2585683863767 -173.437828296963</t>
  </si>
  <si>
    <t>-798.564524859474 81.5700885306969 -271.807411324637</t>
  </si>
  <si>
    <t>-796.607940269173 82.3114823207775 -360.879638150871</t>
  </si>
  <si>
    <t>-785.963001793662 83.1700484751823 -449.33413973206</t>
  </si>
  <si>
    <t>-762.055253093861 84.1477034822133 -571.597122615797</t>
  </si>
  <si>
    <t>-726.273862797956 88.1241256777839 -646.489846512962</t>
  </si>
  <si>
    <t>-771.924506187358 111.416771097762 -517.446427155613</t>
  </si>
  <si>
    <t>-765.083146034874 247.170153566125 -496.883647737618</t>
  </si>
  <si>
    <t>-781.808164111666 308.295808041815 -209.524795001328</t>
  </si>
  <si>
    <t>-597.476769732616 153.287571614278 -216.249719460811</t>
  </si>
  <si>
    <t>-773.227440242471 56.0183497715948 -518.144153074325</t>
  </si>
  <si>
    <t>-775.328573344449 179.42364077305 -61.0823234847302</t>
  </si>
  <si>
    <t>-686.105840812412 344.238010717771 296.311288615104</t>
  </si>
  <si>
    <t>-772.908191667798 338.112886498222 736.048652560484</t>
  </si>
  <si>
    <t>-663.563029451749 429.434860497787 805.267331121184</t>
  </si>
  <si>
    <t>-739.355103062622 21.6997835413986 336.149973468401</t>
  </si>
  <si>
    <t>-704.584728129684 72.3211283493633 780.207062239963</t>
  </si>
  <si>
    <t>-598.402146949814 -21.7178120658223 850.699743672782</t>
  </si>
  <si>
    <t>9763-20170724T111010.881489500.bin</t>
  </si>
  <si>
    <t>-771.816697972158 96.8726166369734 -61.7080605141634</t>
  </si>
  <si>
    <t>-801.962659734782 94.4064838395834 -173.517424901838</t>
  </si>
  <si>
    <t>-805.783307045781 95.4528994702259 -272.061711760602</t>
  </si>
  <si>
    <t>-800.858764812367 96.9942172043302 -361.009024351294</t>
  </si>
  <si>
    <t>-787.235500205105 98.797083499946 -449.039611445851</t>
  </si>
  <si>
    <t>-759.172746518392 101.244522264519 -570.395760117776</t>
  </si>
  <si>
    <t>-721.914582226182 106.342271331303 -644.496186372567</t>
  </si>
  <si>
    <t>-771.634374232865 127.871117568679 -516.460255130998</t>
  </si>
  <si>
    <t>-768.700878082306 263.621439033459 -495.097529027529</t>
  </si>
  <si>
    <t>-792.342479929469 323.561600953022 -207.974982864236</t>
  </si>
  <si>
    <t>-604.866964994981 172.342080468198 -214.011194399113</t>
  </si>
  <si>
    <t>-771.409264186645 72.4638867223339 -517.525653938773</t>
  </si>
  <si>
    <t>-791.865703352639 191.103175950067 -59.4100509333019</t>
  </si>
  <si>
    <t>-694.805732078916 348.882312258621 299.114445358144</t>
  </si>
  <si>
    <t>-824.235251120436 342.804402219469 728.289473656209</t>
  </si>
  <si>
    <t>-705.137133183967 415.205518788499 803.529170151794</t>
  </si>
  <si>
    <t>-752.236507182698 1.92626144373253 -65.66020819791</t>
  </si>
  <si>
    <t>-750.351065129812 32.1715553995236 336.752928935673</t>
  </si>
  <si>
    <t>-704.950529564429 72.0099119595675 780.609219666269</t>
  </si>
  <si>
    <t>-599.180035633245 -22.5865042550122 850.975252177658</t>
  </si>
  <si>
    <t>9763-20170724T111010.914583400.bin</t>
  </si>
  <si>
    <t>-777.738708130103 100.204376493273 -61.0474962084423</t>
  </si>
  <si>
    <t>-806.247845559388 98.2254829046956 -173.295120247434</t>
  </si>
  <si>
    <t>-808.579204330198 99.7475020643301 -271.879598284662</t>
  </si>
  <si>
    <t>-802.291827106286 101.747065010308 -360.731770221056</t>
  </si>
  <si>
    <t>-787.300187041515 104.045494497853 -448.528179483818</t>
  </si>
  <si>
    <t>-757.330551282987 107.229610337063 -569.410330991182</t>
  </si>
  <si>
    <t>-719.127759318487 112.735580236949 -642.998905804308</t>
  </si>
  <si>
    <t>-770.989602651747 133.526592491629 -515.603322964467</t>
  </si>
  <si>
    <t>-769.653068919625 269.26323293823 -493.885117215319</t>
  </si>
  <si>
    <t>-796.600704048559 328.16287905331 -206.838275970717</t>
  </si>
  <si>
    <t>-608.905543082579 177.240249985381 -213.454620297087</t>
  </si>
  <si>
    <t>-770.047668894607 78.1299731391177 -516.828916417649</t>
  </si>
  <si>
    <t>-798.327965334673 193.379068386575 -58.099608468825</t>
  </si>
  <si>
    <t>-702.496949072236 348.343509343858 301.979747321805</t>
  </si>
  <si>
    <t>-858.052080884545 335.024302614483 722.216808452977</t>
  </si>
  <si>
    <t>-738.60061323394 402.66839223434 801.229112842731</t>
  </si>
  <si>
    <t>-757.253597484017 5.29639007155538 -65.3639836367739</t>
  </si>
  <si>
    <t>-754.005105535603 35.9954433677144 337.006087079899</t>
  </si>
  <si>
    <t>-705.070722251593 72.0444898986834 780.83825924594</t>
  </si>
  <si>
    <t>-599.609805988076 -22.9448894050138 851.140081310537</t>
  </si>
  <si>
    <t>9763-20170724T111010.986774700.bin</t>
  </si>
  <si>
    <t>-787.49918944231 106.276721120628 -60.2417583486563</t>
  </si>
  <si>
    <t>-813.469038846808 104.905363537224 -173.112884615782</t>
  </si>
  <si>
    <t>-813.634417491397 107.081019014309 -271.7126408426</t>
  </si>
  <si>
    <t>-805.418670378613 109.743729720146 -360.389848365658</t>
  </si>
  <si>
    <t>-788.544050719538 112.796088502666 -447.820832010578</t>
  </si>
  <si>
    <t>-756.001341289155 117.141432235624 -567.999450742989</t>
  </si>
  <si>
    <t>-715.920166871266 122.965925853689 -640.557163443387</t>
  </si>
  <si>
    <t>-771.283737190055 142.911828825653 -514.374190566934</t>
  </si>
  <si>
    <t>-772.193747628693 278.618427010248 -492.372464704317</t>
  </si>
  <si>
    <t>-806.570786175312 334.311233794977 -205.47914830653</t>
  </si>
  <si>
    <t>-616.129519480033 186.975016630039 -214.141896719068</t>
  </si>
  <si>
    <t>-769.360117596231 87.5469405698941 -515.855275991556</t>
  </si>
  <si>
    <t>-607.580744070315 1.80902371336651 -309.498313137818</t>
  </si>
  <si>
    <t>-809.878346113747 199.470208596013 -56.9017746195</t>
  </si>
  <si>
    <t>-721.042366597962 339.970172601 310.824540083011</t>
  </si>
  <si>
    <t>-918.869370254025 309.115339901668 712.019358521752</t>
  </si>
  <si>
    <t>-800.415358890775 361.908834564125 802.952121541304</t>
  </si>
  <si>
    <t>-766.107755402537 12.1361396283842 -65.0010948896276</t>
  </si>
  <si>
    <t>-757.526485313818 41.9450091000999 337.357581872415</t>
  </si>
  <si>
    <t>-705.314728925528 71.9441219137339 781.259367252494</t>
  </si>
  <si>
    <t>-600.167566628234 -23.4651532161897 851.462443296855</t>
  </si>
  <si>
    <t>9763-20170724T111011.018860700.bin</t>
  </si>
  <si>
    <t>-791.590949737654 109.547372749595 -59.9615100049959</t>
  </si>
  <si>
    <t>-816.465505226638 108.498424691037 -173.082577454779</t>
  </si>
  <si>
    <t>-815.85865072522 110.939388682684 -271.674374773271</t>
  </si>
  <si>
    <t>-807.022433728491 113.842578129158 -360.284321087753</t>
  </si>
  <si>
    <t>-789.609638956928 117.141551857816 -447.600721616236</t>
  </si>
  <si>
    <t>-756.402141664862 121.842036843873 -567.583982508383</t>
  </si>
  <si>
    <t>-715.492355909932 127.575424162844 -639.684953989875</t>
  </si>
  <si>
    <t>-772.076873036366 147.451274413156 -513.994838622188</t>
  </si>
  <si>
    <t>-773.671495612539 283.151090087631 -491.827905901152</t>
  </si>
  <si>
    <t>-811.723118128572 337.078053279842 -205.061204331048</t>
  </si>
  <si>
    <t>-620.004356243043 191.567146240317 -216.078512301066</t>
  </si>
  <si>
    <t>-769.953472501771 92.0963842489873 -515.575762281649</t>
  </si>
  <si>
    <t>-609.218763095944 8.25618519873842 -309.365344467487</t>
  </si>
  <si>
    <t>-814.251154836604 202.765927797577 -56.9166098786471</t>
  </si>
  <si>
    <t>-731.519449092685 330.729455503638 316.761769453901</t>
  </si>
  <si>
    <t>-937.948359493061 293.975846766144 712.909928302648</t>
  </si>
  <si>
    <t>-817.778811377471 337.614506343053 806.409776044742</t>
  </si>
  <si>
    <t>-769.809351410143 15.6258335810426 -64.8610919587767</t>
  </si>
  <si>
    <t>-757.982449438692 44.9491547245002 337.450887031325</t>
  </si>
  <si>
    <t>-705.358668370087 72.0150344128119 781.442130124282</t>
  </si>
  <si>
    <t>-600.558544867067 -23.7965080216459 851.616299660609</t>
  </si>
  <si>
    <t>9763-20170724T111011.086042800.bin</t>
  </si>
  <si>
    <t>-797.961143798341 115.826637793134 -60.6975063650559</t>
  </si>
  <si>
    <t>-820.857733937329 114.656088367401 -174.234280561769</t>
  </si>
  <si>
    <t>-818.870279218543 117.325773812067 -272.801951486967</t>
  </si>
  <si>
    <t>-808.919268727932 120.559164622405 -361.282238434743</t>
  </si>
  <si>
    <t>-790.527136100278 124.309755611996 -448.379240036268</t>
  </si>
  <si>
    <t>-756.092427693385 129.763918089189 -567.98405166238</t>
  </si>
  <si>
    <t>-713.490635011112 135.257329026139 -639.117464121653</t>
  </si>
  <si>
    <t>-772.518050798484 155.02925890279 -514.456797596805</t>
  </si>
  <si>
    <t>-775.456253897775 290.647146341994 -491.882192912886</t>
  </si>
  <si>
    <t>-819.877371105525 343.358710992259 -205.806371229634</t>
  </si>
  <si>
    <t>-626.709037359906 200.008036652388 -219.495803558102</t>
  </si>
  <si>
    <t>-769.972651720598 99.6985048040824 -516.247079825573</t>
  </si>
  <si>
    <t>-612.096296289873 17.9016361634622 -309.318579665797</t>
  </si>
  <si>
    <t>-820.18611975872 208.446358659447 -59.0555907026582</t>
  </si>
  <si>
    <t>-760.200214921363 310.594328647883 326.719283613768</t>
  </si>
  <si>
    <t>-941.458124447681 279.017075243909 735.301329129088</t>
  </si>
  <si>
    <t>-811.574347950192 320.518061891371 815.893983798939</t>
  </si>
  <si>
    <t>-775.135285699422 22.4990463004638 -65.0555593835893</t>
  </si>
  <si>
    <t>-755.879126430019 50.718954278364 337.048318115112</t>
  </si>
  <si>
    <t>-705.261453458602 72.2002204172768 781.606770373931</t>
  </si>
  <si>
    <t>-600.610578965868 -23.765342729133 851.792790100833</t>
  </si>
  <si>
    <t>9763-20170724T111011.114116800.bin</t>
  </si>
  <si>
    <t>-801.098451555901 118.239459735359 -61.4703454648381</t>
  </si>
  <si>
    <t>-823.135217494439 116.688643197065 -175.172604473189</t>
  </si>
  <si>
    <t>-820.493284773217 119.375589966768 -273.72434571588</t>
  </si>
  <si>
    <t>-809.980411333251 122.745748242843 -362.134502299019</t>
  </si>
  <si>
    <t>-791.055529972949 126.74906424042 -449.106250572206</t>
  </si>
  <si>
    <t>-755.905727776015 132.66984776277 -568.480596943757</t>
  </si>
  <si>
    <t>-712.388299540968 138.173489997155 -639.056485291614</t>
  </si>
  <si>
    <t>-772.858284136825 157.717760581686 -515.01551598315</t>
  </si>
  <si>
    <t>-776.958810884594 293.245916987218 -492.33115102452</t>
  </si>
  <si>
    <t>-823.727621818313 346.305570410318 -206.693976139795</t>
  </si>
  <si>
    <t>-630.334771695891 203.283583409433 -220.650726434105</t>
  </si>
  <si>
    <t>-769.888130635157 102.410839487198 -516.884145296595</t>
  </si>
  <si>
    <t>-614.154021070141 20.3573051542871 -309.178091378849</t>
  </si>
  <si>
    <t>-824.411729025217 211.44451991298 -59.9879019226751</t>
  </si>
  <si>
    <t>-773.905103426665 301.560808589392 330.118226117069</t>
  </si>
  <si>
    <t>-936.4335425325 274.167666602867 747.089850265741</t>
  </si>
  <si>
    <t>-802.188811907472 317.890980975131 818.880712309817</t>
  </si>
  <si>
    <t>-777.324329745917 25.0216674058047 -65.3428055101169</t>
  </si>
  <si>
    <t>-753.590417757416 52.8852223365448 336.546474486836</t>
  </si>
  <si>
    <t>-705.424967994949 71.7903147242496 781.60216278803</t>
  </si>
  <si>
    <t>-599.928298108715 -23.2567015232466 851.772280470641</t>
  </si>
  <si>
    <t>9763-20170724T111011.186028800.bin</t>
  </si>
  <si>
    <t>-808.786333343477 120.829936526435 -62.8823852630367</t>
  </si>
  <si>
    <t>-828.436731977687 118.489533671969 -177.007844739587</t>
  </si>
  <si>
    <t>-824.260041816219 121.337644882512 -275.502053936298</t>
  </si>
  <si>
    <t>-812.55588492447 125.171923651189 -363.743286133641</t>
  </si>
  <si>
    <t>-792.629284871867 129.962362639817 -450.451092608522</t>
  </si>
  <si>
    <t>-756.268503055618 137.314653223508 -569.382330294396</t>
  </si>
  <si>
    <t>-710.536853523918 143.464581492503 -638.489646712155</t>
  </si>
  <si>
    <t>-774.431705852545 161.683930957813 -516.001209145092</t>
  </si>
  <si>
    <t>-781.842122056046 297.02617267806 -492.832427828415</t>
  </si>
  <si>
    <t>-832.101059506628 351.906985605422 -208.133816313717</t>
  </si>
  <si>
    <t>-638.054371448964 209.806163950191 -222.42009437723</t>
  </si>
  <si>
    <t>-770.106443952553 106.474630159904 -518.091847863217</t>
  </si>
  <si>
    <t>-617.814637376388 22.8760215722632 -307.838784483861</t>
  </si>
  <si>
    <t>-834.556708047074 213.074256941905 -61.7106897064895</t>
  </si>
  <si>
    <t>-789.535792397997 286.633663681674 332.518682668353</t>
  </si>
  <si>
    <t>-916.736533482632 262.947446242626 761.250389468181</t>
  </si>
  <si>
    <t>-778.822162107643 308.271628903622 824.596212933816</t>
  </si>
  <si>
    <t>-782.172270152201 28.3652791913482 -65.7199307077293</t>
  </si>
  <si>
    <t>-747.479236339102 57.5806713278744 335.275680770084</t>
  </si>
  <si>
    <t>-705.494069575126 71.1786762498223 781.307167951611</t>
  </si>
  <si>
    <t>-598.705670157096 -22.2787348255265 851.657856302378</t>
  </si>
  <si>
    <t>9763-20170724T111011.219119800.bin</t>
  </si>
  <si>
    <t>-812.393301667381 120.123703151051 -62.9632494781613</t>
  </si>
  <si>
    <t>-831.372157348605 117.489893743528 -177.195853319832</t>
  </si>
  <si>
    <t>-826.831358155495 120.467513557638 -275.670025717745</t>
  </si>
  <si>
    <t>-814.874895696209 124.569575858512 -363.865642884543</t>
  </si>
  <si>
    <t>-794.76959733262 129.786453442908 -450.50738718254</t>
  </si>
  <si>
    <t>-758.22913887051 137.902148098961 -569.333905381981</t>
  </si>
  <si>
    <t>-711.190282876289 144.550608484404 -637.511478791675</t>
  </si>
  <si>
    <t>-776.890452347675 161.897703748685 -515.955334747681</t>
  </si>
  <si>
    <t>-786.344981350203 296.997731395048 -492.617700399159</t>
  </si>
  <si>
    <t>-837.44297904294 352.582251069516 -208.205071101905</t>
  </si>
  <si>
    <t>-642.987191644252 211.086008760584 -222.922012693584</t>
  </si>
  <si>
    <t>-771.727100662092 106.763801893532 -518.133058024001</t>
  </si>
  <si>
    <t>-621.637589646829 23.6405428130361 -306.70181931652</t>
  </si>
  <si>
    <t>-840.638260728054 211.806844660074 -61.0189011019409</t>
  </si>
  <si>
    <t>-792.149150000137 282.631972239546 333.299840951662</t>
  </si>
  <si>
    <t>-911.087160067272 255.870032158918 764.507058850053</t>
  </si>
  <si>
    <t>-772.766236108051 300.989239171697 827.108420781481</t>
  </si>
  <si>
    <t>-784.890788313714 27.9184462436051 -65.6808638662782</t>
  </si>
  <si>
    <t>-742.105408433069 58.8780640241089 334.40109832269</t>
  </si>
  <si>
    <t>-705.427739223948 70.7948404699528 781.036159073547</t>
  </si>
  <si>
    <t>-597.955107441436 -21.7183152337284 851.592991293659</t>
  </si>
  <si>
    <t>9763-20170724T111011.282906500.bin</t>
  </si>
  <si>
    <t>-816.120449660458 111.561479534654 -60.2326613011354</t>
  </si>
  <si>
    <t>-834.281611681922 109.655249382003 -174.612643016469</t>
  </si>
  <si>
    <t>-829.354358333669 113.289998766702 -273.046229075857</t>
  </si>
  <si>
    <t>-817.18855044644 118.05575463065 -361.179714520854</t>
  </si>
  <si>
    <t>-797.014832142145 124.045700135044 -447.755606706691</t>
  </si>
  <si>
    <t>-760.522989347993 133.389892966763 -566.506806879879</t>
  </si>
  <si>
    <t>-711.095829907877 140.76789109652 -632.896111529304</t>
  </si>
  <si>
    <t>-779.712067345551 156.783321722456 -513.047933673928</t>
  </si>
  <si>
    <t>-792.114580114341 291.565385458441 -488.999984323825</t>
  </si>
  <si>
    <t>-845.323069374921 347.170570576071 -204.978646478862</t>
  </si>
  <si>
    <t>-649.606732094788 207.828567779192 -223.138522121346</t>
  </si>
  <si>
    <t>-773.450437858992 101.772648421755 -515.452512776885</t>
  </si>
  <si>
    <t>-629.583760080051 22.8268649504794 -302.741183443363</t>
  </si>
  <si>
    <t>-842.831493630686 203.678262224383 -58.9715897869596</t>
  </si>
  <si>
    <t>-802.305772466066 263.209914061974 338.103060305482</t>
  </si>
  <si>
    <t>-903.108953514856 238.179426681109 773.824818502797</t>
  </si>
  <si>
    <t>-764.661922320891 283.539559294895 835.972052168578</t>
  </si>
  <si>
    <t>-787.893016280326 18.2917865678714 -63.7852789965648</t>
  </si>
  <si>
    <t>-726.152517714161 57.8326893437038 333.05130402878</t>
  </si>
  <si>
    <t>-705.10258455343 70.4662297155573 780.326658196159</t>
  </si>
  <si>
    <t>-596.679778037659 -20.4941657936379 851.446059966676</t>
  </si>
  <si>
    <t>9763-20170724T111011.315968300.bin</t>
  </si>
  <si>
    <t>-814.574921469913 101.271006154017 -58.3851518327967</t>
  </si>
  <si>
    <t>-832.236874735288 99.6590782160692 -172.847675573689</t>
  </si>
  <si>
    <t>-827.074425641898 103.518797079582 -271.260639050187</t>
  </si>
  <si>
    <t>-814.782856257404 108.511883669034 -359.364115318535</t>
  </si>
  <si>
    <t>-794.570136801358 114.770566055704 -445.911887318993</t>
  </si>
  <si>
    <t>-758.113420011999 124.552204509038 -564.638694933405</t>
  </si>
  <si>
    <t>-707.783926660769 131.960020714871 -630.343176067946</t>
  </si>
  <si>
    <t>-777.319362548747 147.7451218218 -511.098707375009</t>
  </si>
  <si>
    <t>-789.914398853322 282.469011167637 -486.579910561746</t>
  </si>
  <si>
    <t>-845.030635711939 336.591402263241 -202.635930229212</t>
  </si>
  <si>
    <t>-648.396265166283 198.911590587384 -223.373664459677</t>
  </si>
  <si>
    <t>-770.993160154602 92.7501881777921 -513.687121713703</t>
  </si>
  <si>
    <t>-630.044123840705 14.7607006377689 -300.941051088175</t>
  </si>
  <si>
    <t>-841.226678359379 194.084872113264 -56.6907935542971</t>
  </si>
  <si>
    <t>-802.284239048258 248.86950527943 341.224740449234</t>
  </si>
  <si>
    <t>-894.07050252397 224.032585050837 779.039945699107</t>
  </si>
  <si>
    <t>-755.718191006196 269.859551076319 841.055254431503</t>
  </si>
  <si>
    <t>-786.468152482164 6.68757326001105 -62.0656934056515</t>
  </si>
  <si>
    <t>-715.475871756874 55.1895120369541 332.221475443189</t>
  </si>
  <si>
    <t>-705.026643693701 70.1454541285029 779.908676302268</t>
  </si>
  <si>
    <t>-595.973064131127 -19.7473287966109 851.420138830497</t>
  </si>
  <si>
    <t>9763-20170724T111011.385156700.bin</t>
  </si>
  <si>
    <t>-811.245798639122 71.6579713514666 -52.8069477295153</t>
  </si>
  <si>
    <t>-828.098966306275 70.2781431017524 -167.394484561505</t>
  </si>
  <si>
    <t>-822.553221862679 74.4310019084328 -265.774604352657</t>
  </si>
  <si>
    <t>-810.042381413308 79.7433484095841 -353.828535956757</t>
  </si>
  <si>
    <t>-789.735005992628 86.3761963175548 -440.326315103991</t>
  </si>
  <si>
    <t>-753.271260902835 96.7431865270173 -559.001191480796</t>
  </si>
  <si>
    <t>-701.809836552435 103.832065166398 -623.858834405335</t>
  </si>
  <si>
    <t>-772.166053047915 119.700933799833 -505.249463711649</t>
  </si>
  <si>
    <t>-783.348915527105 254.340064332963 -479.77813417679</t>
  </si>
  <si>
    <t>-843.007199015882 302.910301694138 -195.748222049598</t>
  </si>
  <si>
    <t>-643.942017296087 169.564681278571 -221.104547205244</t>
  </si>
  <si>
    <t>-766.468336860996 64.6613950612095 -508.306973985007</t>
  </si>
  <si>
    <t>-837.691310510432 169.263335671563 -51.8752859359601</t>
  </si>
  <si>
    <t>-797.877067363439 218.316122912604 346.70136000808</t>
  </si>
  <si>
    <t>-878.673702442244 199.700279025033 785.242813970138</t>
  </si>
  <si>
    <t>-740.30994738401 245.728846929573 847.082419664516</t>
  </si>
  <si>
    <t>-684.130908834373 41.7489098159531 328.868049843665</t>
  </si>
  <si>
    <t>-703.979227400326 68.3581476380555 775.919888815812</t>
  </si>
  <si>
    <t>-596.236781361481 -20.2892270034672 850.89011481077</t>
  </si>
  <si>
    <t>9763-20170724T111011.416240000.bin</t>
  </si>
  <si>
    <t>-814.60599800571 64.4643343200182 -50.6431446892511</t>
  </si>
  <si>
    <t>-831.274389421963 62.9764470654695 -165.256309439502</t>
  </si>
  <si>
    <t>-825.706849636839 67.1502787237205 -263.634403916118</t>
  </si>
  <si>
    <t>-813.223988068968 72.5122385532395 -351.689302126454</t>
  </si>
  <si>
    <t>-792.987974456209 79.2135436008557 -438.198477020928</t>
  </si>
  <si>
    <t>-756.665283034029 89.6861684376386 -556.90741339266</t>
  </si>
  <si>
    <t>-704.956613468783 96.5469383103218 -621.592552714242</t>
  </si>
  <si>
    <t>-775.295899523577 112.612407673611 -503.050274554517</t>
  </si>
  <si>
    <t>-785.46881895148 247.12826480156 -476.973073362834</t>
  </si>
  <si>
    <t>-845.039632342634 294.231584911573 -192.677774047378</t>
  </si>
  <si>
    <t>-644.7834160022 163.034652163944 -219.800098083751</t>
  </si>
  <si>
    <t>-770.002283930094 57.542836428016 -506.288787790268</t>
  </si>
  <si>
    <t>-842.360086319771 167.018793910642 -50.6167362023789</t>
  </si>
  <si>
    <t>-800.898786774485 214.79696082257 347.946791549551</t>
  </si>
  <si>
    <t>-879.124788387003 199.2258444421 786.134856994993</t>
  </si>
  <si>
    <t>-740.758484296108 245.310263737077 847.926879140488</t>
  </si>
  <si>
    <t>-669.241451931498 38.3971366097853 324.869484902288</t>
  </si>
  <si>
    <t>-704.021744617587 70.3220479296938 770.899184359137</t>
  </si>
  <si>
    <t>-596.212113253571 -15.1221220872621 849.408209281567</t>
  </si>
  <si>
    <t>9763-20170724T111011.484459100.bin</t>
  </si>
  <si>
    <t>-823.432786826601 55.740342326756 -49.9702383129184</t>
  </si>
  <si>
    <t>-840.421965276547 54.2598141039289 -164.53633017794</t>
  </si>
  <si>
    <t>-835.40273421974 58.3468829925237 -262.947517934723</t>
  </si>
  <si>
    <t>-823.510860357341 63.5503113200939 -351.09372320604</t>
  </si>
  <si>
    <t>-803.950633704855 69.986469847358 -437.778320328535</t>
  </si>
  <si>
    <t>-768.6525404815 79.9537701335043 -556.839261910666</t>
  </si>
  <si>
    <t>-716.772653915516 86.2684299873317 -621.442888265564</t>
  </si>
  <si>
    <t>-786.480303625269 103.133484816226 -502.819042079764</t>
  </si>
  <si>
    <t>-795.223810646334 237.688753896365 -476.032539059949</t>
  </si>
  <si>
    <t>-848.55469263068 284.530992487 -190.458050327263</t>
  </si>
  <si>
    <t>-647.559338522472 155.504249528748 -222.141152237325</t>
  </si>
  <si>
    <t>-781.890824739382 48.0017279765179 -506.073829809562</t>
  </si>
  <si>
    <t>-852.752450593057 164.378480424931 -50.5452423689022</t>
  </si>
  <si>
    <t>-806.978311464869 209.969491986409 347.802339463107</t>
  </si>
  <si>
    <t>-879.310395577222 198.324708207547 786.949760321195</t>
  </si>
  <si>
    <t>-740.973219669671 244.53491032912 848.71348169223</t>
  </si>
  <si>
    <t>-646.146754725515 25.5168841257582 314.543428117891</t>
  </si>
  <si>
    <t>-705.142536323748 56.5731407512171 757.719989861217</t>
  </si>
  <si>
    <t>-594.689639465932 -16.163089664874 844.880112508226</t>
  </si>
  <si>
    <t>9763-20170724T111011.517579700.bin</t>
  </si>
  <si>
    <t>-827.274502889435 60.6606897578008 -51.1433500856438</t>
  </si>
  <si>
    <t>-844.669367983301 58.9385679186771 -165.645261023384</t>
  </si>
  <si>
    <t>-840.159847666019 62.7993236822031 -264.090172023386</t>
  </si>
  <si>
    <t>-828.783823027418 67.7722802706617 -352.3178017186</t>
  </si>
  <si>
    <t>-809.787854596834 73.9414736374301 -439.147096494496</t>
  </si>
  <si>
    <t>-775.322877510141 83.4878221953004 -558.486321588866</t>
  </si>
  <si>
    <t>-723.51561008351 89.4870395924777 -623.178310000736</t>
  </si>
  <si>
    <t>-792.620457352139 106.868000037274 -504.380291467272</t>
  </si>
  <si>
    <t>-800.633461071573 241.401252137082 -477.520054182804</t>
  </si>
  <si>
    <t>-850.176025536724 288.631274871973 -191.327805048406</t>
  </si>
  <si>
    <t>-648.714576789361 160.973508318364 -225.497760768348</t>
  </si>
  <si>
    <t>-788.358130449602 51.7056932226719 -507.561811324743</t>
  </si>
  <si>
    <t>-855.883232392701 166.913303818936 -51.6198985785929</t>
  </si>
  <si>
    <t>-811.001529282257 211.451284279663 346.948418922821</t>
  </si>
  <si>
    <t>-879.297051152382 197.952461428927 786.946415281073</t>
  </si>
  <si>
    <t>-741.026761354826 244.334298230727 848.73139707652</t>
  </si>
  <si>
    <t>-640.788780126055 34.3742027290182 309.094937219368</t>
  </si>
  <si>
    <t>-710.197204926793 73.663654691064 749.853878348853</t>
  </si>
  <si>
    <t>-599.602768119908 6.20232445962256 840.986467506611</t>
  </si>
  <si>
    <t>9763-20170724T111011.551137200.bin</t>
  </si>
  <si>
    <t>-830.681661471893 76.6224318661571 -53.4829114884634</t>
  </si>
  <si>
    <t>-848.595053033829 74.5440802475141 -167.89881070141</t>
  </si>
  <si>
    <t>-844.734896786792 78.1406711950431 -266.381415560846</t>
  </si>
  <si>
    <t>-834.015610180913 82.877920962273 -354.704112593419</t>
  </si>
  <si>
    <t>-815.738216929039 88.8068151041357 -441.704275613485</t>
  </si>
  <si>
    <t>-782.333727061329 98.0045760817593 -561.371809212757</t>
  </si>
  <si>
    <t>-730.726322029173 103.677255130644 -626.252884952071</t>
  </si>
  <si>
    <t>-799.01903455104 121.550335470237 -507.145453491654</t>
  </si>
  <si>
    <t>-806.281158093615 256.097363175445 -480.32119806259</t>
  </si>
  <si>
    <t>-852.121267765452 304.08456934715 -193.638165468471</t>
  </si>
  <si>
    <t>-649.216155751615 179.150114805037 -229.300563895056</t>
  </si>
  <si>
    <t>-795.047483769125 66.3636185400874 -510.278707390715</t>
  </si>
  <si>
    <t>-858.061022451716 175.130561356235 -53.4412545041142</t>
  </si>
  <si>
    <t>-815.158965466442 218.360441019282 345.488843862811</t>
  </si>
  <si>
    <t>-879.187008694499 197.775049271575 786.518526367326</t>
  </si>
  <si>
    <t>-741.06358368889 244.376441078734 848.466204918015</t>
  </si>
  <si>
    <t>-639.894711367423 58.1021785427438 303.899534971313</t>
  </si>
  <si>
    <t>-716.630184816358 100.344312618699 742.886192587567</t>
  </si>
  <si>
    <t>-607.475828555276 34.2811732953874 836.73871185231</t>
  </si>
  <si>
    <t>9763-20170724T111011.620826000.bin</t>
  </si>
  <si>
    <t>-831.525427284714 94.9776256508467 -58.1540341969695</t>
  </si>
  <si>
    <t>-850.646012303297 92.3029158212962 -172.362054568344</t>
  </si>
  <si>
    <t>-848.278659674405 95.4614033413304 -270.906793426989</t>
  </si>
  <si>
    <t>-839.072301075561 99.8243856697832 -359.419303682939</t>
  </si>
  <si>
    <t>-822.453607038218 105.396529692896 -446.774934491259</t>
  </si>
  <si>
    <t>-791.502916417593 114.111672779725 -567.136556229059</t>
  </si>
  <si>
    <t>-740.701141173484 119.290280807068 -632.691080054674</t>
  </si>
  <si>
    <t>-806.952004214252 137.882777226777 -512.64281559754</t>
  </si>
  <si>
    <t>-813.668135292667 272.587656348243 -486.157819019044</t>
  </si>
  <si>
    <t>-852.180870256375 322.351748011649 -198.700717075991</t>
  </si>
  <si>
    <t>-643.769632064375 207.519470103518 -236.504968400868</t>
  </si>
  <si>
    <t>-803.293535187319 82.6702182794929 -515.699742769762</t>
  </si>
  <si>
    <t>-857.978615779166 185.141214343654 -57.2422162006304</t>
  </si>
  <si>
    <t>-819.787880690732 225.926963012916 342.423502198205</t>
  </si>
  <si>
    <t>-878.701669070871 197.717544813909 785.215670518831</t>
  </si>
  <si>
    <t>-740.967156067036 244.705584816308 847.734670350445</t>
  </si>
  <si>
    <t>-805.497614813705 5.80854741376106 -61.7524391575926</t>
  </si>
  <si>
    <t>-634.142678398589 71.4525783651879 297.667932603866</t>
  </si>
  <si>
    <t>-716.588109699941 90.4606505474612 737.289731119536</t>
  </si>
  <si>
    <t>-611.938093207172 18.9405011070153 832.26618023107</t>
  </si>
  <si>
    <t>9763-20170724T111011.686036900.bin</t>
  </si>
  <si>
    <t>-827.42249524178 94.9282439208005 -60.139970067214</t>
  </si>
  <si>
    <t>-847.60782982066 91.270382198848 -174.137295898875</t>
  </si>
  <si>
    <t>-846.695701309814 93.7315737295748 -272.726325394103</t>
  </si>
  <si>
    <t>-839.006723082596 97.5435952982916 -361.408784997317</t>
  </si>
  <si>
    <t>-824.090268577888 102.65772641176 -449.099029139465</t>
  </si>
  <si>
    <t>-795.694306353964 110.84113912292 -570.126065850147</t>
  </si>
  <si>
    <t>-745.972510564573 115.845579966146 -636.516716702891</t>
  </si>
  <si>
    <t>-809.987061187665 134.852835284081 -515.42251202149</t>
  </si>
  <si>
    <t>-816.670929126365 269.671204827923 -489.41828641167</t>
  </si>
  <si>
    <t>-848.147433625468 320.474154331095 -201.287215153761</t>
  </si>
  <si>
    <t>-629.515470289193 224.490730571277 -233.508285998231</t>
  </si>
  <si>
    <t>-806.393001698365 79.6270893784276 -518.313510432722</t>
  </si>
  <si>
    <t>-854.191807331742 184.841734720072 -59.1163711809792</t>
  </si>
  <si>
    <t>-818.496000147896 225.512844388633 340.791562493381</t>
  </si>
  <si>
    <t>-878.653169605454 198.001130660324 784.28222549825</t>
  </si>
  <si>
    <t>-740.885754708023 244.66233671312 846.973258592849</t>
  </si>
  <si>
    <t>-800.716569152492 3.43289448450605 -62.9509952050494</t>
  </si>
  <si>
    <t>-627.545430209676 54.0835116193362 298.021177481237</t>
  </si>
  <si>
    <t>-705.182030186825 48.2669193435704 739.044763825041</t>
  </si>
  <si>
    <t>-601.702349217205 -29.4217774062736 830.388642556196</t>
  </si>
  <si>
    <t>9763-20170724T111011.718116300.bin</t>
  </si>
  <si>
    <t>-824.603252767729 92.1280749075399 -59.9512966288895</t>
  </si>
  <si>
    <t>-845.403437296715 87.8418219888786 -173.816129818664</t>
  </si>
  <si>
    <t>-845.238775206656 89.8792559567587 -272.418790404699</t>
  </si>
  <si>
    <t>-838.304966442703 93.365582050355 -361.176874614922</t>
  </si>
  <si>
    <t>-824.214910361779 98.2177221338129 -449.0185393815</t>
  </si>
  <si>
    <t>-797.040678349992 106.107564826327 -570.345157235679</t>
  </si>
  <si>
    <t>-747.846534419295 111.11788486353 -637.127431937793</t>
  </si>
  <si>
    <t>-810.758520886651 130.253030361991 -515.55352865506</t>
  </si>
  <si>
    <t>-817.400608712993 265.137563896576 -489.924419783639</t>
  </si>
  <si>
    <t>-844.872812326388 316.295717850726 -201.446861984774</t>
  </si>
  <si>
    <t>-620.737776392295 231.968016145533 -227.963620853938</t>
  </si>
  <si>
    <t>-807.238638564832 75.0180307688247 -518.357037686282</t>
  </si>
  <si>
    <t>-851.593940440383 182.793006091767 -59.1242052809172</t>
  </si>
  <si>
    <t>-815.896174509492 224.342962378198 340.693234102624</t>
  </si>
  <si>
    <t>-878.810889285939 198.148177385056 784.076660363049</t>
  </si>
  <si>
    <t>-740.937299370082 244.567190441246 846.714026660413</t>
  </si>
  <si>
    <t>-797.744547492872 0.03689999577864 -62.4121072221334</t>
  </si>
  <si>
    <t>-627.396169202651 45.1188612685323 300.635668580148</t>
  </si>
  <si>
    <t>-700.012751305985 27.5540168979014 742.241911797328</t>
  </si>
  <si>
    <t>-595.324032100196 -51.5340182571065 830.969904380056</t>
  </si>
  <si>
    <t>9763-20170724T111011.783270400.bin</t>
  </si>
  <si>
    <t>-816.714072238037 84.2485463483649 -57.9329693625226</t>
  </si>
  <si>
    <t>-838.574207661532 78.5455467138245 -171.536798536075</t>
  </si>
  <si>
    <t>-839.757875641442 79.7220327962582 -270.146591087995</t>
  </si>
  <si>
    <t>-834.20076785296 82.5990325743765 -359.023378340974</t>
  </si>
  <si>
    <t>-821.628759087426 87.0238769002399 -447.117650201059</t>
  </si>
  <si>
    <t>-796.706292020438 94.5204069008018 -568.951495149394</t>
  </si>
  <si>
    <t>-748.45969610451 99.6534258108441 -636.41206188624</t>
  </si>
  <si>
    <t>-809.334757352111 118.847374901233 -513.97840491758</t>
  </si>
  <si>
    <t>-815.88350047332 253.900206284804 -489.007036571795</t>
  </si>
  <si>
    <t>-831.176927563789 306.543228429462 -199.894586213898</t>
  </si>
  <si>
    <t>-597.983274840439 246.829967586759 -210.183575041534</t>
  </si>
  <si>
    <t>-806.012165034134 63.5957833907501 -516.698496240104</t>
  </si>
  <si>
    <t>-843.265378948815 176.178337249818 -58.0336461490896</t>
  </si>
  <si>
    <t>-808.869156333145 220.503805406669 341.599687074096</t>
  </si>
  <si>
    <t>-879.072846008119 197.976450142223 784.119161499351</t>
  </si>
  <si>
    <t>-741.014001160984 244.274525806475 846.437766125266</t>
  </si>
  <si>
    <t>-633.530100264374 31.7520535941112 310.442352385123</t>
  </si>
  <si>
    <t>-699.665121226657 -0.870508808633531 752.333306932861</t>
  </si>
  <si>
    <t>-590.36720353655 -77.0661851009957 837.980455130957</t>
  </si>
  <si>
    <t>9763-20170724T111011.816356900.bin</t>
  </si>
  <si>
    <t>-811.404113374698 79.6407143742576 -56.6678359993232</t>
  </si>
  <si>
    <t>-833.655323016795 73.1454595256605 -170.15319365424</t>
  </si>
  <si>
    <t>-835.427520981954 73.8638471502418 -268.758484716041</t>
  </si>
  <si>
    <t>-830.493874963929 76.4266357717202 -357.681690583238</t>
  </si>
  <si>
    <t>-818.627693822262 80.6422270832322 -445.884011097789</t>
  </si>
  <si>
    <t>-794.769769575423 87.9615993560524 -567.941588768563</t>
  </si>
  <si>
    <t>-746.97669878621 93.094987778542 -635.724270320325</t>
  </si>
  <si>
    <t>-806.872373414406 112.37068243393 -512.886734601017</t>
  </si>
  <si>
    <t>-813.385720026601 247.437593206417 -488.055255877754</t>
  </si>
  <si>
    <t>-820.049159229751 301.768528326104 -198.927329191021</t>
  </si>
  <si>
    <t>-583.795571684706 254.501184952684 -197.961581489043</t>
  </si>
  <si>
    <t>-803.664659883825 57.1107532979099 -515.573529118518</t>
  </si>
  <si>
    <t>-837.801745764772 171.939214632622 -57.4008758572753</t>
  </si>
  <si>
    <t>-805.683021908686 217.637540863051 342.267405836678</t>
  </si>
  <si>
    <t>-879.190516965919 197.815900292561 784.246471946204</t>
  </si>
  <si>
    <t>-740.982081896673 243.900943494673 846.3906995065</t>
  </si>
  <si>
    <t>-639.569840398939 28.9651118148545 316.567433168641</t>
  </si>
  <si>
    <t>-707.060852262694 -3.87323146404106 758.320946109699</t>
  </si>
  <si>
    <t>-594.917188514703 -75.0418998378907 844.61198142025</t>
  </si>
  <si>
    <t>9763-20170724T111011.886557700.bin</t>
  </si>
  <si>
    <t>-798.534514024608 69.4138578362226 -54.8688656262588</t>
  </si>
  <si>
    <t>-821.284034498473 61.4274471848025 -168.160022514803</t>
  </si>
  <si>
    <t>-824.081399604056 61.2964525218713 -266.744066758476</t>
  </si>
  <si>
    <t>-820.291568604501 63.2754782223415 -355.738289643998</t>
  </si>
  <si>
    <t>-809.768896056682 67.0970346053041 -444.129018602966</t>
  </si>
  <si>
    <t>-787.978819328467 74.0694629821364 -566.592762812553</t>
  </si>
  <si>
    <t>-741.097956221349 79.2196269891733 -635.008522420805</t>
  </si>
  <si>
    <t>-799.046040044864 98.6397291186836 -511.391940424608</t>
  </si>
  <si>
    <t>-805.018030197154 233.593468911398 -486.218624488242</t>
  </si>
  <si>
    <t>-791.094602677015 291.402342263147 -198.025203171372</t>
  </si>
  <si>
    <t>-552.300906394947 268.717985341288 -175.35631923121</t>
  </si>
  <si>
    <t>-796.089265280844 43.3627364458707 -514.013102266073</t>
  </si>
  <si>
    <t>-824.553154370467 161.762087293096 -56.8200300914946</t>
  </si>
  <si>
    <t>-801.775773252476 209.473791021559 343.254289214599</t>
  </si>
  <si>
    <t>-879.407077563739 197.670293888134 784.480161936815</t>
  </si>
  <si>
    <t>-741.061458932555 243.678409982834 846.375838249299</t>
  </si>
  <si>
    <t>-651.387777103957 22.6655074369364 327.225843380965</t>
  </si>
  <si>
    <t>-710.034456539393 -5.89307796152752 770.738651392604</t>
  </si>
  <si>
    <t>-592.848435284388 -76.2338821381363 850.781716359434</t>
  </si>
  <si>
    <t>9763-20170724T111011.916637400.bin</t>
  </si>
  <si>
    <t>-792.240007199664 63.9101878370984 -54.588583089419</t>
  </si>
  <si>
    <t>-814.896109574157 55.6213485356079 -167.876782008783</t>
  </si>
  <si>
    <t>-817.849589393222 55.3041790146881 -266.455835706537</t>
  </si>
  <si>
    <t>-814.289712860113 57.1426154318897 -355.462538826267</t>
  </si>
  <si>
    <t>-804.080569086387 60.8491901120678 -443.894853421455</t>
  </si>
  <si>
    <t>-782.811640084308 67.6866410621201 -566.4579295083</t>
  </si>
  <si>
    <t>-736.289125341111 72.9125678886412 -635.112022276421</t>
  </si>
  <si>
    <t>-793.528051402281 92.322877651382 -511.217216043913</t>
  </si>
  <si>
    <t>-798.70127801829 227.249080858487 -485.635562823679</t>
  </si>
  <si>
    <t>-773.964350156416 285.360169684131 -198.229223570853</t>
  </si>
  <si>
    <t>-535.682381018443 275.760335679898 -163.872304627739</t>
  </si>
  <si>
    <t>-790.813870106088 37.0328896236874 -513.830561272733</t>
  </si>
  <si>
    <t>-818.14991649995 155.986611486056 -56.907242600518</t>
  </si>
  <si>
    <t>-801.627771339317 203.789571295607 343.463328859693</t>
  </si>
  <si>
    <t>-879.343886521157 197.423854941773 784.597323573351</t>
  </si>
  <si>
    <t>-741.122164489141 243.886662406549 846.429601972302</t>
  </si>
  <si>
    <t>-650.529021324229 13.4017738432476 330.196901874397</t>
  </si>
  <si>
    <t>-700.33983741088 -16.1813623348767 774.290734538776</t>
  </si>
  <si>
    <t>-582.859851023073 -89.0368783398967 851.607193555039</t>
  </si>
  <si>
    <t>9763-20170724T111011.986830800.bin</t>
  </si>
  <si>
    <t>-781.270298854804 52.1432291082415 -56.0892290736713</t>
  </si>
  <si>
    <t>-802.823229875538 45.0010415422653 -169.670369516489</t>
  </si>
  <si>
    <t>-805.120932069633 45.0797322078006 -268.26733978944</t>
  </si>
  <si>
    <t>-801.105616080625 47.03735471863 -357.252180361199</t>
  </si>
  <si>
    <t>-790.588015392962 50.6194608247511 -445.653503225361</t>
  </si>
  <si>
    <t>-769.047972591306 57.026588279693 -568.192333134652</t>
  </si>
  <si>
    <t>-722.886899428245 62.3759411700562 -637.080682934184</t>
  </si>
  <si>
    <t>-779.544216677912 81.8684143263185 -513.001597003967</t>
  </si>
  <si>
    <t>-782.184615607029 216.950249957328 -487.241248576826</t>
  </si>
  <si>
    <t>-741.033585464813 273.868839729144 -201.482398686947</t>
  </si>
  <si>
    <t>-508.365024129346 287.255042260286 -140.351777440663</t>
  </si>
  <si>
    <t>-777.508760361326 26.5456995098521 -515.536422895534</t>
  </si>
  <si>
    <t>-807.674801775332 144.219395352058 -57.9072513100548</t>
  </si>
  <si>
    <t>-805.724805830092 189.948035268982 343.041411942394</t>
  </si>
  <si>
    <t>-879.114407671327 197.087904248344 784.68999744818</t>
  </si>
  <si>
    <t>-741.068668234252 243.86091385585 846.681692438077</t>
  </si>
  <si>
    <t>-635.391106651925 -13.0782486484059 329.227824310879</t>
  </si>
  <si>
    <t>-693.275668910176 -30.0337663483956 773.097503459057</t>
  </si>
  <si>
    <t>-573.798686849319 -101.962060386806 848.189879015357</t>
  </si>
  <si>
    <t>9763-20170724T111012.019919700.bin</t>
  </si>
  <si>
    <t>-776.368535997577 43.4287721129967 -56.3709999612629</t>
  </si>
  <si>
    <t>-797.157469566646 36.5682817737088 -170.11186526425</t>
  </si>
  <si>
    <t>-798.919729181264 36.6830966937869 -268.719874418749</t>
  </si>
  <si>
    <t>-794.477268115404 38.5902191970149 -357.685418768101</t>
  </si>
  <si>
    <t>-783.592793667322 42.0353145175804 -446.047710454807</t>
  </si>
  <si>
    <t>-761.60754847053 48.1594897619034 -568.522125018335</t>
  </si>
  <si>
    <t>-715.575083706727 53.4594214867398 -637.499831383899</t>
  </si>
  <si>
    <t>-772.096381544397 73.1340631608609 -513.389747842627</t>
  </si>
  <si>
    <t>-773.984361998452 208.348708938445 -487.968051301216</t>
  </si>
  <si>
    <t>-726.818073614528 264.049999303341 -202.899778810583</t>
  </si>
  <si>
    <t>-499.221624139348 286.148481557645 -126.989412757749</t>
  </si>
  <si>
    <t>-770.46833687392 17.7951064978256 -515.864612052903</t>
  </si>
  <si>
    <t>-802.479383975128 136.452863889971 -58.2628050534685</t>
  </si>
  <si>
    <t>-808.138365920472 182.276836294305 342.639739310098</t>
  </si>
  <si>
    <t>-878.819196388957 197.042863505822 784.402177990913</t>
  </si>
  <si>
    <t>-740.963379837655 243.92508745208 846.733369838263</t>
  </si>
  <si>
    <t>-635.823023325353 -11.5723346889067 329.479717484974</t>
  </si>
  <si>
    <t>-695.107019598831 -20.6821844119286 773.032154126169</t>
  </si>
  <si>
    <t>-573.832658764954 -90.7359207583718 847.007061356451</t>
  </si>
  <si>
    <t>9763-20170724T111012.087072400.bin</t>
  </si>
  <si>
    <t>-763.954563912954 17.1326024214022 -55.7587743368955</t>
  </si>
  <si>
    <t>-783.048381159561 10.3540438298896 -169.801323858239</t>
  </si>
  <si>
    <t>-783.482448744204 10.5169945006387 -268.424051700158</t>
  </si>
  <si>
    <t>-777.890839474662 12.4354746710542 -357.32446287851</t>
  </si>
  <si>
    <t>-765.910358643743 15.8440541946284 -445.546386725656</t>
  </si>
  <si>
    <t>-742.452129397044 21.8536031554636 -567.752779156218</t>
  </si>
  <si>
    <t>-695.859143272153 27.3981880997967 -636.334030327953</t>
  </si>
  <si>
    <t>-753.364204400687 46.8838086459209 -512.72793030845</t>
  </si>
  <si>
    <t>-753.250391146743 181.911585140153 -487.196533905691</t>
  </si>
  <si>
    <t>-699.553598285165 242.550668026479 -204.299572164487</t>
  </si>
  <si>
    <t>-481.415249159706 276.505823691201 -107.792650375625</t>
  </si>
  <si>
    <t>-791.11112046358 114.762704413025 -57.7993026142007</t>
  </si>
  <si>
    <t>-807.246885488208 164.657171482223 342.33172235555</t>
  </si>
  <si>
    <t>-878.316739295077 196.700864792692 783.924557819892</t>
  </si>
  <si>
    <t>-740.673862150943 243.656394655683 846.669426627873</t>
  </si>
  <si>
    <t>-636.292107831374 -24.2881655373435 330.645853390516</t>
  </si>
  <si>
    <t>-695.497463706872 -22.807733510142 774.420099050118</t>
  </si>
  <si>
    <t>-572.613898185137 -91.8782379636964 846.643041572372</t>
  </si>
  <si>
    <t>9763-20170724T111012.116154900.bin</t>
  </si>
  <si>
    <t>-758.803309740831 10.2552784553777 -55.6089912442163</t>
  </si>
  <si>
    <t>-777.336554989493 3.97299497276435 -169.772313773853</t>
  </si>
  <si>
    <t>-777.295309311347 4.44681164704707 -268.395047293404</t>
  </si>
  <si>
    <t>-771.279620426102 6.5873999672699 -357.262672390497</t>
  </si>
  <si>
    <t>-758.88516893646 10.1558898705989 -445.420981605055</t>
  </si>
  <si>
    <t>-734.862169830004 16.3184492421019 -567.510091119737</t>
  </si>
  <si>
    <t>-687.581174511598 22.3496776618176 -635.577447861604</t>
  </si>
  <si>
    <t>-746.111847046733 41.278536622061 -512.521461608469</t>
  </si>
  <si>
    <t>-745.966625917057 176.364717770392 -487.011037816026</t>
  </si>
  <si>
    <t>-692.388432576058 237.440324284016 -204.185344431984</t>
  </si>
  <si>
    <t>-476.73840097155 277.900806460058 -104.641628798377</t>
  </si>
  <si>
    <t>-785.478560950872 106.491102699604 -56.9171127153792</t>
  </si>
  <si>
    <t>-803.745924962141 160.300094031734 342.614488921246</t>
  </si>
  <si>
    <t>-878.117889826029 196.428856223617 783.596285079798</t>
  </si>
  <si>
    <t>-740.661118800095 243.654409409192 846.546480196389</t>
  </si>
  <si>
    <t>-636.882030258115 -32.5265294839228 331.994154740466</t>
  </si>
  <si>
    <t>-696.069766995869 -23.7880315973625 775.82313301201</t>
  </si>
  <si>
    <t>-572.314836380354 -92.0201822303047 847.35233046522</t>
  </si>
  <si>
    <t>9763-20170724T111012.182363000.bin</t>
  </si>
  <si>
    <t>-722.240257468927 3.73770588121624 -564.921323379569</t>
  </si>
  <si>
    <t>-673.361466139313 11.1341168502395 -631.71344118522</t>
  </si>
  <si>
    <t>-734.371591030992 28.4732747881685 -510.018586779882</t>
  </si>
  <si>
    <t>-737.323079714572 163.651799214448 -484.855136135263</t>
  </si>
  <si>
    <t>-687.577367361614 223.320449795994 -201.030836320993</t>
  </si>
  <si>
    <t>-475.096788346168 276.64056047747 -100.731976120833</t>
  </si>
  <si>
    <t>-772.526755432334 88.4051014619372 -52.5125957320748</t>
  </si>
  <si>
    <t>-788.193908597461 157.508391104173 344.770630189708</t>
  </si>
  <si>
    <t>-877.064016583342 194.535060589114 782.617101198284</t>
  </si>
  <si>
    <t>-740.23487650368 241.82606745713 846.871094773591</t>
  </si>
  <si>
    <t>-641.386335855923 -44.7383044070641 335.928954450728</t>
  </si>
  <si>
    <t>-696.77212382785 -25.5061664217287 779.773925599031</t>
  </si>
  <si>
    <t>-571.043175009909 -91.1645425287782 850.261668092776</t>
  </si>
  <si>
    <t>9763-20170724T111012.218468900.bin</t>
  </si>
  <si>
    <t>-665.036565463133 3.35913448047177 -628.76244402767</t>
  </si>
  <si>
    <t>-727.430137213093 19.741864087378 -507.767718419551</t>
  </si>
  <si>
    <t>-732.947769616389 154.887565055616 -482.866780432328</t>
  </si>
  <si>
    <t>-686.313275793117 213.626646422409 -198.321183467469</t>
  </si>
  <si>
    <t>-474.377209504662 272.05119962914 -99.72848051929</t>
  </si>
  <si>
    <t>-764.997311037736 77.9654142499353 -50.0002400842199</t>
  </si>
  <si>
    <t>-776.160489013662 157.066876582185 345.56643145048</t>
  </si>
  <si>
    <t>-875.540880713348 191.525703131572 780.858073343949</t>
  </si>
  <si>
    <t>-740.166025688485 240.423407324094 846.963194928775</t>
  </si>
  <si>
    <t>-641.674933052826 -49.0753168190513 338.159809554859</t>
  </si>
  <si>
    <t>-696.857422973513 -26.1303653594291 781.58662655189</t>
  </si>
  <si>
    <t>-570.266693561578 -90.5214899659707 851.699661768868</t>
  </si>
  <si>
    <t>9763-20170724T111012.282641700.bin</t>
  </si>
  <si>
    <t>-741.78497423674 132.908174716308 -482.484243477535</t>
  </si>
  <si>
    <t>-702.389339970558 193.173315143005 -197.164589398603</t>
  </si>
  <si>
    <t>-490.710138690305 258.759882031839 -102.607228794772</t>
  </si>
  <si>
    <t>-782.950243456613 53.8406223530583 -51.4750819258445</t>
  </si>
  <si>
    <t>-780.755120217414 151.111994983 340.172905420229</t>
  </si>
  <si>
    <t>-914.876784210654 180.009142977766 766.749501650465</t>
  </si>
  <si>
    <t>-785.003249950679 232.120898681672 840.94227126619</t>
  </si>
  <si>
    <t>-646.999434164537 -58.87133960351 339.293776224124</t>
  </si>
  <si>
    <t>-696.907377049678 -27.1908124318379 782.498278788007</t>
  </si>
  <si>
    <t>-569.057918600987 -89.5275972655554 852.182534329079</t>
  </si>
  <si>
    <t>9763-20170724T111012.316729200.bin</t>
  </si>
  <si>
    <t>-751.457746816968 124.913325913557 -483.679577818076</t>
  </si>
  <si>
    <t>-715.312278511292 186.5796559783 -198.229244930854</t>
  </si>
  <si>
    <t>-503.765442399506 254.463104669183 -105.005744551933</t>
  </si>
  <si>
    <t>-793.987214494284 45.4151726613277 -53.6851697234932</t>
  </si>
  <si>
    <t>-783.864111721788 150.518585142084 335.808680302561</t>
  </si>
  <si>
    <t>-926.011972100029 176.779999934274 759.406832249005</t>
  </si>
  <si>
    <t>-799.580837729293 229.91407706226 838.648343905971</t>
  </si>
  <si>
    <t>-650.715375601219 -62.2004648670345 338.895207724963</t>
  </si>
  <si>
    <t>-696.871256037064 -27.3569173840347 782.253708225806</t>
  </si>
  <si>
    <t>-568.751121646712 -89.1873066997121 851.892337213028</t>
  </si>
  <si>
    <t>9763-20170724T111012.382616500.bin</t>
  </si>
  <si>
    <t>-763.305712452217 123.043610299959 -486.890014324338</t>
  </si>
  <si>
    <t>-730.408382370855 186.445710493891 -201.427082192109</t>
  </si>
  <si>
    <t>-519.131172445248 258.324753139964 -110.618214199784</t>
  </si>
  <si>
    <t>-799.420486302549 43.3596786771082 -56.8522824074221</t>
  </si>
  <si>
    <t>-777.338889475328 159.171917357507 329.094018367009</t>
  </si>
  <si>
    <t>-925.718785230537 184.478751186277 750.808383956532</t>
  </si>
  <si>
    <t>-799.840154067237 231.261589719849 834.791997531539</t>
  </si>
  <si>
    <t>-653.424052993445 -66.1623941322368 338.030563292118</t>
  </si>
  <si>
    <t>-696.869985454229 -27.348038910347 781.69166575296</t>
  </si>
  <si>
    <t>-568.578958152797 -88.865519992178 851.293028166506</t>
  </si>
  <si>
    <t>9763-20170724T111012.415699700.bin</t>
  </si>
  <si>
    <t>-767.151263121966 126.610348551236 -488.930178301611</t>
  </si>
  <si>
    <t>-735.103459914179 189.881095165677 -203.341375103829</t>
  </si>
  <si>
    <t>-523.762675531654 263.546215378816 -114.125632847499</t>
  </si>
  <si>
    <t>-799.0529158283 47.8648922605253 -58.27597122348</t>
  </si>
  <si>
    <t>-772.040979144025 163.898383853993 327.290195812487</t>
  </si>
  <si>
    <t>-914.260567500481 191.451290157873 750.958094151946</t>
  </si>
  <si>
    <t>-786.079827481187 232.410019992586 834.500716021338</t>
  </si>
  <si>
    <t>-654.357332056222 -65.9893192841596 337.598937172361</t>
  </si>
  <si>
    <t>-696.928899026527 -27.5579923394362 781.505024629102</t>
  </si>
  <si>
    <t>-568.40577197201 -88.6341852606909 851.066790561071</t>
  </si>
  <si>
    <t>9763-20170724T111012.470420300.bin</t>
  </si>
  <si>
    <t>-770.071423421865 130.100376966923 -490.737138113418</t>
  </si>
  <si>
    <t>-738.689845237297 193.069294064307 -205.007723996267</t>
  </si>
  <si>
    <t>-527.047591124505 267.603033019879 -117.239739278562</t>
  </si>
  <si>
    <t>-797.659551354928 52.737260477827 -59.2419968605354</t>
  </si>
  <si>
    <t>-767.199188521381 166.967185137928 326.605632373603</t>
  </si>
  <si>
    <t>-897.62989913516 198.164883760827 753.848759806943</t>
  </si>
  <si>
    <t>-766.528745336886 233.471761001877 835.415959308618</t>
  </si>
  <si>
    <t>-654.091351390369 -65.3248949541658 337.377261235972</t>
  </si>
  <si>
    <t>-696.956433450277 -27.6028396293755 781.339273385808</t>
  </si>
  <si>
    <t>-568.318879936155 -88.4747845010691 850.868376501964</t>
  </si>
  <si>
    <t>9763-20170724T111012.516543000.bin</t>
  </si>
  <si>
    <t>-752.539386176697 1.62891286859349 -516.206648984101</t>
  </si>
  <si>
    <t>-774.201398210985 135.359154824278 -492.950277987097</t>
  </si>
  <si>
    <t>-742.883957538711 198.786549607836 -207.315219827405</t>
  </si>
  <si>
    <t>-530.008872083704 271.261653922201 -120.813612791213</t>
  </si>
  <si>
    <t>-792.468107943938 60.4358692499222 -59.8973648550285</t>
  </si>
  <si>
    <t>-759.916163220396 165.024820544624 328.504782739195</t>
  </si>
  <si>
    <t>-866.241937453193 198.702366951004 762.559603812649</t>
  </si>
  <si>
    <t>-730.442968397976 231.160005384386 837.342617853293</t>
  </si>
  <si>
    <t>-652.715087349933 -63.8978795853138 336.968110876488</t>
  </si>
  <si>
    <t>-696.969206559901 -27.6493609023837 781.05128605006</t>
  </si>
  <si>
    <t>-568.239348892246 -88.3705273130038 850.540923626098</t>
  </si>
  <si>
    <t>9763-20170724T111012.581709800.bin</t>
  </si>
  <si>
    <t>-757.626903197129 7.89570741457146 -517.514616887829</t>
  </si>
  <si>
    <t>-776.808333967208 142.079188514263 -494.492708827868</t>
  </si>
  <si>
    <t>-743.886206305931 205.235472190588 -208.977969058761</t>
  </si>
  <si>
    <t>-528.424595458441 272.340837485587 -124.57437455725</t>
  </si>
  <si>
    <t>-785.627363243784 69.5050547375236 -60.6055796177669</t>
  </si>
  <si>
    <t>-758.64622107155 165.64956347039 330.396817205138</t>
  </si>
  <si>
    <t>-855.898762139601 192.104060182458 767.223459159746</t>
  </si>
  <si>
    <t>-720.101115620623 233.776698916184 837.292472438273</t>
  </si>
  <si>
    <t>-651.466193227845 -62.1275321850326 336.586796747087</t>
  </si>
  <si>
    <t>-696.775294871518 -27.2755431032206 780.753734098603</t>
  </si>
  <si>
    <t>-568.24835187323 -88.3469227402468 850.31240274998</t>
  </si>
  <si>
    <t>9763-20170724T111012.613795200.bin</t>
  </si>
  <si>
    <t>-761.095284409689 12.3035575971967 -518.4007704505</t>
  </si>
  <si>
    <t>-778.947116342586 146.661968038888 -495.39183829998</t>
  </si>
  <si>
    <t>-744.705312727087 208.568107825383 -209.758659778177</t>
  </si>
  <si>
    <t>-527.57809646791 272.382026391323 -127.088046533557</t>
  </si>
  <si>
    <t>-782.518912039047 74.4874048787015 -61.4960326438463</t>
  </si>
  <si>
    <t>-761.128778769558 165.259095943126 331.133081003763</t>
  </si>
  <si>
    <t>-855.297200541534 190.418498015015 768.863488109375</t>
  </si>
  <si>
    <t>-719.32868619744 235.700517748598 836.312412162697</t>
  </si>
  <si>
    <t>-651.278548745294 -61.4993149384263 336.346932628824</t>
  </si>
  <si>
    <t>-696.642920311582 -27.2468943586273 780.652642104959</t>
  </si>
  <si>
    <t>-568.158905221637 -88.3209632198184 850.288474096678</t>
  </si>
  <si>
    <t>9763-20170724T111012.685000200.bin</t>
  </si>
  <si>
    <t>-744.070643675401 2.03815415238932 -63.1871643229664</t>
  </si>
  <si>
    <t>-711.814851261448 5.70821393842516 -643.094327584454</t>
  </si>
  <si>
    <t>-769.860482246945 22.9105506269484 -520.89797762311</t>
  </si>
  <si>
    <t>-785.758700042809 157.470641903827 -497.719581281658</t>
  </si>
  <si>
    <t>-750.556561346492 215.169248372918 -211.323255100889</t>
  </si>
  <si>
    <t>-530.060405067403 272.370935458009 -132.835127016556</t>
  </si>
  <si>
    <t>-779.540161971408 86.4744038772619 -64.6250838742815</t>
  </si>
  <si>
    <t>-772.784532630077 165.786295799398 330.999363744367</t>
  </si>
  <si>
    <t>-858.117124330508 191.031509372032 769.766634214361</t>
  </si>
  <si>
    <t>-720.970626958375 237.751391489399 833.762228999857</t>
  </si>
  <si>
    <t>-655.981875701648 -58.1028610762037 335.07606253022</t>
  </si>
  <si>
    <t>-696.192177683183 -27.0795041038532 780.265132023468</t>
  </si>
  <si>
    <t>-568.343448910131 -88.9059451561409 850.404275423056</t>
  </si>
  <si>
    <t>9763-20170724T111012.718087400.bin</t>
  </si>
  <si>
    <t>-744.154095511401 9.76007798679348 -64.7456460831596</t>
  </si>
  <si>
    <t>-765.186950105385 4.11079244936172 -577.582866334008</t>
  </si>
  <si>
    <t>-716.628543525308 11.3830066166643 -644.621858321869</t>
  </si>
  <si>
    <t>-773.851511754258 29.1564914697183 -522.166776301507</t>
  </si>
  <si>
    <t>-788.87709924053 163.801492245872 -498.88031413865</t>
  </si>
  <si>
    <t>-754.130484296535 219.103129351957 -211.955896880923</t>
  </si>
  <si>
    <t>-532.336915807534 273.237286012327 -134.961695284244</t>
  </si>
  <si>
    <t>-778.591804481011 93.7456131146196 -66.2945100260092</t>
  </si>
  <si>
    <t>-776.913775102028 167.87896979033 330.386844545439</t>
  </si>
  <si>
    <t>-858.742076610089 191.327514450971 769.735885703292</t>
  </si>
  <si>
    <t>-721.247764396669 238.308448699647 832.786418118095</t>
  </si>
  <si>
    <t>-659.332872882828 -54.9629597996636 334.629305389514</t>
  </si>
  <si>
    <t>-696.063965875714 -27.2685938343598 780.262068463362</t>
  </si>
  <si>
    <t>-568.324857002588 -89.1628949020237 850.540975959992</t>
  </si>
  <si>
    <t>9763-20170724T111012.785298700.bin</t>
  </si>
  <si>
    <t>-746.752873469135 22.6852982867417 -67.0291850805694</t>
  </si>
  <si>
    <t>-772.952461578781 10.5590494690132 -179.202099050649</t>
  </si>
  <si>
    <t>-781.933462592829 7.70375488962645 -277.374542269312</t>
  </si>
  <si>
    <t>-784.953918220739 7.56792117245959 -366.420053924679</t>
  </si>
  <si>
    <t>-782.409861583353 9.69846729878464 -455.455084880737</t>
  </si>
  <si>
    <t>-772.928763053511 14.7931818837114 -579.571890465023</t>
  </si>
  <si>
    <t>-724.698610264401 21.3092479180432 -646.92477099092</t>
  </si>
  <si>
    <t>-780.67969203987 40.0148498524491 -524.100262760329</t>
  </si>
  <si>
    <t>-793.845916633349 174.828388165429 -500.670657042215</t>
  </si>
  <si>
    <t>-760.652302963842 226.99244297092 -212.976004768643</t>
  </si>
  <si>
    <t>-537.665395837274 275.822470447443 -135.882530865911</t>
  </si>
  <si>
    <t>-780.544374722097 105.47676045575 -68.7560338092741</t>
  </si>
  <si>
    <t>-780.981132740804 172.730088200377 329.152808752579</t>
  </si>
  <si>
    <t>-859.251442323072 191.235699301038 769.602305714788</t>
  </si>
  <si>
    <t>-721.726808668055 239.597306731901 831.533196292208</t>
  </si>
  <si>
    <t>-667.437519590893 -49.2640463554717 333.951099581793</t>
  </si>
  <si>
    <t>-695.783629059451 -27.3249264034371 780.291348526654</t>
  </si>
  <si>
    <t>-568.7232044549 -90.3398910179505 850.803997269004</t>
  </si>
  <si>
    <t>9763-20170724T111012.816383000.bin</t>
  </si>
  <si>
    <t>-749.237446089889 27.9904379383079 -67.9361265393959</t>
  </si>
  <si>
    <t>-775.645617892498 15.8075534818176 -180.053879546839</t>
  </si>
  <si>
    <t>-784.817913187784 12.8612831239993 -278.206054702425</t>
  </si>
  <si>
    <t>-788.0211013956 12.6386447756854 -367.245017034988</t>
  </si>
  <si>
    <t>-785.669914866396 14.678826226916 -456.287474906128</t>
  </si>
  <si>
    <t>-776.469200824151 19.6486012421465 -580.430286720164</t>
  </si>
  <si>
    <t>-728.340237073039 25.8538826917547 -647.884939904524</t>
  </si>
  <si>
    <t>-783.893917029864 44.9511502249516 -524.95089484138</t>
  </si>
  <si>
    <t>-796.034294697577 179.857580304427 -501.534721854498</t>
  </si>
  <si>
    <t>-763.42559262588 231.089049590898 -213.605529157861</t>
  </si>
  <si>
    <t>-540.587434036304 277.50421137335 -134.613660769884</t>
  </si>
  <si>
    <t>-783.309774296089 110.844138982089 -69.944434485276</t>
  </si>
  <si>
    <t>-782.388327825786 174.933436386842 328.485480442446</t>
  </si>
  <si>
    <t>-859.614090616837 191.640299739456 769.431320566291</t>
  </si>
  <si>
    <t>-721.675432559247 239.197032943322 831.064028496453</t>
  </si>
  <si>
    <t>-671.770919076471 -46.9005518616511 333.605396645059</t>
  </si>
  <si>
    <t>-695.703736389493 -27.5440832347967 780.279802692669</t>
  </si>
  <si>
    <t>-568.760990920963 -90.6991250526157 850.879372145907</t>
  </si>
  <si>
    <t>9763-20170724T111012.885241400.bin</t>
  </si>
  <si>
    <t>-753.595576156756 36.3409365950279 -69.3729867386035</t>
  </si>
  <si>
    <t>-780.467489248732 24.3118872647096 -181.397162641724</t>
  </si>
  <si>
    <t>-789.84874489665 21.4181848120725 -279.531101387549</t>
  </si>
  <si>
    <t>-793.173576305996 21.22977207236 -368.565793459781</t>
  </si>
  <si>
    <t>-790.878832983047 23.2876534749716 -457.609154783494</t>
  </si>
  <si>
    <t>-781.691781497935 28.2683319431153 -581.752610639375</t>
  </si>
  <si>
    <t>-733.691878867555 33.9612660370453 -649.344317021615</t>
  </si>
  <si>
    <t>-788.610528182913 53.6214657329328 -526.230920714925</t>
  </si>
  <si>
    <t>-798.223787406563 188.722112165854 -502.733684603847</t>
  </si>
  <si>
    <t>-766.329488414926 238.60657553558 -214.488232359368</t>
  </si>
  <si>
    <t>-544.432781716388 281.438529401025 -130.952424447954</t>
  </si>
  <si>
    <t>-788.231467073319 119.901181152124 -71.764454429589</t>
  </si>
  <si>
    <t>-782.984491828986 177.826391552849 327.574738940643</t>
  </si>
  <si>
    <t>-859.967503848752 192.093600014577 769.296883282503</t>
  </si>
  <si>
    <t>-721.522819523475 238.653348653655 830.554492961224</t>
  </si>
  <si>
    <t>-679.12420359091 -42.8489576641259 332.903702549892</t>
  </si>
  <si>
    <t>-695.612746057334 -27.5135901824506 780.115775726335</t>
  </si>
  <si>
    <t>-569.382567829655 -91.8827798282096 850.895797480232</t>
  </si>
  <si>
    <t>9763-20170724T111012.918333800.bin</t>
  </si>
  <si>
    <t>-754.447328303626 40.4098860046784 -69.7614492576722</t>
  </si>
  <si>
    <t>-781.492421178677 28.516020513076 -181.75831555275</t>
  </si>
  <si>
    <t>-790.915372926155 25.7108982323871 -279.891004872284</t>
  </si>
  <si>
    <t>-794.238087402754 25.5978679528926 -368.925656268862</t>
  </si>
  <si>
    <t>-791.901078087331 27.7218350894136 -457.966487436166</t>
  </si>
  <si>
    <t>-782.61461024277 32.7851474760641 -582.099184327854</t>
  </si>
  <si>
    <t>-734.689322404007 38.2180782674773 -649.765263781121</t>
  </si>
  <si>
    <t>-789.284921732153 58.1296619740051 -526.543201522962</t>
  </si>
  <si>
    <t>-797.435189788019 193.328006607117 -502.939902381905</t>
  </si>
  <si>
    <t>-765.591259136519 242.508505475167 -214.567985397813</t>
  </si>
  <si>
    <t>-544.307522224789 283.45034415962 -128.497351693136</t>
  </si>
  <si>
    <t>-784.117375783144 2.98436624373744 -528.405932361076</t>
  </si>
  <si>
    <t>-788.069841492798 124.009753451349 -72.3034724516303</t>
  </si>
  <si>
    <t>-782.946737652689 179.62487006093 327.365608866847</t>
  </si>
  <si>
    <t>-860.008901009006 192.27909639565 769.1837543837</t>
  </si>
  <si>
    <t>-721.497231244347 238.792444124343 830.326000789701</t>
  </si>
  <si>
    <t>-680.834017863421 -41.6168164656258 332.675932711253</t>
  </si>
  <si>
    <t>-695.629698834878 -27.5321017906376 780.02107579687</t>
  </si>
  <si>
    <t>-569.576776431288 -92.1982460538707 850.846668542642</t>
  </si>
  <si>
    <t>9763-20170724T111012.951417100.bin</t>
  </si>
  <si>
    <t>-754.328136237139 44.5602385217394 -69.9820280287325</t>
  </si>
  <si>
    <t>-781.515265705266 32.7756497442488 -181.956194645353</t>
  </si>
  <si>
    <t>-790.990043469905 30.0554883997961 -280.086092590232</t>
  </si>
  <si>
    <t>-794.331889637758 30.0187295310534 -369.120104714003</t>
  </si>
  <si>
    <t>-791.985818853202 32.2132717783929 -458.159065608416</t>
  </si>
  <si>
    <t>-782.656720040365 37.3670534232474 -582.284830924913</t>
  </si>
  <si>
    <t>-734.865910097311 42.5413219122224 -650.066110007623</t>
  </si>
  <si>
    <t>-789.039954222548 62.6970891589399 -526.688553759709</t>
  </si>
  <si>
    <t>-795.652405326822 197.946571800412 -502.935951245819</t>
  </si>
  <si>
    <t>-763.901742205433 246.487751012187 -214.445223873181</t>
  </si>
  <si>
    <t>-542.871023943766 285.805707613657 -126.978631617864</t>
  </si>
  <si>
    <t>-784.483911180885 7.50107761503841 -528.637786861697</t>
  </si>
  <si>
    <t>-786.681658808 127.995099668542 -72.6867291612947</t>
  </si>
  <si>
    <t>-782.772558677146 181.777333115992 327.246863124097</t>
  </si>
  <si>
    <t>-860.030925930959 192.499700408239 769.060477744532</t>
  </si>
  <si>
    <t>-721.427470117237 238.854282752134 830.115063390047</t>
  </si>
  <si>
    <t>-681.602146138856 -40.4020051193827 332.562542844287</t>
  </si>
  <si>
    <t>-695.655733416985 -27.5301793215176 779.958121831375</t>
  </si>
  <si>
    <t>-570.062264028461 -93.0331417982934 850.83081397794</t>
  </si>
  <si>
    <t>9763-20170724T111013.015598000.bin</t>
  </si>
  <si>
    <t>-752.783172170369 51.6292683467286 -70.5074997052087</t>
  </si>
  <si>
    <t>-780.229264338279 40.1191126324188 -182.446877941955</t>
  </si>
  <si>
    <t>-789.895401467802 37.6349093283484 -280.56448672473</t>
  </si>
  <si>
    <t>-793.396909400448 37.816696063107 -369.592268174085</t>
  </si>
  <si>
    <t>-791.193853219763 40.2233553251376 -458.629332948183</t>
  </si>
  <si>
    <t>-782.046425925381 45.663047516709 -582.756585186607</t>
  </si>
  <si>
    <t>-734.772771327931 50.4288741832233 -650.929148352818</t>
  </si>
  <si>
    <t>-787.759157970988 70.9055620621371 -527.047445529184</t>
  </si>
  <si>
    <t>-791.507603689704 206.184104035501 -502.908369398015</t>
  </si>
  <si>
    <t>-760.206144747172 253.344866776614 -214.139890123859</t>
  </si>
  <si>
    <t>-538.882216223519 289.348987838981 -125.990456634564</t>
  </si>
  <si>
    <t>-784.38431789443 15.6329882054465 -529.22111215702</t>
  </si>
  <si>
    <t>-783.941574014549 135.039085526743 -73.5241644765459</t>
  </si>
  <si>
    <t>-781.129824717275 185.631680749944 326.834634215764</t>
  </si>
  <si>
    <t>-860.004445839042 192.932576757028 768.403883752207</t>
  </si>
  <si>
    <t>-721.373095781262 239.378865725411 829.325438461535</t>
  </si>
  <si>
    <t>-681.531897154964 -37.7372024016622 332.300522057571</t>
  </si>
  <si>
    <t>-695.56742077127 -27.255361455133 779.736358020812</t>
  </si>
  <si>
    <t>-570.912486507595 -94.3734945554825 850.754526207429</t>
  </si>
  <si>
    <t>9763-20170724T111013.086791800.bin</t>
  </si>
  <si>
    <t>-752.83195381951 55.722087848495 -70.2968970199672</t>
  </si>
  <si>
    <t>-780.5023865899 44.7256534769335 -182.232852263655</t>
  </si>
  <si>
    <t>-790.347679299129 42.5511309750013 -280.339909325291</t>
  </si>
  <si>
    <t>-794.010364355944 42.9655054371578 -369.360528137428</t>
  </si>
  <si>
    <t>-791.968081703478 45.5492026416719 -458.396419153791</t>
  </si>
  <si>
    <t>-783.046273825576 51.1758902449096 -582.531593327756</t>
  </si>
  <si>
    <t>-736.509622292241 55.6517700058744 -651.229204709967</t>
  </si>
  <si>
    <t>-788.175843010408 76.3580928583378 -526.738604123296</t>
  </si>
  <si>
    <t>-789.690883711325 211.664415009882 -502.411891944411</t>
  </si>
  <si>
    <t>-759.725717808613 256.99292944999 -213.208416642866</t>
  </si>
  <si>
    <t>-536.290358421744 289.315673125778 -129.049639076449</t>
  </si>
  <si>
    <t>-785.768221155534 21.0416192553662 -529.073014096582</t>
  </si>
  <si>
    <t>-784.343693983858 139.890644992626 -73.2800289135139</t>
  </si>
  <si>
    <t>-779.006350325946 187.259503434668 327.447307373075</t>
  </si>
  <si>
    <t>-860.0105794017 193.440809782556 768.891572288437</t>
  </si>
  <si>
    <t>-720.986965366959 238.876452840136 829.680575373377</t>
  </si>
  <si>
    <t>-680.947699716593 -36.0101960327979 332.239048350275</t>
  </si>
  <si>
    <t>-695.60960101252 -27.3895263271252 779.594138501633</t>
  </si>
  <si>
    <t>-571.48792657244 -95.3703014016307 850.726046608956</t>
  </si>
  <si>
    <t>9763-20170724T111013.114865700.bin</t>
  </si>
  <si>
    <t>-752.95718616378 56.897137118222 -70.1037852621193</t>
  </si>
  <si>
    <t>-780.811976815671 46.1115438808683 -182.014437083883</t>
  </si>
  <si>
    <t>-790.792092831254 44.0510294095134 -280.110402685653</t>
  </si>
  <si>
    <t>-794.568792465989 44.5438154914782 -369.125775036374</t>
  </si>
  <si>
    <t>-792.634290086356 47.1793670273287 -458.162586894014</t>
  </si>
  <si>
    <t>-783.85664959584 52.8498876114959 -582.306011677945</t>
  </si>
  <si>
    <t>-737.752678995305 57.2327472971479 -651.300483232315</t>
  </si>
  <si>
    <t>-788.759413051526 78.0183927642524 -526.486646880059</t>
  </si>
  <si>
    <t>-789.507021957368 213.309837676492 -502.082166954217</t>
  </si>
  <si>
    <t>-759.517423673755 257.227795169892 -212.663793736456</t>
  </si>
  <si>
    <t>-534.821214316683 288.359581831851 -131.465054159961</t>
  </si>
  <si>
    <t>-786.679165411644 22.6906582294055 -528.866645646751</t>
  </si>
  <si>
    <t>-784.568448672474 141.615303760546 -73.061668603994</t>
  </si>
  <si>
    <t>-778.156869486088 187.293199360328 327.846085318476</t>
  </si>
  <si>
    <t>-859.928520182461 193.491150635762 769.245230074529</t>
  </si>
  <si>
    <t>-720.798604093173 238.72593709749 829.940754565419</t>
  </si>
  <si>
    <t>-680.763147435685 -35.5261305608919 332.266905918782</t>
  </si>
  <si>
    <t>-695.700446476266 -27.5150771540075 779.544464686731</t>
  </si>
  <si>
    <t>-571.68125264018 -95.6526889017173 850.704551337032</t>
  </si>
  <si>
    <t>9763-20170724T111013.185721400.bin</t>
  </si>
  <si>
    <t>-752.340926232393 59.0272356128467 -69.7923264782939</t>
  </si>
  <si>
    <t>-780.537224851623 48.4157190610576 -181.634204181919</t>
  </si>
  <si>
    <t>-790.813207911747 46.4584921424716 -279.701582136119</t>
  </si>
  <si>
    <t>-794.861125591424 47.031309496449 -368.704543949957</t>
  </si>
  <si>
    <t>-793.200293912933 49.7324526578991 -457.745001521689</t>
  </si>
  <si>
    <t>-784.808924815109 55.4806170670581 -581.911646113591</t>
  </si>
  <si>
    <t>-739.760599169824 59.8479132488123 -651.600960383294</t>
  </si>
  <si>
    <t>-789.394991352706 80.6188482141856 -526.051414529667</t>
  </si>
  <si>
    <t>-789.407326159829 215.859647963734 -501.399048738771</t>
  </si>
  <si>
    <t>-756.536586733241 257.008686512965 -211.88668590892</t>
  </si>
  <si>
    <t>-528.660000102794 287.569707187308 -139.850618384995</t>
  </si>
  <si>
    <t>-787.607911144211 25.2832825108435 -528.492454102032</t>
  </si>
  <si>
    <t>-783.593649628463 144.429014159165 -72.6905397451503</t>
  </si>
  <si>
    <t>-777.493366228623 187.50482273654 328.510074215169</t>
  </si>
  <si>
    <t>-859.847677346832 193.736029976402 769.855847475275</t>
  </si>
  <si>
    <t>-720.526468097894 238.621242115107 830.372034566748</t>
  </si>
  <si>
    <t>-680.12061872957 -34.837593181699 332.404930520752</t>
  </si>
  <si>
    <t>-695.953313230737 -27.8583515698392 779.509241936474</t>
  </si>
  <si>
    <t>-571.968718399929 -96.0372326378701 850.690607206669</t>
  </si>
  <si>
    <t>9763-20170724T111013.219813400.bin</t>
  </si>
  <si>
    <t>-751.614220011268 60.3188819177731 -69.7264592623576</t>
  </si>
  <si>
    <t>-779.981045301515 49.6504694335295 -181.51969215487</t>
  </si>
  <si>
    <t>-790.407629632693 47.6397497677031 -279.570238634407</t>
  </si>
  <si>
    <t>-794.591979718536 48.1619131046173 -368.567196585827</t>
  </si>
  <si>
    <t>-793.067525404083 50.8088068127286 -457.611583300956</t>
  </si>
  <si>
    <t>-784.866023662437 56.4774734383795 -581.794577697434</t>
  </si>
  <si>
    <t>-740.37605997347 60.8793457766665 -651.839710749652</t>
  </si>
  <si>
    <t>-789.349333282348 81.6518330997637 -525.942484106175</t>
  </si>
  <si>
    <t>-789.216743093478 216.892402220157 -501.233719600505</t>
  </si>
  <si>
    <t>-753.638359965594 257.492778272629 -211.963975798293</t>
  </si>
  <si>
    <t>-524.19861991479 288.012472769942 -145.054909216336</t>
  </si>
  <si>
    <t>-787.600529322381 26.3139037136816 -528.353049393077</t>
  </si>
  <si>
    <t>-782.810947013669 145.880285868049 -72.6074948414148</t>
  </si>
  <si>
    <t>-777.376639552722 187.943081883662 328.710152192149</t>
  </si>
  <si>
    <t>-859.738867132538 193.843556903946 770.049018603304</t>
  </si>
  <si>
    <t>-720.439359823304 238.881541568904 830.501334828789</t>
  </si>
  <si>
    <t>-679.551149838224 -34.2541250859895 332.467861055588</t>
  </si>
  <si>
    <t>-696.0275176263 -27.7781843843813 779.502859983835</t>
  </si>
  <si>
    <t>-572.409102362492 -96.588615198729 850.713125265524</t>
  </si>
  <si>
    <t>9763-20170724T111013.285005000.bin</t>
  </si>
  <si>
    <t>-750.679808333872 63.2246358797233 -69.762418508584</t>
  </si>
  <si>
    <t>-779.170310900626 52.3986808847271 -181.509057876281</t>
  </si>
  <si>
    <t>-789.773256068185 50.0979625230348 -279.534266429231</t>
  </si>
  <si>
    <t>-794.148655616597 50.29439848723 -368.523439060959</t>
  </si>
  <si>
    <t>-792.847989294999 52.5529035253662 -457.582047384773</t>
  </si>
  <si>
    <t>-784.995167804317 57.6136124530999 -581.81389094182</t>
  </si>
  <si>
    <t>-741.624216713823 62.0865917114352 -652.552668672618</t>
  </si>
  <si>
    <t>-789.327729905198 83.0610331001631 -526.073675050824</t>
  </si>
  <si>
    <t>-788.99515618323 218.349273536285 -501.732641377767</t>
  </si>
  <si>
    <t>-747.074914910159 259.218642559143 -213.351575864114</t>
  </si>
  <si>
    <t>-514.839496165599 291.139457382423 -157.685983882861</t>
  </si>
  <si>
    <t>-787.573790687535 27.7122375989138 -528.217433040592</t>
  </si>
  <si>
    <t>-782.53842287097 149.105860530547 -72.6903238358708</t>
  </si>
  <si>
    <t>-777.734370625424 188.710011282619 328.885490966951</t>
  </si>
  <si>
    <t>-859.303551845881 193.937141159064 770.353447455788</t>
  </si>
  <si>
    <t>-719.935097343203 238.945373207995 830.669479185131</t>
  </si>
  <si>
    <t>-679.166751172295 -33.0498047258147 332.541467743917</t>
  </si>
  <si>
    <t>-696.30598786224 -28.163583370856 779.507734212103</t>
  </si>
  <si>
    <t>-572.609849033409 -96.8307870234501 850.721355461196</t>
  </si>
  <si>
    <t>9763-20170724T111013.321099900.bin</t>
  </si>
  <si>
    <t>-750.937056113334 64.8211680494305 -69.8712113508897</t>
  </si>
  <si>
    <t>-779.430841443785 53.9253149702267 -181.610164948756</t>
  </si>
  <si>
    <t>-790.104243112427 51.4185171132849 -279.622626932479</t>
  </si>
  <si>
    <t>-794.575809614542 51.3727788246265 -368.60717012936</t>
  </si>
  <si>
    <t>-793.406926145521 53.3366644074495 -457.674629939428</t>
  </si>
  <si>
    <t>-785.776666316029 57.933514710252 -581.938444553699</t>
  </si>
  <si>
    <t>-742.952506798788 62.4777701879716 -653.004895634985</t>
  </si>
  <si>
    <t>-790.042912940453 83.5878527414325 -526.288069481429</t>
  </si>
  <si>
    <t>-789.748912799688 218.955901778725 -502.381623732277</t>
  </si>
  <si>
    <t>-744.046115344633 260.672504713093 -214.69736346766</t>
  </si>
  <si>
    <t>-510.804761092975 293.869560174272 -164.227303354099</t>
  </si>
  <si>
    <t>-788.225840810674 28.23333101964 -528.22410865198</t>
  </si>
  <si>
    <t>-783.32243239593 150.75847678093 -72.909575493397</t>
  </si>
  <si>
    <t>-778.451967842881 188.82628412499 328.813953075331</t>
  </si>
  <si>
    <t>-859.050072270519 193.894705998205 770.442744936083</t>
  </si>
  <si>
    <t>-719.610315551578 238.78380750803 830.682120026114</t>
  </si>
  <si>
    <t>-679.435753594149 -32.3185796241064 332.51633881012</t>
  </si>
  <si>
    <t>-696.415151456657 -28.2011022789443 779.474084421184</t>
  </si>
  <si>
    <t>-572.780034030521 -96.9641102779187 850.70154456305</t>
  </si>
  <si>
    <t>9763-20170724T111013.381097800.bin</t>
  </si>
  <si>
    <t>-752.345414079781 67.9403978974042 -70.2269977004784</t>
  </si>
  <si>
    <t>-780.638831498604 56.9377180932138 -182.006571487271</t>
  </si>
  <si>
    <t>-791.340458569561 54.0349195650265 -280.004958883809</t>
  </si>
  <si>
    <t>-795.934147713997 53.5250931456112 -368.981847174172</t>
  </si>
  <si>
    <t>-794.990932426359 54.9312166123354 -458.062504825452</t>
  </si>
  <si>
    <t>-787.789499924029 58.6622016791798 -582.380733710508</t>
  </si>
  <si>
    <t>-745.908979561894 63.4490737498272 -653.991697969641</t>
  </si>
  <si>
    <t>-792.001894126297 84.6991720288511 -526.904326577255</t>
  </si>
  <si>
    <t>-792.062116273351 220.238854730034 -503.999887202036</t>
  </si>
  <si>
    <t>-738.411179272767 265.523054110509 -218.233980949138</t>
  </si>
  <si>
    <t>-504.030884533532 300.883800589203 -175.033337798521</t>
  </si>
  <si>
    <t>-789.914999530256 29.341652765645 -528.44481247584</t>
  </si>
  <si>
    <t>-785.447415137501 154.216724755748 -73.4691343699134</t>
  </si>
  <si>
    <t>-780.618362903078 189.055487945535 328.547753274366</t>
  </si>
  <si>
    <t>-858.592460944285 193.96426288599 770.774250578124</t>
  </si>
  <si>
    <t>-719.138570698653 238.914819837677 830.935195775534</t>
  </si>
  <si>
    <t>-680.670207923689 -30.6900232968583 332.386295226853</t>
  </si>
  <si>
    <t>-696.715028815361 -28.3795001364274 779.393754113654</t>
  </si>
  <si>
    <t>-573.299741732323 -97.5082996797548 850.64810012194</t>
  </si>
  <si>
    <t>9763-20170724T111013.418197000.bin</t>
  </si>
  <si>
    <t>-752.990127642658 69.4799177927785 -70.4131675988612</t>
  </si>
  <si>
    <t>-781.084346959648 58.3629725716314 -182.231428567437</t>
  </si>
  <si>
    <t>-791.739579094224 55.2554765713403 -280.228761443493</t>
  </si>
  <si>
    <t>-796.347568475335 54.5251425358351 -369.203310224814</t>
  </si>
  <si>
    <t>-795.477267998488 55.6815108308874 -458.288396361743</t>
  </si>
  <si>
    <t>-788.441678576834 59.0384647365636 -582.626765346287</t>
  </si>
  <si>
    <t>-746.971715943567 63.9340633660295 -654.469056281507</t>
  </si>
  <si>
    <t>-792.654730382554 85.2392563344711 -527.227520986709</t>
  </si>
  <si>
    <t>-792.902081436206 220.873997955222 -504.820783662612</t>
  </si>
  <si>
    <t>-735.716825678478 268.036340693325 -220.045893174446</t>
  </si>
  <si>
    <t>-501.024560975274 304.802955010472 -179.814144311861</t>
  </si>
  <si>
    <t>-790.420693936928 29.8831685934847 -528.595654108674</t>
  </si>
  <si>
    <t>-786.205243856418 155.924708251624 -73.7400136743628</t>
  </si>
  <si>
    <t>-781.83138213699 189.444216928874 328.394323172292</t>
  </si>
  <si>
    <t>-858.350969197752 194.074312341337 770.955904668375</t>
  </si>
  <si>
    <t>-718.879140462506 238.971505429355 831.114963793887</t>
  </si>
  <si>
    <t>-681.211852266425 -29.9528580273372 332.334260260303</t>
  </si>
  <si>
    <t>-696.906158652677 -28.5576053871664 779.361612474633</t>
  </si>
  <si>
    <t>-573.373461769864 -97.4829477144235 850.609531222146</t>
  </si>
  <si>
    <t>9763-20170724T111013.485381100.bin</t>
  </si>
  <si>
    <t>-753.841831888037 72.1575678477607 -70.6558713473034</t>
  </si>
  <si>
    <t>-781.465544588381 60.6924279642813 -182.556358927902</t>
  </si>
  <si>
    <t>-791.956215324496 57.148549264657 -280.556608517419</t>
  </si>
  <si>
    <t>-796.518307985145 55.9741935314278 -369.528763640365</t>
  </si>
  <si>
    <t>-795.708561303959 56.6456675187897 -458.61932334308</t>
  </si>
  <si>
    <t>-788.870521945526 59.2886379880633 -582.986019609117</t>
  </si>
  <si>
    <t>-748.138350127456 64.307608207072 -655.240751366318</t>
  </si>
  <si>
    <t>-793.170560740389 85.799886158949 -527.741230919945</t>
  </si>
  <si>
    <t>-793.873359329775 221.589388756042 -506.204382973681</t>
  </si>
  <si>
    <t>-731.023631888486 272.552380759329 -223.284002035968</t>
  </si>
  <si>
    <t>-495.67667348866 310.183913575047 -187.977992564729</t>
  </si>
  <si>
    <t>-790.588356712104 30.4514639145441 -528.775577788073</t>
  </si>
  <si>
    <t>-787.650905067238 158.620165261175 -74.1021119574738</t>
  </si>
  <si>
    <t>-783.773330101189 190.664192201908 328.157550841734</t>
  </si>
  <si>
    <t>-857.935991293728 194.538133568515 771.228409622485</t>
  </si>
  <si>
    <t>-718.569651583639 239.721249211453 831.418729155029</t>
  </si>
  <si>
    <t>-681.370988642532 -28.6429271742159 332.297823724898</t>
  </si>
  <si>
    <t>-697.23584052854 -28.708337264613 779.314125502508</t>
  </si>
  <si>
    <t>-573.879076461812 -97.923766947358 850.585718030169</t>
  </si>
  <si>
    <t>9763-20170724T111013.518470000.bin</t>
  </si>
  <si>
    <t>-754.154887294633 72.9567661810279 -70.723028474619</t>
  </si>
  <si>
    <t>-781.500897016541 61.2936403173553 -182.67121090716</t>
  </si>
  <si>
    <t>-791.893440815579 57.4982976485971 -280.672415939908</t>
  </si>
  <si>
    <t>-796.425029236502 56.0629244341922 -369.642441654619</t>
  </si>
  <si>
    <t>-795.645159029318 56.4427867584395 -458.734979552042</t>
  </si>
  <si>
    <t>-788.912136903365 58.6477157558443 -583.115903089165</t>
  </si>
  <si>
    <t>-748.505160226652 63.711001359377 -655.549856536347</t>
  </si>
  <si>
    <t>-793.272784981244 85.348063812603 -527.967081493132</t>
  </si>
  <si>
    <t>-794.381743884554 221.189591041807 -506.835659623569</t>
  </si>
  <si>
    <t>-729.292523222719 273.986048104593 -224.759282068423</t>
  </si>
  <si>
    <t>-493.790531905049 312.111881527044 -191.052025357535</t>
  </si>
  <si>
    <t>-790.477254260974 30.0068446669902 -528.796829694742</t>
  </si>
  <si>
    <t>-788.436076005564 159.449499771318 -74.2332921859871</t>
  </si>
  <si>
    <t>-784.515772730538 191.127365415251 328.054953725126</t>
  </si>
  <si>
    <t>-857.715648083663 194.750662191182 771.313587645485</t>
  </si>
  <si>
    <t>-718.330803237942 239.833198822859 831.535894664374</t>
  </si>
  <si>
    <t>-681.385629111044 -28.2087930647272 332.32445256684</t>
  </si>
  <si>
    <t>-697.432137113071 -28.8627086109236 779.318323352735</t>
  </si>
  <si>
    <t>-574.007741949484 -97.9696744231824 850.578219239904</t>
  </si>
  <si>
    <t>9763-20170724T111013.586220900.bin</t>
  </si>
  <si>
    <t>-754.48365783637 73.4660398544524 -70.7694853921718</t>
  </si>
  <si>
    <t>-781.295650867459 61.2864439880614 -182.791835515534</t>
  </si>
  <si>
    <t>-791.455290846299 56.9045960238345 -280.793092136697</t>
  </si>
  <si>
    <t>-795.868373110795 54.8708719970177 -369.757172390688</t>
  </si>
  <si>
    <t>-795.063402702211 54.5867064373169 -458.850016155337</t>
  </si>
  <si>
    <t>-788.394596796385 55.7937198924924 -583.248075355533</t>
  </si>
  <si>
    <t>-748.348254262004 61.2235413617818 -655.855537981368</t>
  </si>
  <si>
    <t>-792.960172523244 82.9228948764894 -528.32566448658</t>
  </si>
  <si>
    <t>-794.975354742863 218.849526889242 -507.784846087741</t>
  </si>
  <si>
    <t>-726.533229627423 273.596515453935 -226.876351407375</t>
  </si>
  <si>
    <t>-490.855279911398 312.814964071403 -195.751592688538</t>
  </si>
  <si>
    <t>-789.69840746152 27.6021514506838 -528.687511270913</t>
  </si>
  <si>
    <t>-789.990869735512 159.811273228127 -74.434479289302</t>
  </si>
  <si>
    <t>-785.697318484755 191.729200014705 327.830954194292</t>
  </si>
  <si>
    <t>-857.236051666762 195.18354798956 771.365587779652</t>
  </si>
  <si>
    <t>-718.040183781404 240.652064318226 831.734373246313</t>
  </si>
  <si>
    <t>-681.435301232814 -27.6508346925448 332.434137493203</t>
  </si>
  <si>
    <t>-697.826919184224 -29.161916974394 779.366065480805</t>
  </si>
  <si>
    <t>-574.322859906586 -98.1569563569983 850.59623246629</t>
  </si>
  <si>
    <t>9763-20170724T111013.615298400.bin</t>
  </si>
  <si>
    <t>-754.485675508309 73.3124622029254 -70.7833819887651</t>
  </si>
  <si>
    <t>-780.967558571572 60.8906848444517 -182.857661447255</t>
  </si>
  <si>
    <t>-791.02430264413 56.265290578373 -280.858278540413</t>
  </si>
  <si>
    <t>-795.41679952222 53.9933215282417 -369.817628556102</t>
  </si>
  <si>
    <t>-794.663392393127 53.455224492066 -458.909802414516</t>
  </si>
  <si>
    <t>-788.141461521909 54.2907638859124 -583.318708074125</t>
  </si>
  <si>
    <t>-748.183859051383 60.1407225276575 -655.942367782547</t>
  </si>
  <si>
    <t>-792.754413528604 81.5770821979086 -528.478017910085</t>
  </si>
  <si>
    <t>-795.350891481815 217.498951965064 -508.103830695877</t>
  </si>
  <si>
    <t>-725.909871158931 272.736812821398 -227.536801937085</t>
  </si>
  <si>
    <t>-490.372793653474 312.07079943629 -195.504334581506</t>
  </si>
  <si>
    <t>-789.268017523782 26.2690309291543 -528.666829040813</t>
  </si>
  <si>
    <t>-790.507581367049 159.690586357859 -74.5468996980476</t>
  </si>
  <si>
    <t>-786.289653343891 191.744554568449 327.708569409327</t>
  </si>
  <si>
    <t>-856.978796427895 195.444145283575 771.351412883686</t>
  </si>
  <si>
    <t>-717.907423627865 241.082044703411 831.879157373115</t>
  </si>
  <si>
    <t>-681.488736100064 -27.6762538450048 332.525878513958</t>
  </si>
  <si>
    <t>-698.08066038565 -29.4560101202783 779.432495744243</t>
  </si>
  <si>
    <t>-574.346329942995 -98.0851039448319 850.616670649145</t>
  </si>
  <si>
    <t>9763-20170724T111013.649389100.bin</t>
  </si>
  <si>
    <t>-754.325633287081 73.0841688429564 -70.8386270000962</t>
  </si>
  <si>
    <t>-780.441736414547 60.5893626168099 -182.990493651544</t>
  </si>
  <si>
    <t>-790.350278442064 55.8582390126844 -281.001161255745</t>
  </si>
  <si>
    <t>-794.676618542087 53.4744312781663 -369.961070173593</t>
  </si>
  <si>
    <t>-793.927186223648 52.8124467437551 -459.052280036228</t>
  </si>
  <si>
    <t>-787.484303935513 53.4649596699519 -583.466295760087</t>
  </si>
  <si>
    <t>-747.521961716879 59.8108299679884 -656.045535325945</t>
  </si>
  <si>
    <t>-792.172087575124 80.8248374194845 -528.668771758665</t>
  </si>
  <si>
    <t>-795.339406289636 216.708113644937 -508.277483416816</t>
  </si>
  <si>
    <t>-725.407237604228 272.385183144509 -227.919044583517</t>
  </si>
  <si>
    <t>-490.152211813767 312.023998583491 -194.23508408387</t>
  </si>
  <si>
    <t>-788.467279381027 25.5308675794022 -528.766836134582</t>
  </si>
  <si>
    <t>-790.470550192622 159.73453880839 -74.7054752468932</t>
  </si>
  <si>
    <t>-786.948059286666 191.657428229792 327.567108679585</t>
  </si>
  <si>
    <t>-856.655015905751 195.788644176276 771.246040220517</t>
  </si>
  <si>
    <t>-717.626014495578 241.330184194697 831.943929082913</t>
  </si>
  <si>
    <t>-681.680639516409 -27.7945288654978 332.603587444718</t>
  </si>
  <si>
    <t>-698.378931328381 -29.863685343435 779.523353576652</t>
  </si>
  <si>
    <t>-574.32035754659 -97.9816570029529 850.633928357041</t>
  </si>
  <si>
    <t>9763-20170724T111013.720583200.bin</t>
  </si>
  <si>
    <t>-754.781758506614 71.9560122084904 -71.0491016037782</t>
  </si>
  <si>
    <t>-780.60472500434 59.6582318448191 -183.290734789433</t>
  </si>
  <si>
    <t>-790.137806579478 55.1131736444186 -281.347288026188</t>
  </si>
  <si>
    <t>-794.076461433734 52.9023609451983 -370.329609700975</t>
  </si>
  <si>
    <t>-792.892278196869 52.4190159858695 -459.417279584312</t>
  </si>
  <si>
    <t>-785.793859255214 53.3263580525877 -583.794077954305</t>
  </si>
  <si>
    <t>-745.586353069427 60.6617244982763 -656.144450077225</t>
  </si>
  <si>
    <t>-790.873487652342 80.5668454586394 -528.972005569695</t>
  </si>
  <si>
    <t>-794.888850561186 216.413590219909 -508.186581520601</t>
  </si>
  <si>
    <t>-726.051164398672 271.913298001889 -227.52239075017</t>
  </si>
  <si>
    <t>-491.805501949307 312.196855673046 -188.063067958433</t>
  </si>
  <si>
    <t>-786.961494598407 25.2873022962381 -529.15207001059</t>
  </si>
  <si>
    <t>-790.827273177515 159.266476810698 -74.9324219564063</t>
  </si>
  <si>
    <t>-788.579450785059 190.704780925066 327.387429344374</t>
  </si>
  <si>
    <t>-855.84340111924 195.75606266292 771.219430316408</t>
  </si>
  <si>
    <t>-717.130147025359 241.964847864054 832.134314592696</t>
  </si>
  <si>
    <t>-683.066363765698 -28.2146575282791 332.570933932787</t>
  </si>
  <si>
    <t>-698.961270942651 -30.713077561059 779.634706940526</t>
  </si>
  <si>
    <t>-574.133275302426 -97.5596669809393 850.605299051595</t>
  </si>
  <si>
    <t>9763-20170724T111013.784759600.bin</t>
  </si>
  <si>
    <t>-757.281929760119 71.5740068432965 -71.0844916671799</t>
  </si>
  <si>
    <t>-783.153326477466 59.8532850212359 -183.376518192405</t>
  </si>
  <si>
    <t>-792.070628993471 55.9478941612601 -281.518709884595</t>
  </si>
  <si>
    <t>-795.181725626686 54.3532503250194 -370.546945432119</t>
  </si>
  <si>
    <t>-792.897007073242 54.5038994193765 -459.614261793089</t>
  </si>
  <si>
    <t>-783.977650929211 56.3002473342108 -583.864284319746</t>
  </si>
  <si>
    <t>-743.269938716765 64.5370597522506 -655.836892505679</t>
  </si>
  <si>
    <t>-789.616850593496 83.1644126141236 -528.911206646406</t>
  </si>
  <si>
    <t>-792.686982710077 218.858239192936 -507.214649852326</t>
  </si>
  <si>
    <t>-729.994852031354 274.460247718706 -225.134242397637</t>
  </si>
  <si>
    <t>-497.63423708785 316.048476253118 -176.866094796679</t>
  </si>
  <si>
    <t>-786.188583979751 27.8551321567861 -529.464744424119</t>
  </si>
  <si>
    <t>-792.757654176754 159.403805802063 -74.7700274238608</t>
  </si>
  <si>
    <t>-790.387029250568 190.196435853677 327.598988066836</t>
  </si>
  <si>
    <t>-855.353612864503 195.933335918727 771.628913581889</t>
  </si>
  <si>
    <t>-716.74042942745 242.276527349306 832.670312468271</t>
  </si>
  <si>
    <t>-684.959685690377 -28.1937793537372 332.301133236409</t>
  </si>
  <si>
    <t>-699.356980974124 -30.8463923962181 779.617043271095</t>
  </si>
  <si>
    <t>-574.634142873628 -97.9196168198889 850.558765894341</t>
  </si>
  <si>
    <t>9763-20170724T111013.816844200.bin</t>
  </si>
  <si>
    <t>-759.06987679603 71.5890606946791 -71.0135257327587</t>
  </si>
  <si>
    <t>-785.036290978795 60.380363442936 -183.336052373007</t>
  </si>
  <si>
    <t>-793.524785257355 57.0228240563051 -281.53641415199</t>
  </si>
  <si>
    <t>-796.038864566374 55.9540300846193 -370.591383791839</t>
  </si>
  <si>
    <t>-792.947857534793 56.6463168450755 -459.631919352021</t>
  </si>
  <si>
    <t>-782.683528935476 59.2044308253321 -583.764507560399</t>
  </si>
  <si>
    <t>-741.591956310203 67.9244163551302 -655.461758449688</t>
  </si>
  <si>
    <t>-788.663529516642 85.7453495727987 -528.690708661232</t>
  </si>
  <si>
    <t>-790.696268788495 221.367618584224 -506.35946785733</t>
  </si>
  <si>
    <t>-732.318384348772 276.498463869005 -223.262639337545</t>
  </si>
  <si>
    <t>-501.994696580448 321.723219027925 -168.887822585794</t>
  </si>
  <si>
    <t>-785.737129702349 30.4119921622337 -529.589000240384</t>
  </si>
  <si>
    <t>-793.744656183582 159.555980076105 -74.4643464308595</t>
  </si>
  <si>
    <t>-791.064284062755 190.18968960197 327.91489177879</t>
  </si>
  <si>
    <t>-855.232435233748 196.124892002284 772.027859010225</t>
  </si>
  <si>
    <t>-716.535267584776 242.194919305257 833.084925481574</t>
  </si>
  <si>
    <t>-686.535478688181 -28.1224717090918 332.174970447668</t>
  </si>
  <si>
    <t>-699.623014075288 -31.0907525409184 779.632327405329</t>
  </si>
  <si>
    <t>-574.917755008858 -98.2273551199933 850.544837653326</t>
  </si>
  <si>
    <t>9763-20170724T111013.884551600.bin</t>
  </si>
  <si>
    <t>-763.001519478088 71.0514158671313 -70.5815750040316</t>
  </si>
  <si>
    <t>-789.150050200419 61.2913990347238 -182.996943179109</t>
  </si>
  <si>
    <t>-796.506894062482 59.5107997521191 -281.329837007463</t>
  </si>
  <si>
    <t>-797.470886662483 59.9739271753051 -370.42028694244</t>
  </si>
  <si>
    <t>-792.302690618907 62.2675512721248 -459.337420256137</t>
  </si>
  <si>
    <t>-778.59102912467 67.1081732558368 -583.068515346897</t>
  </si>
  <si>
    <t>-736.401929490837 76.8641371345088 -653.990511226241</t>
  </si>
  <si>
    <t>-785.490240133902 92.6559966038139 -527.633633500449</t>
  </si>
  <si>
    <t>-785.498863832775 228.037663759766 -503.593664983693</t>
  </si>
  <si>
    <t>-732.750379673666 282.994324645824 -219.360460096492</t>
  </si>
  <si>
    <t>-510.035944921175 339.079115909643 -146.534542168911</t>
  </si>
  <si>
    <t>-783.759471386004 37.3001109486995 -529.60755440869</t>
  </si>
  <si>
    <t>-795.295842053764 159.205112952911 -73.3731188092071</t>
  </si>
  <si>
    <t>-791.631379816135 190.222324634068 328.968968503857</t>
  </si>
  <si>
    <t>-854.831071834272 196.164468897103 773.145014110906</t>
  </si>
  <si>
    <t>-716.147658546103 242.35829047584 834.139311427519</t>
  </si>
  <si>
    <t>-690.437427774581 -27.8768754435264 331.971336469567</t>
  </si>
  <si>
    <t>-700.136873096654 -31.5203881238203 779.66796467967</t>
  </si>
  <si>
    <t>-575.77547089418 -99.3328991689027 850.541054011207</t>
  </si>
  <si>
    <t>9763-20170724T111013.917642700.bin</t>
  </si>
  <si>
    <t>-765.274942804939 70.4753567463463 -70.1977706553109</t>
  </si>
  <si>
    <t>-791.256490102219 61.6523915943617 -182.729208670508</t>
  </si>
  <si>
    <t>-797.749963122487 60.8512917882526 -281.135853722462</t>
  </si>
  <si>
    <t>-797.640541265423 62.2526541477814 -370.22147106139</t>
  </si>
  <si>
    <t>-791.109107345668 65.5150419856191 -459.018675427742</t>
  </si>
  <si>
    <t>-775.19496738325 71.7247044879459 -582.424453855637</t>
  </si>
  <si>
    <t>-732.295255010328 82.0211336111902 -652.842234268858</t>
  </si>
  <si>
    <t>-782.739195973052 96.6642492167643 -526.797136184683</t>
  </si>
  <si>
    <t>-781.789929851082 231.833541173747 -501.719790096026</t>
  </si>
  <si>
    <t>-729.268941473797 289.165673593376 -217.91392185772</t>
  </si>
  <si>
    <t>-512.770614275558 351.798274313654 -132.729200753947</t>
  </si>
  <si>
    <t>-781.656539398428 41.3199477308158 -529.442315682575</t>
  </si>
  <si>
    <t>-796.196702038928 158.684136297607 -72.5665730003038</t>
  </si>
  <si>
    <t>-792.155178074914 190.197697367734 329.733360859487</t>
  </si>
  <si>
    <t>-854.798097498607 196.295776805303 773.922737988757</t>
  </si>
  <si>
    <t>-715.89216170673 241.994907326993 834.784214693266</t>
  </si>
  <si>
    <t>-692.820859168701 -27.7342582804322 331.875319179114</t>
  </si>
  <si>
    <t>-700.375328405185 -31.7110051855766 779.679575743398</t>
  </si>
  <si>
    <t>-576.222453893096 -99.9124866630639 850.54525148696</t>
  </si>
  <si>
    <t>9763-20170724T111013.983319700.bin</t>
  </si>
  <si>
    <t>-770.805655287726 69.4286505786454 -69.3074538076481</t>
  </si>
  <si>
    <t>-795.433296094665 63.0464895068972 -182.307320126159</t>
  </si>
  <si>
    <t>-799.432103526883 64.5177708468186 -280.83901471869</t>
  </si>
  <si>
    <t>-796.53948319871 68.0069246397361 -369.820425222589</t>
  </si>
  <si>
    <t>-786.710993907596 73.3434299817263 -458.21264027589</t>
  </si>
  <si>
    <t>-765.672918681395 82.4010505712531 -580.671443988041</t>
  </si>
  <si>
    <t>-721.084473653873 93.7675765337326 -649.864574302029</t>
  </si>
  <si>
    <t>-774.73920750055 106.0455053679 -524.706777307169</t>
  </si>
  <si>
    <t>-771.001422867177 240.639918343694 -497.047086373769</t>
  </si>
  <si>
    <t>-716.929947098234 306.625527722396 -215.420858669223</t>
  </si>
  <si>
    <t>-515.169172465274 382.151776162113 -107.535662014055</t>
  </si>
  <si>
    <t>-775.12249751298 50.7847552067392 -528.859971542752</t>
  </si>
  <si>
    <t>-798.410251150548 157.553409550333 -70.8522523538165</t>
  </si>
  <si>
    <t>-795.09888204535 189.301252717231 331.435891753321</t>
  </si>
  <si>
    <t>-854.420455306875 196.100241808802 775.484389385585</t>
  </si>
  <si>
    <t>-715.297525056619 241.717657972443 835.909038284321</t>
  </si>
  <si>
    <t>-697.677767736702 -27.7394607985848 331.514525826528</t>
  </si>
  <si>
    <t>-700.832210234936 -32.241723908222 779.614500847228</t>
  </si>
  <si>
    <t>-576.969462202789 -100.937685205904 850.510136538262</t>
  </si>
  <si>
    <t>9763-20170724T111014.014402300.bin</t>
  </si>
  <si>
    <t>-774.170679944051 69.3010471895927 -68.7798931719316</t>
  </si>
  <si>
    <t>-797.940782330247 64.3095838676618 -182.033054800786</t>
  </si>
  <si>
    <t>-800.534725739043 67.028257294071 -280.585276912698</t>
  </si>
  <si>
    <t>-796.110426555756 71.6459614344781 -369.452268616985</t>
  </si>
  <si>
    <t>-784.499450313532 78.0849987042729 -457.554310915629</t>
  </si>
  <si>
    <t>-760.722213195176 88.6369948530951 -579.390595711742</t>
  </si>
  <si>
    <t>-715.24240016451 100.502808286071 -647.916700081342</t>
  </si>
  <si>
    <t>-770.615158808963 111.58367361727 -523.275666634134</t>
  </si>
  <si>
    <t>-765.3230603828 245.792843109196 -493.99078837064</t>
  </si>
  <si>
    <t>-708.717761853514 315.755789774259 -213.826132122333</t>
  </si>
  <si>
    <t>-514.676639462405 398.338251455318 -97.2968162579581</t>
  </si>
  <si>
    <t>-771.755671448007 56.4034232584654 -528.277351193684</t>
  </si>
  <si>
    <t>-800.100044943902 157.237999600906 -69.9048251274926</t>
  </si>
  <si>
    <t>-798.004199285476 188.567149082224 332.424345314758</t>
  </si>
  <si>
    <t>-854.253043923256 195.958871357201 776.544569775402</t>
  </si>
  <si>
    <t>-715.023818160476 241.535055369436 836.755964240304</t>
  </si>
  <si>
    <t>-700.212937737673 -27.6551857651802 331.22644617326</t>
  </si>
  <si>
    <t>-700.987926630099 -32.3030860299132 779.524550289396</t>
  </si>
  <si>
    <t>-577.529907231316 -101.680649496529 850.462634004329</t>
  </si>
  <si>
    <t>9763-20170724T111014.084595300.bin</t>
  </si>
  <si>
    <t>-780.607259289368 69.2531954259262 -67.4206458210176</t>
  </si>
  <si>
    <t>-802.312801178958 67.0531477239392 -181.175810236676</t>
  </si>
  <si>
    <t>-801.829934511143 72.2681520714641 -279.660552836186</t>
  </si>
  <si>
    <t>-794.12175856854 79.134559292921 -368.157268586044</t>
  </si>
  <si>
    <t>-778.752141354877 87.7599060135744 -455.493572507762</t>
  </si>
  <si>
    <t>-749.25950526989 101.259714050282 -575.779809006814</t>
  </si>
  <si>
    <t>-701.940457234457 114.010573666289 -642.886759215705</t>
  </si>
  <si>
    <t>-761.01351397792 122.793369936634 -519.46406659109</t>
  </si>
  <si>
    <t>-752.478435267863 255.944765235534 -486.400260717557</t>
  </si>
  <si>
    <t>-689.395574620856 332.880572956713 -209.466039242633</t>
  </si>
  <si>
    <t>-508.947367238751 425.863810050386 -79.6836334296509</t>
  </si>
  <si>
    <t>-763.462127346328 67.8447112090084 -526.231411881027</t>
  </si>
  <si>
    <t>-804.49580823994 157.359440339727 -67.6482764506989</t>
  </si>
  <si>
    <t>-805.943377661808 186.318771050132 334.861279289005</t>
  </si>
  <si>
    <t>-853.825031692342 195.756728984828 779.40408777099</t>
  </si>
  <si>
    <t>-714.263218344301 240.674135164044 839.339302444217</t>
  </si>
  <si>
    <t>-706.469429796435 -26.7176464786021 330.80265653594</t>
  </si>
  <si>
    <t>-701.433528821912 -32.7535574162384 779.345112662928</t>
  </si>
  <si>
    <t>-578.774020618715 -103.451197523639 850.364870201221</t>
  </si>
  <si>
    <t>9763-20170724T111014.117684200.bin</t>
  </si>
  <si>
    <t>-783.853527448116 69.2130951600916 -66.6874477554385</t>
  </si>
  <si>
    <t>-804.492944560139 68.3417107319274 -180.658857110904</t>
  </si>
  <si>
    <t>-802.531314352931 74.7753602293369 -279.052990113834</t>
  </si>
  <si>
    <t>-793.271713865999 82.7519226985683 -367.307604289044</t>
  </si>
  <si>
    <t>-776.151122976576 92.4713090957448 -454.202144164155</t>
  </si>
  <si>
    <t>-744.020219936311 107.463305859685 -573.632704445149</t>
  </si>
  <si>
    <t>-695.818201209435 120.674318375154 -640.018353302666</t>
  </si>
  <si>
    <t>-756.700356363634 128.269906226851 -517.244614834185</t>
  </si>
  <si>
    <t>-746.522484404167 260.783590771933 -482.261270156494</t>
  </si>
  <si>
    <t>-679.572457862406 339.728791459594 -206.80439613429</t>
  </si>
  <si>
    <t>-505.664882697082 436.536387656187 -71.0274858088576</t>
  </si>
  <si>
    <t>-759.618489291796 73.462141883766 -524.909731848856</t>
  </si>
  <si>
    <t>-807.320252130474 157.359687249972 -66.3186753271713</t>
  </si>
  <si>
    <t>-810.466264788243 185.097891821097 336.267209585185</t>
  </si>
  <si>
    <t>-853.597035552917 195.665657088218 781.101381643224</t>
  </si>
  <si>
    <t>-714.020646928041 240.745637069959 840.880600234671</t>
  </si>
  <si>
    <t>-709.789438924255 -25.9736883235041 330.721386640955</t>
  </si>
  <si>
    <t>-701.641508927523 -32.7698969240873 779.302799156055</t>
  </si>
  <si>
    <t>-579.487713147638 -104.31570295429 850.344465409453</t>
  </si>
  <si>
    <t>9763-20170724T111014.150772000.bin</t>
  </si>
  <si>
    <t>-787.445803669302 69.3943658740895 -65.8820132729207</t>
  </si>
  <si>
    <t>-807.07169956555 69.7042895531222 -180.035214179779</t>
  </si>
  <si>
    <t>-803.733691223244 77.2639953728658 -278.312128892113</t>
  </si>
  <si>
    <t>-793.036869585344 86.2793763817504 -366.303881174398</t>
  </si>
  <si>
    <t>-774.300968924998 97.034707006977 -452.741945650956</t>
  </si>
  <si>
    <t>-739.74290179158 113.45211503091 -571.30427981822</t>
  </si>
  <si>
    <t>-690.662935394328 127.079396300148 -636.958339093078</t>
  </si>
  <si>
    <t>-753.328333250449 133.559453904712 -514.873473318876</t>
  </si>
  <si>
    <t>-741.521497342655 265.378739696097 -477.799257460529</t>
  </si>
  <si>
    <t>-670.987182352855 345.066830102813 -203.452948984421</t>
  </si>
  <si>
    <t>-503.237832508075 445.155036764337 -62.409088908138</t>
  </si>
  <si>
    <t>-756.572228640334 78.8956720096944 -523.388311869669</t>
  </si>
  <si>
    <t>-810.643665442989 157.434850334586 -64.8536081281593</t>
  </si>
  <si>
    <t>-814.985804297616 183.780737808574 337.814659708187</t>
  </si>
  <si>
    <t>-853.317981238569 195.415540079777 782.90887383847</t>
  </si>
  <si>
    <t>-713.447671038943 239.838870953866 842.492131240809</t>
  </si>
  <si>
    <t>-712.758573633001 -25.4474102300605 330.770440906846</t>
  </si>
  <si>
    <t>-701.924555393107 -33.055243312408 779.30177880415</t>
  </si>
  <si>
    <t>-579.965583948935 -104.947404929872 850.328584622828</t>
  </si>
  <si>
    <t>9763-20170724T111014.216770700.bin</t>
  </si>
  <si>
    <t>-793.770222734542 70.211115671932 -64.6456590182144</t>
  </si>
  <si>
    <t>-811.545551391144 72.3113505278848 -179.082742005095</t>
  </si>
  <si>
    <t>-806.030195686958 81.7740281302108 -277.096590625686</t>
  </si>
  <si>
    <t>-793.140812012808 92.6146832214922 -364.587124596511</t>
  </si>
  <si>
    <t>-772.006540983798 105.26193852211 -450.21194157907</t>
  </si>
  <si>
    <t>-733.903564900297 124.361564685079 -567.276789422509</t>
  </si>
  <si>
    <t>-683.295495352949 138.708531821877 -631.604427610216</t>
  </si>
  <si>
    <t>-748.925362995939 143.154012907373 -510.756851191027</t>
  </si>
  <si>
    <t>-734.932098938365 273.708531487086 -469.9411537715</t>
  </si>
  <si>
    <t>-657.92348683421 352.693130938368 -197.136651589774</t>
  </si>
  <si>
    <t>-500.893692959622 454.775382874143 -45.5719846345925</t>
  </si>
  <si>
    <t>-752.416385955457 88.7596134180603 -520.767816081476</t>
  </si>
  <si>
    <t>-816.659155838038 158.419917668462 -62.483776895709</t>
  </si>
  <si>
    <t>-822.881730352053 182.431037589356 340.305789759358</t>
  </si>
  <si>
    <t>-852.825311097961 195.319577449987 786.170625157553</t>
  </si>
  <si>
    <t>-712.822206291871 239.714790235564 845.462259000485</t>
  </si>
  <si>
    <t>-717.192133837387 -23.7851902638308 330.479995849272</t>
  </si>
  <si>
    <t>-702.424657983077 -33.4333806340424 778.66249820456</t>
  </si>
  <si>
    <t>-580.871821585916 -106.013682740028 849.685888963188</t>
  </si>
  <si>
    <t>9763-20170724T111014.280732700.bin</t>
  </si>
  <si>
    <t>-796.974306917495 72.419654740364 -65.1696867284356</t>
  </si>
  <si>
    <t>-813.614180650919 75.485387256344 -179.755542060118</t>
  </si>
  <si>
    <t>-806.963987919793 85.9051384420677 -277.601730945105</t>
  </si>
  <si>
    <t>-792.991670766323 97.6422279160824 -364.809881988318</t>
  </si>
  <si>
    <t>-770.727283827218 111.200866237803 -450.007834433924</t>
  </si>
  <si>
    <t>-731.005133173087 131.575578516332 -566.317093551245</t>
  </si>
  <si>
    <t>-679.40837217409 146.253451645368 -629.778695932945</t>
  </si>
  <si>
    <t>-746.74716541899 149.742418410141 -509.788727539917</t>
  </si>
  <si>
    <t>-732.411511681861 279.544920555482 -466.826754867653</t>
  </si>
  <si>
    <t>-653.689540881803 353.764004627872 -193.174539762722</t>
  </si>
  <si>
    <t>-500.144793763677 456.892961508957 -38.7746528862483</t>
  </si>
  <si>
    <t>-750.222464702551 95.4769268894065 -520.481616395408</t>
  </si>
  <si>
    <t>-819.296200456692 160.791552048812 -62.1418155990206</t>
  </si>
  <si>
    <t>-827.637519266309 183.367438789094 340.692371873966</t>
  </si>
  <si>
    <t>-852.332976148415 196.086827819701 787.204914434845</t>
  </si>
  <si>
    <t>-712.616237642959 241.073099431193 846.725875315612</t>
  </si>
  <si>
    <t>-718.453096637988 -22.1227997808555 328.713374856927</t>
  </si>
  <si>
    <t>-702.870550680085 -33.9424332271733 776.65271507289</t>
  </si>
  <si>
    <t>-581.443341089163 -106.66989813852 847.740386898897</t>
  </si>
  <si>
    <t>9763-20170724T111014.317824100.bin</t>
  </si>
  <si>
    <t>-797.020367834033 73.9282042692798 -65.5953341584768</t>
  </si>
  <si>
    <t>-813.455154504621 77.0998113302421 -180.207984642811</t>
  </si>
  <si>
    <t>-806.685079545822 87.5511146882736 -278.042516130237</t>
  </si>
  <si>
    <t>-792.632439775319 99.303511246952 -365.235642531641</t>
  </si>
  <si>
    <t>-770.315919521927 112.870542256112 -450.418760528448</t>
  </si>
  <si>
    <t>-730.552193338932 133.255704750032 -566.712011242476</t>
  </si>
  <si>
    <t>-678.705793013007 147.928804610909 -629.970602347347</t>
  </si>
  <si>
    <t>-746.31891007814 151.417965157464 -510.188902137558</t>
  </si>
  <si>
    <t>-732.350042410996 281.296523899344 -467.189578630338</t>
  </si>
  <si>
    <t>-661.668050453799 354.149628949136 -190.987409345074</t>
  </si>
  <si>
    <t>-499.940589234895 458.176730513201 -45.8205228467418</t>
  </si>
  <si>
    <t>-749.781816138257 97.1522633502718 -520.885029076073</t>
  </si>
  <si>
    <t>-819.034414391597 162.622313744308 -62.3092844587936</t>
  </si>
  <si>
    <t>-827.854780139079 184.636237975721 340.545891804503</t>
  </si>
  <si>
    <t>-852.12961192345 196.692192303407 787.367676380112</t>
  </si>
  <si>
    <t>-712.67434097066 242.253546815475 847.064486295575</t>
  </si>
  <si>
    <t>-718.176976244052 -21.3407798218245 327.952098557123</t>
  </si>
  <si>
    <t>-703.037010212059 -34.2163649176459 775.691167749697</t>
  </si>
  <si>
    <t>-581.38616151071 -106.510227083018 846.838586178066</t>
  </si>
  <si>
    <t>9763-20170724T111014.384582000.bin</t>
  </si>
  <si>
    <t>-794.474253374124 77.4371798008019 -66.3825187719361</t>
  </si>
  <si>
    <t>-811.510177736542 80.3904361895966 -180.913180077233</t>
  </si>
  <si>
    <t>-805.547726545042 90.6227082391611 -278.823374108827</t>
  </si>
  <si>
    <t>-792.345086437567 102.219323029837 -366.170055794575</t>
  </si>
  <si>
    <t>-770.992164138011 115.705107200137 -451.612709557631</t>
  </si>
  <si>
    <t>-732.683363238178 136.085931466614 -568.393834583657</t>
  </si>
  <si>
    <t>-681.024090489257 150.652553296643 -631.830224797202</t>
  </si>
  <si>
    <t>-747.894759186959 154.269033872421 -511.725571816071</t>
  </si>
  <si>
    <t>-735.720142715982 284.541208697998 -469.813967244905</t>
  </si>
  <si>
    <t>-696.297331711219 352.051231735499 -186.125104684479</t>
  </si>
  <si>
    <t>-508.256440560464 451.864068717554 -73.3027268196254</t>
  </si>
  <si>
    <t>-751.187291860223 99.9655781074175 -522.282923141344</t>
  </si>
  <si>
    <t>-815.988186159008 166.842790494186 -62.8903112633058</t>
  </si>
  <si>
    <t>-823.876865748354 187.806418867677 340.040177534838</t>
  </si>
  <si>
    <t>-851.713865485732 197.644449259482 787.283320911653</t>
  </si>
  <si>
    <t>-712.339134543628 243.078586452419 847.263904068723</t>
  </si>
  <si>
    <t>-715.79687328505 -19.7877001924435 326.950885788895</t>
  </si>
  <si>
    <t>-703.142025878879 -34.1802887068629 774.305879319793</t>
  </si>
  <si>
    <t>-581.836194262625 -106.827974802541 845.681582638015</t>
  </si>
  <si>
    <t>9763-20170724T111014.417669500.bin</t>
  </si>
  <si>
    <t>-792.513625690882 79.2912988394005 -66.6857940697201</t>
  </si>
  <si>
    <t>-810.272701252619 81.9382044186564 -181.114064721782</t>
  </si>
  <si>
    <t>-805.093141672825 91.9767949787383 -279.088941867069</t>
  </si>
  <si>
    <t>-792.661096260434 103.459701290469 -366.563657067007</t>
  </si>
  <si>
    <t>-772.135579479266 116.915565197174 -452.213333717062</t>
  </si>
  <si>
    <t>-735.034050440066 137.361699907576 -569.372338515141</t>
  </si>
  <si>
    <t>-683.645538836873 151.807066159127 -633.055942510363</t>
  </si>
  <si>
    <t>-749.847549378612 155.535019137375 -512.595559266847</t>
  </si>
  <si>
    <t>-738.843198605087 286.072192918448 -471.241988361779</t>
  </si>
  <si>
    <t>-715.18229906803 352.387859790341 -185.52597287904</t>
  </si>
  <si>
    <t>-514.320366805542 447.187728186603 -92.154233141511</t>
  </si>
  <si>
    <t>-752.873728739322 101.193985768807 -523.037408589321</t>
  </si>
  <si>
    <t>-813.929843027518 168.989698506734 -63.1774520218939</t>
  </si>
  <si>
    <t>-820.453829533109 189.477733952127 339.801877196774</t>
  </si>
  <si>
    <t>-851.513418193391 197.865883908162 787.106722510261</t>
  </si>
  <si>
    <t>-712.191528622596 243.441897258044 847.103284561976</t>
  </si>
  <si>
    <t>-713.929764277432 -19.2389380042382 326.709808030019</t>
  </si>
  <si>
    <t>-703.135302676824 -33.9550625862557 773.908738785784</t>
  </si>
  <si>
    <t>-582.012740324369 -106.797343287333 845.397426828926</t>
  </si>
  <si>
    <t>9763-20170724T111014.481890200.bin</t>
  </si>
  <si>
    <t>-788.21130399102 82.0887305651977 -66.9730851325127</t>
  </si>
  <si>
    <t>-808.035539766283 83.6374035726885 -181.081846701704</t>
  </si>
  <si>
    <t>-805.099000765447 92.7836414394901 -279.236846434482</t>
  </si>
  <si>
    <t>-794.868832002885 103.533603759903 -367.089082192329</t>
  </si>
  <si>
    <t>-776.699197670204 116.370746525285 -453.363669138928</t>
  </si>
  <si>
    <t>-743.02995122698 136.1059705095 -571.675741803082</t>
  </si>
  <si>
    <t>-692.479738037365 149.995169511168 -636.14877436142</t>
  </si>
  <si>
    <t>-756.596920739633 154.665182581 -514.712464803894</t>
  </si>
  <si>
    <t>-747.197416283356 285.907306418545 -474.69493055953</t>
  </si>
  <si>
    <t>-744.557716248245 346.819989697909 -186.816752368309</t>
  </si>
  <si>
    <t>-525.167949384896 430.419207397978 -132.685242780403</t>
  </si>
  <si>
    <t>-759.09568842501 100.177644458991 -524.512442963484</t>
  </si>
  <si>
    <t>-810.175476517368 172.191049861212 -63.7006743275364</t>
  </si>
  <si>
    <t>-812.235096687191 192.411254900844 339.339776431315</t>
  </si>
  <si>
    <t>-851.051341105381 197.799080853152 786.611951247959</t>
  </si>
  <si>
    <t>-711.498606735445 242.802073010468 846.503766318129</t>
  </si>
  <si>
    <t>-709.57928881314 -18.5741282744284 326.82178465847</t>
  </si>
  <si>
    <t>-703.310007519525 -33.9995027382115 773.790654418277</t>
  </si>
  <si>
    <t>-582.220698480611 -106.751036093745 845.427938082545</t>
  </si>
  <si>
    <t>9763-20170724T111014.513979100.bin</t>
  </si>
  <si>
    <t>-786.06018340833 82.8050688066273 -66.882649542698</t>
  </si>
  <si>
    <t>-807.082119870296 83.5625226215438 -180.784910590178</t>
  </si>
  <si>
    <t>-805.526438216005 92.0677836988821 -279.028982901628</t>
  </si>
  <si>
    <t>-796.672983950312 102.273866919714 -367.095354070617</t>
  </si>
  <si>
    <t>-779.995763616956 114.620413433053 -453.742369120382</t>
  </si>
  <si>
    <t>-748.518040028084 133.741231238487 -572.756432165811</t>
  </si>
  <si>
    <t>-698.678602696604 147.362209388104 -637.837454597548</t>
  </si>
  <si>
    <t>-761.267907897629 152.616471833083 -515.70834014631</t>
  </si>
  <si>
    <t>-752.735184018279 284.238211508039 -476.802038500741</t>
  </si>
  <si>
    <t>-753.22712454877 339.541334203613 -187.782025578794</t>
  </si>
  <si>
    <t>-528.568396460609 417.379761800007 -148.788314426792</t>
  </si>
  <si>
    <t>-763.471805329998 98.0374370069444 -525.060041538102</t>
  </si>
  <si>
    <t>-808.478463264996 173.086943125802 -63.8277830191035</t>
  </si>
  <si>
    <t>-808.02654005163 193.846680478197 339.190238414564</t>
  </si>
  <si>
    <t>-850.832544270786 197.773052955443 786.339166777009</t>
  </si>
  <si>
    <t>-711.181805689177 242.5365109708 846.182109806805</t>
  </si>
  <si>
    <t>-706.989830731022 -18.613200362689 327.22910609769</t>
  </si>
  <si>
    <t>-703.40290350841 -34.0554871523891 774.045982875298</t>
  </si>
  <si>
    <t>-582.035335296778 -106.301917162372 845.723847814478</t>
  </si>
  <si>
    <t>9763-20170724T111014.584927100.bin</t>
  </si>
  <si>
    <t>-781.274012178173 83.5613559929561 -66.2102134881338</t>
  </si>
  <si>
    <t>-804.906812960669 82.3461591359023 -179.595486846508</t>
  </si>
  <si>
    <t>-806.300222783178 89.2760213571742 -277.965750557575</t>
  </si>
  <si>
    <t>-800.362556283665 98.1180038065145 -366.423781330399</t>
  </si>
  <si>
    <t>-786.821271060222 109.184689164054 -453.787320000114</t>
  </si>
  <si>
    <t>-759.924932449481 126.621485937358 -574.175713485512</t>
  </si>
  <si>
    <t>-711.876097470376 139.615471622294 -640.715167460055</t>
  </si>
  <si>
    <t>-770.950066150543 146.333460326913 -517.051189495859</t>
  </si>
  <si>
    <t>-763.600637801186 278.5245671974 -480.112780588197</t>
  </si>
  <si>
    <t>-760.546372847354 327.519219039095 -189.972454709624</t>
  </si>
  <si>
    <t>-529.892503282761 394.225718254022 -169.972824736677</t>
  </si>
  <si>
    <t>-772.571336980267 91.5635894762831 -525.346206544382</t>
  </si>
  <si>
    <t>-805.096699283402 174.234134568995 -63.8036351653581</t>
  </si>
  <si>
    <t>-800.175706480105 196.728993168861 339.091375729108</t>
  </si>
  <si>
    <t>-850.42665149169 197.905482611604 785.845916454678</t>
  </si>
  <si>
    <t>-710.858724678351 242.97528878057 845.652786123532</t>
  </si>
  <si>
    <t>-700.930151735692 -18.878876289994 328.659918447662</t>
  </si>
  <si>
    <t>-703.539089426043 -33.9815079626719 775.161127734237</t>
  </si>
  <si>
    <t>-581.948619771581 -105.776148299498 846.914657071494</t>
  </si>
  <si>
    <t>9763-20170724T111014.617011800.bin</t>
  </si>
  <si>
    <t>-778.536225411493 83.7148917902832 -65.6706803157651</t>
  </si>
  <si>
    <t>-803.492834039122 81.4595859086908 -178.756009699629</t>
  </si>
  <si>
    <t>-806.354055979554 87.559002522326 -277.149401809979</t>
  </si>
  <si>
    <t>-801.858304626431 95.6761130200894 -365.761844664309</t>
  </si>
  <si>
    <t>-789.859282535642 106.051859927816 -453.4350976384</t>
  </si>
  <si>
    <t>-765.209258005506 122.563057002714 -574.433375580719</t>
  </si>
  <si>
    <t>-718.13040448694 135.212767604693 -641.728252273424</t>
  </si>
  <si>
    <t>-775.380373162986 142.725100224625 -517.30752778677</t>
  </si>
  <si>
    <t>-768.325714505248 275.168822265902 -481.270714720217</t>
  </si>
  <si>
    <t>-760.398611912388 323.0191907146 -191.031782133235</t>
  </si>
  <si>
    <t>-527.895593861104 384.291270489042 -175.573384051854</t>
  </si>
  <si>
    <t>-776.732589722249 87.8697817004936 -525.068353395519</t>
  </si>
  <si>
    <t>-803.202550600432 174.510530705796 -63.6386210439902</t>
  </si>
  <si>
    <t>-796.454498155265 197.801380765489 339.184723165057</t>
  </si>
  <si>
    <t>-850.217110314121 197.922959372745 785.630711949113</t>
  </si>
  <si>
    <t>-710.544637472577 242.687030158721 845.422979112933</t>
  </si>
  <si>
    <t>-697.617677038329 -18.9596461552569 329.627997219056</t>
  </si>
  <si>
    <t>-703.539044339509 -33.7015383252847 775.93866397785</t>
  </si>
  <si>
    <t>-582.089180336213 -105.684230981095 847.742047524187</t>
  </si>
  <si>
    <t>9763-20170724T111014.685060900.bin</t>
  </si>
  <si>
    <t>-773.30770633313 84.0825185530061 -64.4482275693561</t>
  </si>
  <si>
    <t>-800.724142613736 79.8585520475863 -176.905933254859</t>
  </si>
  <si>
    <t>-806.360412769704 84.3259800814649 -275.267104940411</t>
  </si>
  <si>
    <t>-804.610421254706 90.9989554995041 -364.096443746146</t>
  </si>
  <si>
    <t>-795.570505557622 99.9807319133602 -452.277140477688</t>
  </si>
  <si>
    <t>-775.253951921835 114.60857883775 -574.31840261005</t>
  </si>
  <si>
    <t>-730.12921889521 126.459428261364 -643.081594770344</t>
  </si>
  <si>
    <t>-783.771278205831 135.67230786619 -517.247429477344</t>
  </si>
  <si>
    <t>-776.98964416749 268.59891843506 -482.904707135335</t>
  </si>
  <si>
    <t>-756.076884904518 316.274118656147 -193.282759683594</t>
  </si>
  <si>
    <t>-520.560704103069 365.840695789243 -182.052676789647</t>
  </si>
  <si>
    <t>-784.617111750478 80.6711580434862 -523.980794919618</t>
  </si>
  <si>
    <t>-799.934081984258 175.291535853337 -63.1975829529202</t>
  </si>
  <si>
    <t>-790.211025222736 199.112481217854 339.533974669682</t>
  </si>
  <si>
    <t>-849.855132290193 198.071746862084 785.322181613947</t>
  </si>
  <si>
    <t>-710.20168357329 242.978057104474 845.051988107378</t>
  </si>
  <si>
    <t>-691.923171018544 -19.1031399353947 331.770762002128</t>
  </si>
  <si>
    <t>-703.673158035966 -33.5184171046931 777.772017231589</t>
  </si>
  <si>
    <t>-582.122670412883 -105.300736494948 849.605758977158</t>
  </si>
  <si>
    <t>9763-20170724T111014.717147300.bin</t>
  </si>
  <si>
    <t>-771.192666269021 84.5849097619189 -63.8977718562634</t>
  </si>
  <si>
    <t>-799.738394670076 79.4833613249084 -176.037585500722</t>
  </si>
  <si>
    <t>-806.662250878164 83.1732913146147 -274.34883613255</t>
  </si>
  <si>
    <t>-806.193236333547 89.1385022913523 -363.244548737958</t>
  </si>
  <si>
    <t>-798.541395603273 97.4160542316613 -451.62541722211</t>
  </si>
  <si>
    <t>-780.26636197095 111.069317140147 -574.101695893339</t>
  </si>
  <si>
    <t>-736.13592016431 122.428966651974 -643.588994714692</t>
  </si>
  <si>
    <t>-787.954898704598 132.591688866189 -517.084196945924</t>
  </si>
  <si>
    <t>-781.066431435216 265.74320847705 -483.618550918951</t>
  </si>
  <si>
    <t>-752.721484241259 314.272244935025 -194.771369335152</t>
  </si>
  <si>
    <t>-516.084365297354 358.403042736848 -184.46870120516</t>
  </si>
  <si>
    <t>-788.661637333075 77.5308110246692 -523.327597096761</t>
  </si>
  <si>
    <t>-798.762021980196 176.005108181005 -63.0183151518901</t>
  </si>
  <si>
    <t>-788.0792571359 199.501615269946 339.707971309557</t>
  </si>
  <si>
    <t>-849.646098910874 198.105666059625 785.237258569145</t>
  </si>
  <si>
    <t>-709.9181660595 242.814898354141 844.940413937983</t>
  </si>
  <si>
    <t>-689.812544986432 -19.1126445021623 332.82289854526</t>
  </si>
  <si>
    <t>-703.791216379723 -33.505810403115 778.73064993689</t>
  </si>
  <si>
    <t>-582.080695500339 -105.026525414827 850.554307192534</t>
  </si>
  <si>
    <t>9763-20170724T111014.783360000.bin</t>
  </si>
  <si>
    <t>-768.092285757045 86.3862668745746 -63.7223309697694</t>
  </si>
  <si>
    <t>-798.58011002439 79.9467565300743 -175.280654242717</t>
  </si>
  <si>
    <t>-807.697924059011 82.2638615391234 -273.45472683382</t>
  </si>
  <si>
    <t>-809.411763290409 86.9074787905806 -362.413933177295</t>
  </si>
  <si>
    <t>-804.130242835505 93.7936092650648 -451.087193836092</t>
  </si>
  <si>
    <t>-789.349481480245 105.438287576056 -574.240399425496</t>
  </si>
  <si>
    <t>-747.066452576535 115.612630023843 -645.047600752393</t>
  </si>
  <si>
    <t>-795.414547379025 127.891638044907 -517.386538632024</t>
  </si>
  <si>
    <t>-787.162367052645 261.363645845432 -485.573642230901</t>
  </si>
  <si>
    <t>-747.868151755956 310.053477064265 -198.038258466515</t>
  </si>
  <si>
    <t>-510.148902117574 349.198462966782 -195.208837046898</t>
  </si>
  <si>
    <t>-796.29264993115 72.7364620329008 -522.707000720989</t>
  </si>
  <si>
    <t>-796.757740843771 178.369557904975 -63.6346124928494</t>
  </si>
  <si>
    <t>-785.426142481158 200.114219135014 339.172309301491</t>
  </si>
  <si>
    <t>-849.217980130885 198.247803522392 784.378512956611</t>
  </si>
  <si>
    <t>-709.37374172898 242.592135036075 844.08168237988</t>
  </si>
  <si>
    <t>-687.205907771827 -18.5867905475825 334.011961044665</t>
  </si>
  <si>
    <t>-704.095919392749 -33.4555883448324 779.862167474691</t>
  </si>
  <si>
    <t>-582.306502825509 -104.846922044098 851.68086397686</t>
  </si>
  <si>
    <t>9763-20170724T111014.814442500.bin</t>
  </si>
  <si>
    <t>-766.687178876228 87.3665554581985 -63.9959813526423</t>
  </si>
  <si>
    <t>-797.920617053343 80.538595505408 -175.324744437183</t>
  </si>
  <si>
    <t>-807.905252283197 82.3218493322261 -273.425561280619</t>
  </si>
  <si>
    <t>-810.494051243529 86.4103292187206 -362.390858693515</t>
  </si>
  <si>
    <t>-806.176409004751 92.6723189595186 -451.162308524243</t>
  </si>
  <si>
    <t>-792.832730437519 103.378552775258 -574.564825461168</t>
  </si>
  <si>
    <t>-751.330461823648 112.865902156555 -645.927150477957</t>
  </si>
  <si>
    <t>-798.11326869351 126.260696145456 -517.803582945856</t>
  </si>
  <si>
    <t>-788.695640314354 259.840263122716 -486.731079454721</t>
  </si>
  <si>
    <t>-746.177383842624 307.112239580452 -199.418156844627</t>
  </si>
  <si>
    <t>-508.633745831089 347.386351923085 -200.851438154866</t>
  </si>
  <si>
    <t>-799.295830223483 71.0738646415352 -522.719332553086</t>
  </si>
  <si>
    <t>-795.158459038071 179.683537042876 -64.1916870472644</t>
  </si>
  <si>
    <t>-784.235554338969 200.385160556635 338.681491677241</t>
  </si>
  <si>
    <t>-849.024896650441 198.370743495439 783.794208005963</t>
  </si>
  <si>
    <t>-709.220357370777 242.838545760374 843.498350589487</t>
  </si>
  <si>
    <t>-686.303773088803 -18.2596745390392 334.148821104395</t>
  </si>
  <si>
    <t>-704.246166285945 -33.3251390296687 780.016669186374</t>
  </si>
  <si>
    <t>-582.526564781208 -104.821600770449 851.848937651666</t>
  </si>
  <si>
    <t>9763-20170724T111014.885636300.bin</t>
  </si>
  <si>
    <t>-764.523230004055 88.7395898521936 -64.6944547023699</t>
  </si>
  <si>
    <t>-796.722547348562 81.6473119231032 -175.731016351658</t>
  </si>
  <si>
    <t>-807.93932310728 82.68323534295 -273.709322409911</t>
  </si>
  <si>
    <t>-811.817054105804 85.9095858808591 -362.663272026229</t>
  </si>
  <si>
    <t>-808.965462529405 91.131549615156 -451.561292355485</t>
  </si>
  <si>
    <t>-797.855004061887 100.210668592697 -575.314862697595</t>
  </si>
  <si>
    <t>-757.560058324218 108.265251017406 -647.540085699815</t>
  </si>
  <si>
    <t>-801.786159695276 123.827245470637 -518.745279774913</t>
  </si>
  <si>
    <t>-790.188360958917 257.577282368612 -489.114827398992</t>
  </si>
  <si>
    <t>-744.601792843283 300.258596757231 -201.553788330344</t>
  </si>
  <si>
    <t>-508.190429100222 346.150295281881 -208.927712397601</t>
  </si>
  <si>
    <t>-803.70228315263 68.6035793085457 -522.968732561215</t>
  </si>
  <si>
    <t>-792.263519963949 181.687009592435 -65.2243892622929</t>
  </si>
  <si>
    <t>-781.730104251577 200.419577805071 337.75549190939</t>
  </si>
  <si>
    <t>-848.581501345594 198.397286018449 782.619690055436</t>
  </si>
  <si>
    <t>-708.613819965529 242.398336621157 842.287337714424</t>
  </si>
  <si>
    <t>-684.817750112727 -17.7764521142644 334.048994723814</t>
  </si>
  <si>
    <t>-704.577926828389 -33.0015339641418 780.047486025811</t>
  </si>
  <si>
    <t>-583.087811025862 -104.856205840457 851.911080455832</t>
  </si>
  <si>
    <t>9763-20170724T111014.917722700.bin</t>
  </si>
  <si>
    <t>-763.968770690847 89.2638143212193 -64.9832678832729</t>
  </si>
  <si>
    <t>-796.425800359087 82.2399574534779 -175.94902162249</t>
  </si>
  <si>
    <t>-808.058401166126 83.0247186574002 -273.881374800366</t>
  </si>
  <si>
    <t>-812.400056362586 85.910883204433 -362.825470805273</t>
  </si>
  <si>
    <t>-810.103750326794 90.6833200137548 -451.764712298351</t>
  </si>
  <si>
    <t>-799.867172492193 99.0261374338252 -575.64534666796</t>
  </si>
  <si>
    <t>-760.027515730637 106.40186704276 -648.194979617262</t>
  </si>
  <si>
    <t>-803.212385058106 122.970658742896 -519.17596423413</t>
  </si>
  <si>
    <t>-790.572352342799 256.767808743249 -490.205715415564</t>
  </si>
  <si>
    <t>-744.863481284189 297.675647606833 -202.406377997741</t>
  </si>
  <si>
    <t>-508.975525736988 346.1011613473 -210.330431985642</t>
  </si>
  <si>
    <t>-805.531532907148 67.7393077171701 -523.087269079991</t>
  </si>
  <si>
    <t>-791.237194182156 182.404184786913 -65.6351393444518</t>
  </si>
  <si>
    <t>-780.799697495085 200.444287442095 337.378865647718</t>
  </si>
  <si>
    <t>-848.336132248627 198.350248313119 782.118706117685</t>
  </si>
  <si>
    <t>-708.25484713052 242.021559686358 841.761539907085</t>
  </si>
  <si>
    <t>-684.371575855407 -17.6487832280777 333.910855528335</t>
  </si>
  <si>
    <t>-704.802827248447 -33.0146559776895 779.976972638159</t>
  </si>
  <si>
    <t>-583.473569744017 -105.108268056533 851.872803164081</t>
  </si>
  <si>
    <t>9763-20170724T111014.983476000.bin</t>
  </si>
  <si>
    <t>-763.388817829971 89.9995680175457 -65.3103305019546</t>
  </si>
  <si>
    <t>-796.091666609445 83.287506987318 -176.223423705984</t>
  </si>
  <si>
    <t>-808.208021646303 83.7837052496038 -274.098717761298</t>
  </si>
  <si>
    <t>-813.116601299933 86.2033149899971 -363.027375759698</t>
  </si>
  <si>
    <t>-811.523461494963 90.3061198034879 -452.015502841725</t>
  </si>
  <si>
    <t>-802.417413956541 97.5084486833357 -576.055926617784</t>
  </si>
  <si>
    <t>-763.201796606464 103.68161678202 -649.056194926843</t>
  </si>
  <si>
    <t>-804.833095895563 121.948981232498 -519.751725818019</t>
  </si>
  <si>
    <t>-790.06031105146 255.749887555792 -491.909782656261</t>
  </si>
  <si>
    <t>-746.399565526383 295.152890090571 -203.582938731104</t>
  </si>
  <si>
    <t>-510.709971798445 344.942757906678 -208.30693049229</t>
  </si>
  <si>
    <t>-808.01604648669 66.7293478972347 -523.191814965085</t>
  </si>
  <si>
    <t>-789.28281720107 183.485616878759 -66.2677939009197</t>
  </si>
  <si>
    <t>-779.842621002945 200.496991065489 336.815519628737</t>
  </si>
  <si>
    <t>-847.778517899882 198.36784190954 781.389141112675</t>
  </si>
  <si>
    <t>-707.559236521168 241.451670702484 841.13594838783</t>
  </si>
  <si>
    <t>-684.06701240556 -17.6926376997944 333.597480459659</t>
  </si>
  <si>
    <t>-705.245448461548 -33.0181525654971 779.779371611043</t>
  </si>
  <si>
    <t>-583.909221425711 -105.050693252016 851.724934621088</t>
  </si>
  <si>
    <t>9763-20170724T111015.016554300.bin</t>
  </si>
  <si>
    <t>-763.350662205532 90.2814896904924 -65.4241716953336</t>
  </si>
  <si>
    <t>-796.02800165054 83.7549993226762 -176.355820922191</t>
  </si>
  <si>
    <t>-808.23377728853 84.1879327970428 -274.22033690934</t>
  </si>
  <si>
    <t>-813.276236765453 86.4674867100889 -363.145174084202</t>
  </si>
  <si>
    <t>-811.873417034531 90.3473534379518 -452.146500001246</t>
  </si>
  <si>
    <t>-803.094819029454 97.1537166670978 -576.232892941446</t>
  </si>
  <si>
    <t>-764.062605009945 102.806071630769 -649.37348489963</t>
  </si>
  <si>
    <t>-805.153670264992 121.759970037244 -519.986870076037</t>
  </si>
  <si>
    <t>-789.351300918054 255.539140938599 -492.590412506836</t>
  </si>
  <si>
    <t>-746.971597567461 294.672073467666 -204.035783197394</t>
  </si>
  <si>
    <t>-511.466927857583 345.467478167573 -206.903968192666</t>
  </si>
  <si>
    <t>-808.762158264748 66.5569306376301 -523.270153936406</t>
  </si>
  <si>
    <t>-788.630271596746 184.046987671222 -66.5227596712595</t>
  </si>
  <si>
    <t>-779.926622929703 200.405402870264 336.604124629657</t>
  </si>
  <si>
    <t>-847.493212181352 198.434329174919 781.149260864348</t>
  </si>
  <si>
    <t>-707.241428786804 241.294923024449 840.979691031303</t>
  </si>
  <si>
    <t>-684.430007239316 -17.4856035743164 333.478102924211</t>
  </si>
  <si>
    <t>-705.468466517371 -32.9265978172193 779.702449442506</t>
  </si>
  <si>
    <t>-584.487561870496 -105.524107751857 851.678311601356</t>
  </si>
  <si>
    <t>9763-20170724T111015.084669700.bin</t>
  </si>
  <si>
    <t>-763.878850356536 90.5899749357141 -65.7032432785641</t>
  </si>
  <si>
    <t>-796.328898252378 84.4391061398533 -176.722930548428</t>
  </si>
  <si>
    <t>-808.485914484352 84.8313365918389 -274.593776992813</t>
  </si>
  <si>
    <t>-813.556733995431 86.9381384353683 -363.521347714361</t>
  </si>
  <si>
    <t>-812.262333340754 90.5084051853928 -452.537107406974</t>
  </si>
  <si>
    <t>-803.723209950481 96.7427114669135 -576.670199694717</t>
  </si>
  <si>
    <t>-764.859704687549 101.518324602273 -649.962977472947</t>
  </si>
  <si>
    <t>-805.333287888305 121.582441262221 -520.512390848028</t>
  </si>
  <si>
    <t>-787.99726225212 255.280976763745 -493.619258285068</t>
  </si>
  <si>
    <t>-746.508883089467 293.170435461182 -204.769273225403</t>
  </si>
  <si>
    <t>-511.855723368075 347.837511741535 -204.222989708313</t>
  </si>
  <si>
    <t>-809.628698554783 66.4161459762176 -523.578300891061</t>
  </si>
  <si>
    <t>-788.21630850927 184.715721803439 -66.9326168866897</t>
  </si>
  <si>
    <t>-780.87938866955 200.14336030198 336.258209923687</t>
  </si>
  <si>
    <t>-846.933860591318 198.628014483334 780.861847414282</t>
  </si>
  <si>
    <t>-706.674865362844 241.224420804184 840.863572272804</t>
  </si>
  <si>
    <t>-686.172741017975 -17.2738990118237 333.275783576434</t>
  </si>
  <si>
    <t>-706.006815778265 -32.9833418764188 779.619357049482</t>
  </si>
  <si>
    <t>-584.908244885607 -105.406576848774 851.572916933838</t>
  </si>
  <si>
    <t>9763-20170724T111015.118761400.bin</t>
  </si>
  <si>
    <t>-764.415591055015 90.7229896771491 -65.8582392193948</t>
  </si>
  <si>
    <t>-796.718112346282 84.6966591141222 -176.927846552788</t>
  </si>
  <si>
    <t>-808.778557417033 85.0741038444307 -274.810747886452</t>
  </si>
  <si>
    <t>-813.779445998909 87.1207193091873 -363.743447045114</t>
  </si>
  <si>
    <t>-812.434383962941 90.5823105081149 -452.762844665006</t>
  </si>
  <si>
    <t>-803.846923433223 96.614212554161 -576.902581512467</t>
  </si>
  <si>
    <t>-765.011373293363 101.059535336626 -650.231037658067</t>
  </si>
  <si>
    <t>-805.357192963492 121.535186351745 -520.778100868171</t>
  </si>
  <si>
    <t>-787.487358276107 255.18281710215 -494.004032942725</t>
  </si>
  <si>
    <t>-745.69077592053 292.952426293409 -205.182784453578</t>
  </si>
  <si>
    <t>-511.195404922503 348.223505392336 -202.368153464282</t>
  </si>
  <si>
    <t>-809.894433687781 66.3843693662075 -523.771671339819</t>
  </si>
  <si>
    <t>-788.319904778452 184.95725965355 -67.1223193455633</t>
  </si>
  <si>
    <t>-781.60184724884 200.07215574908 336.091107905077</t>
  </si>
  <si>
    <t>-846.664903099218 198.7975575299 780.792206392919</t>
  </si>
  <si>
    <t>-706.504135141786 241.58111235707 840.89089677325</t>
  </si>
  <si>
    <t>-687.14959668255 -17.2445372393295 333.186652844989</t>
  </si>
  <si>
    <t>-706.300115081304 -33.0929957595358 779.598491819844</t>
  </si>
  <si>
    <t>-585.241793678047 -105.592019461851 851.543145538455</t>
  </si>
  <si>
    <t>9763-20170724T111015.151847500.bin</t>
  </si>
  <si>
    <t>-764.950837546264 90.8743453199399 -65.9706662548357</t>
  </si>
  <si>
    <t>-797.10491535497 84.9392615936422 -177.088252252375</t>
  </si>
  <si>
    <t>-809.039107821951 85.3003646510019 -274.986651257417</t>
  </si>
  <si>
    <t>-813.930097561073 87.2944413432515 -363.926673031813</t>
  </si>
  <si>
    <t>-812.481088301033 90.6642260026833 -452.948072530988</t>
  </si>
  <si>
    <t>-803.757084671569 96.5263429930442 -577.086358625407</t>
  </si>
  <si>
    <t>-764.90627007219 100.718285916395 -650.421625066371</t>
  </si>
  <si>
    <t>-805.232767702273 121.515726010658 -520.991269850413</t>
  </si>
  <si>
    <t>-786.946524664227 255.123509774634 -494.311663438601</t>
  </si>
  <si>
    <t>-744.776051999392 293.18198238783 -205.582740460747</t>
  </si>
  <si>
    <t>-510.343480919714 348.43767541853 -199.332859818875</t>
  </si>
  <si>
    <t>-809.959555515833 66.3777567944908 -523.927214632884</t>
  </si>
  <si>
    <t>-788.440849210961 185.028472035414 -67.2855093502325</t>
  </si>
  <si>
    <t>-782.301529303347 200.054134878648 335.940483223512</t>
  </si>
  <si>
    <t>-846.369173402618 198.901430989497 780.750761966156</t>
  </si>
  <si>
    <t>-706.065509565197 241.071628758767 840.949415213653</t>
  </si>
  <si>
    <t>-688.069752794195 -17.2233937997066 333.09610806182</t>
  </si>
  <si>
    <t>-706.554681522583 -33.0795339172237 779.57972797062</t>
  </si>
  <si>
    <t>-585.635928266557 -105.808522399137 851.527041444511</t>
  </si>
  <si>
    <t>9763-20170724T111015.219558900.bin</t>
  </si>
  <si>
    <t>-765.811682271016 90.5811886074271 -66.1119973701124</t>
  </si>
  <si>
    <t>-797.681113900863 84.7698859285933 -177.318120425204</t>
  </si>
  <si>
    <t>-809.330748759385 85.0934475774648 -275.250959790446</t>
  </si>
  <si>
    <t>-813.953811844798 86.9954392545615 -364.207259174486</t>
  </si>
  <si>
    <t>-812.230199702908 90.2119249730576 -453.2293800048</t>
  </si>
  <si>
    <t>-803.118686129144 95.7949158483411 -577.352888688816</t>
  </si>
  <si>
    <t>-764.260050430034 99.6586720608943 -650.702042722494</t>
  </si>
  <si>
    <t>-804.64819374319 120.899324352728 -521.31053198662</t>
  </si>
  <si>
    <t>-785.84981038032 254.470203239894 -494.817629726662</t>
  </si>
  <si>
    <t>-742.517284538837 293.686107945365 -206.415736022593</t>
  </si>
  <si>
    <t>-508.378269334561 348.809936291008 -192.58655479949</t>
  </si>
  <si>
    <t>-809.608289788873 65.7769232077835 -524.153910728206</t>
  </si>
  <si>
    <t>-788.619385911512 184.597526621216 -67.4686999748036</t>
  </si>
  <si>
    <t>-783.143055972709 200.181426564601 335.745693972048</t>
  </si>
  <si>
    <t>-845.907618702644 199.256693292962 780.674637642708</t>
  </si>
  <si>
    <t>-705.849477635219 242.070185735175 840.990601606118</t>
  </si>
  <si>
    <t>-689.646294849363 -17.3844954057122 333.002769286374</t>
  </si>
  <si>
    <t>-707.077760800203 -33.1627575820171 779.586948672674</t>
  </si>
  <si>
    <t>-586.054811775884 -105.749780992444 851.502515104604</t>
  </si>
  <si>
    <t>9763-20170724T111015.281739700.bin</t>
  </si>
  <si>
    <t>-766.084327458124 89.7782216993032 -66.1385828882569</t>
  </si>
  <si>
    <t>-797.783823242635 83.9561523625644 -177.392777947003</t>
  </si>
  <si>
    <t>-809.305256480031 84.2507959410286 -275.340753888376</t>
  </si>
  <si>
    <t>-813.820754205109 86.1184192795067 -364.303516119247</t>
  </si>
  <si>
    <t>-811.99882096479 89.2917057933955 -453.325085596657</t>
  </si>
  <si>
    <t>-802.759802386129 94.8047225669675 -577.442299993544</t>
  </si>
  <si>
    <t>-763.972654392486 98.4379376786624 -650.841119741454</t>
  </si>
  <si>
    <t>-804.315843797251 119.937999189037 -521.413649521258</t>
  </si>
  <si>
    <t>-785.248803966122 253.503738702746 -495.037773102489</t>
  </si>
  <si>
    <t>-739.500595159476 294.096828691096 -207.199992884396</t>
  </si>
  <si>
    <t>-505.718322029652 347.753449118067 -184.447533408112</t>
  </si>
  <si>
    <t>-809.334974160538 64.8196985934073 -524.235516575581</t>
  </si>
  <si>
    <t>-788.559192149384 183.663960983645 -67.571415869449</t>
  </si>
  <si>
    <t>-783.354189806742 199.94180207831 335.619146027266</t>
  </si>
  <si>
    <t>-845.445319508978 199.267730645279 780.552054163227</t>
  </si>
  <si>
    <t>-705.326030723396 241.892111043895 840.859765264558</t>
  </si>
  <si>
    <t>-690.718608225149 -17.9321248057772 333.01554798155</t>
  </si>
  <si>
    <t>-707.626903261521 -33.3829546138008 779.650518900373</t>
  </si>
  <si>
    <t>-586.589362820758 -105.985417196482 851.526149954695</t>
  </si>
  <si>
    <t>9763-20170724T111015.318850900.bin</t>
  </si>
  <si>
    <t>-766.142117485161 89.5140782877629 -66.1697630247295</t>
  </si>
  <si>
    <t>-797.82692630322 83.6228077477217 -177.424431374199</t>
  </si>
  <si>
    <t>-809.37141081092 83.8725547743293 -275.369894917502</t>
  </si>
  <si>
    <t>-813.92154663502 85.7050992370878 -364.331567903989</t>
  </si>
  <si>
    <t>-812.147536208565 88.8489508151915 -453.355142789638</t>
  </si>
  <si>
    <t>-802.988391666814 94.3265760165627 -577.479942870164</t>
  </si>
  <si>
    <t>-764.291370233501 97.8195611055585 -650.933036266007</t>
  </si>
  <si>
    <t>-804.515517563217 119.476205356548 -521.457711410989</t>
  </si>
  <si>
    <t>-785.421552561983 253.038754205721 -495.12729405621</t>
  </si>
  <si>
    <t>-738.1342212322 294.447364947408 -207.654849676958</t>
  </si>
  <si>
    <t>-504.493530537442 347.163748307884 -181.503267163302</t>
  </si>
  <si>
    <t>-809.522162839688 64.3559983930577 -524.259686114148</t>
  </si>
  <si>
    <t>-788.629810835902 183.337270157059 -67.6468052985865</t>
  </si>
  <si>
    <t>-783.454817919892 199.771545708409 335.537809581788</t>
  </si>
  <si>
    <t>-845.24430927333 199.264682086257 780.477187338028</t>
  </si>
  <si>
    <t>-705.179525739404 242.129811180322 840.740940088196</t>
  </si>
  <si>
    <t>-691.141376671005 -18.1288813269794 333.04728084392</t>
  </si>
  <si>
    <t>-707.829054720843 -33.2928456865034 779.683774662349</t>
  </si>
  <si>
    <t>-586.878165071718 -106.053169033849 851.545306443305</t>
  </si>
  <si>
    <t>9763-20170724T111015.387534400.bin</t>
  </si>
  <si>
    <t>-765.899280643413 88.8406768409263 -66.2849066494379</t>
  </si>
  <si>
    <t>-797.518938712674 82.823734662777 -177.551307174539</t>
  </si>
  <si>
    <t>-809.082562466861 82.9891652262195 -275.494654500238</t>
  </si>
  <si>
    <t>-813.679729397039 84.7559456731697 -364.455400100819</t>
  </si>
  <si>
    <t>-811.98200132426 87.8473563422203 -453.482360163436</t>
  </si>
  <si>
    <t>-802.959390508329 93.2669567043508 -577.619422258165</t>
  </si>
  <si>
    <t>-764.6368910654 96.4622371750138 -651.282106243145</t>
  </si>
  <si>
    <t>-804.479199380031 118.447747122079 -521.611158387398</t>
  </si>
  <si>
    <t>-785.405738668096 252.026772545947 -495.365464878082</t>
  </si>
  <si>
    <t>-735.088433292814 294.824628476691 -208.611826346527</t>
  </si>
  <si>
    <t>-501.562480463595 345.394661027844 -177.639627523305</t>
  </si>
  <si>
    <t>-809.380660369625 63.3161382250846 -524.374499825076</t>
  </si>
  <si>
    <t>-788.191034453925 182.651367338892 -67.8505349983523</t>
  </si>
  <si>
    <t>-783.631385744608 199.271107770738 335.333826382831</t>
  </si>
  <si>
    <t>-844.842596094029 199.22587571549 780.297503823372</t>
  </si>
  <si>
    <t>-704.798511905116 242.271448546868 840.481112334036</t>
  </si>
  <si>
    <t>-691.993830228797 -18.6147762869709 333.113365681504</t>
  </si>
  <si>
    <t>-708.304903244449 -33.3735876136757 779.784585724148</t>
  </si>
  <si>
    <t>-587.234802351986 -105.997479377117 851.583527216017</t>
  </si>
  <si>
    <t>9763-20170724T111015.419618700.bin</t>
  </si>
  <si>
    <t>-765.609652088194 88.5421511206664 -66.3445535566001</t>
  </si>
  <si>
    <t>-797.163213964969 82.4518786626236 -177.625768688208</t>
  </si>
  <si>
    <t>-808.658859774793 82.5508490368047 -275.577321942642</t>
  </si>
  <si>
    <t>-813.190641254361 84.2559478754188 -364.542511923571</t>
  </si>
  <si>
    <t>-811.423157033739 87.2839977030262 -453.570240479815</t>
  </si>
  <si>
    <t>-802.299897650884 92.6138642914302 -577.703863820365</t>
  </si>
  <si>
    <t>-764.409915200813 95.6432240087483 -651.597122387817</t>
  </si>
  <si>
    <t>-803.90365784195 117.838894871607 -521.717938351905</t>
  </si>
  <si>
    <t>-784.892791844978 251.457599367461 -495.608968810241</t>
  </si>
  <si>
    <t>-733.436832098692 294.84119950654 -209.145470989093</t>
  </si>
  <si>
    <t>-499.821028672505 343.941237631898 -176.530178289481</t>
  </si>
  <si>
    <t>-808.725635848601 62.698136593674 -524.439726366954</t>
  </si>
  <si>
    <t>-787.809848468179 182.375091155779 -67.9408652547087</t>
  </si>
  <si>
    <t>-783.517510527785 199.011488652662 335.245771118022</t>
  </si>
  <si>
    <t>-844.639490936747 199.145218256342 780.192859298516</t>
  </si>
  <si>
    <t>-704.637902367808 242.415121117034 840.314325725582</t>
  </si>
  <si>
    <t>-692.260096384801 -18.9001593692706 333.15291202139</t>
  </si>
  <si>
    <t>-708.57047223851 -33.5358220078451 779.837878372927</t>
  </si>
  <si>
    <t>-587.376647346229 -105.989008356536 851.600374678988</t>
  </si>
  <si>
    <t>9763-20170724T111015.483808500.bin</t>
  </si>
  <si>
    <t>-764.748697341704 88.0128632736178 -66.516580983901</t>
  </si>
  <si>
    <t>-796.288260448832 81.7183283828517 -177.790305332575</t>
  </si>
  <si>
    <t>-807.761613624923 81.6650676117433 -275.744541582349</t>
  </si>
  <si>
    <t>-812.267741635045 83.239663112573 -364.713428961695</t>
  </si>
  <si>
    <t>-810.469057444808 86.1459933473202 -453.74465224959</t>
  </si>
  <si>
    <t>-801.295978929616 91.3142690760328 -577.881447575945</t>
  </si>
  <si>
    <t>-765.015134182543 93.9381573205806 -652.593172024518</t>
  </si>
  <si>
    <t>-803.006656955034 116.619696189814 -521.93480165952</t>
  </si>
  <si>
    <t>-784.010113192341 250.288442422871 -496.080079197397</t>
  </si>
  <si>
    <t>-731.012215127256 293.396445033623 -209.856167902574</t>
  </si>
  <si>
    <t>-497.391672048461 342.152209397975 -176.764071592314</t>
  </si>
  <si>
    <t>-807.658960289686 61.460269763043 -524.575191993227</t>
  </si>
  <si>
    <t>-786.943116160698 181.723785339124 -68.1423716626631</t>
  </si>
  <si>
    <t>-782.767354707274 198.534740503707 335.038273238792</t>
  </si>
  <si>
    <t>-844.300696474851 199.014207504491 779.916077416162</t>
  </si>
  <si>
    <t>-704.3153338469 242.554243863324 839.880328533981</t>
  </si>
  <si>
    <t>-692.358029761315 -19.4216754986469 333.219953867099</t>
  </si>
  <si>
    <t>-708.97224273778 -33.5356717218447 779.911599056661</t>
  </si>
  <si>
    <t>-587.782493584196 -106.034325761154 851.635316234403</t>
  </si>
  <si>
    <t>9763-20170724T111015.515895600.bin</t>
  </si>
  <si>
    <t>-764.21396725048 87.7685722127344 -66.5880712319605</t>
  </si>
  <si>
    <t>-795.691556462171 81.3555785479198 -177.8725542912</t>
  </si>
  <si>
    <t>-807.238511905702 81.2284762855543 -275.818017540154</t>
  </si>
  <si>
    <t>-811.861843204747 82.7511034269014 -364.781907427548</t>
  </si>
  <si>
    <t>-810.230386957641 85.6237722738992 -453.817339731366</t>
  </si>
  <si>
    <t>-801.341298293643 90.7674677523009 -577.975989697916</t>
  </si>
  <si>
    <t>-766.008499722836 93.1354516476454 -653.148916083709</t>
  </si>
  <si>
    <t>-802.974978982725 116.088350231713 -522.03399991375</t>
  </si>
  <si>
    <t>-784.03658684329 249.783341445893 -496.236288781677</t>
  </si>
  <si>
    <t>-729.944518687702 291.98147571711 -210.081547412421</t>
  </si>
  <si>
    <t>-496.159705387774 340.844798549613 -178.33362346041</t>
  </si>
  <si>
    <t>-807.531053155896 60.9196005154408 -524.645758029346</t>
  </si>
  <si>
    <t>-786.397232969879 181.458988618395 -68.2760634303442</t>
  </si>
  <si>
    <t>-782.332139568604 198.247556894299 334.906612467672</t>
  </si>
  <si>
    <t>-844.117910009455 198.900429558744 779.748615404315</t>
  </si>
  <si>
    <t>-704.010166904892 242.142212673303 839.642478569362</t>
  </si>
  <si>
    <t>-692.436308204274 -19.77443656788 333.26074644436</t>
  </si>
  <si>
    <t>-709.196820305648 -33.6446296494964 779.952399547425</t>
  </si>
  <si>
    <t>-587.756502284919 -105.759963041768 851.638647358091</t>
  </si>
  <si>
    <t>9763-20170724T111015.585766700.bin</t>
  </si>
  <si>
    <t>-762.991505662013 87.3662647399897 -66.7519440580172</t>
  </si>
  <si>
    <t>-794.402324599596 80.7462186802286 -178.043235761064</t>
  </si>
  <si>
    <t>-806.232781964426 80.4259772910141 -275.954284451109</t>
  </si>
  <si>
    <t>-811.251938436195 81.7788873306486 -364.899466971024</t>
  </si>
  <si>
    <t>-810.155384862499 84.4957958749246 -453.948082896589</t>
  </si>
  <si>
    <t>-802.156002655799 89.4442349343185 -578.175098204746</t>
  </si>
  <si>
    <t>-768.465517914277 91.2659686376232 -654.113388576689</t>
  </si>
  <si>
    <t>-803.495721096294 114.861829235092 -522.269199920925</t>
  </si>
  <si>
    <t>-784.747999330871 248.642656320509 -496.740240989041</t>
  </si>
  <si>
    <t>-728.147695097629 289.347076661578 -210.854283395626</t>
  </si>
  <si>
    <t>-493.843178743319 337.126345119735 -181.368669656308</t>
  </si>
  <si>
    <t>-807.856463298291 59.6713370421953 -524.7484548411</t>
  </si>
  <si>
    <t>-785.083077675054 181.040668366033 -68.5529567597271</t>
  </si>
  <si>
    <t>-781.625185400583 197.801067927812 334.636595627522</t>
  </si>
  <si>
    <t>-843.781645042303 198.818815725505 779.385991023715</t>
  </si>
  <si>
    <t>-703.733397885938 242.386752725608 839.182888753474</t>
  </si>
  <si>
    <t>-692.444604049619 -20.3917946018223 333.328400928179</t>
  </si>
  <si>
    <t>-709.64561656745 -33.9282042824943 780.034987595028</t>
  </si>
  <si>
    <t>-587.999798808552 -105.748965444961 851.668292513782</t>
  </si>
  <si>
    <t>9763-20170724T111015.618854500.bin</t>
  </si>
  <si>
    <t>-762.348848946274 87.3429681192056 -66.8242310816873</t>
  </si>
  <si>
    <t>-793.801126686059 80.5912324047663 -178.095892084779</t>
  </si>
  <si>
    <t>-805.813281309808 80.1129922559398 -275.984272246342</t>
  </si>
  <si>
    <t>-811.057681873254 81.3083183958465 -364.918592477543</t>
  </si>
  <si>
    <t>-810.246060513235 83.856202288518 -453.975240691247</t>
  </si>
  <si>
    <t>-802.708088251213 88.5595600232027 -578.240629891361</t>
  </si>
  <si>
    <t>-769.59338058791 90.1294741936463 -654.437457997608</t>
  </si>
  <si>
    <t>-803.876281510371 114.090547034959 -522.382469077953</t>
  </si>
  <si>
    <t>-785.148570270033 247.919445396687 -497.110564888318</t>
  </si>
  <si>
    <t>-726.73260777596 288.576823664864 -211.583436163858</t>
  </si>
  <si>
    <t>-492.150376748369 335.637631852675 -183.16909125989</t>
  </si>
  <si>
    <t>-808.174252294894 58.8892305599684 -524.732552758823</t>
  </si>
  <si>
    <t>-784.466987957578 181.012639821756 -68.6954926562236</t>
  </si>
  <si>
    <t>-781.285329197124 197.666762038984 334.500747235733</t>
  </si>
  <si>
    <t>-843.631957581129 198.847815195178 779.204737941662</t>
  </si>
  <si>
    <t>-703.591985691645 242.482971446222 838.971330743156</t>
  </si>
  <si>
    <t>-692.315602710527 -20.5782331633641 333.352819819309</t>
  </si>
  <si>
    <t>-709.808677952098 -33.905820707821 780.066339153573</t>
  </si>
  <si>
    <t>-588.291626857205 -105.951117916975 851.693216370521</t>
  </si>
  <si>
    <t>9763-20170724T111015.688051100.bin</t>
  </si>
  <si>
    <t>-761.05000368866 87.0665591159327 -67.0256745933934</t>
  </si>
  <si>
    <t>-792.692714820007 80.0109743486842 -178.22443352893</t>
  </si>
  <si>
    <t>-805.092844100117 79.0937998735731 -276.061417323303</t>
  </si>
  <si>
    <t>-810.781802364665 79.8214746863064 -364.973307910447</t>
  </si>
  <si>
    <t>-810.510908895101 81.8339054495614 -454.046984805876</t>
  </si>
  <si>
    <t>-803.829686207637 85.7201599834657 -578.389558168787</t>
  </si>
  <si>
    <t>-771.551936995031 86.8053092098967 -654.953269582495</t>
  </si>
  <si>
    <t>-804.615311886914 111.617939692289 -522.693983402904</t>
  </si>
  <si>
    <t>-785.811618321605 245.577361357107 -498.211101814159</t>
  </si>
  <si>
    <t>-724.281614884356 287.700854822077 -213.552011139211</t>
  </si>
  <si>
    <t>-489.082697153884 332.064335596787 -185.905993976452</t>
  </si>
  <si>
    <t>-808.924278148662 56.4022755309784 -524.651131095762</t>
  </si>
  <si>
    <t>-783.182727884182 180.823703882376 -69.0022326491165</t>
  </si>
  <si>
    <t>-780.338539673981 197.295474772984 334.204019658487</t>
  </si>
  <si>
    <t>-843.30331333147 198.803192142854 778.803837388036</t>
  </si>
  <si>
    <t>-703.241420765932 242.418968160274 838.533950718106</t>
  </si>
  <si>
    <t>-691.89476858445 -20.968986715659 333.421145955179</t>
  </si>
  <si>
    <t>-710.11815599107 -33.8436622036566 780.111984551499</t>
  </si>
  <si>
    <t>-588.460357930718 -105.69323384788 851.696249260536</t>
  </si>
  <si>
    <t>9763-20170724T111015.716131400.bin</t>
  </si>
  <si>
    <t>-760.347943596527 86.8011216144373 -67.1482523789437</t>
  </si>
  <si>
    <t>-792.067518810956 79.6600177126575 -178.319695358629</t>
  </si>
  <si>
    <t>-804.615906513943 78.5267704916482 -276.135471882488</t>
  </si>
  <si>
    <t>-810.476692236274 79.0028206190536 -365.038025846094</t>
  </si>
  <si>
    <t>-810.417246223069 80.7088046555764 -454.1184592687</t>
  </si>
  <si>
    <t>-804.074083764413 84.1102202029106 -578.492854227646</t>
  </si>
  <si>
    <t>-772.103965658709 84.9670936997459 -655.188449280535</t>
  </si>
  <si>
    <t>-804.692902039369 110.223639427676 -522.8959762525</t>
  </si>
  <si>
    <t>-785.842389935447 244.258767762847 -498.881478095875</t>
  </si>
  <si>
    <t>-723.061532238233 286.932771627907 -214.57765656718</t>
  </si>
  <si>
    <t>-487.571641818719 329.986070813382 -187.339533426298</t>
  </si>
  <si>
    <t>-809.037959885583 55.0033433520239 -524.62766949529</t>
  </si>
  <si>
    <t>-782.383044898269 180.660917342971 -69.1551026978404</t>
  </si>
  <si>
    <t>-779.664932068853 196.991203533411 334.057787137659</t>
  </si>
  <si>
    <t>-843.136366963627 198.752996843736 778.580853333706</t>
  </si>
  <si>
    <t>-703.058875104428 242.338097444798 838.295907340883</t>
  </si>
  <si>
    <t>-691.648595597313 -21.1758809231369 333.435188891784</t>
  </si>
  <si>
    <t>-710.268115100451 -33.7936512207007 780.133162432399</t>
  </si>
  <si>
    <t>-588.656601690578 -105.734096140103 851.705060491601</t>
  </si>
  <si>
    <t>9763-20170724T111015.749214000.bin</t>
  </si>
  <si>
    <t>-759.702548325978 86.5309743274465 -67.2400226066786</t>
  </si>
  <si>
    <t>-791.513522729463 79.362740949869 -178.383600984274</t>
  </si>
  <si>
    <t>-804.210323028787 78.0536890920885 -276.17804825329</t>
  </si>
  <si>
    <t>-810.238015837386 78.3123822127945 -365.070319174354</t>
  </si>
  <si>
    <t>-810.381293586749 79.7446123191494 -454.15555752586</t>
  </si>
  <si>
    <t>-804.360536497557 82.705909773922 -578.557181596897</t>
  </si>
  <si>
    <t>-772.743439788216 83.3622208419379 -655.400978325991</t>
  </si>
  <si>
    <t>-804.819473991599 109.014529339785 -523.050806363103</t>
  </si>
  <si>
    <t>-785.852232887708 243.109803138147 -499.511397483955</t>
  </si>
  <si>
    <t>-722.092433340548 286.308806145025 -215.504826008046</t>
  </si>
  <si>
    <t>-486.309850986185 328.010713672897 -188.702974413284</t>
  </si>
  <si>
    <t>-809.20041471501 53.7909744256026 -524.577490221922</t>
  </si>
  <si>
    <t>-781.550817412167 180.466661750213 -69.2826225691006</t>
  </si>
  <si>
    <t>-779.015336906562 196.684340521558 333.935976815028</t>
  </si>
  <si>
    <t>-842.965703338546 198.657593055225 778.369236062908</t>
  </si>
  <si>
    <t>-702.776728281353 241.912765344999 838.062786986793</t>
  </si>
  <si>
    <t>-691.435785688281 -21.4335661059235 333.428239844705</t>
  </si>
  <si>
    <t>-710.440694405345 -33.8493000966182 780.148821429702</t>
  </si>
  <si>
    <t>-588.825108476609 -105.798060458053 851.705371993687</t>
  </si>
  <si>
    <t>9763-20170724T111015.817418600.bin</t>
  </si>
  <si>
    <t>-758.951355818661 86.3894229817129 -67.5073611427806</t>
  </si>
  <si>
    <t>-790.867609695599 79.2592380786459 -178.623203594931</t>
  </si>
  <si>
    <t>-803.804334192008 77.7286975417414 -276.382967313173</t>
  </si>
  <si>
    <t>-810.120814602729 77.6992618290064 -365.255547615839</t>
  </si>
  <si>
    <t>-810.628879858447 78.7633408079059 -454.344465688854</t>
  </si>
  <si>
    <t>-805.200369188477 81.1354679545389 -578.786153669882</t>
  </si>
  <si>
    <t>-774.291174238987 81.4608532345119 -655.919449827369</t>
  </si>
  <si>
    <t>-805.416325596998 107.708296540217 -523.404315221179</t>
  </si>
  <si>
    <t>-786.338889594479 241.92832184859 -500.656083143227</t>
  </si>
  <si>
    <t>-721.592384255379 285.456610943984 -216.923194963646</t>
  </si>
  <si>
    <t>-485.368434957437 325.724911810867 -191.8711958681</t>
  </si>
  <si>
    <t>-809.76175974096 52.4749172346401 -524.646829107849</t>
  </si>
  <si>
    <t>-780.424478917851 180.460776225186 -69.745438025337</t>
  </si>
  <si>
    <t>-777.929495491446 196.341698144449 333.486829382345</t>
  </si>
  <si>
    <t>-842.652461311756 198.53276404512 777.69523682872</t>
  </si>
  <si>
    <t>-702.331594337198 241.447455698446 837.325180641073</t>
  </si>
  <si>
    <t>-691.482532108669 -21.856054110734 333.293630843753</t>
  </si>
  <si>
    <t>-710.781057146266 -33.9957994318788 780.09205130841</t>
  </si>
  <si>
    <t>-589.028120556291 -105.729516407193 851.631046312067</t>
  </si>
  <si>
    <t>9763-20170724T111015.883577700.bin</t>
  </si>
  <si>
    <t>-758.331519491721 86.7237920806178 -67.6267412355758</t>
  </si>
  <si>
    <t>-790.273063164501 79.5735205944652 -178.734000953473</t>
  </si>
  <si>
    <t>-803.376371020003 77.8955701707532 -276.469072591399</t>
  </si>
  <si>
    <t>-809.910067498183 77.6988150965844 -365.325824032806</t>
  </si>
  <si>
    <t>-810.705198254721 78.5747917458857 -454.414781072758</t>
  </si>
  <si>
    <t>-805.752909284586 80.6743566423488 -578.881069856995</t>
  </si>
  <si>
    <t>-775.526381057364 80.7779013356917 -656.285051075729</t>
  </si>
  <si>
    <t>-805.935440785325 107.381968220986 -523.564047199825</t>
  </si>
  <si>
    <t>-787.536501732468 241.783220768743 -501.258131332652</t>
  </si>
  <si>
    <t>-722.354192780338 284.898313173737 -217.56190690778</t>
  </si>
  <si>
    <t>-485.732301397516 323.92396753924 -194.368957943694</t>
  </si>
  <si>
    <t>-809.928872326272 52.1187661066097 -524.65514322283</t>
  </si>
  <si>
    <t>-779.438554673015 180.635120158336 -69.8926416493692</t>
  </si>
  <si>
    <t>-777.08746944785 196.343212860332 333.347223614398</t>
  </si>
  <si>
    <t>-842.34309958143 198.435622452206 777.481465330096</t>
  </si>
  <si>
    <t>-701.974433472413 241.259342489992 837.063591273664</t>
  </si>
  <si>
    <t>-691.565936045844 -21.922093707582 333.252583783752</t>
  </si>
  <si>
    <t>-711.080623902078 -34.0389471828253 780.070850602954</t>
  </si>
  <si>
    <t>-589.401174741459 -105.895813155163 851.611030801567</t>
  </si>
  <si>
    <t>9763-20170724T111015.918672700.bin</t>
  </si>
  <si>
    <t>-757.800267815499 86.8196360569855 -67.66291689262</t>
  </si>
  <si>
    <t>-789.744109385108 79.5651243434195 -178.76278651739</t>
  </si>
  <si>
    <t>-802.918381857243 77.7996381491203 -276.486765933303</t>
  </si>
  <si>
    <t>-809.5454291045 77.5309460057829 -365.336422245485</t>
  </si>
  <si>
    <t>-810.463469397358 78.3484007431571 -454.424787481606</t>
  </si>
  <si>
    <t>-805.713140235263 80.3850870154747 -578.899956189817</t>
  </si>
  <si>
    <t>-775.792038093323 80.4480124518686 -656.422518574424</t>
  </si>
  <si>
    <t>-805.950907036083 107.13076785451 -523.601603995593</t>
  </si>
  <si>
    <t>-788.144635469542 241.628750390045 -501.383393496606</t>
  </si>
  <si>
    <t>-723.077859418949 284.753750310878 -217.661992227473</t>
  </si>
  <si>
    <t>-486.156778653159 322.295821620636 -195.081554523172</t>
  </si>
  <si>
    <t>-809.656262091712 51.8467433619235 -524.647520645199</t>
  </si>
  <si>
    <t>-778.937251479307 180.676017313179 -69.9415188323514</t>
  </si>
  <si>
    <t>-776.691950762985 196.366619945101 333.299659608686</t>
  </si>
  <si>
    <t>-842.211395188694 198.453159992498 777.371183690281</t>
  </si>
  <si>
    <t>-701.869597284076 241.376979762083 836.944930221094</t>
  </si>
  <si>
    <t>-691.341830555337 -22.0314782908686 333.270393359481</t>
  </si>
  <si>
    <t>-711.241067826039 -34.1372680300278 780.073427714422</t>
  </si>
  <si>
    <t>-589.41947889212 -105.765813106323 851.600705848223</t>
  </si>
  <si>
    <t>9763-20170724T111015.982392000.bin</t>
  </si>
  <si>
    <t>-756.58153932772 86.7502120711129 -67.7619657238416</t>
  </si>
  <si>
    <t>-788.519536857777 79.1207667189005 -178.838469220513</t>
  </si>
  <si>
    <t>-801.818575935816 77.088931382058 -276.540346145886</t>
  </si>
  <si>
    <t>-808.610865227868 76.6062416707459 -365.376560716212</t>
  </si>
  <si>
    <t>-809.746024480255 77.2473683063049 -454.463786662444</t>
  </si>
  <si>
    <t>-805.351293322592 79.0836151577064 -578.955358727364</t>
  </si>
  <si>
    <t>-775.979915048247 79.1844539488397 -656.687750170672</t>
  </si>
  <si>
    <t>-805.794292385722 105.940686662223 -523.712056725618</t>
  </si>
  <si>
    <t>-789.702336393014 240.699083257892 -501.745387429265</t>
  </si>
  <si>
    <t>-724.746650266057 284.363335412322 -218.081163752999</t>
  </si>
  <si>
    <t>-487.500245442779 320.363878783895 -196.426619353723</t>
  </si>
  <si>
    <t>-808.776524496814 50.6105300878125 -524.633420425829</t>
  </si>
  <si>
    <t>-778.355911341551 180.607922311581 -70.0861998130621</t>
  </si>
  <si>
    <t>-776.239930919147 196.373578225227 333.152777936966</t>
  </si>
  <si>
    <t>-841.960781355101 198.574197439329 777.142783545948</t>
  </si>
  <si>
    <t>-701.747876612795 241.893597437359 836.733590999742</t>
  </si>
  <si>
    <t>-690.369856268147 -22.1781740986421 333.323827613397</t>
  </si>
  <si>
    <t>-711.494438705753 -34.1416569251637 780.074454124144</t>
  </si>
  <si>
    <t>-589.615122464794 -105.679799297723 851.593745395703</t>
  </si>
  <si>
    <t>9763-20170724T111016.016479500.bin</t>
  </si>
  <si>
    <t>-755.840893585964 86.5933171899715 -67.8158437626201</t>
  </si>
  <si>
    <t>-787.777175148176 78.7145790644113 -178.875386219636</t>
  </si>
  <si>
    <t>-801.156108438462 76.5094306373576 -276.56266525693</t>
  </si>
  <si>
    <t>-808.052030997091 75.8855562131052 -365.389979276795</t>
  </si>
  <si>
    <t>-809.321456955948 76.4058502117691 -454.476283784461</t>
  </si>
  <si>
    <t>-805.14606297477 78.0962456249154 -578.977401907065</t>
  </si>
  <si>
    <t>-776.031130433377 78.2711534836681 -656.806128132077</t>
  </si>
  <si>
    <t>-805.684711976733 105.027872309021 -523.771309143186</t>
  </si>
  <si>
    <t>-790.532286310769 239.915313977855 -501.953711640238</t>
  </si>
  <si>
    <t>-725.706543768005 283.947021470472 -218.316643503601</t>
  </si>
  <si>
    <t>-488.474314244907 319.744186017982 -196.17231274485</t>
  </si>
  <si>
    <t>-808.282633045477 49.6770218251149 -524.609928591753</t>
  </si>
  <si>
    <t>-778.021535054518 180.453283573925 -70.1696777231139</t>
  </si>
  <si>
    <t>-776.127504080934 196.367864070775 333.064500688471</t>
  </si>
  <si>
    <t>-841.83469687929 198.645401653486 777.027279816677</t>
  </si>
  <si>
    <t>-701.67673830637 242.110278920078 836.641338761584</t>
  </si>
  <si>
    <t>-689.65563838189 -22.3486016004049 333.355569480687</t>
  </si>
  <si>
    <t>-711.63258965436 -34.2300756361033 780.075460715647</t>
  </si>
  <si>
    <t>-589.64737162323 -105.592162976426 851.590214788082</t>
  </si>
  <si>
    <t>9763-20170724T111016.083159100.bin</t>
  </si>
  <si>
    <t>-754.35978458596 86.451304151743 -67.8897274812173</t>
  </si>
  <si>
    <t>-786.34924860319 78.0032833755804 -178.892033663732</t>
  </si>
  <si>
    <t>-799.939128043661 75.3956050991865 -276.540244651692</t>
  </si>
  <si>
    <t>-807.088864649107 74.4393747356044 -365.344589362217</t>
  </si>
  <si>
    <t>-808.672945870511 74.6659239933806 -454.42702327461</t>
  </si>
  <si>
    <t>-804.999007955759 75.9893047506457 -578.9484550273</t>
  </si>
  <si>
    <t>-776.404507682178 76.3620755780557 -656.969212859147</t>
  </si>
  <si>
    <t>-805.683627266005 103.098424401575 -523.830909121021</t>
  </si>
  <si>
    <t>-792.421851583077 238.231419836471 -502.357661769351</t>
  </si>
  <si>
    <t>-729.023447286102 281.889292537679 -218.340378500861</t>
  </si>
  <si>
    <t>-492.538691280084 320.128816413244 -192.578779511992</t>
  </si>
  <si>
    <t>-807.547858494801 47.7154929702306 -524.474456257202</t>
  </si>
  <si>
    <t>-777.549025214709 180.453396170499 -70.3750832077317</t>
  </si>
  <si>
    <t>-776.03403091768 196.275006872377 332.86434606446</t>
  </si>
  <si>
    <t>-841.601318939276 198.758405587596 776.784153409406</t>
  </si>
  <si>
    <t>-701.497164508095 242.342845265704 836.437911493385</t>
  </si>
  <si>
    <t>-687.925329728268 -22.6236705378719 333.415329546163</t>
  </si>
  <si>
    <t>-711.805081988531 -34.1220289613998 780.056124672007</t>
  </si>
  <si>
    <t>-589.693428640636 -105.267265033047 851.570693276075</t>
  </si>
  <si>
    <t>9763-20170724T111016.123265400.bin</t>
  </si>
  <si>
    <t>-753.796223774341 86.5465069806064 -67.9268331759181</t>
  </si>
  <si>
    <t>-785.818994029543 77.8233427330056 -178.898349730061</t>
  </si>
  <si>
    <t>-799.510364103224 75.0384753270191 -276.527448140067</t>
  </si>
  <si>
    <t>-806.779256415157 73.9446244364472 -365.320482018726</t>
  </si>
  <si>
    <t>-808.509052901164 74.0605944851786 -454.4005007676</t>
  </si>
  <si>
    <t>-805.064576550237 75.2590569158865 -578.9295587505</t>
  </si>
  <si>
    <t>-776.677242093392 75.7574528199352 -657.025440052742</t>
  </si>
  <si>
    <t>-805.831287938066 102.429041945706 -523.843252571186</t>
  </si>
  <si>
    <t>-793.492973908429 237.656536142417 -502.477620090005</t>
  </si>
  <si>
    <t>-731.208664252044 281.161301738961 -218.190412957701</t>
  </si>
  <si>
    <t>-495.310532927765 320.828495301006 -189.390105614133</t>
  </si>
  <si>
    <t>-807.329193285755 47.0341728995049 -524.417813784528</t>
  </si>
  <si>
    <t>-777.500455057262 180.56635988108 -70.4734342831482</t>
  </si>
  <si>
    <t>-775.983006991987 196.288195888386 332.769933323591</t>
  </si>
  <si>
    <t>-841.500320560141 198.81063444092 776.664987689681</t>
  </si>
  <si>
    <t>-701.448597243451 242.553839298891 836.325749171675</t>
  </si>
  <si>
    <t>-687.133895866111 -22.6400009635531 333.446781595226</t>
  </si>
  <si>
    <t>-711.88661020722 -34.0607696482584 780.041021720203</t>
  </si>
  <si>
    <t>-589.803024395196 -105.25099824589 851.558891251818</t>
  </si>
  <si>
    <t>9763-20170724T111016.184021400.bin</t>
  </si>
  <si>
    <t>-752.908044611256 86.9785410645554 -68.0728801510317</t>
  </si>
  <si>
    <t>-784.996545147803 77.672985543742 -178.978032558782</t>
  </si>
  <si>
    <t>-798.870644212599 74.5902961361094 -276.572460314361</t>
  </si>
  <si>
    <t>-806.348219293689 73.3075336939828 -365.345648777458</t>
  </si>
  <si>
    <t>-808.327734607255 73.322664265052 -454.420466894819</t>
  </si>
  <si>
    <t>-805.269826591232 74.475949983284 -578.960083678193</t>
  </si>
  <si>
    <t>-777.173892766682 75.2220029620621 -657.159103633184</t>
  </si>
  <si>
    <t>-806.21770734013 101.673322773929 -523.889986015715</t>
  </si>
  <si>
    <t>-795.595989225214 237.061316217759 -502.600000851071</t>
  </si>
  <si>
    <t>-737.073699400532 280.682927934417 -217.532355415981</t>
  </si>
  <si>
    <t>-502.299774857334 322.276703115797 -182.862150775541</t>
  </si>
  <si>
    <t>-807.013658627246 46.2636445360195 -524.422735891807</t>
  </si>
  <si>
    <t>-777.522566432065 180.924471128299 -70.7266215278167</t>
  </si>
  <si>
    <t>-775.752352712112 196.468840676537 332.522509385654</t>
  </si>
  <si>
    <t>-841.294922283088 198.869824342946 776.390736133314</t>
  </si>
  <si>
    <t>-701.372614704934 243.000815282816 836.068837706675</t>
  </si>
  <si>
    <t>-685.987483850589 -22.5101860614573 333.521275598518</t>
  </si>
  <si>
    <t>-712.06703583547 -33.9714265678408 780.031346342397</t>
  </si>
  <si>
    <t>-589.917602170875 -105.061010015451 851.536850330759</t>
  </si>
  <si>
    <t>9763-20170724T111016.217109200.bin</t>
  </si>
  <si>
    <t>-752.515022677707 87.1158240802283 -68.1689548111495</t>
  </si>
  <si>
    <t>-784.622383630882 77.5455218560764 -179.046153251036</t>
  </si>
  <si>
    <t>-798.570893694281 74.3470167057908 -276.626112178687</t>
  </si>
  <si>
    <t>-806.136081577062 73.0051592060759 -365.391008976938</t>
  </si>
  <si>
    <t>-808.220972569388 73.0114995827498 -454.463518774118</t>
  </si>
  <si>
    <t>-805.328373069656 74.2067883340355 -579.006692973899</t>
  </si>
  <si>
    <t>-777.344619247411 75.0493465356112 -657.244835312878</t>
  </si>
  <si>
    <t>-806.370735924036 101.387540053497 -523.930077948988</t>
  </si>
  <si>
    <t>-796.529671626403 236.831500729641 -502.593654655133</t>
  </si>
  <si>
    <t>-740.166307982862 279.939519634322 -217.013453531826</t>
  </si>
  <si>
    <t>-505.812886843988 322.395120580363 -180.5878643969</t>
  </si>
  <si>
    <t>-806.832058976301 45.9740981109935 -524.472718147914</t>
  </si>
  <si>
    <t>-777.461655484397 180.979708637556 -70.8799535679827</t>
  </si>
  <si>
    <t>-775.569758373399 196.603255880952 332.365680509832</t>
  </si>
  <si>
    <t>-841.188149789805 198.887680518053 776.229910174623</t>
  </si>
  <si>
    <t>-701.259135062305 242.971416874277 835.927011874562</t>
  </si>
  <si>
    <t>-685.45961239867 -22.4057689192214 333.54738224664</t>
  </si>
  <si>
    <t>-712.134267470139 -33.8762629214475 780.019780490416</t>
  </si>
  <si>
    <t>-590.056828145988 -105.082219092265 851.532737224555</t>
  </si>
  <si>
    <t>9763-20170724T111016.284292300.bin</t>
  </si>
  <si>
    <t>-751.696843717199 86.9635982877908 -68.3440495783841</t>
  </si>
  <si>
    <t>-783.803199756657 76.9601037658308 -179.183156102257</t>
  </si>
  <si>
    <t>-797.872159898605 73.5775624900566 -276.73987392042</t>
  </si>
  <si>
    <t>-805.590265135543 72.1474056197444 -365.490185318061</t>
  </si>
  <si>
    <t>-807.869131039901 72.1516948772787 -454.557821977551</t>
  </si>
  <si>
    <t>-805.286691592064 73.4388181002878 -579.10693985666</t>
  </si>
  <si>
    <t>-777.44745655353 74.4018714015119 -657.395389619531</t>
  </si>
  <si>
    <t>-806.501139797604 100.579834862371 -524.014300319677</t>
  </si>
  <si>
    <t>-798.069094882913 236.103011997316 -502.549814500829</t>
  </si>
  <si>
    <t>-745.344911698515 277.721769828208 -216.055047668784</t>
  </si>
  <si>
    <t>-511.454286177899 320.801126475257 -177.451857213929</t>
  </si>
  <si>
    <t>-806.345119297247 45.1649036912322 -524.583729465941</t>
  </si>
  <si>
    <t>-777.152555574441 180.89042665326 -71.156090361896</t>
  </si>
  <si>
    <t>-775.170420902774 196.789927569612 332.078309961862</t>
  </si>
  <si>
    <t>-841.013973555599 198.995219430444 775.889011101527</t>
  </si>
  <si>
    <t>-701.12781898615 243.153673714231 835.631827709271</t>
  </si>
  <si>
    <t>-684.318758349848 -22.5104145836663 333.550820028168</t>
  </si>
  <si>
    <t>-712.358764653103 -34.038461117198 779.999809855897</t>
  </si>
  <si>
    <t>-589.942597635356 -104.67881302156 851.494858553162</t>
  </si>
  <si>
    <t>9763-20170724T111016.314371300.bin</t>
  </si>
  <si>
    <t>-751.486286602281 86.8842861140415 -68.4048188455286</t>
  </si>
  <si>
    <t>-783.583548309999 76.6991540712766 -179.230156664069</t>
  </si>
  <si>
    <t>-797.719922666013 73.2545226210182 -276.77481696694</t>
  </si>
  <si>
    <t>-805.526042735774 71.8056725349575 -365.517198043992</t>
  </si>
  <si>
    <t>-807.918571739626 71.8310914640874 -454.581867579742</t>
  </si>
  <si>
    <t>-805.520384356566 73.1915611575919 -579.133790835037</t>
  </si>
  <si>
    <t>-777.736982417562 74.157494536219 -657.441986025282</t>
  </si>
  <si>
    <t>-806.778860290737 100.299678104455 -524.025980681465</t>
  </si>
  <si>
    <t>-798.895729913777 235.831716167216 -502.445885447103</t>
  </si>
  <si>
    <t>-747.472611438732 276.52221590905 -215.581574446309</t>
  </si>
  <si>
    <t>-513.700934059125 320.20785159136 -176.939178343571</t>
  </si>
  <si>
    <t>-806.37197811757 44.8863009962406 -524.623395936003</t>
  </si>
  <si>
    <t>-777.27106316216 180.801159927698 -71.2655979543692</t>
  </si>
  <si>
    <t>-775.195801396268 196.816483611248 331.963698238268</t>
  </si>
  <si>
    <t>-840.935452774951 199.050579518544 775.740864342808</t>
  </si>
  <si>
    <t>-701.180547704788 243.6011270627 835.499362979066</t>
  </si>
  <si>
    <t>-683.803506973601 -22.5045435563866 333.536276888301</t>
  </si>
  <si>
    <t>-712.42468349891 -33.9503104192067 779.974623952971</t>
  </si>
  <si>
    <t>-590.071811268555 -104.690541730588 851.4789368512</t>
  </si>
  <si>
    <t>9763-20170724T111016.350468000.bin</t>
  </si>
  <si>
    <t>-751.32163660185 86.7968440748159 -68.4709331342439</t>
  </si>
  <si>
    <t>-783.415569581122 76.4560385656091 -179.28275135105</t>
  </si>
  <si>
    <t>-797.628699295119 72.9662104244107 -276.814707056143</t>
  </si>
  <si>
    <t>-805.533004629688 71.5120904704254 -365.548274857915</t>
  </si>
  <si>
    <t>-808.051697205085 71.5709356212142 -454.609351933725</t>
  </si>
  <si>
    <t>-805.856975127976 73.0189167118019 -579.164243728685</t>
  </si>
  <si>
    <t>-778.138146533546 73.9529101099147 -657.495671790167</t>
  </si>
  <si>
    <t>-807.136729898447 100.087089767134 -524.037243015701</t>
  </si>
  <si>
    <t>-799.756649870686 235.628885679649 -502.322880797636</t>
  </si>
  <si>
    <t>-749.226896140017 275.562677939013 -215.193597320211</t>
  </si>
  <si>
    <t>-515.533713374455 319.63736324072 -176.519346733779</t>
  </si>
  <si>
    <t>-806.508840745639 44.6762816872692 -524.670423002571</t>
  </si>
  <si>
    <t>-777.323015007225 180.739645815775 -71.3762148638554</t>
  </si>
  <si>
    <t>-775.386185700494 196.769877691735 331.853217128816</t>
  </si>
  <si>
    <t>-840.869882841307 199.127159682063 775.612529437239</t>
  </si>
  <si>
    <t>-701.220257485704 243.979247913755 835.391029588672</t>
  </si>
  <si>
    <t>-683.421357105859 -22.5062528612134 333.513190860539</t>
  </si>
  <si>
    <t>-712.488251410353 -33.8659280226152 779.950249708975</t>
  </si>
  <si>
    <t>-590.121438748716 -104.57846322556 851.458634069977</t>
  </si>
  <si>
    <t>9763-20170724T111016.420193500.bin</t>
  </si>
  <si>
    <t>-751.098783276275 86.4850926284321 -68.6034318365723</t>
  </si>
  <si>
    <t>-783.182394092512 75.9523796372528 -179.400173908692</t>
  </si>
  <si>
    <t>-797.494619920773 72.3812881016502 -276.91458719678</t>
  </si>
  <si>
    <t>-805.529363009911 70.8853040760005 -365.635733041153</t>
  </si>
  <si>
    <t>-808.21727580463 70.9368264489362 -454.692062370948</t>
  </si>
  <si>
    <t>-806.297371927157 72.4119674328667 -579.251087754171</t>
  </si>
  <si>
    <t>-778.641514198896 73.1752945247731 -657.606694406621</t>
  </si>
  <si>
    <t>-807.593755596515 99.4663777979513 -524.117671856514</t>
  </si>
  <si>
    <t>-800.861499376735 235.010839643594 -502.20015439838</t>
  </si>
  <si>
    <t>-751.602945562248 273.842428271644 -214.698979176062</t>
  </si>
  <si>
    <t>-517.993231308982 318.342095778822 -176.006895245563</t>
  </si>
  <si>
    <t>-806.69059254798 44.0594136372715 -524.759831346727</t>
  </si>
  <si>
    <t>-777.412606187962 180.513982230098 -71.5748557166628</t>
  </si>
  <si>
    <t>-776.110502546011 196.397076059837 331.66293631181</t>
  </si>
  <si>
    <t>-840.701156348199 199.194005868956 775.447785246627</t>
  </si>
  <si>
    <t>-701.042589926244 243.948751321916 835.278848327099</t>
  </si>
  <si>
    <t>-683.021267605859 -22.4847891776485 333.438512545809</t>
  </si>
  <si>
    <t>-712.649482136017 -33.7152116642224 779.912373133557</t>
  </si>
  <si>
    <t>-590.289381581171 -104.437603146364 851.421969550811</t>
  </si>
  <si>
    <t>9763-20170724T111016.482374000.bin</t>
  </si>
  <si>
    <t>-751.42900885964 85.8399261336585 -68.7331457897176</t>
  </si>
  <si>
    <t>-783.454097698693 75.2148163431339 -179.537985473946</t>
  </si>
  <si>
    <t>-797.704108412065 71.5730941292668 -277.058957519656</t>
  </si>
  <si>
    <t>-805.676091770095 70.0112688709014 -365.784598811951</t>
  </si>
  <si>
    <t>-808.293681131072 69.9932049954173 -454.84290847459</t>
  </si>
  <si>
    <t>-806.268441011477 71.3650577430685 -579.401504718439</t>
  </si>
  <si>
    <t>-778.617894514137 71.9113617013254 -657.760791357181</t>
  </si>
  <si>
    <t>-807.670401442252 98.464188656485 -524.292615651671</t>
  </si>
  <si>
    <t>-801.29319329709 234.004224695907 -502.27351382583</t>
  </si>
  <si>
    <t>-753.066993950259 272.309005317698 -214.526815551963</t>
  </si>
  <si>
    <t>-519.513687653384 316.604382440513 -175.263174273762</t>
  </si>
  <si>
    <t>-806.64891559232 43.0586655624084 -524.886284733759</t>
  </si>
  <si>
    <t>-778.037768754841 180.095704978779 -71.7244222111341</t>
  </si>
  <si>
    <t>-777.053609601751 195.880759547844 331.518075896325</t>
  </si>
  <si>
    <t>-840.52410994676 199.179096813472 775.381956548055</t>
  </si>
  <si>
    <t>-700.86393048643 243.868914393331 835.25789588176</t>
  </si>
  <si>
    <t>-683.282678612354 -22.7109986432893 333.355302057254</t>
  </si>
  <si>
    <t>-712.871645930212 -33.8496973366177 779.886734285549</t>
  </si>
  <si>
    <t>-590.328465553261 -104.288379398051 851.362878122083</t>
  </si>
  <si>
    <t>9763-20170724T111016.517466800.bin</t>
  </si>
  <si>
    <t>-751.724296794661 85.4891637917458 -68.8043734206316</t>
  </si>
  <si>
    <t>-783.672235960511 74.8367365849899 -179.629019385817</t>
  </si>
  <si>
    <t>-797.841915246798 71.1720512011943 -277.160790510097</t>
  </si>
  <si>
    <t>-805.734087867058 69.5855909383372 -365.893017714218</t>
  </si>
  <si>
    <t>-808.265645658578 69.5374823367442 -454.953844437317</t>
  </si>
  <si>
    <t>-806.112757743971 70.8595839834929 -579.510921412067</t>
  </si>
  <si>
    <t>-778.455441606788 71.293478070364 -657.868433513008</t>
  </si>
  <si>
    <t>-807.570611916982 97.9807069389512 -524.414300443521</t>
  </si>
  <si>
    <t>-801.255040062284 233.516065438403 -502.358842160619</t>
  </si>
  <si>
    <t>-753.604991569782 271.68509844243 -214.498161611469</t>
  </si>
  <si>
    <t>-520.078981514616 315.789476037258 -174.857839635825</t>
  </si>
  <si>
    <t>-806.549869204205 42.5749233335519 -524.984722778705</t>
  </si>
  <si>
    <t>-778.424471480221 179.808130909502 -71.7809858544344</t>
  </si>
  <si>
    <t>-777.480136417008 195.615015738055 331.460782525548</t>
  </si>
  <si>
    <t>-840.438198412357 199.159352870241 775.374358425001</t>
  </si>
  <si>
    <t>-700.743075296567 243.716144254217 835.268270753814</t>
  </si>
  <si>
    <t>-683.55264523223 -22.8346211934822 333.321018965302</t>
  </si>
  <si>
    <t>-712.988886151242 -33.9347835697372 779.87890307643</t>
  </si>
  <si>
    <t>-590.305158213155 -104.15087588633 851.333398260453</t>
  </si>
  <si>
    <t>9763-20170724T111016.594692100.bin</t>
  </si>
  <si>
    <t>-752.348361149583 84.8469222781137 -68.8977445565009</t>
  </si>
  <si>
    <t>-784.089943634556 74.2312607101426 -179.785113643575</t>
  </si>
  <si>
    <t>-798.046809178721 70.5790390333168 -277.348084056208</t>
  </si>
  <si>
    <t>-805.73232007391 68.9907969798023 -366.09848533976</t>
  </si>
  <si>
    <t>-808.042478844345 68.9246975051378 -455.165265103434</t>
  </si>
  <si>
    <t>-805.565968057191 70.2014814428617 -579.716782588279</t>
  </si>
  <si>
    <t>-777.840642925136 70.4580006885576 -658.050959278294</t>
  </si>
  <si>
    <t>-807.127239234278 97.3433806351072 -524.633183080166</t>
  </si>
  <si>
    <t>-800.627684506619 232.859324948638 -502.47677115743</t>
  </si>
  <si>
    <t>-753.769209155737 270.437195254125 -214.408321845983</t>
  </si>
  <si>
    <t>-520.271348976088 314.047871230997 -174.063051996232</t>
  </si>
  <si>
    <t>-806.184280915502 41.9359335120648 -525.182397470825</t>
  </si>
  <si>
    <t>-779.037901247594 179.201984056416 -71.8844678733814</t>
  </si>
  <si>
    <t>-778.321653249732 195.210355646848 331.349844117974</t>
  </si>
  <si>
    <t>-840.267494790327 199.090303333153 775.377639228233</t>
  </si>
  <si>
    <t>-700.550486974793 243.530077270614 835.306892053107</t>
  </si>
  <si>
    <t>-684.338436948326 -22.9923589783871 333.24566304951</t>
  </si>
  <si>
    <t>-713.16002909959 -33.8427682855913 779.87473334533</t>
  </si>
  <si>
    <t>-590.500055969238 -104.122530858737 851.307270225647</t>
  </si>
  <si>
    <t>9763-20170724T111016.613743000.bin</t>
  </si>
  <si>
    <t>-752.726579635077 84.5131087519162 -68.9366148531598</t>
  </si>
  <si>
    <t>-784.37632201783 73.9751766768845 -179.857558819176</t>
  </si>
  <si>
    <t>-798.233936553537 70.3458624492177 -277.435552833515</t>
  </si>
  <si>
    <t>-805.823296994023 68.7595471313289 -366.194248134335</t>
  </si>
  <si>
    <t>-808.031040984205 68.6751529168355 -455.263793365706</t>
  </si>
  <si>
    <t>-805.406022335877 69.9042070315472 -579.812614929139</t>
  </si>
  <si>
    <t>-777.645507474709 70.0714454770709 -658.134601027702</t>
  </si>
  <si>
    <t>-806.993248678963 97.0677394095387 -524.7404881694</t>
  </si>
  <si>
    <t>-800.292505066007 232.573815695894 -502.594775181443</t>
  </si>
  <si>
    <t>-753.776232204869 269.798583631323 -214.425108895318</t>
  </si>
  <si>
    <t>-520.264559990989 313.109339037273 -173.83755685677</t>
  </si>
  <si>
    <t>-806.129274114288 41.6590992276306 -525.269075097652</t>
  </si>
  <si>
    <t>-779.302028550167 178.945986070245 -71.914562708355</t>
  </si>
  <si>
    <t>-778.798525747952 195.04743549509 331.316297120288</t>
  </si>
  <si>
    <t>-840.216552246967 199.139774401202 775.395979720324</t>
  </si>
  <si>
    <t>-700.695159311281 244.167518049801 835.342709769356</t>
  </si>
  <si>
    <t>-684.857499195585 -23.162589082172 333.205338218233</t>
  </si>
  <si>
    <t>-713.293315376927 -33.9960888227806 779.884637945791</t>
  </si>
  <si>
    <t>-590.418442478567 -103.925374172592 851.291306645437</t>
  </si>
  <si>
    <t>9763-20170724T111016.685011200.bin</t>
  </si>
  <si>
    <t>-753.409932459464 83.8634529597434 -68.9734237790265</t>
  </si>
  <si>
    <t>-784.902292923258 73.5618712378614 -179.961412591262</t>
  </si>
  <si>
    <t>-798.574594223362 70.0132019015446 -277.568499244483</t>
  </si>
  <si>
    <t>-805.980428153033 68.4508879969212 -366.34323474934</t>
  </si>
  <si>
    <t>-807.991938207695 68.3393725529277 -455.417264255261</t>
  </si>
  <si>
    <t>-805.082286479521 69.4767700499951 -579.960598498292</t>
  </si>
  <si>
    <t>-777.235439045799 69.502817771041 -658.252097928884</t>
  </si>
  <si>
    <t>-806.697697988859 96.6822455011288 -524.910014685871</t>
  </si>
  <si>
    <t>-799.481917102832 232.166894437495 -502.80364571456</t>
  </si>
  <si>
    <t>-753.454782508914 268.903500618207 -214.492808317454</t>
  </si>
  <si>
    <t>-519.821428647063 311.247604499788 -173.585710935162</t>
  </si>
  <si>
    <t>-806.027722121446 41.270278063716 -525.400341035629</t>
  </si>
  <si>
    <t>-779.598818105989 178.377405807957 -71.9076004826392</t>
  </si>
  <si>
    <t>-779.525540188575 194.64439087805 331.317023835736</t>
  </si>
  <si>
    <t>-840.022067200172 199.05190213305 775.486271483624</t>
  </si>
  <si>
    <t>-700.393935174398 243.649018027179 835.506459017397</t>
  </si>
  <si>
    <t>-685.941952470273 -23.3681234723954 333.116904503456</t>
  </si>
  <si>
    <t>-713.446880973032 -33.8507905932174 779.89528444677</t>
  </si>
  <si>
    <t>-590.682485442159 -103.986701754222 851.289708895809</t>
  </si>
  <si>
    <t>9763-20170724T111016.719104300.bin</t>
  </si>
  <si>
    <t>-753.676497439506 83.5091413202294 -68.9732982594498</t>
  </si>
  <si>
    <t>-785.11183403874 73.3304982521217 -179.988762163526</t>
  </si>
  <si>
    <t>-798.694757723143 69.8310128829112 -277.610069254946</t>
  </si>
  <si>
    <t>-806.00606268143 68.2912799397568 -366.393057608972</t>
  </si>
  <si>
    <t>-807.910831877126 68.1800764383242 -455.469358346196</t>
  </si>
  <si>
    <t>-804.83944899124 69.2937415439296 -580.009089654207</t>
  </si>
  <si>
    <t>-776.922523028993 69.273433930854 -658.275637217113</t>
  </si>
  <si>
    <t>-806.482210609498 96.5100887982958 -524.964779891974</t>
  </si>
  <si>
    <t>-799.047357943131 231.986458864199 -502.867574262048</t>
  </si>
  <si>
    <t>-753.22599911676 268.552011458243 -214.502240805732</t>
  </si>
  <si>
    <t>-519.527857529093 310.500237873004 -173.559519177769</t>
  </si>
  <si>
    <t>-805.899907109308 41.0972227486777 -525.445911757011</t>
  </si>
  <si>
    <t>-779.631100834223 177.976132604171 -71.8813427452998</t>
  </si>
  <si>
    <t>-779.680951269501 194.373918413908 331.337915246907</t>
  </si>
  <si>
    <t>-839.934671185383 198.96420119766 775.528885661406</t>
  </si>
  <si>
    <t>-700.296275247949 243.525752367081 835.551014572462</t>
  </si>
  <si>
    <t>-686.461067482285 -23.4845935889421 333.098850079794</t>
  </si>
  <si>
    <t>-713.52894545237 -33.7999188532567 779.910647835699</t>
  </si>
  <si>
    <t>-590.91919213376 -104.208139688018 851.302391170995</t>
  </si>
  <si>
    <t>9763-20170724T111016.787288900.bin</t>
  </si>
  <si>
    <t>-753.95247809711 82.7587238880369 -68.9314068159447</t>
  </si>
  <si>
    <t>-785.314147466146 72.7852211295576 -179.98634204513</t>
  </si>
  <si>
    <t>-798.746990582109 69.3806779420911 -277.631705527741</t>
  </si>
  <si>
    <t>-805.891812260644 67.8953884197094 -366.429171173376</t>
  </si>
  <si>
    <t>-807.600656303814 67.8055735233693 -455.50966345359</t>
  </si>
  <si>
    <t>-804.227081925924 68.9142666594362 -580.04150553027</t>
  </si>
  <si>
    <t>-776.175916089717 68.8459539689111 -658.260133589215</t>
  </si>
  <si>
    <t>-805.941372516659 96.1332871513951 -525.000748504975</t>
  </si>
  <si>
    <t>-798.212039584802 231.594809404128 -502.89868635686</t>
  </si>
  <si>
    <t>-752.716198791451 267.824307332547 -214.439366333259</t>
  </si>
  <si>
    <t>-518.875934251224 309.238094166102 -173.764449041936</t>
  </si>
  <si>
    <t>-805.481909910821 40.7193130595092 -525.481592933383</t>
  </si>
  <si>
    <t>-779.509349477972 177.049548887829 -71.7882633096468</t>
  </si>
  <si>
    <t>-779.590883528788 193.676729724648 331.421614501956</t>
  </si>
  <si>
    <t>-839.79580267647 198.7857691713 775.598185157841</t>
  </si>
  <si>
    <t>-700.091329083095 243.193403027798 835.580253473142</t>
  </si>
  <si>
    <t>-687.400978303743 -23.7781281032549 333.086381908766</t>
  </si>
  <si>
    <t>-713.652356103512 -33.6044070015969 779.932210388174</t>
  </si>
  <si>
    <t>-591.170911784235 -104.246033774274 851.313501767936</t>
  </si>
  <si>
    <t>9763-20170724T111016.821378900.bin</t>
  </si>
  <si>
    <t>-754.056173261625 82.3761294390843 -68.9240027189506</t>
  </si>
  <si>
    <t>-785.382824501545 72.435499925291 -179.991777109234</t>
  </si>
  <si>
    <t>-798.748556130365 69.052395085514 -277.647095497978</t>
  </si>
  <si>
    <t>-805.818318357043 67.5833230627286 -366.450756521824</t>
  </si>
  <si>
    <t>-807.437615893937 67.5058420969694 -455.532968340977</t>
  </si>
  <si>
    <t>-803.92440492616 68.6276006441453 -580.060845034546</t>
  </si>
  <si>
    <t>-775.804042589269 68.5632062016698 -658.254618064093</t>
  </si>
  <si>
    <t>-805.677728356023 95.8411932250178 -525.018591597895</t>
  </si>
  <si>
    <t>-797.834961801253 231.291568060926 -502.896762186005</t>
  </si>
  <si>
    <t>-752.440811683145 267.409727399414 -214.407467673098</t>
  </si>
  <si>
    <t>-518.533185355723 308.621589826497 -173.91434611844</t>
  </si>
  <si>
    <t>-805.26319843 40.4268114088627 -525.506042151374</t>
  </si>
  <si>
    <t>-779.41635037376 176.573308659697 -71.7710287209636</t>
  </si>
  <si>
    <t>-779.585539524996 193.352546356494 331.432518509953</t>
  </si>
  <si>
    <t>-839.713797450284 198.652473469169 775.614816191834</t>
  </si>
  <si>
    <t>-699.966219001031 242.958944713239 835.571844332094</t>
  </si>
  <si>
    <t>-687.872783186311 -24.0528216606222 333.102242945692</t>
  </si>
  <si>
    <t>-713.775009886421 -33.739883952444 779.972815328028</t>
  </si>
  <si>
    <t>-591.043161044389 -103.98115321143 851.319737975083</t>
  </si>
  <si>
    <t>9763-20170724T111016.884137300.bin</t>
  </si>
  <si>
    <t>-754.105368173359 81.5820087701063 -68.9682033203648</t>
  </si>
  <si>
    <t>-785.401536727841 71.5965186780318 -180.040529499042</t>
  </si>
  <si>
    <t>-798.600877846721 68.1905938998821 -277.717843718121</t>
  </si>
  <si>
    <t>-805.461689416158 66.7026367748122 -366.537630736596</t>
  </si>
  <si>
    <t>-806.813975860529 66.6036865773549 -455.624127770546</t>
  </si>
  <si>
    <t>-802.866951136076 67.6898099304199 -580.13929102155</t>
  </si>
  <si>
    <t>-774.541659727466 67.630418458848 -658.259218624483</t>
  </si>
  <si>
    <t>-804.762447968392 94.9194284244541 -525.109688465334</t>
  </si>
  <si>
    <t>-796.576397789248 230.352300867827 -503.006513468813</t>
  </si>
  <si>
    <t>-751.121378378036 266.288841371765 -214.50416022171</t>
  </si>
  <si>
    <t>-517.156053702622 307.411864775857 -174.255492714043</t>
  </si>
  <si>
    <t>-804.445479621507 39.5042822766027 -525.582959374576</t>
  </si>
  <si>
    <t>-779.173543930857 175.67200534136 -71.8299636060522</t>
  </si>
  <si>
    <t>-779.679009461302 192.816090883015 331.357977859392</t>
  </si>
  <si>
    <t>-839.61797613376 198.571335170547 775.579321997455</t>
  </si>
  <si>
    <t>-699.951607236185 243.176972420719 835.503630105958</t>
  </si>
  <si>
    <t>-688.622484529559 -24.4147335600578 333.177533126671</t>
  </si>
  <si>
    <t>-713.969947017146 -33.7557690336357 780.081134885728</t>
  </si>
  <si>
    <t>-591.246958605694 -104.061449198252 851.379484458963</t>
  </si>
  <si>
    <t>9763-20170724T111016.926249300.bin</t>
  </si>
  <si>
    <t>-754.044901858238 81.0154722683251 -68.9951560951964</t>
  </si>
  <si>
    <t>-785.288767072146 70.9818220055795 -180.077847588358</t>
  </si>
  <si>
    <t>-798.411354884824 67.5386128368737 -277.764142252289</t>
  </si>
  <si>
    <t>-805.189611829853 66.0163251485997 -366.589641283872</t>
  </si>
  <si>
    <t>-806.445174246504 65.8809092886463 -455.677406076142</t>
  </si>
  <si>
    <t>-802.349359665099 66.9118283910989 -580.188478980522</t>
  </si>
  <si>
    <t>-773.856533336758 66.8509600185321 -658.247391520184</t>
  </si>
  <si>
    <t>-804.285807083278 94.1659787160461 -525.172339581065</t>
  </si>
  <si>
    <t>-795.938559724579 229.593318504184 -503.092500598168</t>
  </si>
  <si>
    <t>-750.149568156999 265.554206688125 -214.646030219715</t>
  </si>
  <si>
    <t>-516.137277392112 306.582768791124 -174.57337177078</t>
  </si>
  <si>
    <t>-804.017712011956 38.7504182019711 -525.622388737437</t>
  </si>
  <si>
    <t>-778.937990838908 175.071135265495 -71.8781408295648</t>
  </si>
  <si>
    <t>-779.7336006021 192.51764958585 331.296305946794</t>
  </si>
  <si>
    <t>-839.557116270291 198.509383207422 775.527109156377</t>
  </si>
  <si>
    <t>-699.869240759081 243.050744045829 835.449287278961</t>
  </si>
  <si>
    <t>-688.880725520351 -24.7602268748315 333.23298930033</t>
  </si>
  <si>
    <t>-714.111267739322 -33.9622313911532 780.15035577248</t>
  </si>
  <si>
    <t>-591.218735769492 -104.014781439132 851.406027683786</t>
  </si>
  <si>
    <t>9763-20170724T111016.984923400.bin</t>
  </si>
  <si>
    <t>-753.943657698406 80.0422153386644 -68.9895351184645</t>
  </si>
  <si>
    <t>-785.074515188791 69.9922586341791 -180.102596069599</t>
  </si>
  <si>
    <t>-798.067374167361 66.4761871715573 -277.803496623541</t>
  </si>
  <si>
    <t>-804.716860661442 64.8619241670922 -366.637114589063</t>
  </si>
  <si>
    <t>-805.833954837005 64.6066318839194 -455.72666917577</t>
  </si>
  <si>
    <t>-801.534343864777 65.4392697252747 -580.232203154024</t>
  </si>
  <si>
    <t>-772.784712471762 65.330746768509 -658.196782296435</t>
  </si>
  <si>
    <t>-803.525130740694 92.7812118300621 -525.26151521898</t>
  </si>
  <si>
    <t>-794.973486626366 228.22078834748 -503.312520061056</t>
  </si>
  <si>
    <t>-748.475157912986 264.442524712065 -215.012176029083</t>
  </si>
  <si>
    <t>-514.427560117233 305.339412096228 -175.01267823787</t>
  </si>
  <si>
    <t>-803.327736195206 37.36460775364 -525.625374354337</t>
  </si>
  <si>
    <t>-778.641186296794 174.15163536286 -71.9494535369821</t>
  </si>
  <si>
    <t>-779.884143094464 192.044757343688 331.204308294339</t>
  </si>
  <si>
    <t>-839.480187209875 198.45503702882 775.417289086953</t>
  </si>
  <si>
    <t>-699.934893967384 243.456094281208 835.327780577454</t>
  </si>
  <si>
    <t>-689.404345950928 -25.1987312810866 333.316483551164</t>
  </si>
  <si>
    <t>-714.25152517593 -33.8908921790853 780.253528082214</t>
  </si>
  <si>
    <t>-591.324251176975 -103.934180018858 851.458343358506</t>
  </si>
  <si>
    <t>9763-20170724T111017.018008500.bin</t>
  </si>
  <si>
    <t>-754.177623491728 79.6856886454307 -68.9841412006106</t>
  </si>
  <si>
    <t>-785.274599777305 69.6389827832677 -180.107018086314</t>
  </si>
  <si>
    <t>-798.230416612676 66.0919025935091 -277.811754884403</t>
  </si>
  <si>
    <t>-804.84439070256 64.4355492052323 -366.64717457731</t>
  </si>
  <si>
    <t>-805.924165067051 64.1237954541539 -455.737021405245</t>
  </si>
  <si>
    <t>-801.571784131148 64.8624092076834 -580.24137087455</t>
  </si>
  <si>
    <t>-772.713535345041 64.7148264980792 -658.165661893951</t>
  </si>
  <si>
    <t>-803.574843512376 92.2457160266699 -525.291790346323</t>
  </si>
  <si>
    <t>-794.94987101732 227.689786667473 -503.419142413944</t>
  </si>
  <si>
    <t>-748.334202248511 264.141320902622 -215.166628928288</t>
  </si>
  <si>
    <t>-514.222495260598 304.695927782925 -175.192171645003</t>
  </si>
  <si>
    <t>-803.399194109066 36.828976031818 -525.614322189718</t>
  </si>
  <si>
    <t>-778.869530075043 173.803993394356 -71.9796000451663</t>
  </si>
  <si>
    <t>-780.062722385178 191.798833415359 331.169695367806</t>
  </si>
  <si>
    <t>-839.421600690364 198.375314681217 775.379854146703</t>
  </si>
  <si>
    <t>-699.828808934993 243.230053445492 835.289766528135</t>
  </si>
  <si>
    <t>-689.774468205426 -25.4594296266646 333.336391666563</t>
  </si>
  <si>
    <t>-714.370319550858 -34.1079296279604 780.300548120822</t>
  </si>
  <si>
    <t>-591.1621673921 -103.696967668247 851.465328682832</t>
  </si>
  <si>
    <t>9763-20170724T111017.085702200.bin</t>
  </si>
  <si>
    <t>-754.829531002544 79.3943265695057 -69.0468624653998</t>
  </si>
  <si>
    <t>-785.786260796218 69.4198666707398 -180.215257202667</t>
  </si>
  <si>
    <t>-798.654710240605 65.84398158971 -277.930529780561</t>
  </si>
  <si>
    <t>-805.206393834996 64.1266434803015 -366.769569634017</t>
  </si>
  <si>
    <t>-806.242920332343 63.71931826434 -455.859449807546</t>
  </si>
  <si>
    <t>-801.851209650074 64.2884009789523 -580.36323419012</t>
  </si>
  <si>
    <t>-772.927620504394 64.0569955555989 -658.263203653377</t>
  </si>
  <si>
    <t>-803.83327096549 91.7465339645037 -525.450302601325</t>
  </si>
  <si>
    <t>-795.064165479198 227.199445240358 -503.709364351547</t>
  </si>
  <si>
    <t>-748.340883713724 264.256422549639 -215.55151019254</t>
  </si>
  <si>
    <t>-514.165719228717 303.794764919173 -174.936835256212</t>
  </si>
  <si>
    <t>-803.734117187267 36.3291924286023 -525.700137009096</t>
  </si>
  <si>
    <t>-779.319029265182 173.439126846441 -72.0468664648995</t>
  </si>
  <si>
    <t>-780.526295363213 191.590517319157 331.095494635293</t>
  </si>
  <si>
    <t>-839.32230388756 198.312851140401 775.348685137225</t>
  </si>
  <si>
    <t>-699.729374348039 243.137032975495 835.281044912649</t>
  </si>
  <si>
    <t>-690.430834160002 -25.4489389825585 333.332068582934</t>
  </si>
  <si>
    <t>-714.445371733367 -33.8945972794595 780.358037665696</t>
  </si>
  <si>
    <t>-591.396067944208 -103.797869908872 851.489133831625</t>
  </si>
  <si>
    <t>9763-20170724T111017.118803100.bin</t>
  </si>
  <si>
    <t>-755.140567674426 79.2115907783436 -69.0758237603163</t>
  </si>
  <si>
    <t>-785.993496062199 69.2946450338463 -180.278267648343</t>
  </si>
  <si>
    <t>-798.777499865539 65.7149014944616 -278.004338547959</t>
  </si>
  <si>
    <t>-805.256908651608 63.9731074500605 -366.848239186774</t>
  </si>
  <si>
    <t>-806.226372581535 63.5196296925446 -455.938602920294</t>
  </si>
  <si>
    <t>-801.747238216418 64.0019834248883 -580.439659422495</t>
  </si>
  <si>
    <t>-772.826108787935 63.7289525308888 -658.340481666193</t>
  </si>
  <si>
    <t>-803.745252684226 91.4985711661097 -525.546413779501</t>
  </si>
  <si>
    <t>-794.888674399228 226.957829306033 -503.875275718532</t>
  </si>
  <si>
    <t>-748.124209120106 264.160467782068 -215.743065139512</t>
  </si>
  <si>
    <t>-513.949989273884 303.100043002691 -174.548041203405</t>
  </si>
  <si>
    <t>-803.691317847567 36.0809613816305 -525.75922904082</t>
  </si>
  <si>
    <t>-779.491440641575 173.270284415601 -72.0677541828146</t>
  </si>
  <si>
    <t>-780.776034581338 191.521705642483 331.069796454409</t>
  </si>
  <si>
    <t>-839.2512779893 198.269886847179 775.362173543547</t>
  </si>
  <si>
    <t>-699.671023246346 243.088898231451 835.328266978186</t>
  </si>
  <si>
    <t>-690.705462289537 -25.495404959639 333.306633483901</t>
  </si>
  <si>
    <t>-714.524751880681 -33.9487495915478 780.370327155938</t>
  </si>
  <si>
    <t>-591.329163497571 -103.611584497812 851.484466738706</t>
  </si>
  <si>
    <t>9763-20170724T111017.184511900.bin</t>
  </si>
  <si>
    <t>-755.786632590773 78.8733556222091 -69.0868997236663</t>
  </si>
  <si>
    <t>-786.395444272648 69.1044194572269 -180.369908343145</t>
  </si>
  <si>
    <t>-798.950261904952 65.5285649906714 -278.12583076239</t>
  </si>
  <si>
    <t>-805.219074048792 63.7394319903442 -366.983876296592</t>
  </si>
  <si>
    <t>-805.977799824598 63.1866778719063 -456.075759115957</t>
  </si>
  <si>
    <t>-801.206156134847 63.4751213940835 -580.566663654494</t>
  </si>
  <si>
    <t>-772.197901705468 63.0729200017449 -658.43438801203</t>
  </si>
  <si>
    <t>-803.283289489898 91.0572776964937 -525.71917115919</t>
  </si>
  <si>
    <t>-794.192486245043 226.524589658101 -504.192401739908</t>
  </si>
  <si>
    <t>-747.549228407163 264.111896779662 -216.090393619785</t>
  </si>
  <si>
    <t>-513.323127252085 301.691520221199 -173.938460845662</t>
  </si>
  <si>
    <t>-803.328332119959 35.6393524204623 -525.84946899099</t>
  </si>
  <si>
    <t>-780.014660957503 173.031257062612 -72.0551825039429</t>
  </si>
  <si>
    <t>-781.300079937743 191.474193848535 331.073689667051</t>
  </si>
  <si>
    <t>-839.117469421832 198.262731645948 775.430110769595</t>
  </si>
  <si>
    <t>-699.60055075034 243.142127245622 835.497874394327</t>
  </si>
  <si>
    <t>-690.981493920203 -25.3912969255066 333.236824166657</t>
  </si>
  <si>
    <t>-714.569653599809 -33.838651540927 780.335341307135</t>
  </si>
  <si>
    <t>-591.458387462965 -103.613242517547 851.486422452266</t>
  </si>
  <si>
    <t>9763-20170724T111017.217599400.bin</t>
  </si>
  <si>
    <t>-756.030909348547 78.6575638236773 -69.1054130517648</t>
  </si>
  <si>
    <t>-786.529981903844 68.9849476697409 -180.426802347304</t>
  </si>
  <si>
    <t>-798.942671986505 65.4200545551985 -278.201398573423</t>
  </si>
  <si>
    <t>-805.066772395847 63.610708980787 -367.06913886926</t>
  </si>
  <si>
    <t>-805.665022053081 63.0058741503412 -456.161936644271</t>
  </si>
  <si>
    <t>-800.655799455786 63.1874152888072 -580.643504772937</t>
  </si>
  <si>
    <t>-771.542947303642 62.7061523499074 -658.471901097968</t>
  </si>
  <si>
    <t>-802.805722167006 90.8163914375205 -525.822713479435</t>
  </si>
  <si>
    <t>-793.566769669178 226.28502949997 -504.379226895609</t>
  </si>
  <si>
    <t>-746.944711928611 264.106825188399 -216.304439345286</t>
  </si>
  <si>
    <t>-512.778799012975 301.122694262574 -173.327190780349</t>
  </si>
  <si>
    <t>-802.914090429836 35.3986166425302 -525.907916643563</t>
  </si>
  <si>
    <t>-780.190782626787 172.874810875986 -72.0318914339898</t>
  </si>
  <si>
    <t>-781.54361945821 191.421211747559 331.091984541547</t>
  </si>
  <si>
    <t>-839.055404160176 198.251785100988 775.477524655183</t>
  </si>
  <si>
    <t>-699.573982807669 243.184942392749 835.587269430396</t>
  </si>
  <si>
    <t>-691.039568960501 -25.3488319530079 333.185278890494</t>
  </si>
  <si>
    <t>-714.592862973371 -33.7883556962483 780.305318445631</t>
  </si>
  <si>
    <t>-591.503421121963 -103.577576365033 851.479336301577</t>
  </si>
  <si>
    <t>9763-20170724T111017.285360800.bin</t>
  </si>
  <si>
    <t>-756.615370727417 78.5342610313924 -69.0587049197802</t>
  </si>
  <si>
    <t>-786.828103877783 69.0662942101335 -180.475796220155</t>
  </si>
  <si>
    <t>-798.85870989362 65.5283124896519 -278.299099825555</t>
  </si>
  <si>
    <t>-804.587633604958 63.6800695965972 -367.192405845295</t>
  </si>
  <si>
    <t>-804.745707315074 62.9699940642095 -456.286163728267</t>
  </si>
  <si>
    <t>-799.076977265957 62.9321704357576 -580.739725749937</t>
  </si>
  <si>
    <t>-769.69233976723 62.2845944130604 -658.464573265445</t>
  </si>
  <si>
    <t>-801.436627409823 90.6577046790258 -525.976153466273</t>
  </si>
  <si>
    <t>-791.851940233703 226.12750931446 -504.69176012128</t>
  </si>
  <si>
    <t>-745.476517849708 264.543693682705 -216.655731590296</t>
  </si>
  <si>
    <t>-511.476958773833 300.437862317805 -171.859120667588</t>
  </si>
  <si>
    <t>-801.706521417038 35.2402268498836 -525.97165913305</t>
  </si>
  <si>
    <t>-780.589884898502 172.851355641585 -71.9811465044645</t>
  </si>
  <si>
    <t>-782.077584879406 191.366932908058 331.143734783407</t>
  </si>
  <si>
    <t>-838.945195971815 198.271461328501 775.605584290036</t>
  </si>
  <si>
    <t>-699.509531909969 243.242008601335 835.793964836783</t>
  </si>
  <si>
    <t>-691.276683917604 -25.1430567011853 333.105946383508</t>
  </si>
  <si>
    <t>-714.587605744558 -33.5003415982637 780.240625087098</t>
  </si>
  <si>
    <t>-591.652231003998 -103.510402631586 851.46434760136</t>
  </si>
  <si>
    <t>9763-20170724T111017.319420100.bin</t>
  </si>
  <si>
    <t>-756.939665307927 78.5798203328814 -69.0403604197794</t>
  </si>
  <si>
    <t>-787.018181608869 69.2221210485372 -180.503015075118</t>
  </si>
  <si>
    <t>-798.85986443043 65.7007663809927 -278.350064846666</t>
  </si>
  <si>
    <t>-804.391021419391 63.835839998138 -367.255372196935</t>
  </si>
  <si>
    <t>-804.326524227528 63.0756778029004 -456.348964568936</t>
  </si>
  <si>
    <t>-798.322904722649 62.9323161255002 -580.786727084868</t>
  </si>
  <si>
    <t>-768.783102571255 62.2014943334193 -658.451918746946</t>
  </si>
  <si>
    <t>-800.78911073475 90.7037927586653 -526.051342682289</t>
  </si>
  <si>
    <t>-791.033103045655 226.177913099299 -504.841340324089</t>
  </si>
  <si>
    <t>-744.871266548986 264.759846040087 -216.793219998881</t>
  </si>
  <si>
    <t>-510.917289035101 300.24629834276 -171.438424584078</t>
  </si>
  <si>
    <t>-801.140533282087 35.286962224327 -526.004428646332</t>
  </si>
  <si>
    <t>-780.791788549549 172.908303398723 -71.9480520408906</t>
  </si>
  <si>
    <t>-782.341291916777 191.399576616187 331.177627227249</t>
  </si>
  <si>
    <t>-838.879049273297 198.237202159381 775.676371821563</t>
  </si>
  <si>
    <t>-699.394484120008 243.026104825049 835.887296154094</t>
  </si>
  <si>
    <t>-691.612455267856 -25.1031558467243 333.083105179662</t>
  </si>
  <si>
    <t>-714.657568893526 -33.6138422045997 780.226238133116</t>
  </si>
  <si>
    <t>-591.571375206127 -103.350727043167 851.456971360862</t>
  </si>
  <si>
    <t>9763-20170724T111017.386101800.bin</t>
  </si>
  <si>
    <t>-757.700812224807 79.1645268505231 -68.9961487536287</t>
  </si>
  <si>
    <t>-787.629474905403 70.0113039865846 -180.516193313126</t>
  </si>
  <si>
    <t>-799.199864496809 66.5084873729975 -278.396267535911</t>
  </si>
  <si>
    <t>-804.434660429392 64.59809753747 -367.318640206642</t>
  </si>
  <si>
    <t>-804.025841041439 63.7281326536563 -456.410342856763</t>
  </si>
  <si>
    <t>-797.495514703128 63.363284938167 -580.821027431556</t>
  </si>
  <si>
    <t>-767.659438607492 62.4321550063128 -658.370844509705</t>
  </si>
  <si>
    <t>-800.102891927514 91.2314635936809 -526.141229098315</t>
  </si>
  <si>
    <t>-790.011487694776 226.708395922226 -505.133984124336</t>
  </si>
  <si>
    <t>-744.484579214248 265.566155832326 -217.021783284615</t>
  </si>
  <si>
    <t>-510.438032223787 300.19456604688 -171.481154503229</t>
  </si>
  <si>
    <t>-800.635418684749 35.816194144827 -526.006652290371</t>
  </si>
  <si>
    <t>-781.247115306909 173.372594413406 -71.8908771743254</t>
  </si>
  <si>
    <t>-782.782019538759 191.895027748406 331.23340909555</t>
  </si>
  <si>
    <t>-838.805947290184 198.240521937842 775.8080975073</t>
  </si>
  <si>
    <t>-699.382674283936 243.233003242224 836.00866623112</t>
  </si>
  <si>
    <t>-692.483400460493 -24.8211801572738 333.041837409051</t>
  </si>
  <si>
    <t>-714.759262683356 -33.6954990089002 780.202835690264</t>
  </si>
  <si>
    <t>-591.691310710033 -103.437065910277 851.460686940437</t>
  </si>
  <si>
    <t>9763-20170724T111017.419190300.bin</t>
  </si>
  <si>
    <t>-758.127617357061 79.6364648586514 -68.9685643027077</t>
  </si>
  <si>
    <t>-788.03701176037 70.5443759260293 -180.498716332887</t>
  </si>
  <si>
    <t>-799.510884388599 67.0333089200826 -278.389903462501</t>
  </si>
  <si>
    <t>-804.628283905146 65.0910245293721 -367.318409805053</t>
  </si>
  <si>
    <t>-804.073238164944 64.1632088879642 -456.408800274091</t>
  </si>
  <si>
    <t>-797.310799608289 63.6896431475698 -580.806614204257</t>
  </si>
  <si>
    <t>-767.316014581186 62.6408880021022 -658.293738554822</t>
  </si>
  <si>
    <t>-799.967605551463 91.6050340704401 -526.153487663103</t>
  </si>
  <si>
    <t>-789.658734131225 227.086342324973 -505.266232842363</t>
  </si>
  <si>
    <t>-744.286054325287 266.014968896794 -217.139376577851</t>
  </si>
  <si>
    <t>-510.107125077781 300.162990069402 -171.916648087768</t>
  </si>
  <si>
    <t>-800.605432430996 36.191024485609 -525.977141642535</t>
  </si>
  <si>
    <t>-781.537062598675 173.741571025963 -71.875885668653</t>
  </si>
  <si>
    <t>-782.811662587078 192.234669043957 331.250711917352</t>
  </si>
  <si>
    <t>-838.766864900188 198.207611613311 775.857751741671</t>
  </si>
  <si>
    <t>-699.370135566345 243.329586632658 836.022628193395</t>
  </si>
  <si>
    <t>-692.917491166404 -24.5481348679346 333.040015668237</t>
  </si>
  <si>
    <t>-714.762182004088 -33.5445300063811 780.193685333385</t>
  </si>
  <si>
    <t>-591.804616542738 -103.463200903598 851.468584940052</t>
  </si>
  <si>
    <t>9763-20170724T111017.486372400.bin</t>
  </si>
  <si>
    <t>-758.73119350651 80.4667787915814 -68.9535706358956</t>
  </si>
  <si>
    <t>-788.628124686553 71.4789079147663 -180.495499397873</t>
  </si>
  <si>
    <t>-799.950383409016 67.9104584124366 -278.40231285093</t>
  </si>
  <si>
    <t>-804.878408501323 65.85622065495 -367.338979717044</t>
  </si>
  <si>
    <t>-804.085222623069 64.7525774358483 -456.4254572783</t>
  </si>
  <si>
    <t>-796.941217420642 63.9647419720318 -580.800463865486</t>
  </si>
  <si>
    <t>-766.608785379903 62.6537471474708 -658.151865351877</t>
  </si>
  <si>
    <t>-799.646666525147 92.0165588154373 -526.219588779083</t>
  </si>
  <si>
    <t>-788.805419166277 227.500015337445 -505.635548855393</t>
  </si>
  <si>
    <t>-743.56401065857 266.989070420801 -217.564460144564</t>
  </si>
  <si>
    <t>-509.16100799571 300.26902021161 -172.859857840095</t>
  </si>
  <si>
    <t>-800.523360216606 36.606176000802 -525.91891259692</t>
  </si>
  <si>
    <t>-781.806371588553 174.487278942439 -71.8755772231019</t>
  </si>
  <si>
    <t>-782.655989760166 192.650709711379 331.267127317079</t>
  </si>
  <si>
    <t>-838.686771815562 198.067683262961 775.911418582317</t>
  </si>
  <si>
    <t>-699.205996763984 243.066572846828 835.973352883817</t>
  </si>
  <si>
    <t>-693.552891110455 -24.049731178211 333.048768081301</t>
  </si>
  <si>
    <t>-714.848558437694 -33.4540978163627 780.204262747224</t>
  </si>
  <si>
    <t>-592.086184924309 -103.707801155921 851.486225676355</t>
  </si>
  <si>
    <t>9763-20170724T111017.519462300.bin</t>
  </si>
  <si>
    <t>-758.80512744683 80.783284826789 -68.959141444921</t>
  </si>
  <si>
    <t>-788.689401924873 71.8409638668481 -180.508183680021</t>
  </si>
  <si>
    <t>-799.952794071096 68.2343972344743 -278.420399894461</t>
  </si>
  <si>
    <t>-804.811294118996 66.1149414255715 -367.359248014194</t>
  </si>
  <si>
    <t>-803.933474106036 64.9140288443282 -456.443620356719</t>
  </si>
  <si>
    <t>-796.656850115425 63.9565098229841 -580.809832855114</t>
  </si>
  <si>
    <t>-766.166865146107 62.5356420296566 -658.097468658111</t>
  </si>
  <si>
    <t>-799.358653127964 92.0817730075382 -526.266555057683</t>
  </si>
  <si>
    <t>-788.231422609171 227.572208048183 -505.862510265897</t>
  </si>
  <si>
    <t>-742.92979929171 267.400292886015 -217.847375645559</t>
  </si>
  <si>
    <t>-508.374856660511 300.186574617262 -173.577227139318</t>
  </si>
  <si>
    <t>-800.358820403483 36.6740558759275 -525.898461818688</t>
  </si>
  <si>
    <t>-781.649717680579 174.779679592416 -71.8801863771482</t>
  </si>
  <si>
    <t>-782.505543668177 192.779984530521 331.269832960151</t>
  </si>
  <si>
    <t>-838.631308862604 197.980288390791 775.92225146798</t>
  </si>
  <si>
    <t>-699.02943698023 242.65518915062 835.94569394605</t>
  </si>
  <si>
    <t>-693.740208132034 -23.9083360911986 333.063896480422</t>
  </si>
  <si>
    <t>-714.922646768269 -33.4948799233207 780.21750710601</t>
  </si>
  <si>
    <t>-592.177149444818 -103.784144028129 851.493398433764</t>
  </si>
  <si>
    <t>9763-20170724T111017.581668900.bin</t>
  </si>
  <si>
    <t>-758.772810822538 81.359990479973 -68.9560832407529</t>
  </si>
  <si>
    <t>-788.628548334748 72.5042700707459 -180.519660676816</t>
  </si>
  <si>
    <t>-799.802596553323 68.7912717665672 -278.438020890988</t>
  </si>
  <si>
    <t>-804.559782872253 66.5042015580575 -367.378394406105</t>
  </si>
  <si>
    <t>-803.563972280509 65.0620491686432 -456.457945907269</t>
  </si>
  <si>
    <t>-796.108268997343 63.6898999009177 -580.809664080632</t>
  </si>
  <si>
    <t>-765.361512165803 62.0323795432014 -657.990654055896</t>
  </si>
  <si>
    <t>-798.759289180452 91.9944027963352 -526.35647485366</t>
  </si>
  <si>
    <t>-787.03303232782 227.500397981164 -506.383536990194</t>
  </si>
  <si>
    <t>-740.797819911309 268.189579759669 -218.637450943006</t>
  </si>
  <si>
    <t>-505.646638593737 299.793257316746 -176.733002074307</t>
  </si>
  <si>
    <t>-800.01922240196 36.593093082859 -525.820747842839</t>
  </si>
  <si>
    <t>-781.236563929135 175.398979976259 -71.8914753967828</t>
  </si>
  <si>
    <t>-782.166371307877 193.18106934009 331.268044511805</t>
  </si>
  <si>
    <t>-838.527932032966 197.979009823415 775.93464562467</t>
  </si>
  <si>
    <t>-699.007202106727 242.915752124813 835.951310655495</t>
  </si>
  <si>
    <t>-693.928390138743 -23.6339657346448 333.105193453549</t>
  </si>
  <si>
    <t>-715.033642932793 -33.4830310846223 780.240362772159</t>
  </si>
  <si>
    <t>-592.357814672666 -103.899318102157 851.510856114198</t>
  </si>
  <si>
    <t>9763-20170724T111017.613753600.bin</t>
  </si>
  <si>
    <t>-758.730166948405 81.6851975432583 -68.9362499570284</t>
  </si>
  <si>
    <t>-788.569745287656 72.8658451825745 -180.506961282739</t>
  </si>
  <si>
    <t>-799.720401964096 69.0821833379919 -278.425391251824</t>
  </si>
  <si>
    <t>-804.455778595375 66.6907856865673 -367.364102169764</t>
  </si>
  <si>
    <t>-803.439506626087 65.1033597743112 -456.440944376389</t>
  </si>
  <si>
    <t>-795.958664527504 63.4845338236837 -580.788129946461</t>
  </si>
  <si>
    <t>-765.111391306387 61.6910300028712 -657.926060427017</t>
  </si>
  <si>
    <t>-798.551218526653 91.8952980350455 -526.387717122339</t>
  </si>
  <si>
    <t>-786.502812778104 227.404412827868 -506.671085319399</t>
  </si>
  <si>
    <t>-739.405333799748 268.731614735938 -219.15580893516</t>
  </si>
  <si>
    <t>-503.902199697318 299.528724267863 -178.649540117459</t>
  </si>
  <si>
    <t>-799.95002866479 36.4985088884177 -525.75060246835</t>
  </si>
  <si>
    <t>-781.01814267535 175.743534974618 -71.8927960937502</t>
  </si>
  <si>
    <t>-781.902109515081 193.437516404511 331.270694014188</t>
  </si>
  <si>
    <t>-838.473993610359 197.975468382475 775.928341906725</t>
  </si>
  <si>
    <t>-698.981327708148 243.006856200062 835.939225082413</t>
  </si>
  <si>
    <t>-693.973112941454 -23.4856760897123 333.124701076503</t>
  </si>
  <si>
    <t>-715.066973129419 -33.4035466595969 780.23990774731</t>
  </si>
  <si>
    <t>-592.443654078744 -103.902392626259 851.518922857367</t>
  </si>
  <si>
    <t>9763-20170724T111017.684946700.bin</t>
  </si>
  <si>
    <t>-758.592823774415 82.4773839000532 -68.8779158005832</t>
  </si>
  <si>
    <t>-788.45754423217 73.7128563365213 -180.446276825887</t>
  </si>
  <si>
    <t>-799.614140836459 69.7838111618644 -278.358262126137</t>
  </si>
  <si>
    <t>-804.354689754934 67.1859528882292 -367.291019065721</t>
  </si>
  <si>
    <t>-803.34688725025 65.3148259088794 -456.362350096107</t>
  </si>
  <si>
    <t>-795.883932463776 63.2192331232372 -580.7036251301</t>
  </si>
  <si>
    <t>-764.870424076558 61.1734023272547 -657.768506631901</t>
  </si>
  <si>
    <t>-798.317242996367 91.8340873610823 -526.402829019404</t>
  </si>
  <si>
    <t>-785.555756380143 227.357350400977 -507.221565756663</t>
  </si>
  <si>
    <t>-735.929796317586 270.004408149561 -220.324871758563</t>
  </si>
  <si>
    <t>-499.820233751644 299.433969748293 -182.417419560274</t>
  </si>
  <si>
    <t>-800.01915643683 36.4484822693698 -525.571513568509</t>
  </si>
  <si>
    <t>-780.541481155176 176.518016855469 -71.9140634421941</t>
  </si>
  <si>
    <t>-781.13764086709 193.955645142869 331.26114512427</t>
  </si>
  <si>
    <t>-838.356205130157 197.900596804478 775.869751260427</t>
  </si>
  <si>
    <t>-698.78062880215 242.727807223619 835.84046235248</t>
  </si>
  <si>
    <t>-694.049460881769 -23.1337100242504 333.185304236208</t>
  </si>
  <si>
    <t>-715.128835056696 -33.2440685886604 780.256671317972</t>
  </si>
  <si>
    <t>-592.623249561922 -103.932611679705 851.550360859405</t>
  </si>
  <si>
    <t>9763-20170724T111017.718034800.bin</t>
  </si>
  <si>
    <t>-758.441004199609 82.8799771216259 -68.8557225964756</t>
  </si>
  <si>
    <t>-788.33405781928 74.1750224571988 -180.421187914832</t>
  </si>
  <si>
    <t>-799.516084285859 70.1836082205768 -278.327585356294</t>
  </si>
  <si>
    <t>-804.284568750769 67.4862938463571 -367.255838585619</t>
  </si>
  <si>
    <t>-803.310357786635 65.4719173967819 -456.324575888751</t>
  </si>
  <si>
    <t>-795.90327611256 63.1306880842385 -580.664622012479</t>
  </si>
  <si>
    <t>-764.849948128292 60.9733412881019 -657.710578471375</t>
  </si>
  <si>
    <t>-798.228139109221 91.8501173560599 -526.414397813928</t>
  </si>
  <si>
    <t>-785.094854091071 227.382850508191 -507.552298916543</t>
  </si>
  <si>
    <t>-734.094856651898 270.667427127669 -220.992255318889</t>
  </si>
  <si>
    <t>-497.731679746314 299.469320630654 -184.198010412471</t>
  </si>
  <si>
    <t>-800.097443088485 36.4715659404492 -525.483081664079</t>
  </si>
  <si>
    <t>-780.162307124318 176.911284668589 -71.9224347888704</t>
  </si>
  <si>
    <t>-780.636385324055 194.187341453137 331.25990531439</t>
  </si>
  <si>
    <t>-838.311014988386 197.85098886842 775.826245658583</t>
  </si>
  <si>
    <t>-698.695340983992 242.612372576587 835.752262946792</t>
  </si>
  <si>
    <t>-694.077019515865 -22.9526462652793 333.213186504945</t>
  </si>
  <si>
    <t>-715.15817056342 -33.1439317132895 780.262895770141</t>
  </si>
  <si>
    <t>-592.738835083288 -103.970917365425 851.566993585319</t>
  </si>
  <si>
    <t>9763-20170724T111017.782243300.bin</t>
  </si>
  <si>
    <t>-757.754081672134 83.592463683482 -68.8414041300557</t>
  </si>
  <si>
    <t>-787.777419958832 75.0178981826316 -180.381919102657</t>
  </si>
  <si>
    <t>-799.077471846542 70.8927699436722 -278.269320979928</t>
  </si>
  <si>
    <t>-803.962448556564 67.9805588379272 -367.184469962836</t>
  </si>
  <si>
    <t>-803.119643627063 65.6556274511267 -456.246898978705</t>
  </si>
  <si>
    <t>-795.914227519181 62.7816054924529 -580.587784743315</t>
  </si>
  <si>
    <t>-764.815888803291 60.3829507997607 -657.608285790514</t>
  </si>
  <si>
    <t>-797.944501872727 91.7258842282081 -526.445345685345</t>
  </si>
  <si>
    <t>-783.846802104427 227.263844047123 -508.296278485067</t>
  </si>
  <si>
    <t>-730.800690959679 271.832401037084 -222.305197080761</t>
  </si>
  <si>
    <t>-494.106174174396 299.446620924268 -186.751880035355</t>
  </si>
  <si>
    <t>-800.225344045954 36.3667766101112 -525.297792038412</t>
  </si>
  <si>
    <t>-778.840275183592 177.532507803237 -71.9361446335496</t>
  </si>
  <si>
    <t>-779.139203360449 194.547621830863 331.257441786253</t>
  </si>
  <si>
    <t>-838.212535792028 197.669797891327 775.688552207292</t>
  </si>
  <si>
    <t>-698.541721123108 242.42017793453 835.494456734239</t>
  </si>
  <si>
    <t>-693.886943819861 -22.689179908296 333.253139617775</t>
  </si>
  <si>
    <t>-715.221700058897 -32.9935644352363 780.263857929258</t>
  </si>
  <si>
    <t>-593.051887945128 -104.205611441151 851.612719943377</t>
  </si>
  <si>
    <t>9763-20170724T111017.815299700.bin</t>
  </si>
  <si>
    <t>-757.368845146295 83.8160917507166 -68.8301457562773</t>
  </si>
  <si>
    <t>-787.49206807513 75.300978949796 -180.348339811144</t>
  </si>
  <si>
    <t>-798.882959559083 71.1148733293603 -278.22277061682</t>
  </si>
  <si>
    <t>-803.855744279794 68.1046862074527 -367.129649393165</t>
  </si>
  <si>
    <t>-803.107577898657 65.6371488843529 -456.189077794423</t>
  </si>
  <si>
    <t>-796.043864949603 62.5170386938671 -580.53220010866</t>
  </si>
  <si>
    <t>-764.942969205132 59.9623329858823 -657.546659513495</t>
  </si>
  <si>
    <t>-797.892449233491 91.563511667875 -526.437824690393</t>
  </si>
  <si>
    <t>-783.239889682101 227.083018016252 -508.599830326399</t>
  </si>
  <si>
    <t>-729.511288382928 272.087701063925 -222.804400565603</t>
  </si>
  <si>
    <t>-492.673416241352 299.118403920773 -187.760873337627</t>
  </si>
  <si>
    <t>-800.412154112256 36.2166254985987 -525.192175427253</t>
  </si>
  <si>
    <t>-778.139213502267 177.723944437366 -71.9427113410013</t>
  </si>
  <si>
    <t>-778.200159012855 194.652819759841 331.254561325727</t>
  </si>
  <si>
    <t>-838.143608863681 197.550558648109 775.599572196177</t>
  </si>
  <si>
    <t>-698.388064955691 242.110370419774 835.349307850133</t>
  </si>
  <si>
    <t>-693.792378971738 -22.6678334009648 333.279981643343</t>
  </si>
  <si>
    <t>-715.276897217986 -33.0050014092399 780.269830563422</t>
  </si>
  <si>
    <t>-593.135328022519 -104.249517664003 851.634822659929</t>
  </si>
  <si>
    <t>9763-20170724T111017.882234600.bin</t>
  </si>
  <si>
    <t>-756.646866275005 84.0960100065768 -68.8195656835145</t>
  </si>
  <si>
    <t>-786.961501600176 75.6677025239578 -180.292504098371</t>
  </si>
  <si>
    <t>-798.548657923935 71.3952245529631 -278.140007754581</t>
  </si>
  <si>
    <t>-803.716311152893 68.2448422789639 -367.030912355412</t>
  </si>
  <si>
    <t>-803.182413337559 65.5719430186791 -456.086148663501</t>
  </si>
  <si>
    <t>-796.440453620634 62.0957482395925 -580.437436979689</t>
  </si>
  <si>
    <t>-765.351076505112 59.2040636787219 -657.444733672423</t>
  </si>
  <si>
    <t>-797.916256610579 91.285780994293 -526.408953262087</t>
  </si>
  <si>
    <t>-782.183508381541 226.73724135024 -509.001687356733</t>
  </si>
  <si>
    <t>-727.122576115783 272.141876840753 -223.523310853899</t>
  </si>
  <si>
    <t>-490.127124734608 298.526353038211 -189.058182841384</t>
  </si>
  <si>
    <t>-800.898167209767 35.9652462442023 -525.024149349608</t>
  </si>
  <si>
    <t>-776.800174735068 178.015789847344 -71.9936929142027</t>
  </si>
  <si>
    <t>-776.481245780774 194.811082133884 331.209145151911</t>
  </si>
  <si>
    <t>-838.03151390443 197.38159051525 775.367498549453</t>
  </si>
  <si>
    <t>-698.245578282774 241.974289852176 835.022446794169</t>
  </si>
  <si>
    <t>-693.623791106575 -22.6412484766879 333.347727913776</t>
  </si>
  <si>
    <t>-715.372196180469 -32.9268414550611 780.292771645073</t>
  </si>
  <si>
    <t>-593.423021117026 -104.47449317036 851.683264794304</t>
  </si>
  <si>
    <t>9763-20170724T111017.925349800.bin</t>
  </si>
  <si>
    <t>-756.292986519146 84.1762212585245 -68.8346223391459</t>
  </si>
  <si>
    <t>-786.643212476029 75.7977339980571 -180.301668654984</t>
  </si>
  <si>
    <t>-798.306462984677 71.5098501015186 -278.139539516709</t>
  </si>
  <si>
    <t>-803.562931660346 68.3233867696208 -367.024016244508</t>
  </si>
  <si>
    <t>-803.138765082478 65.5909309075246 -456.077874160518</t>
  </si>
  <si>
    <t>-796.572707333278 62.007136423138 -580.435661925138</t>
  </si>
  <si>
    <t>-765.495715131725 58.9738519989423 -657.442490165967</t>
  </si>
  <si>
    <t>-797.869469236465 91.2382578581919 -526.424822810349</t>
  </si>
  <si>
    <t>-781.612212606331 226.646012606982 -509.157854004541</t>
  </si>
  <si>
    <t>-725.847246128732 272.295001124579 -223.855072432578</t>
  </si>
  <si>
    <t>-488.810953720345 298.339097750162 -189.411652482276</t>
  </si>
  <si>
    <t>-801.054759470486 35.9302440835581 -524.999129430937</t>
  </si>
  <si>
    <t>-776.133021786285 178.134929724384 -72.0287104011932</t>
  </si>
  <si>
    <t>-775.872784880743 194.910029166766 331.174960926092</t>
  </si>
  <si>
    <t>-837.970085780855 197.403822950424 775.25579321686</t>
  </si>
  <si>
    <t>-698.332227344389 242.433065087318 834.92941045199</t>
  </si>
  <si>
    <t>-693.478572163024 -22.6497691079448 333.363082593381</t>
  </si>
  <si>
    <t>-715.410921556238 -32.8617361037204 780.298827770174</t>
  </si>
  <si>
    <t>-593.459554296359 -104.404917279215 851.690185177235</t>
  </si>
  <si>
    <t>9763-20170724T111017.961948000.bin</t>
  </si>
  <si>
    <t>-755.938034726499 84.1630088063826 -68.847313594694</t>
  </si>
  <si>
    <t>-786.301036644299 75.851391389202 -180.315912470561</t>
  </si>
  <si>
    <t>-798.02423796796 71.5680337328281 -278.146667389139</t>
  </si>
  <si>
    <t>-803.356436895593 68.3663701921614 -367.026049764051</t>
  </si>
  <si>
    <t>-803.030597572068 65.5978757851367 -456.079257536691</t>
  </si>
  <si>
    <t>-796.625860691544 61.9418605080723 -580.443329571634</t>
  </si>
  <si>
    <t>-765.565633874279 58.7902900606532 -657.452060336844</t>
  </si>
  <si>
    <t>-797.753472855386 91.1985699207694 -526.442568880258</t>
  </si>
  <si>
    <t>-780.988730409257 226.560678010167 -509.304991759997</t>
  </si>
  <si>
    <t>-724.560542397557 272.500709114794 -224.179473716468</t>
  </si>
  <si>
    <t>-487.515695626226 298.349580557277 -189.648137068207</t>
  </si>
  <si>
    <t>-801.135055833707 35.9028104359018 -524.991255439585</t>
  </si>
  <si>
    <t>-775.446969990051 178.198986342449 -72.0534523359811</t>
  </si>
  <si>
    <t>-775.437411863918 194.943669486171 331.151534720023</t>
  </si>
  <si>
    <t>-837.863243798781 197.371177659947 775.176485976211</t>
  </si>
  <si>
    <t>-698.123830709885 242.009808933224 834.905638590526</t>
  </si>
  <si>
    <t>-693.357690046497 -22.7230770132164 333.375982015811</t>
  </si>
  <si>
    <t>-715.487153568794 -32.9060827097733 780.317472568987</t>
  </si>
  <si>
    <t>-593.462627024497 -104.335937436593 851.697472457225</t>
  </si>
  <si>
    <t>9763-20170724T111018.019157600.bin</t>
  </si>
  <si>
    <t>-755.584673022103 84.0816457719147 -68.8584688544235</t>
  </si>
  <si>
    <t>-785.910981002772 75.8905570101711 -180.345770744829</t>
  </si>
  <si>
    <t>-797.666737697147 71.6368682973161 -278.174035302723</t>
  </si>
  <si>
    <t>-803.056852549951 68.4342722424744 -367.05002719428</t>
  </si>
  <si>
    <t>-802.817971443607 65.6353706933737 -456.102386473873</t>
  </si>
  <si>
    <t>-796.567074768104 61.9056733918392 -580.472235413213</t>
  </si>
  <si>
    <t>-765.537362568518 58.5726752169967 -657.485611907552</t>
  </si>
  <si>
    <t>-797.46422622534 91.1840716157385 -526.478957431024</t>
  </si>
  <si>
    <t>-779.818762444493 226.453771884818 -509.512850973063</t>
  </si>
  <si>
    <t>-722.128646371646 273.031055421104 -224.743518230955</t>
  </si>
  <si>
    <t>-485.040567417871 298.555817122463 -190.266870568499</t>
  </si>
  <si>
    <t>-801.171471857465 35.9097563333239 -525.007624443907</t>
  </si>
  <si>
    <t>-774.656274129643 178.249858144012 -72.1186719954499</t>
  </si>
  <si>
    <t>-775.004116933042 194.912387351506 331.089629516926</t>
  </si>
  <si>
    <t>-837.66871061616 197.325134676052 775.041796848184</t>
  </si>
  <si>
    <t>-697.846484659021 241.583321231593 834.860640275008</t>
  </si>
  <si>
    <t>-693.470313026104 -22.8682635717023 333.381140223579</t>
  </si>
  <si>
    <t>-715.639078185708 -33.0072225947274 780.341569059979</t>
  </si>
  <si>
    <t>-593.575916744939 -104.384833109391 851.707714340723</t>
  </si>
  <si>
    <t>9763-20170724T111018.064289800.bin</t>
  </si>
  <si>
    <t>-755.61133743406 84.0616648197297 -68.8773925176988</t>
  </si>
  <si>
    <t>-785.871951343742 75.9260543527444 -180.386732533546</t>
  </si>
  <si>
    <t>-797.587454430518 71.6938759412374 -278.220716381993</t>
  </si>
  <si>
    <t>-802.948909677215 68.5011552636447 -367.098683877856</t>
  </si>
  <si>
    <t>-802.689940952844 65.701862018504 -456.15112460062</t>
  </si>
  <si>
    <t>-796.420276894771 61.9605308358268 -580.519634773885</t>
  </si>
  <si>
    <t>-765.393678278096 58.5763255678098 -657.532141118544</t>
  </si>
  <si>
    <t>-797.263798871374 91.2399039173702 -526.525810913833</t>
  </si>
  <si>
    <t>-779.268459387821 226.477244777445 -509.616957949646</t>
  </si>
  <si>
    <t>-720.870640872853 273.369371590896 -225.04351849284</t>
  </si>
  <si>
    <t>-483.770553713837 298.808428751631 -190.58780170447</t>
  </si>
  <si>
    <t>-801.094741425543 35.9738312681197 -525.0563437475</t>
  </si>
  <si>
    <t>-774.442741929626 178.299129491318 -72.1651512303088</t>
  </si>
  <si>
    <t>-775.043959292646 194.893990298415 331.045591795099</t>
  </si>
  <si>
    <t>-837.593224289703 197.334091697132 774.987937510804</t>
  </si>
  <si>
    <t>-697.821878437836 241.709360868943 834.838315302904</t>
  </si>
  <si>
    <t>-693.690838707196 -22.9395715697815 333.37824642547</t>
  </si>
  <si>
    <t>-715.731241247471 -33.1006336523101 780.352896349473</t>
  </si>
  <si>
    <t>-593.472401162381 -104.159732774239 851.702109035586</t>
  </si>
  <si>
    <t>9763-20170724T111018.119036100.bin</t>
  </si>
  <si>
    <t>-755.736948509325 83.9452139386844 -68.9483564746173</t>
  </si>
  <si>
    <t>-785.864899460568 75.9789778845711 -180.505809198767</t>
  </si>
  <si>
    <t>-797.494066534734 71.8243992341145 -278.353501266003</t>
  </si>
  <si>
    <t>-802.791571739173 68.6790749192205 -367.23705964529</t>
  </si>
  <si>
    <t>-802.484318617856 65.9038326874283 -456.290064146507</t>
  </si>
  <si>
    <t>-796.16511233176 62.1736225673385 -580.656300597022</t>
  </si>
  <si>
    <t>-765.107806671708 58.7830543849518 -657.65616248043</t>
  </si>
  <si>
    <t>-796.937846367542 91.4417781380043 -526.655512811875</t>
  </si>
  <si>
    <t>-778.423326586743 226.624182073404 -509.87293448023</t>
  </si>
  <si>
    <t>-718.097987774218 274.634249121096 -225.888605892497</t>
  </si>
  <si>
    <t>-481.053283357647 300.049128653292 -191.034863253275</t>
  </si>
  <si>
    <t>-800.953879129158 36.1883872827157 -525.202246877862</t>
  </si>
  <si>
    <t>-774.054813829741 178.214551082428 -72.2131738201249</t>
  </si>
  <si>
    <t>-775.151396362542 195.036977984586 330.987147220975</t>
  </si>
  <si>
    <t>-837.451000626552 197.476260580541 774.939803603908</t>
  </si>
  <si>
    <t>-697.702298030491 241.77582947042 834.899723405014</t>
  </si>
  <si>
    <t>-694.20115397533 -22.8964998215824 333.330331704999</t>
  </si>
  <si>
    <t>-715.874809435123 -33.1864082148068 780.367933426385</t>
  </si>
  <si>
    <t>-593.689898886346 -104.369804939826 851.719581334716</t>
  </si>
  <si>
    <t>9763-20170724T111018.151116200.bin</t>
  </si>
  <si>
    <t>-755.801721835884 83.8177668801541 -68.9340015553432</t>
  </si>
  <si>
    <t>-785.907868333558 75.9084928771331 -180.501365253926</t>
  </si>
  <si>
    <t>-797.500777625223 71.7845363610272 -278.354615065298</t>
  </si>
  <si>
    <t>-802.759269489114 68.6596945753704 -367.241136321456</t>
  </si>
  <si>
    <t>-802.406981567646 65.898029260391 -456.294579718698</t>
  </si>
  <si>
    <t>-796.018791779489 62.1791306831828 -580.657638067711</t>
  </si>
  <si>
    <t>-764.930777885065 58.7947007606331 -657.64540507502</t>
  </si>
  <si>
    <t>-796.792344376431 91.4402382627168 -526.652862007083</t>
  </si>
  <si>
    <t>-778.137307659308 226.615068272721 -509.934511013431</t>
  </si>
  <si>
    <t>-716.914688238904 275.148104860879 -226.231089557891</t>
  </si>
  <si>
    <t>-479.891566394892 300.535345726119 -191.212684021017</t>
  </si>
  <si>
    <t>-800.867707840162 36.1910637543215 -525.21021050107</t>
  </si>
  <si>
    <t>-773.897581351684 178.119974356177 -72.2137321910909</t>
  </si>
  <si>
    <t>-775.178122908304 195.121349347657 330.978507280463</t>
  </si>
  <si>
    <t>-837.404437164045 197.523189596231 774.92184991148</t>
  </si>
  <si>
    <t>-697.658541445232 241.808782241149 834.898703439231</t>
  </si>
  <si>
    <t>-694.411187583592 -23.0088012989963 333.311516482032</t>
  </si>
  <si>
    <t>-715.957513616264 -33.2922537998347 780.376110497509</t>
  </si>
  <si>
    <t>-593.619838253205 -104.225679959407 851.714775555209</t>
  </si>
  <si>
    <t>9763-20170724T111018.219303600.bin</t>
  </si>
  <si>
    <t>-756.218903343213 83.9573833415734 -68.8597259771245</t>
  </si>
  <si>
    <t>-786.329234145614 76.1811885124807 -180.435384920964</t>
  </si>
  <si>
    <t>-797.845607953416 72.1469953414562 -278.301319987002</t>
  </si>
  <si>
    <t>-803.003894173596 69.091901582934 -367.19634427093</t>
  </si>
  <si>
    <t>-802.520601439518 66.3863534525904 -456.250725817474</t>
  </si>
  <si>
    <t>-795.917731692754 62.7297055710364 -580.604355937691</t>
  </si>
  <si>
    <t>-764.712508992974 59.3831973916385 -657.546316902206</t>
  </si>
  <si>
    <t>-796.741186020385 91.9604644712431 -526.584144105985</t>
  </si>
  <si>
    <t>-777.89633862643 227.109646067544 -509.906254520037</t>
  </si>
  <si>
    <t>-715.450585428479 276.174735612492 -226.561325885595</t>
  </si>
  <si>
    <t>-478.426413221807 301.572820145933 -191.555195522412</t>
  </si>
  <si>
    <t>-800.905384392857 36.7170082069092 -525.180802764151</t>
  </si>
  <si>
    <t>-774.185948202164 178.177126628524 -72.1451823841358</t>
  </si>
  <si>
    <t>-775.362357254141 195.348653408875 331.040181018245</t>
  </si>
  <si>
    <t>-837.309671493458 197.551427159367 774.941285096608</t>
  </si>
  <si>
    <t>-697.588144797661 241.93204966317 834.90402068195</t>
  </si>
  <si>
    <t>-694.823807450749 -22.9915680024505 333.286049225142</t>
  </si>
  <si>
    <t>-716.07322682256 -33.2989456354849 780.38624295222</t>
  </si>
  <si>
    <t>-593.911759509996 -104.541418240246 851.718976675627</t>
  </si>
  <si>
    <t>9763-20170724T111018.287135100.bin</t>
  </si>
  <si>
    <t>-756.493280781313 83.9203145554934 -68.8420860212437</t>
  </si>
  <si>
    <t>-786.616721014159 76.2602735081791 -180.422138448079</t>
  </si>
  <si>
    <t>-798.090879499996 72.3599134828687 -278.298558298588</t>
  </si>
  <si>
    <t>-803.187612549324 69.4397562901363 -367.201593306111</t>
  </si>
  <si>
    <t>-802.619521678339 66.8818113716079 -456.259853243856</t>
  </si>
  <si>
    <t>-795.873415657723 63.4450608110246 -580.612127181325</t>
  </si>
  <si>
    <t>-764.475397461318 60.1659160041113 -657.478408749104</t>
  </si>
  <si>
    <t>-796.747527814191 92.5794213011427 -526.540630014582</t>
  </si>
  <si>
    <t>-777.893668801308 227.718279127424 -509.765302726115</t>
  </si>
  <si>
    <t>-714.330033605613 276.915929254867 -226.692005788933</t>
  </si>
  <si>
    <t>-477.276116134401 302.295446547313 -191.876819777298</t>
  </si>
  <si>
    <t>-800.936036853264 37.3352314319891 -525.24100836097</t>
  </si>
  <si>
    <t>-774.273257240714 178.163691220057 -72.0561546097256</t>
  </si>
  <si>
    <t>-775.280260271699 195.475151603267 331.123660854904</t>
  </si>
  <si>
    <t>-837.236963228488 197.600209269621 775.012076481519</t>
  </si>
  <si>
    <t>-697.600895516346 242.301093624425 834.93545228583</t>
  </si>
  <si>
    <t>-695.24363903044 -22.9711189995924 333.266742337659</t>
  </si>
  <si>
    <t>-716.185550282718 -33.3380899757221 780.38874851549</t>
  </si>
  <si>
    <t>-594.127247935597 -104.769370618199 851.709624225188</t>
  </si>
  <si>
    <t>9763-20170724T111018.321225500.bin</t>
  </si>
  <si>
    <t>-756.531882161729 83.9028815823062 -68.8207015400884</t>
  </si>
  <si>
    <t>-786.655523440586 76.2987093883658 -180.404615537495</t>
  </si>
  <si>
    <t>-798.092952448624 72.4611655301383 -278.287762085122</t>
  </si>
  <si>
    <t>-803.141701573162 69.6027704014164 -367.195447691859</t>
  </si>
  <si>
    <t>-802.509912612408 67.1105218528328 -456.25521574982</t>
  </si>
  <si>
    <t>-795.659225902264 63.7688142020515 -580.604300615628</t>
  </si>
  <si>
    <t>-764.132638388522 60.5540666690772 -657.420810003589</t>
  </si>
  <si>
    <t>-796.572633698671 92.8614027854815 -526.510983813305</t>
  </si>
  <si>
    <t>-777.688543605725 227.975218795292 -509.672811707394</t>
  </si>
  <si>
    <t>-713.740249925356 277.377616477841 -226.721808014668</t>
  </si>
  <si>
    <t>-476.669906581052 302.666891730856 -191.951421797019</t>
  </si>
  <si>
    <t>-800.775178700359 37.6171799208851 -525.257910649088</t>
  </si>
  <si>
    <t>-774.250392569679 178.131307720171 -72.0010593026772</t>
  </si>
  <si>
    <t>-775.246336907227 195.470357118822 331.177574053973</t>
  </si>
  <si>
    <t>-837.182498540868 197.578818140928 775.054054593803</t>
  </si>
  <si>
    <t>-697.527548282654 242.239433701545 834.964420626244</t>
  </si>
  <si>
    <t>-695.34141535778 -22.9400235707185 333.252111142775</t>
  </si>
  <si>
    <t>-716.208746359442 -33.2495084316984 780.385182039616</t>
  </si>
  <si>
    <t>-594.192351150347 -104.753504188263 851.704694431389</t>
  </si>
  <si>
    <t>9763-20170724T111018.387171900.bin</t>
  </si>
  <si>
    <t>-756.6506563775 83.7977152502772 -68.7839273677189</t>
  </si>
  <si>
    <t>-786.731087358782 76.3032319195413 -180.386935088273</t>
  </si>
  <si>
    <t>-798.071291721661 72.6042215027296 -278.286757486361</t>
  </si>
  <si>
    <t>-803.005878219843 69.8873885480857 -367.205309135195</t>
  </si>
  <si>
    <t>-802.234302883174 67.5523062190769 -456.268055934756</t>
  </si>
  <si>
    <t>-795.159933110402 64.4453889834945 -580.61077306349</t>
  </si>
  <si>
    <t>-763.326731328343 61.4209803913395 -657.308487994052</t>
  </si>
  <si>
    <t>-796.154784916959 93.4347566806373 -526.463462455108</t>
  </si>
  <si>
    <t>-777.182044376066 228.52599447493 -509.48708413634</t>
  </si>
  <si>
    <t>-712.290267049752 278.484440317814 -226.848855205725</t>
  </si>
  <si>
    <t>-475.151176663543 303.459027816722 -192.32109452974</t>
  </si>
  <si>
    <t>-800.391463847862 38.1904972759344 -525.323923783065</t>
  </si>
  <si>
    <t>-774.170339298545 178.08192290886 -71.8865177785992</t>
  </si>
  <si>
    <t>-775.26779038228 195.49471541885 331.288669544041</t>
  </si>
  <si>
    <t>-837.058506747007 197.673853532556 775.178647463668</t>
  </si>
  <si>
    <t>-697.439561441392 242.335194134221 835.172331001074</t>
  </si>
  <si>
    <t>-695.400463483959 -23.0904268440345 333.233593145943</t>
  </si>
  <si>
    <t>-716.363066058818 -33.4888561509074 780.381938890227</t>
  </si>
  <si>
    <t>-594.214821254705 -104.7813278044 851.687822109051</t>
  </si>
  <si>
    <t>9763-20170724T111018.416247700.bin</t>
  </si>
  <si>
    <t>-756.684832046092 83.7548843465115 -68.7599393421474</t>
  </si>
  <si>
    <t>-786.718575824277 76.3028459351972 -180.378443624949</t>
  </si>
  <si>
    <t>-798.007522545003 72.6601481433031 -278.286319053674</t>
  </si>
  <si>
    <t>-802.891406846724 70.002728343447 -367.209314580498</t>
  </si>
  <si>
    <t>-802.063811589848 67.7350855767609 -456.273465942339</t>
  </si>
  <si>
    <t>-794.905731831561 64.7308888844373 -580.61404050834</t>
  </si>
  <si>
    <t>-762.911112240968 61.8053202617657 -657.248210519347</t>
  </si>
  <si>
    <t>-795.93230089035 93.6750890691483 -526.443015098094</t>
  </si>
  <si>
    <t>-776.935188349097 228.754974062009 -509.422126402835</t>
  </si>
  <si>
    <t>-711.482907305121 279.08944005705 -226.979683985462</t>
  </si>
  <si>
    <t>-474.284900388835 303.831203389721 -192.689239493275</t>
  </si>
  <si>
    <t>-800.178925271102 38.4308112856179 -525.352611828095</t>
  </si>
  <si>
    <t>-774.107023502643 178.06484060977 -71.8346756439952</t>
  </si>
  <si>
    <t>-775.288143505519 195.56800214215 331.336403015114</t>
  </si>
  <si>
    <t>-836.980712498321 197.725057454593 775.239885696578</t>
  </si>
  <si>
    <t>-697.339249266321 242.225797327679 835.30124330777</t>
  </si>
  <si>
    <t>-695.468060402208 -23.1174693075582 333.234477145562</t>
  </si>
  <si>
    <t>-716.420791456064 -33.5348280221556 780.385857138189</t>
  </si>
  <si>
    <t>-594.185098787981 -104.684984182711 851.683646940142</t>
  </si>
  <si>
    <t>9763-20170724T111018.485435400.bin</t>
  </si>
  <si>
    <t>-756.887705187369 83.8538082085643 -68.6815290721968</t>
  </si>
  <si>
    <t>-786.821049207816 76.5314901698362 -180.335481994376</t>
  </si>
  <si>
    <t>-798.018129316595 72.9950296622196 -278.257835818638</t>
  </si>
  <si>
    <t>-802.817150260331 70.4354025762646 -367.188505459116</t>
  </si>
  <si>
    <t>-801.904190623634 68.2686157603357 -456.254314163973</t>
  </si>
  <si>
    <t>-794.626147967855 65.4101133804406 -580.591030039969</t>
  </si>
  <si>
    <t>-762.282700332584 62.6855051775701 -657.08639169491</t>
  </si>
  <si>
    <t>-795.699259785966 94.2903766662748 -526.387005267016</t>
  </si>
  <si>
    <t>-776.636781645827 229.360279588841 -509.356060988617</t>
  </si>
  <si>
    <t>-710.095338036102 280.335684384378 -227.283283814981</t>
  </si>
  <si>
    <t>-472.921529710402 305.199342102961 -192.914207728695</t>
  </si>
  <si>
    <t>-799.958500030136 39.0456525631544 -525.36616007592</t>
  </si>
  <si>
    <t>-774.103569881946 178.251980866567 -71.7209712852276</t>
  </si>
  <si>
    <t>-775.379034978251 195.819352404712 331.447010361582</t>
  </si>
  <si>
    <t>-836.830711626186 197.897595661761 775.375598746057</t>
  </si>
  <si>
    <t>-697.372071520006 242.756506713275 835.593732316248</t>
  </si>
  <si>
    <t>-695.800574820383 -23.0102884092566 333.237614805347</t>
  </si>
  <si>
    <t>-716.504302812427 -33.565120945475 780.394218723483</t>
  </si>
  <si>
    <t>-594.251510559867 -104.681869812272 851.696454446309</t>
  </si>
  <si>
    <t>9763-20170724T111018.521551900.bin</t>
  </si>
  <si>
    <t>-757.075531050943 84.0016635391789 -68.6301306163025</t>
  </si>
  <si>
    <t>-786.960376883721 76.7605563529683 -180.302361369696</t>
  </si>
  <si>
    <t>-798.121250934958 73.2715266308301 -278.230559285762</t>
  </si>
  <si>
    <t>-802.891408618146 70.7486136394018 -367.163744657825</t>
  </si>
  <si>
    <t>-801.953182215707 68.613800153862 -456.229994973944</t>
  </si>
  <si>
    <t>-794.64427246775 65.7963185547083 -580.566102844778</t>
  </si>
  <si>
    <t>-762.127036064318 63.156774432749 -656.990440320478</t>
  </si>
  <si>
    <t>-795.730150818771 94.6587176200055 -526.352643191418</t>
  </si>
  <si>
    <t>-776.61150286517 229.725943133319 -509.337524916088</t>
  </si>
  <si>
    <t>-709.640844254396 280.90271956472 -227.403055046236</t>
  </si>
  <si>
    <t>-472.442984840249 305.803298306278 -193.226689839509</t>
  </si>
  <si>
    <t>-799.991032152535 39.4137354197987 -525.351283341297</t>
  </si>
  <si>
    <t>-774.156949791932 178.408856234699 -71.6618451530172</t>
  </si>
  <si>
    <t>-775.431172828726 195.908940988807 331.509079704619</t>
  </si>
  <si>
    <t>-836.761660342113 197.945632300058 775.441900865836</t>
  </si>
  <si>
    <t>-697.264696617158 242.606046859871 835.718490117903</t>
  </si>
  <si>
    <t>-695.98020505397 -22.910715705139 333.232358245114</t>
  </si>
  <si>
    <t>-716.528659866882 -33.5051934117832 780.397516653191</t>
  </si>
  <si>
    <t>-594.28526223264 -104.636563109965 851.701021752638</t>
  </si>
  <si>
    <t>9763-20170724T111018.581725400.bin</t>
  </si>
  <si>
    <t>-757.46359739749 84.3978143437521 -68.5603247960428</t>
  </si>
  <si>
    <t>-787.32155583581 77.2610352617799 -180.246488429675</t>
  </si>
  <si>
    <t>-798.434240661327 73.799462362113 -278.181072456451</t>
  </si>
  <si>
    <t>-803.153247148561 71.2808644073493 -367.117127966829</t>
  </si>
  <si>
    <t>-802.15776372394 69.1315841964392 -456.182460016134</t>
  </si>
  <si>
    <t>-794.763288471147 66.2766101018228 -580.512578526703</t>
  </si>
  <si>
    <t>-761.912494212397 63.7463991360837 -656.79802523012</t>
  </si>
  <si>
    <t>-795.892251044125 95.1557521214118 -526.309018440633</t>
  </si>
  <si>
    <t>-776.703427570337 230.231132002498 -509.395395895462</t>
  </si>
  <si>
    <t>-708.956105470077 281.833097041837 -227.723990782207</t>
  </si>
  <si>
    <t>-471.803551933541 307.12785054421 -193.522431875435</t>
  </si>
  <si>
    <t>-800.141912609687 39.9101923319067 -525.293008254227</t>
  </si>
  <si>
    <t>-774.319268978273 178.757930468501 -71.5562592115331</t>
  </si>
  <si>
    <t>-775.463263618813 196.219191519161 331.616744339437</t>
  </si>
  <si>
    <t>-836.585367174972 198.070738431 775.580418923273</t>
  </si>
  <si>
    <t>-697.154531115209 242.69317045786 836.038584751207</t>
  </si>
  <si>
    <t>-696.302110555271 -22.6403065475215 333.238654582735</t>
  </si>
  <si>
    <t>-716.615497006444 -33.5503903590416 780.409695362568</t>
  </si>
  <si>
    <t>-594.413089055464 -104.737942354947 851.727107489622</t>
  </si>
  <si>
    <t>9763-20170724T111018.614790600.bin</t>
  </si>
  <si>
    <t>-757.524709613248 84.5979981680011 -68.5245281566141</t>
  </si>
  <si>
    <t>-787.368967719681 77.4619702196096 -180.214426651315</t>
  </si>
  <si>
    <t>-798.443219339549 73.9882709058465 -278.152867763652</t>
  </si>
  <si>
    <t>-803.117018907941 71.4534919902899 -367.090963170942</t>
  </si>
  <si>
    <t>-802.066371190282 69.2834544082775 -456.155150259765</t>
  </si>
  <si>
    <t>-794.585285805333 66.3940754022879 -580.479269105509</t>
  </si>
  <si>
    <t>-761.578593102047 63.9015964527425 -656.698630981174</t>
  </si>
  <si>
    <t>-795.758410241034 95.2887393253081 -526.284808035795</t>
  </si>
  <si>
    <t>-776.610159086935 230.372053914911 -509.450478880737</t>
  </si>
  <si>
    <t>-708.388075036415 282.316314937435 -227.956623592937</t>
  </si>
  <si>
    <t>-471.271832630959 307.847697216907 -193.679788218561</t>
  </si>
  <si>
    <t>-799.9961952709 40.0423662028311 -525.255875243391</t>
  </si>
  <si>
    <t>-774.244744155683 178.881497493337 -71.5079368552105</t>
  </si>
  <si>
    <t>-775.386093789082 196.452070177546 331.660350836192</t>
  </si>
  <si>
    <t>-836.477906125923 198.127482362579 775.646204886353</t>
  </si>
  <si>
    <t>-697.07424050259 242.678513504966 836.220040650924</t>
  </si>
  <si>
    <t>-696.291601837688 -22.4809112000862 333.258038244589</t>
  </si>
  <si>
    <t>-716.639046115795 -33.5202772310872 780.416021974376</t>
  </si>
  <si>
    <t>-594.571775328784 -104.920842040075 851.752441555581</t>
  </si>
  <si>
    <t>9763-20170724T111018.666431400.bin</t>
  </si>
  <si>
    <t>-757.480991587827 84.7873885681224 -68.4779580397619</t>
  </si>
  <si>
    <t>-787.269570766563 77.6432530023931 -180.18212773809</t>
  </si>
  <si>
    <t>-798.273600727946 74.1498977044935 -278.127796513045</t>
  </si>
  <si>
    <t>-802.875912824213 71.5920186740937 -367.068925575391</t>
  </si>
  <si>
    <t>-801.74514687197 69.3927642704734 -456.131289149677</t>
  </si>
  <si>
    <t>-794.144251373774 66.4565580070393 -580.447210634348</t>
  </si>
  <si>
    <t>-760.98682999713 63.9873148374772 -656.601785869955</t>
  </si>
  <si>
    <t>-795.375360257242 95.3719474870245 -526.265035871893</t>
  </si>
  <si>
    <t>-776.272174133589 230.469070711971 -509.500089842132</t>
  </si>
  <si>
    <t>-707.739541907816 282.966455611748 -228.184414928939</t>
  </si>
  <si>
    <t>-470.686851254193 308.818641267401 -193.708903518755</t>
  </si>
  <si>
    <t>-799.602791002879 40.1252805470986 -525.218741443051</t>
  </si>
  <si>
    <t>-774.129230104935 179.056950593074 -71.4603585189629</t>
  </si>
  <si>
    <t>-775.214467817893 196.703861311418 331.704715809066</t>
  </si>
  <si>
    <t>-836.400475082463 198.187864236874 775.683223158779</t>
  </si>
  <si>
    <t>-697.135603327749 243.054884273201 836.342048719999</t>
  </si>
  <si>
    <t>-696.148317489823 -22.3682343651712 333.291455895217</t>
  </si>
  <si>
    <t>-716.696160204268 -33.5722336205713 780.44954879789</t>
  </si>
  <si>
    <t>-594.762181568135 -105.17817546829 851.808105939592</t>
  </si>
  <si>
    <t>9763-20170724T111018.719073700.bin</t>
  </si>
  <si>
    <t>-757.281230734199 84.9288374680596 -68.3699366246415</t>
  </si>
  <si>
    <t>-786.995309279332 77.7422586745902 -180.091251524661</t>
  </si>
  <si>
    <t>-797.85167871315 74.2033433170318 -278.05184182586</t>
  </si>
  <si>
    <t>-802.286842322176 71.598318521661 -367.000104161504</t>
  </si>
  <si>
    <t>-800.956548319621 69.345593107048 -456.058482083293</t>
  </si>
  <si>
    <t>-793.04329425618 66.327098613061 -580.352764023108</t>
  </si>
  <si>
    <t>-759.574308631915 63.893055763976 -656.372101468481</t>
  </si>
  <si>
    <t>-794.436887112098 95.2801975281818 -526.194911354448</t>
  </si>
  <si>
    <t>-775.45286794078 230.408850168662 -509.52248324849</t>
  </si>
  <si>
    <t>-706.593633619533 283.718123815216 -228.439395165307</t>
  </si>
  <si>
    <t>-469.594449292617 309.914343615676 -193.85592899743</t>
  </si>
  <si>
    <t>-798.614087751395 40.0303708853044 -525.119138759099</t>
  </si>
  <si>
    <t>-773.916945118686 179.260879138899 -71.3776976858685</t>
  </si>
  <si>
    <t>-774.874720291603 197.088132080909 331.779742045685</t>
  </si>
  <si>
    <t>-836.288444725033 198.363209639648 775.714584123014</t>
  </si>
  <si>
    <t>-697.121326772959 243.334308949438 836.520735940448</t>
  </si>
  <si>
    <t>-695.842256892588 -22.4084727376062 333.390607099822</t>
  </si>
  <si>
    <t>-716.798122762781 -33.756632226969 780.498910430399</t>
  </si>
  <si>
    <t>-594.536344672535 -104.820979256602 851.837551261872</t>
  </si>
  <si>
    <t>9763-20170724T111018.786292700.bin</t>
  </si>
  <si>
    <t>-757.037993664123 85.1592623874944 -68.2923641507775</t>
  </si>
  <si>
    <t>-786.732721931263 78.0066453819154 -180.020987884591</t>
  </si>
  <si>
    <t>-797.436199515364 74.4429755011561 -277.99755695987</t>
  </si>
  <si>
    <t>-801.680007170396 71.7925640546473 -366.953719200348</t>
  </si>
  <si>
    <t>-800.106326939529 69.4701813588727 -456.006316492667</t>
  </si>
  <si>
    <t>-791.800634407662 66.3283007370756 -580.272078925252</t>
  </si>
  <si>
    <t>-757.980927997419 63.8920451082104 -656.135740492408</t>
  </si>
  <si>
    <t>-793.394279530321 95.3373629323869 -526.149532810138</t>
  </si>
  <si>
    <t>-774.517031258897 230.483060107805 -509.521440611121</t>
  </si>
  <si>
    <t>-705.775354157514 283.780025777324 -228.407308829998</t>
  </si>
  <si>
    <t>-468.574391884628 309.904569851938 -195.17863442123</t>
  </si>
  <si>
    <t>-797.516794068427 40.0843881887927 -525.028065759719</t>
  </si>
  <si>
    <t>-773.632930579968 179.575859619516 -71.3094178704411</t>
  </si>
  <si>
    <t>-774.487935760491 197.46210294212 331.845678723299</t>
  </si>
  <si>
    <t>-836.188203672579 198.464265674086 775.72441400291</t>
  </si>
  <si>
    <t>-697.039458800446 243.378894342352 836.6143179531</t>
  </si>
  <si>
    <t>-695.479589388407 -22.2222497320513 333.415113350644</t>
  </si>
  <si>
    <t>-716.809359438427 -33.6287857392081 780.493608612448</t>
  </si>
  <si>
    <t>-594.705964341846 -104.947834938531 851.849274460054</t>
  </si>
  <si>
    <t>9763-20170724T111018.814369500.bin</t>
  </si>
  <si>
    <t>-756.954980549391 85.3113039109717 -68.2665984962345</t>
  </si>
  <si>
    <t>-786.638702151453 78.2070088600335 -180.001184997337</t>
  </si>
  <si>
    <t>-797.274144854822 74.6361740794114 -277.984843715225</t>
  </si>
  <si>
    <t>-801.433723871358 71.9600466241836 -366.944298777777</t>
  </si>
  <si>
    <t>-799.755156927077 69.5930265357351 -455.993851041204</t>
  </si>
  <si>
    <t>-791.281936334318 66.3690738516252 -580.246114034681</t>
  </si>
  <si>
    <t>-757.285102733389 63.9230538230795 -656.030321864007</t>
  </si>
  <si>
    <t>-792.95049844474 95.414264162715 -526.145168702745</t>
  </si>
  <si>
    <t>-774.075882469934 230.565115770465 -509.530794645619</t>
  </si>
  <si>
    <t>-705.214496519566 283.639064271399 -228.403549875107</t>
  </si>
  <si>
    <t>-467.925369026782 309.994536092706 -195.999030687496</t>
  </si>
  <si>
    <t>-797.07075596648 40.1614448309506 -524.992505935329</t>
  </si>
  <si>
    <t>-773.42351218801 179.766254335482 -71.2734273175892</t>
  </si>
  <si>
    <t>-774.326485243744 197.61653884211 331.883184686634</t>
  </si>
  <si>
    <t>-836.135139133016 198.484048714713 775.732958608298</t>
  </si>
  <si>
    <t>-696.912989612543 243.127264959098 836.655074696429</t>
  </si>
  <si>
    <t>-695.320039735987 -22.2042068937808 333.408486919344</t>
  </si>
  <si>
    <t>-716.872208174166 -33.7691009020432 780.493365409732</t>
  </si>
  <si>
    <t>-594.681924093785 -104.945740449813 851.842335335787</t>
  </si>
  <si>
    <t>9763-20170724T111018.886457900.bin</t>
  </si>
  <si>
    <t>-756.820835815034 85.6798620014029 -68.2381917516508</t>
  </si>
  <si>
    <t>-786.457388631059 78.6756656952934 -179.991715088784</t>
  </si>
  <si>
    <t>-796.982968702919 75.1200174013402 -277.987647371246</t>
  </si>
  <si>
    <t>-801.018168392123 72.4325546864147 -366.95251582965</t>
  </si>
  <si>
    <t>-799.191737165525 70.0306631249919 -455.998197410185</t>
  </si>
  <si>
    <t>-790.488710987374 66.7348029438176 -580.23266527122</t>
  </si>
  <si>
    <t>-756.151512057055 64.3042086638784 -655.863831776721</t>
  </si>
  <si>
    <t>-792.250588126253 95.8106355043146 -526.15119993451</t>
  </si>
  <si>
    <t>-773.324849130454 230.952248384498 -509.559401863998</t>
  </si>
  <si>
    <t>-703.850478543585 284.114348918211 -228.599902047981</t>
  </si>
  <si>
    <t>-466.377588838438 310.755531491198 -197.81485013055</t>
  </si>
  <si>
    <t>-796.38635293278 40.5596306856646 -524.975191723698</t>
  </si>
  <si>
    <t>-772.95494438953 180.156778530884 -71.2042157612827</t>
  </si>
  <si>
    <t>-773.897419325714 198.04478415104 331.95059532952</t>
  </si>
  <si>
    <t>-836.047207346821 198.629415657616 775.756821525538</t>
  </si>
  <si>
    <t>-697.034681120481 243.799944134993 836.768694638987</t>
  </si>
  <si>
    <t>-695.044924244506 -22.054329368103 333.403584271242</t>
  </si>
  <si>
    <t>-716.919616136344 -33.7081543897789 780.486730159365</t>
  </si>
  <si>
    <t>-594.815221340257 -105.03227103495 851.835831636598</t>
  </si>
  <si>
    <t>9763-20170724T111018.918543200.bin</t>
  </si>
  <si>
    <t>-756.70091296743 85.7348445672333 -68.1914308625954</t>
  </si>
  <si>
    <t>-786.251327646384 78.8108229815271 -179.972647016808</t>
  </si>
  <si>
    <t>-796.687650380412 75.2698744920817 -277.978899171269</t>
  </si>
  <si>
    <t>-800.638571508046 72.5769346843226 -366.947189729254</t>
  </si>
  <si>
    <t>-798.725051042109 70.1515351380162 -455.990453295443</t>
  </si>
  <si>
    <t>-789.898147929823 66.8046951636279 -580.214809629105</t>
  </si>
  <si>
    <t>-755.411641917591 64.3846670657053 -655.778509085789</t>
  </si>
  <si>
    <t>-791.699829164868 95.9015320598783 -526.146028309457</t>
  </si>
  <si>
    <t>-772.730313782036 231.044796021306 -509.564352881997</t>
  </si>
  <si>
    <t>-702.993094765793 284.428278600276 -228.711811021018</t>
  </si>
  <si>
    <t>-465.437787694329 311.110614157351 -198.606183233267</t>
  </si>
  <si>
    <t>-795.864994510782 40.6531515892007 -524.95366201107</t>
  </si>
  <si>
    <t>-772.600647510146 180.278981689002 -71.1464535966621</t>
  </si>
  <si>
    <t>-773.562795348306 198.184125838942 332.007587984924</t>
  </si>
  <si>
    <t>-835.987163615831 198.656011501341 775.770377734077</t>
  </si>
  <si>
    <t>-696.898710228828 243.51938853673 836.835546564955</t>
  </si>
  <si>
    <t>-694.879342118353 -22.0767446869027 333.419666241189</t>
  </si>
  <si>
    <t>-716.966769883838 -33.7645883535297 780.500576174437</t>
  </si>
  <si>
    <t>-594.774839672292 -104.956987624449 851.83147550035</t>
  </si>
  <si>
    <t>9763-20170724T111018.983568300.bin</t>
  </si>
  <si>
    <t>-756.357242196802 85.7174516974032 -68.1078969400625</t>
  </si>
  <si>
    <t>-785.714810232375 79.0353971360105 -179.954724114478</t>
  </si>
  <si>
    <t>-795.946214142521 75.548282432419 -277.984356942984</t>
  </si>
  <si>
    <t>-799.701613109964 72.8469592483334 -366.960985409075</t>
  </si>
  <si>
    <t>-797.586204339524 70.3565101551985 -455.997863877452</t>
  </si>
  <si>
    <t>-788.473299828447 66.8614742746299 -580.197562005303</t>
  </si>
  <si>
    <t>-753.739102236525 64.4363455536536 -655.647366380606</t>
  </si>
  <si>
    <t>-790.314894949516 96.0166912882237 -526.161311371236</t>
  </si>
  <si>
    <t>-770.942960031757 231.101536050164 -509.601923649226</t>
  </si>
  <si>
    <t>-700.99208967265 284.694713263274 -228.842483787339</t>
  </si>
  <si>
    <t>-463.320458584839 311.505902103979 -199.786271527167</t>
  </si>
  <si>
    <t>-794.6520271615 40.7823424392291 -524.925402508141</t>
  </si>
  <si>
    <t>-771.756204337283 180.437520132537 -71.0061502882169</t>
  </si>
  <si>
    <t>-772.818470006039 198.425581863603 332.14392839586</t>
  </si>
  <si>
    <t>-835.867770103401 198.765987518353 775.798312157036</t>
  </si>
  <si>
    <t>-696.737337013995 243.401896371931 836.934480388161</t>
  </si>
  <si>
    <t>-694.492882552002 -22.0772039639746 333.434702899273</t>
  </si>
  <si>
    <t>-717.044081009345 -33.8202833284113 780.513281570754</t>
  </si>
  <si>
    <t>-594.756588919563 -104.880801748059 851.811863001016</t>
  </si>
  <si>
    <t>9763-20170724T111019.017656900.bin</t>
  </si>
  <si>
    <t>-756.245270763861 85.7121471781802 -68.0377604031202</t>
  </si>
  <si>
    <t>-785.517608766009 79.1685655476626 -179.915138024952</t>
  </si>
  <si>
    <t>-795.64178468383 75.7319751489717 -277.957692850089</t>
  </si>
  <si>
    <t>-799.289164599822 73.0521091632868 -366.939474855018</t>
  </si>
  <si>
    <t>-797.056120486824 70.5587123182718 -455.973305325302</t>
  </si>
  <si>
    <t>-787.770070489212 67.0354162933209 -580.159303432117</t>
  </si>
  <si>
    <t>-752.917559832854 64.5947317435066 -655.554093069433</t>
  </si>
  <si>
    <t>-789.628735487826 96.1983170164285 -526.128019881525</t>
  </si>
  <si>
    <t>-769.960942955893 231.236426232278 -509.567077297698</t>
  </si>
  <si>
    <t>-699.859095658308 284.815187985398 -228.842495414788</t>
  </si>
  <si>
    <t>-462.079268493922 311.490632804557 -200.557346552098</t>
  </si>
  <si>
    <t>-794.0838283063 40.9732296167795 -524.894324332997</t>
  </si>
  <si>
    <t>-771.398428735729 180.559665923208 -70.9469199232336</t>
  </si>
  <si>
    <t>-772.515865959353 198.540911369206 332.203298093628</t>
  </si>
  <si>
    <t>-835.902463716516 198.876384213175 775.797027955535</t>
  </si>
  <si>
    <t>-696.705606416662 243.25926149902 836.966150425158</t>
  </si>
  <si>
    <t>-694.402656378242 -22.0928036655587 333.441400036194</t>
  </si>
  <si>
    <t>-717.093695812934 -33.886479210581 780.511568340507</t>
  </si>
  <si>
    <t>-594.782702666174 -104.915320919594 851.801610052045</t>
  </si>
  <si>
    <t>9763-20170724T111019.082866100.bin</t>
  </si>
  <si>
    <t>-756.229495399389 85.8576179703441 -67.9004992952412</t>
  </si>
  <si>
    <t>-785.324151887286 79.6174414499633 -179.841464430807</t>
  </si>
  <si>
    <t>-795.234782541223 76.2999010179674 -277.91002651685</t>
  </si>
  <si>
    <t>-798.669874559698 73.6769487127267 -366.901837586725</t>
  </si>
  <si>
    <t>-796.208505456817 71.1893752483461 -455.929981988304</t>
  </si>
  <si>
    <t>-786.589396533558 67.6223781149884 -580.089408086254</t>
  </si>
  <si>
    <t>-751.52422988667 65.0751815581111 -655.381875381369</t>
  </si>
  <si>
    <t>-788.451610059137 96.7928780825191 -526.062218033893</t>
  </si>
  <si>
    <t>-768.197408508011 231.742402482912 -509.41208406324</t>
  </si>
  <si>
    <t>-697.773017850787 284.925179679576 -228.693015585458</t>
  </si>
  <si>
    <t>-459.643953978325 311.293812150605 -203.195866753027</t>
  </si>
  <si>
    <t>-793.193037177348 41.5913643817767 -524.843651154591</t>
  </si>
  <si>
    <t>-770.779794838867 180.84214547827 -70.823316929645</t>
  </si>
  <si>
    <t>-772.133822997986 198.471926898416 332.341732182987</t>
  </si>
  <si>
    <t>-835.796193671513 198.815109705431 775.886102697419</t>
  </si>
  <si>
    <t>-696.655263026786 243.366617182038 837.06036689065</t>
  </si>
  <si>
    <t>-694.493904600169 -22.0274157376207 333.443114392793</t>
  </si>
  <si>
    <t>-717.188866113894 -34.0610305288856 780.498025304816</t>
  </si>
  <si>
    <t>-594.867394942156 -105.070134081772 851.789326661301</t>
  </si>
  <si>
    <t>9763-20170724T111019.115928500.bin</t>
  </si>
  <si>
    <t>-756.302508517382 86.1061609110793 -67.8580754013237</t>
  </si>
  <si>
    <t>-785.310264657973 80.0289288824774 -179.83061329743</t>
  </si>
  <si>
    <t>-795.120271030841 76.7667643729619 -277.911129800642</t>
  </si>
  <si>
    <t>-798.457172692364 74.1624579819331 -366.907315797303</t>
  </si>
  <si>
    <t>-795.891723801945 71.6613865897839 -455.931925345391</t>
  </si>
  <si>
    <t>-786.122779833159 68.0417887270628 -580.078197588968</t>
  </si>
  <si>
    <t>-750.954492480222 65.4191826366418 -655.320011546863</t>
  </si>
  <si>
    <t>-787.964313909533 97.2277015795776 -526.058704172862</t>
  </si>
  <si>
    <t>-767.38527801634 232.125826020327 -509.392396983238</t>
  </si>
  <si>
    <t>-696.796264146752 284.914077080945 -228.640370479824</t>
  </si>
  <si>
    <t>-458.475263524538 311.214267579778 -204.927703972047</t>
  </si>
  <si>
    <t>-792.87862640122 42.04153190133 -524.836425730336</t>
  </si>
  <si>
    <t>-770.523953714155 181.062607217119 -70.7503401711916</t>
  </si>
  <si>
    <t>-772.084743469202 198.477201850584 332.423215999861</t>
  </si>
  <si>
    <t>-835.720901109726 198.736720526484 775.973363512211</t>
  </si>
  <si>
    <t>-696.592794769985 243.361960129103 837.12354061374</t>
  </si>
  <si>
    <t>-694.645995782172 -21.842327037848 333.433708285503</t>
  </si>
  <si>
    <t>-717.186248702949 -33.9316471876236 780.491308423058</t>
  </si>
  <si>
    <t>-594.987785581552 -105.143337640241 851.791613034122</t>
  </si>
  <si>
    <t>9763-20170724T111019.180856600.bin</t>
  </si>
  <si>
    <t>-756.41129773865 87.108289614318 -67.8671920875271</t>
  </si>
  <si>
    <t>-785.288730446623 81.2073091651505 -179.882736130648</t>
  </si>
  <si>
    <t>-794.948134143098 78.0010932330765 -277.9800219287</t>
  </si>
  <si>
    <t>-798.136846520205 75.4102056580173 -366.982080152369</t>
  </si>
  <si>
    <t>-795.4129446975 72.8814809710007 -456.001288143159</t>
  </si>
  <si>
    <t>-785.414404758755 69.1795253170812 -580.1268148296</t>
  </si>
  <si>
    <t>-750.050598599775 66.4432017654253 -655.272984779296</t>
  </si>
  <si>
    <t>-787.193742729815 98.3866410515152 -526.116732272295</t>
  </si>
  <si>
    <t>-766.124673699852 233.209519487924 -509.44445161178</t>
  </si>
  <si>
    <t>-695.292156058646 285.113202492819 -228.588681057329</t>
  </si>
  <si>
    <t>-456.564309081102 310.682686578859 -208.439105006136</t>
  </si>
  <si>
    <t>-792.434721684626 43.2305492131472 -524.894036778131</t>
  </si>
  <si>
    <t>-770.356109927964 182.073211162891 -70.808794513567</t>
  </si>
  <si>
    <t>-772.275270761144 198.672266823391 332.397742949813</t>
  </si>
  <si>
    <t>-835.750296343138 199.177150846016 775.900593301557</t>
  </si>
  <si>
    <t>-696.53279129714 243.515630360242 837.055708485517</t>
  </si>
  <si>
    <t>-695.244122240158 -21.3667924320794 333.405673113504</t>
  </si>
  <si>
    <t>-717.236126225316 -33.8569052480352 780.464560613803</t>
  </si>
  <si>
    <t>-595.177787255946 -105.281377137489 851.79210906298</t>
  </si>
  <si>
    <t>9763-20170724T111019.219959800.bin</t>
  </si>
  <si>
    <t>-756.529587370841 87.8383839632097 -67.953396484963</t>
  </si>
  <si>
    <t>-785.472000777508 81.8674521322387 -179.948528908223</t>
  </si>
  <si>
    <t>-795.126943337248 78.6419032168687 -278.045620809864</t>
  </si>
  <si>
    <t>-798.284746148473 76.0411925812627 -367.048397106607</t>
  </si>
  <si>
    <t>-795.503509527591 73.5058722519179 -456.065782068326</t>
  </si>
  <si>
    <t>-785.39724078516 69.7931612255602 -580.18210366313</t>
  </si>
  <si>
    <t>-749.928816635255 67.0310863965242 -655.278151774986</t>
  </si>
  <si>
    <t>-787.170455491151 99.0000479215905 -526.171740751906</t>
  </si>
  <si>
    <t>-766.195549142934 233.857998830831 -509.59635929263</t>
  </si>
  <si>
    <t>-695.730508230208 285.178453262263 -228.541112680765</t>
  </si>
  <si>
    <t>-456.962127632924 310.540582005331 -208.607939240889</t>
  </si>
  <si>
    <t>-792.518485500538 43.8539251199395 -524.957643929628</t>
  </si>
  <si>
    <t>-770.764877300023 182.611560056362 -70.9057649228479</t>
  </si>
  <si>
    <t>-772.746916976053 198.836100014459 332.315655690476</t>
  </si>
  <si>
    <t>-835.664326741347 199.263587488536 775.916471452124</t>
  </si>
  <si>
    <t>-696.393524100773 243.528857325262 837.00250777713</t>
  </si>
  <si>
    <t>-695.385681038507 -21.0674160961844 333.373498889518</t>
  </si>
  <si>
    <t>-717.202220216429 -33.7218183931509 780.42116338686</t>
  </si>
  <si>
    <t>-595.361937081709 -105.470321118941 851.796489743604</t>
  </si>
  <si>
    <t>9763-20170724T111019.282163200.bin</t>
  </si>
  <si>
    <t>-757.419348574873 88.878281368723 -68.081480581475</t>
  </si>
  <si>
    <t>-786.560326367708 82.4668260472031 -180.000762292175</t>
  </si>
  <si>
    <t>-796.326366283707 79.0918266321055 -278.081771079757</t>
  </si>
  <si>
    <t>-799.551335011168 76.4192183078862 -367.080078708485</t>
  </si>
  <si>
    <t>-796.79971619929 73.8626456549086 -456.097620470755</t>
  </si>
  <si>
    <t>-786.693519657046 70.1592513796154 -580.214533528612</t>
  </si>
  <si>
    <t>-751.03547885812 67.4333137120047 -655.221810750389</t>
  </si>
  <si>
    <t>-788.509253997997 99.3660107385608 -526.205369752941</t>
  </si>
  <si>
    <t>-768.236913086469 234.299441552324 -509.491575990429</t>
  </si>
  <si>
    <t>-701.781279960501 283.113692092873 -227.016780442477</t>
  </si>
  <si>
    <t>-463.076771374245 309.063525621646 -207.075318072048</t>
  </si>
  <si>
    <t>-793.772319365189 44.2118215270325 -524.9883023724</t>
  </si>
  <si>
    <t>-773.185296665733 183.324143487889 -71.0371295904714</t>
  </si>
  <si>
    <t>-774.793164880353 199.167118123403 332.201118921051</t>
  </si>
  <si>
    <t>-835.804092922275 199.689075611614 776.149190840335</t>
  </si>
  <si>
    <t>-696.345481439403 243.683379412596 837.002106340995</t>
  </si>
  <si>
    <t>-694.675387368449 -20.7534597195454 333.229830247511</t>
  </si>
  <si>
    <t>-717.115267817268 -33.3541005623415 780.291716885494</t>
  </si>
  <si>
    <t>-595.759564175521 -105.803187770225 851.784436557145</t>
  </si>
  <si>
    <t>9763-20170724T111019.316254600.bin</t>
  </si>
  <si>
    <t>-757.616666159999 88.7312879383458 -68.1199920273898</t>
  </si>
  <si>
    <t>-786.928282628478 82.1089298278671 -179.982344663542</t>
  </si>
  <si>
    <t>-796.800809869544 78.7508664875727 -278.053326003399</t>
  </si>
  <si>
    <t>-800.097831121048 76.1606067134617 -367.051370610408</t>
  </si>
  <si>
    <t>-797.390044095138 73.7496996867303 -456.074357872976</t>
  </si>
  <si>
    <t>-787.313301103781 70.3105600160907 -580.201213491071</t>
  </si>
  <si>
    <t>-751.554791929924 67.7637303334732 -655.166768196909</t>
  </si>
  <si>
    <t>-789.228098233044 99.4125000087824 -526.138989598238</t>
  </si>
  <si>
    <t>-769.573195711964 234.392706373393 -508.988980419473</t>
  </si>
  <si>
    <t>-706.213995936323 280.758831130875 -225.392477547342</t>
  </si>
  <si>
    <t>-467.656984046384 308.288600891876 -205.810288153847</t>
  </si>
  <si>
    <t>-794.26734077371 44.2353260892596 -525.019229548397</t>
  </si>
  <si>
    <t>-773.9588840131 183.16241393572 -71.0495246689754</t>
  </si>
  <si>
    <t>-775.70160278736 199.104486879961 332.184296683226</t>
  </si>
  <si>
    <t>-835.779929228417 199.745005292331 776.260327068102</t>
  </si>
  <si>
    <t>-696.357480743732 244.002720553873 837.005212566867</t>
  </si>
  <si>
    <t>-694.375664623637 -20.6074710807056 333.212250034332</t>
  </si>
  <si>
    <t>-717.094967052866 -33.1726685984459 780.269106466617</t>
  </si>
  <si>
    <t>-595.93945846002 -105.939836391409 851.778205397714</t>
  </si>
  <si>
    <t>9763-20170724T111019.386382400.bin</t>
  </si>
  <si>
    <t>-757.249371923515 87.0888923621028 -68.1703778280298</t>
  </si>
  <si>
    <t>-786.97007510063 79.8363799133535 -179.885697501737</t>
  </si>
  <si>
    <t>-797.027433722944 76.6738717110024 -277.944364546456</t>
  </si>
  <si>
    <t>-800.396483620333 74.5337036837359 -366.95173529393</t>
  </si>
  <si>
    <t>-797.65228633506 72.8426431235771 -455.990268968818</t>
  </si>
  <si>
    <t>-787.399137967183 70.682498011075 -580.131297283896</t>
  </si>
  <si>
    <t>-751.492642953412 68.9743396338126 -655.050043369488</t>
  </si>
  <si>
    <t>-789.811866998606 99.2607897696039 -525.810167879895</t>
  </si>
  <si>
    <t>-772.517398331365 234.364703890551 -507.239394511916</t>
  </si>
  <si>
    <t>-716.160343109986 275.572044906143 -221.377496670115</t>
  </si>
  <si>
    <t>-478.070879579604 306.608075876567 -201.351893400751</t>
  </si>
  <si>
    <t>-794.01026133851 44.0053629235731 -525.195484972749</t>
  </si>
  <si>
    <t>-774.813037036902 181.70548899402 -71.025103476208</t>
  </si>
  <si>
    <t>-776.388301230089 198.491029108393 332.175189198109</t>
  </si>
  <si>
    <t>-835.697060216107 199.802079519231 776.338846392327</t>
  </si>
  <si>
    <t>-696.438752510872 244.754084158631 836.95041535578</t>
  </si>
  <si>
    <t>-693.725406218482 -21.1283783909316 333.250078814364</t>
  </si>
  <si>
    <t>-717.246386010629 -33.3868789768103 780.293097240338</t>
  </si>
  <si>
    <t>-595.59550434117 -105.401041357851 851.723899135278</t>
  </si>
  <si>
    <t>9763-20170724T111019.419470600.bin</t>
  </si>
  <si>
    <t>-757.191674644031 86.144264888168 -68.1724868046803</t>
  </si>
  <si>
    <t>-787.052838789634 78.6271356512407 -179.832758780839</t>
  </si>
  <si>
    <t>-797.198851304783 75.6304412806644 -277.887610854879</t>
  </si>
  <si>
    <t>-800.621413292633 73.7896955162933 -366.899566046689</t>
  </si>
  <si>
    <t>-797.895645329826 72.5491152409518 -455.946009348943</t>
  </si>
  <si>
    <t>-787.625634364551 71.1743482390634 -580.09690302191</t>
  </si>
  <si>
    <t>-751.677820684928 70.0550457425329 -655.007031922275</t>
  </si>
  <si>
    <t>-790.32340618079 99.4280600010807 -525.619702913058</t>
  </si>
  <si>
    <t>-774.527286804969 234.60258150507 -506.198988049657</t>
  </si>
  <si>
    <t>-722.413424622901 273.6667642875 -219.233340189586</t>
  </si>
  <si>
    <t>-484.814795871967 307.099036285834 -197.32204222405</t>
  </si>
  <si>
    <t>-793.966605803154 44.130543500059 -525.308807570531</t>
  </si>
  <si>
    <t>-775.431702610529 180.655783799251 -70.9561729953443</t>
  </si>
  <si>
    <t>-776.505324045616 198.211096068535 332.212869721491</t>
  </si>
  <si>
    <t>-835.584593679464 199.690156957089 776.35855706023</t>
  </si>
  <si>
    <t>-696.363741694352 244.798175412795 836.940295780184</t>
  </si>
  <si>
    <t>-693.266058142219 -21.4498531183699 333.263685298369</t>
  </si>
  <si>
    <t>-717.268724964086 -33.3739927578195 780.306422804671</t>
  </si>
  <si>
    <t>-595.630320971969 -105.423534647806 851.722427024674</t>
  </si>
  <si>
    <t>9763-20170724T111019.481221700.bin</t>
  </si>
  <si>
    <t>-757.235705116423 84.217286202907 -68.162515719903</t>
  </si>
  <si>
    <t>-787.222038585349 76.2736224934188 -179.75973976543</t>
  </si>
  <si>
    <t>-797.56941301412 73.5948556595231 -277.802610226876</t>
  </si>
  <si>
    <t>-801.188640274373 72.310837874174 -366.816641520029</t>
  </si>
  <si>
    <t>-798.661654216509 71.9049399020114 -455.87663750617</t>
  </si>
  <si>
    <t>-788.658338744694 71.9888530031544 -580.056998484733</t>
  </si>
  <si>
    <t>-752.729179706057 72.1381614891925 -654.984249570978</t>
  </si>
  <si>
    <t>-791.819960994948 99.6330123750918 -525.292740247389</t>
  </si>
  <si>
    <t>-779.187661243511 234.877095666082 -504.169807352675</t>
  </si>
  <si>
    <t>-736.348312876111 269.699877572156 -215.131129395675</t>
  </si>
  <si>
    <t>-500.211192839782 308.301756830768 -186.84612045455</t>
  </si>
  <si>
    <t>-794.301015771551 44.2709284431676 -525.530005780285</t>
  </si>
  <si>
    <t>-776.481849933912 178.558106203802 -70.8498810483921</t>
  </si>
  <si>
    <t>-777.227057390915 197.229650722413 332.269806620107</t>
  </si>
  <si>
    <t>-835.365655781342 199.552145755464 776.312757300345</t>
  </si>
  <si>
    <t>-696.35935943665 245.112195138268 837.04832165996</t>
  </si>
  <si>
    <t>-692.490956082902 -22.3254666695575 333.230852752091</t>
  </si>
  <si>
    <t>-717.331341779648 -33.5686047567579 780.313720606326</t>
  </si>
  <si>
    <t>-595.268404676746 -104.943287235299 851.682862502389</t>
  </si>
  <si>
    <t>9763-20170724T111019.514315900.bin</t>
  </si>
  <si>
    <t>-757.165581138213 83.1670746217687 -68.2061000491344</t>
  </si>
  <si>
    <t>-787.147480779506 75.0752439785333 -179.793936155926</t>
  </si>
  <si>
    <t>-797.542351475258 72.574936330956 -277.836571214448</t>
  </si>
  <si>
    <t>-801.216356279299 71.5765689978703 -366.851874185794</t>
  </si>
  <si>
    <t>-798.749792359863 71.5872825075958 -455.914553306348</t>
  </si>
  <si>
    <t>-788.832000965466 72.3929736973564 -580.099160657414</t>
  </si>
  <si>
    <t>-752.95352548654 73.1853238022723 -655.046447855823</t>
  </si>
  <si>
    <t>-792.243878787946 99.7297445488516 -525.195983955601</t>
  </si>
  <si>
    <t>-781.112633391839 234.986164321549 -503.346583848268</t>
  </si>
  <si>
    <t>-743.531018698963 267.851084055842 -213.348803120908</t>
  </si>
  <si>
    <t>-508.210082824738 307.218322517727 -179.806033650493</t>
  </si>
  <si>
    <t>-794.148982851286 44.3468032010474 -525.707368811568</t>
  </si>
  <si>
    <t>-776.70945114464 177.392452521219 -70.877922483893</t>
  </si>
  <si>
    <t>-777.77484707431 196.54092429292 332.218707003021</t>
  </si>
  <si>
    <t>-835.125799588788 199.375255440835 776.26700009287</t>
  </si>
  <si>
    <t>-696.340381333212 245.412991566437 837.14750838125</t>
  </si>
  <si>
    <t>-692.403076614011 -22.7116112699532 333.195605982012</t>
  </si>
  <si>
    <t>-717.383150260584 -33.7555867424499 780.320492654167</t>
  </si>
  <si>
    <t>-595.017899369723 -104.648983040476 851.652167419258</t>
  </si>
  <si>
    <t>9763-20170724T111019.589156100.bin</t>
  </si>
  <si>
    <t>-757.250940989318 81.6363041130521 -68.3569003053411</t>
  </si>
  <si>
    <t>-787.119844353683 73.1970776831372 -179.949184400219</t>
  </si>
  <si>
    <t>-797.503829601965 70.9486466677604 -277.99908177398</t>
  </si>
  <si>
    <t>-801.186647090349 70.4022599969371 -367.01802414533</t>
  </si>
  <si>
    <t>-798.739449588798 71.1018886207899 -456.078517317904</t>
  </si>
  <si>
    <t>-788.850720216149 73.1240238719106 -580.251607649531</t>
  </si>
  <si>
    <t>-753.02640540555 75.0491679596039 -655.204496446883</t>
  </si>
  <si>
    <t>-792.803071385685 99.9360346858057 -525.126132313105</t>
  </si>
  <si>
    <t>-784.488975496848 235.18460035127 -502.128321770479</t>
  </si>
  <si>
    <t>-755.816155047075 266.581197525638 -210.952568834687</t>
  </si>
  <si>
    <t>-522.971787547716 305.46404188412 -162.759966227896</t>
  </si>
  <si>
    <t>-793.601475869368 44.5321987040729 -526.092071299177</t>
  </si>
  <si>
    <t>-777.660569028687 175.902167906206 -70.9852863454581</t>
  </si>
  <si>
    <t>-779.408725004611 195.293186285026 332.097390088845</t>
  </si>
  <si>
    <t>-834.975593223133 199.258587650129 776.329500732692</t>
  </si>
  <si>
    <t>-696.248658043929 245.260902748872 837.369694787671</t>
  </si>
  <si>
    <t>-692.550995138134 -23.118553796216 333.136850475126</t>
  </si>
  <si>
    <t>-717.404140417651 -33.886998233203 780.334605727879</t>
  </si>
  <si>
    <t>-594.707310936745 -104.262663006292 851.609268797635</t>
  </si>
  <si>
    <t>9763-20170724T111019.619236400.bin</t>
  </si>
  <si>
    <t>-757.497866181915 81.0243843664935 -68.4425637737385</t>
  </si>
  <si>
    <t>-787.29604363727 72.407451853263 -180.040189698238</t>
  </si>
  <si>
    <t>-797.612630215985 70.2817930609717 -278.099959991923</t>
  </si>
  <si>
    <t>-801.223729484463 69.9562080292253 -367.122888833142</t>
  </si>
  <si>
    <t>-798.690174807957 70.9908066190933 -456.177838075764</t>
  </si>
  <si>
    <t>-788.661235646911 73.6018597115149 -580.328540692119</t>
  </si>
  <si>
    <t>-752.797266817644 76.0611588334159 -655.246860356165</t>
  </si>
  <si>
    <t>-792.938285226684 100.155231590142 -525.102322454395</t>
  </si>
  <si>
    <t>-785.652917126145 235.36710243957 -501.528973083686</t>
  </si>
  <si>
    <t>-760.031673972108 266.096108252411 -209.997782356466</t>
  </si>
  <si>
    <t>-528.729678162297 303.601179365864 -153.929090823688</t>
  </si>
  <si>
    <t>-793.21079179147 44.7504570666147 -526.289435428321</t>
  </si>
  <si>
    <t>-778.299717050309 175.065584483241 -71.0296452513727</t>
  </si>
  <si>
    <t>-780.382689471233 194.840074240569 332.032765602829</t>
  </si>
  <si>
    <t>-834.859812712173 199.165743716512 776.332227030162</t>
  </si>
  <si>
    <t>-696.276923804335 245.488002029002 837.457390971574</t>
  </si>
  <si>
    <t>-692.458334226009 -23.311253403147 333.089566613089</t>
  </si>
  <si>
    <t>-717.395951456047 -33.9561191560879 780.32278086891</t>
  </si>
  <si>
    <t>-594.549189053635 -104.089573201267 851.577783240982</t>
  </si>
  <si>
    <t>9763-20170724T111019.685415300.bin</t>
  </si>
  <si>
    <t>-758.593411269708 79.8176803087958 -68.5690313609578</t>
  </si>
  <si>
    <t>-788.132952339471 70.8563335506578 -180.20827854933</t>
  </si>
  <si>
    <t>-798.164794609784 68.9881039455895 -278.302854464501</t>
  </si>
  <si>
    <t>-801.475964149902 69.1091611125289 -367.337881345838</t>
  </si>
  <si>
    <t>-798.592498402024 70.8076333511021 -456.371902778903</t>
  </si>
  <si>
    <t>-788.014832851596 74.5718397901483 -580.447504748245</t>
  </si>
  <si>
    <t>-752.020469341849 77.9061845790393 -655.269439178866</t>
  </si>
  <si>
    <t>-792.944774963274 100.611031649777 -525.031117032273</t>
  </si>
  <si>
    <t>-787.31956389508 235.705411710316 -500.273678059581</t>
  </si>
  <si>
    <t>-763.378341411682 264.19942043147 -208.372763790734</t>
  </si>
  <si>
    <t>-532.35185017081 300.422087524118 -150.359129046901</t>
  </si>
  <si>
    <t>-792.394106991262 45.219732727458 -526.664815752659</t>
  </si>
  <si>
    <t>-780.311700706142 173.643160162724 -71.1684906390392</t>
  </si>
  <si>
    <t>-782.418308001636 194.290507153398 331.850040015235</t>
  </si>
  <si>
    <t>-834.774276889265 199.202554236093 776.335945347862</t>
  </si>
  <si>
    <t>-696.313187814749 245.663099309587 837.632225928486</t>
  </si>
  <si>
    <t>-692.647497349411 -23.6298012227348 333.004986156871</t>
  </si>
  <si>
    <t>-717.402627656321 -34.2295559407385 780.306665834383</t>
  </si>
  <si>
    <t>-594.048280145457 -103.512987086099 851.516157485305</t>
  </si>
  <si>
    <t>9763-20170724T111019.718513000.bin</t>
  </si>
  <si>
    <t>-759.145751292582 79.2037653668167 -68.6422025447647</t>
  </si>
  <si>
    <t>-788.439869535543 70.1902206884688 -180.342083224188</t>
  </si>
  <si>
    <t>-798.285782394948 68.3910505721519 -278.456571259115</t>
  </si>
  <si>
    <t>-801.436632719535 68.6175929550222 -367.497331594404</t>
  </si>
  <si>
    <t>-798.398732546191 70.4663271726154 -456.523190031533</t>
  </si>
  <si>
    <t>-787.610325712328 74.4866634875416 -580.572699641506</t>
  </si>
  <si>
    <t>-751.542367717869 77.9885810882829 -655.35132437342</t>
  </si>
  <si>
    <t>-792.757848729469 100.410382194265 -525.121942648417</t>
  </si>
  <si>
    <t>-787.746526154842 235.514625684923 -500.090989586075</t>
  </si>
  <si>
    <t>-762.923343898655 262.323234475087 -208.104240892702</t>
  </si>
  <si>
    <t>-530.936823821306 299.056374328977 -154.402446682424</t>
  </si>
  <si>
    <t>-791.957732664149 45.0247692622142 -526.847335336363</t>
  </si>
  <si>
    <t>-781.063432754922 172.946034342361 -71.2224610838481</t>
  </si>
  <si>
    <t>-783.562223049709 194.015791397174 331.771970694323</t>
  </si>
  <si>
    <t>-834.783984708296 199.25872779367 776.37096432095</t>
  </si>
  <si>
    <t>-696.368083240794 245.756479314454 837.741313999245</t>
  </si>
  <si>
    <t>-693.013424012895 -23.7241767570695 332.953426633501</t>
  </si>
  <si>
    <t>-717.385094981402 -34.3659898666788 780.290338864011</t>
  </si>
  <si>
    <t>-593.821684622163 -103.278827369749 851.497006078677</t>
  </si>
  <si>
    <t>9763-20170724T111019.784688300.bin</t>
  </si>
  <si>
    <t>-760.446139510721 78.4312944906605 -68.7523196469929</t>
  </si>
  <si>
    <t>-789.243016412581 69.4548888266941 -180.584293565261</t>
  </si>
  <si>
    <t>-798.733007676494 67.595184761261 -278.732832854244</t>
  </si>
  <si>
    <t>-801.595884670486 67.7291895753865 -367.783473724673</t>
  </si>
  <si>
    <t>-798.306815725635 69.4506999770265 -456.802906872299</t>
  </si>
  <si>
    <t>-787.20797431436 73.2589607397244 -580.831695473314</t>
  </si>
  <si>
    <t>-750.889969908481 76.7719578218093 -655.488716261866</t>
  </si>
  <si>
    <t>-792.62688008591 99.2754185324425 -525.45032724674</t>
  </si>
  <si>
    <t>-788.435954404928 234.400342450569 -500.626411070602</t>
  </si>
  <si>
    <t>-757.986309100163 262.620946784611 -209.305821963166</t>
  </si>
  <si>
    <t>-523.546826083346 300.264555213818 -168.416791437898</t>
  </si>
  <si>
    <t>-791.557365613742 43.8909676946819 -527.055160998493</t>
  </si>
  <si>
    <t>-782.668506810999 172.112967367014 -71.3067070434776</t>
  </si>
  <si>
    <t>-785.910774073568 193.603669321384 331.660175338382</t>
  </si>
  <si>
    <t>-834.848453813364 199.484248951877 776.467426660922</t>
  </si>
  <si>
    <t>-696.337556305244 245.461192203678 838.0153782034</t>
  </si>
  <si>
    <t>-693.564312525422 -23.7247714630839 332.784348304252</t>
  </si>
  <si>
    <t>-717.319312141002 -34.4990692196852 780.252809580233</t>
  </si>
  <si>
    <t>-593.69342611724 -103.282010586619 851.476424569091</t>
  </si>
  <si>
    <t>9763-20170724T111019.816778600.bin</t>
  </si>
  <si>
    <t>-761.142371085014 78.2021616338657 -68.6854381525814</t>
  </si>
  <si>
    <t>-789.701786010593 69.3304374983013 -180.586728771881</t>
  </si>
  <si>
    <t>-798.981802125539 67.421232270664 -278.754347883031</t>
  </si>
  <si>
    <t>-801.657491012207 67.4550968234771 -367.810917642458</t>
  </si>
  <si>
    <t>-798.188090765241 69.0217086894804 -456.82639499634</t>
  </si>
  <si>
    <t>-786.846757559827 72.5566779974047 -580.84134602613</t>
  </si>
  <si>
    <t>-750.37044171147 75.9840406303169 -655.425200496301</t>
  </si>
  <si>
    <t>-792.376989475355 98.6951248672926 -525.528342527713</t>
  </si>
  <si>
    <t>-788.2534401316 233.887233943232 -501.042398365803</t>
  </si>
  <si>
    <t>-754.088632707461 265.118105852701 -210.442061975383</t>
  </si>
  <si>
    <t>-518.621015048303 302.830873469958 -176.038206196505</t>
  </si>
  <si>
    <t>-791.297880146853 43.3071856220204 -527.008557243373</t>
  </si>
  <si>
    <t>-783.382923061809 171.951093135053 -71.2730267980895</t>
  </si>
  <si>
    <t>-786.864312171655 193.457242643854 331.691020951989</t>
  </si>
  <si>
    <t>-834.944486943133 199.648090960515 776.590101522737</t>
  </si>
  <si>
    <t>-696.39390693375 245.427874462445 838.196453449605</t>
  </si>
  <si>
    <t>-693.913163915187 -23.7600452890715 332.752069937782</t>
  </si>
  <si>
    <t>-717.296046258252 -34.5831122437617 780.252154480167</t>
  </si>
  <si>
    <t>-593.573074324588 -103.203553066453 851.464379981216</t>
  </si>
  <si>
    <t>9763-20170724T111019.883965600.bin</t>
  </si>
  <si>
    <t>-762.05790601707 78.2244022668733 -68.5616821716259</t>
  </si>
  <si>
    <t>-790.289030142476 69.5456234564645 -180.561321134707</t>
  </si>
  <si>
    <t>-799.234818920193 67.432320425864 -278.755918572015</t>
  </si>
  <si>
    <t>-801.601839671568 67.1375137328946 -367.820748523218</t>
  </si>
  <si>
    <t>-797.825079293462 68.2322726929169 -456.830681766688</t>
  </si>
  <si>
    <t>-786.06232149293 70.9602869860064 -580.826730212927</t>
  </si>
  <si>
    <t>-749.3335874876 73.976924272617 -655.304180109854</t>
  </si>
  <si>
    <t>-791.670177678348 97.4597071393264 -525.693690272921</t>
  </si>
  <si>
    <t>-787.14873186882 232.83687950656 -502.214124253039</t>
  </si>
  <si>
    <t>-745.377183409897 270.561612466266 -213.383452439111</t>
  </si>
  <si>
    <t>-508.225264155393 307.207808092975 -191.775334636928</t>
  </si>
  <si>
    <t>-790.807164905809 42.0600978438779 -526.830804047913</t>
  </si>
  <si>
    <t>-783.860892122121 171.938962710936 -71.1307324663458</t>
  </si>
  <si>
    <t>-787.691319310472 193.51915885087 331.826231991537</t>
  </si>
  <si>
    <t>-835.104438714115 199.847523604927 776.865019472958</t>
  </si>
  <si>
    <t>-696.506833836457 245.40223221986 838.531649504098</t>
  </si>
  <si>
    <t>-694.798320053856 -23.6696214251292 332.796981043479</t>
  </si>
  <si>
    <t>-717.218449620208 -34.6050298176597 780.282394306449</t>
  </si>
  <si>
    <t>-593.483403066793 -103.217085446451 851.481647165016</t>
  </si>
  <si>
    <t>9763-20170724T111019.916050900.bin</t>
  </si>
  <si>
    <t>-762.244127666433 78.3960049969141 -68.4582594178173</t>
  </si>
  <si>
    <t>-790.357668474653 69.8205270906165 -180.495379578647</t>
  </si>
  <si>
    <t>-799.196299050862 67.5703075244323 -278.696488012458</t>
  </si>
  <si>
    <t>-801.472677399861 67.0648860137831 -367.76288691538</t>
  </si>
  <si>
    <t>-797.61461040319 67.8621454519284 -456.772430572651</t>
  </si>
  <si>
    <t>-785.753166670413 70.0857361877597 -580.769265570454</t>
  </si>
  <si>
    <t>-748.918045610618 72.7897684095301 -655.206269349372</t>
  </si>
  <si>
    <t>-791.317426890091 96.8102335280269 -525.740621995399</t>
  </si>
  <si>
    <t>-786.429631936654 232.27538635747 -502.860275221032</t>
  </si>
  <si>
    <t>-740.657013168467 271.653839086396 -214.857952707036</t>
  </si>
  <si>
    <t>-503.115703170898 308.214770614428 -197.879685323583</t>
  </si>
  <si>
    <t>-790.627938513319 41.4041562919269 -526.668205053049</t>
  </si>
  <si>
    <t>-783.663755407104 172.070810398019 -71.0286773002379</t>
  </si>
  <si>
    <t>-787.561443449829 193.618659246166 331.929350007491</t>
  </si>
  <si>
    <t>-835.042609982698 199.676879558903 777.002302273138</t>
  </si>
  <si>
    <t>-696.519582201791 245.458834419163 838.668155528419</t>
  </si>
  <si>
    <t>-695.066549488472 -23.5682835097155 332.862404537553</t>
  </si>
  <si>
    <t>-717.181690459361 -34.6411456251217 780.323273475858</t>
  </si>
  <si>
    <t>-593.402485436887 -103.179947327522 851.515978237501</t>
  </si>
  <si>
    <t>9763-20170724T111019.984888200.bin</t>
  </si>
  <si>
    <t>-762.27012039361 79.0695372120549 -68.2125091651815</t>
  </si>
  <si>
    <t>-790.302018475514 70.6966789504577 -180.285224730899</t>
  </si>
  <si>
    <t>-799.022518660257 68.2023616646729 -278.491099752388</t>
  </si>
  <si>
    <t>-801.187441022795 67.3177991008447 -367.557269143396</t>
  </si>
  <si>
    <t>-797.222203819697 67.5793021980389 -456.565420375247</t>
  </si>
  <si>
    <t>-785.22155719658 68.8943443949274 -580.561556431957</t>
  </si>
  <si>
    <t>-748.218875318788 70.9736932179399 -654.935772135729</t>
  </si>
  <si>
    <t>-790.673805675706 96.0227321084481 -525.719817381046</t>
  </si>
  <si>
    <t>-785.088454242123 231.642078811851 -503.957220745558</t>
  </si>
  <si>
    <t>-734.804149917381 273.381585630313 -217.041704441414</t>
  </si>
  <si>
    <t>-497.344354869348 312.484232166764 -205.439472901462</t>
  </si>
  <si>
    <t>-790.331157987855 40.6084346070215 -526.274157147652</t>
  </si>
  <si>
    <t>-783.173239210935 172.852903592387 -70.7981272093972</t>
  </si>
  <si>
    <t>-786.772079815752 194.150301780839 332.175975934817</t>
  </si>
  <si>
    <t>-835.244143030458 199.706244286584 777.244666205686</t>
  </si>
  <si>
    <t>-696.569228948905 245.066429558644 838.88064869083</t>
  </si>
  <si>
    <t>-695.212877263694 -23.2338961373071 333.021672129269</t>
  </si>
  <si>
    <t>-717.038490531199 -34.5345678076246 780.384127546831</t>
  </si>
  <si>
    <t>-593.505255250968 -103.47247056403 851.619170998373</t>
  </si>
  <si>
    <t>9763-20170724T111020.014965700.bin</t>
  </si>
  <si>
    <t>-762.111018643217 79.527557931749 -68.0910018884579</t>
  </si>
  <si>
    <t>-790.131868844978 71.2162290621777 -180.171164805289</t>
  </si>
  <si>
    <t>-798.816912573884 68.6371454814312 -278.378042148447</t>
  </si>
  <si>
    <t>-800.945289390136 67.6265218994331 -367.443632915631</t>
  </si>
  <si>
    <t>-796.940631170595 67.7142132765061 -456.450384662137</t>
  </si>
  <si>
    <t>-784.886042453695 68.7397914300541 -580.444149300525</t>
  </si>
  <si>
    <t>-747.844478607357 70.589265803269 -654.805070488808</t>
  </si>
  <si>
    <t>-790.310759580651 95.9966654147452 -525.663078772929</t>
  </si>
  <si>
    <t>-784.609090353937 231.699078464897 -504.360355226121</t>
  </si>
  <si>
    <t>-734.028908325638 274.100974845058 -217.593895713484</t>
  </si>
  <si>
    <t>-496.812872136937 314.930115712775 -206.990280960643</t>
  </si>
  <si>
    <t>-790.070947276707 40.5806338906787 -526.098199508844</t>
  </si>
  <si>
    <t>-782.794006123145 173.368987976527 -70.7056448577974</t>
  </si>
  <si>
    <t>-786.170803219906 194.419075005596 332.283414674982</t>
  </si>
  <si>
    <t>-835.304695395294 199.658782795746 777.317217412018</t>
  </si>
  <si>
    <t>-696.612627151411 245.00278336855 838.926423099438</t>
  </si>
  <si>
    <t>-695.099697450713 -23.0861235804741 333.120102047793</t>
  </si>
  <si>
    <t>-716.98358014844 -34.5341354580296 780.418188275067</t>
  </si>
  <si>
    <t>-593.412080761175 -103.39308181327 851.663086386079</t>
  </si>
  <si>
    <t>9763-20170724T111020.083194000.bin</t>
  </si>
  <si>
    <t>-761.384868423282 80.4856672874862 -68.0009060499386</t>
  </si>
  <si>
    <t>-789.376008124443 72.219816291708 -180.091953293259</t>
  </si>
  <si>
    <t>-798.045446923779 69.4612361690192 -278.295238367384</t>
  </si>
  <si>
    <t>-800.172689724936 68.2123961293132 -367.35798571886</t>
  </si>
  <si>
    <t>-796.18480773722 67.9916400784841 -456.365174061789</t>
  </si>
  <si>
    <t>-784.174490003269 68.5190030842646 -580.366366572927</t>
  </si>
  <si>
    <t>-747.071998462589 70.0462625117671 -654.704078842975</t>
  </si>
  <si>
    <t>-789.577385750104 95.995403296256 -525.693072381727</t>
  </si>
  <si>
    <t>-784.1904173419 231.815270794672 -505.135588756742</t>
  </si>
  <si>
    <t>-734.400203977452 276.627980689018 -218.597701625835</t>
  </si>
  <si>
    <t>-497.339153538662 317.510874128538 -205.126057140527</t>
  </si>
  <si>
    <t>-789.341738982387 40.5783693623393 -525.905897745526</t>
  </si>
  <si>
    <t>-781.811125513632 174.372754972707 -70.6209304440238</t>
  </si>
  <si>
    <t>-784.906463546582 195.047872262422 332.38980720185</t>
  </si>
  <si>
    <t>-835.3714802525 199.522986121992 777.333060626934</t>
  </si>
  <si>
    <t>-696.715989732495 245.029330929494 838.904925709732</t>
  </si>
  <si>
    <t>-694.157097344186 -22.6070808918971 333.246646580998</t>
  </si>
  <si>
    <t>-716.768912550079 -34.1857743846913 780.425649414624</t>
  </si>
  <si>
    <t>-593.505159224871 -103.525004359547 851.737944474762</t>
  </si>
  <si>
    <t>9763-20170724T111020.121296800.bin</t>
  </si>
  <si>
    <t>-760.828747398844 80.7037297556403 -68.0018363555366</t>
  </si>
  <si>
    <t>-788.777600468741 72.4521524554793 -180.104484143582</t>
  </si>
  <si>
    <t>-797.423997681121 69.6143630991851 -278.307495943952</t>
  </si>
  <si>
    <t>-799.53925758876 68.2587248104323 -367.368787913694</t>
  </si>
  <si>
    <t>-795.549348606068 67.8981338752933 -456.375565754907</t>
  </si>
  <si>
    <t>-783.548205356607 68.1961498154351 -580.378414051278</t>
  </si>
  <si>
    <t>-746.403322888992 69.6289512838362 -654.696852283325</t>
  </si>
  <si>
    <t>-788.968263995613 95.773646518136 -525.757815496405</t>
  </si>
  <si>
    <t>-783.719043011984 231.626373753381 -505.460720841736</t>
  </si>
  <si>
    <t>-734.562754569415 277.797293874351 -219.029018832114</t>
  </si>
  <si>
    <t>-497.535778679519 318.118400822894 -203.432644998769</t>
  </si>
  <si>
    <t>-788.690155119005 40.356248169096 -525.86398536964</t>
  </si>
  <si>
    <t>-781.30907708027 174.714116803034 -70.5943298467982</t>
  </si>
  <si>
    <t>-784.390271784402 195.30059583301 332.421070889828</t>
  </si>
  <si>
    <t>-835.459664300489 199.546375276332 777.304880635328</t>
  </si>
  <si>
    <t>-696.683538624742 244.690940262439 838.872000138564</t>
  </si>
  <si>
    <t>-693.180013819514 -22.5206315954442 333.251874948031</t>
  </si>
  <si>
    <t>-716.706603763671 -34.2184026801988 780.396029599548</t>
  </si>
  <si>
    <t>-593.381644176062 -103.42234062907 851.733859926652</t>
  </si>
  <si>
    <t>9763-20170724T111020.183463900.bin</t>
  </si>
  <si>
    <t>-759.633001046172 80.8423238262403 -67.9658127015566</t>
  </si>
  <si>
    <t>-787.500316517156 72.5323037327403 -180.084361365198</t>
  </si>
  <si>
    <t>-796.066059261138 69.6062873407982 -278.291947413143</t>
  </si>
  <si>
    <t>-798.104768896805 68.151900145564 -367.353625741685</t>
  </si>
  <si>
    <t>-794.035259921881 67.6723868726831 -456.35612768799</t>
  </si>
  <si>
    <t>-781.921674600716 67.7823951133219 -580.348296451469</t>
  </si>
  <si>
    <t>-744.742560225788 69.1226627429946 -654.651376680584</t>
  </si>
  <si>
    <t>-787.438279200736 95.4423645865231 -525.778997763194</t>
  </si>
  <si>
    <t>-782.321697067616 231.332440661152 -505.681978319132</t>
  </si>
  <si>
    <t>-733.945848843711 277.758497839472 -219.15873572441</t>
  </si>
  <si>
    <t>-496.838481745122 317.11470724914 -202.36623293436</t>
  </si>
  <si>
    <t>-787.066252219113 40.0255281680925 -525.791817788903</t>
  </si>
  <si>
    <t>-780.647383513679 175.0118131501 -70.5822605302974</t>
  </si>
  <si>
    <t>-783.636204994976 195.456120111652 332.441019513124</t>
  </si>
  <si>
    <t>-835.445944172682 199.422233262993 777.231740572308</t>
  </si>
  <si>
    <t>-696.756644966129 244.811167814714 838.814282308664</t>
  </si>
  <si>
    <t>-690.910491133223 -22.5714724381 333.194584137926</t>
  </si>
  <si>
    <t>-716.524319974517 -33.9732029458305 780.290075882391</t>
  </si>
  <si>
    <t>-593.204003328934 -103.153622576572 851.65836605392</t>
  </si>
  <si>
    <t>9763-20170724T111020.215548500.bin</t>
  </si>
  <si>
    <t>-759.217038526014 81.0509292944134 -67.975176764275</t>
  </si>
  <si>
    <t>-787.023323803627 72.6617310261904 -180.102966466029</t>
  </si>
  <si>
    <t>-795.546070128502 69.6875948136008 -278.312835103012</t>
  </si>
  <si>
    <t>-797.548799778232 68.1952876101127 -367.374722769237</t>
  </si>
  <si>
    <t>-793.446623675928 67.6833894726055 -456.375498520257</t>
  </si>
  <si>
    <t>-781.289063695647 67.7529704379212 -580.363451883148</t>
  </si>
  <si>
    <t>-744.087339946981 69.0702046720662 -654.655519177207</t>
  </si>
  <si>
    <t>-786.862067186698 95.430622281639 -525.808742056542</t>
  </si>
  <si>
    <t>-781.877922350146 231.335643449972 -505.6934089347</t>
  </si>
  <si>
    <t>-732.951686186046 277.193841104097 -219.172114482759</t>
  </si>
  <si>
    <t>-495.810818743416 316.544634435318 -202.842739202355</t>
  </si>
  <si>
    <t>-786.416019086251 40.0141777661211 -525.79605646415</t>
  </si>
  <si>
    <t>-780.448583841775 175.278449173048 -70.6310266112306</t>
  </si>
  <si>
    <t>-783.607168425734 195.61913743121 332.396255324142</t>
  </si>
  <si>
    <t>-835.46817998463 199.453150224319 777.170282763573</t>
  </si>
  <si>
    <t>-696.792779280208 244.836350324132 838.788401586406</t>
  </si>
  <si>
    <t>-690.139043421525 -22.5836744522753 333.180021656836</t>
  </si>
  <si>
    <t>-716.457677224055 -33.8800941548125 780.234662139328</t>
  </si>
  <si>
    <t>-593.166867139866 -103.112923115289 851.603613324814</t>
  </si>
  <si>
    <t>9763-20170724T111020.285779700.bin</t>
  </si>
  <si>
    <t>-758.674433246863 81.7446580762239 -68.0535912287511</t>
  </si>
  <si>
    <t>-786.202284948515 73.2452765146072 -180.241813438705</t>
  </si>
  <si>
    <t>-794.554380390844 70.1819143902749 -278.463652976685</t>
  </si>
  <si>
    <t>-796.430229136634 68.6084410143549 -367.526770919203</t>
  </si>
  <si>
    <t>-792.229358690833 68.016248714267 -456.522559536127</t>
  </si>
  <si>
    <t>-779.963533007293 67.974073781153 -580.499716190625</t>
  </si>
  <si>
    <t>-742.617446940107 69.2986950283075 -654.719423159024</t>
  </si>
  <si>
    <t>-785.647018621908 95.7002875121948 -525.981184956213</t>
  </si>
  <si>
    <t>-780.921549583171 231.611830077454 -505.93687874088</t>
  </si>
  <si>
    <t>-730.96871020232 277.125902686538 -219.537868076622</t>
  </si>
  <si>
    <t>-493.808262477025 316.284779716774 -203.033193895042</t>
  </si>
  <si>
    <t>-785.075087133661 40.2850577112222 -525.905728057648</t>
  </si>
  <si>
    <t>-779.965701720364 175.903782406534 -70.8039181663258</t>
  </si>
  <si>
    <t>-783.915647525251 195.864539451584 332.235304801641</t>
  </si>
  <si>
    <t>-835.337649677833 199.289113122744 777.022001561098</t>
  </si>
  <si>
    <t>-696.900955777048 245.281381559241 838.724716925876</t>
  </si>
  <si>
    <t>-689.571237921223 -22.5249296319403 333.16632226753</t>
  </si>
  <si>
    <t>-716.403587497929 -33.9029751494359 780.186611665189</t>
  </si>
  <si>
    <t>-592.945489513678 -102.869504189692 851.523925169495</t>
  </si>
  <si>
    <t>9763-20170724T111020.317863300.bin</t>
  </si>
  <si>
    <t>-758.611752273999 82.2274039853155 -68.1044650589254</t>
  </si>
  <si>
    <t>-785.935449172994 73.7538991557399 -180.344437868647</t>
  </si>
  <si>
    <t>-794.128167581907 70.6756579684989 -278.579180617233</t>
  </si>
  <si>
    <t>-795.869072535258 69.0751656282091 -367.644643701408</t>
  </si>
  <si>
    <t>-791.543090151254 68.4431761739734 -456.634180191538</t>
  </si>
  <si>
    <t>-779.11389899653 68.3329149955953 -580.59510103254</t>
  </si>
  <si>
    <t>-741.628048870708 69.6746640690294 -654.74386878816</t>
  </si>
  <si>
    <t>-784.89121820274 96.0888111821268 -526.101506394941</t>
  </si>
  <si>
    <t>-780.264467782142 232.01867788477 -506.137159046064</t>
  </si>
  <si>
    <t>-730.285642393724 277.749484928739 -219.777214094318</t>
  </si>
  <si>
    <t>-493.127995974015 316.708889994856 -202.76956207407</t>
  </si>
  <si>
    <t>-784.275358500862 40.6741598111275 -525.990455505406</t>
  </si>
  <si>
    <t>-779.930096756607 176.382765443157 -70.8832607835454</t>
  </si>
  <si>
    <t>-784.150036383618 196.037011175874 332.168297260627</t>
  </si>
  <si>
    <t>-835.300645581158 199.249162503164 776.961356881768</t>
  </si>
  <si>
    <t>-696.856003222855 245.145946615776 838.718157482546</t>
  </si>
  <si>
    <t>-689.553216140408 -22.3640984053709 333.140567866044</t>
  </si>
  <si>
    <t>-716.389383948539 -33.9568805958493 780.169661586458</t>
  </si>
  <si>
    <t>-592.767819857771 -102.649135976151 851.488118681206</t>
  </si>
  <si>
    <t>9763-20170724T111020.383042800.bin</t>
  </si>
  <si>
    <t>-758.578316061719 83.0607929249841 -68.1821815971153</t>
  </si>
  <si>
    <t>-785.527864750697 74.716378861071 -180.52244009952</t>
  </si>
  <si>
    <t>-793.37718697061 71.6594907556655 -278.785831150299</t>
  </si>
  <si>
    <t>-794.803709783738 70.0452118403082 -367.856689174642</t>
  </si>
  <si>
    <t>-790.161894702055 69.3675024613121 -456.829876568221</t>
  </si>
  <si>
    <t>-777.293233409635 69.161940978991 -580.745791043408</t>
  </si>
  <si>
    <t>-739.3840139754 70.540656605589 -654.678232785573</t>
  </si>
  <si>
    <t>-783.276709997398 96.9595714290567 -526.295739313303</t>
  </si>
  <si>
    <t>-778.737201868323 232.919040020185 -506.485580214597</t>
  </si>
  <si>
    <t>-729.038790914929 279.175259800012 -220.16128574037</t>
  </si>
  <si>
    <t>-491.879421657887 317.989709703354 -202.84482452913</t>
  </si>
  <si>
    <t>-782.635470527568 41.5452049311339 -526.137320652328</t>
  </si>
  <si>
    <t>-779.970596056217 177.118290686444 -70.956737850225</t>
  </si>
  <si>
    <t>-784.4092367452 196.405821637223 332.11019265533</t>
  </si>
  <si>
    <t>-835.294643601718 199.223541149593 776.952723589373</t>
  </si>
  <si>
    <t>-696.896461193638 245.17237337368 838.774445931095</t>
  </si>
  <si>
    <t>-689.37270712483 -21.9772240773127 333.043870961027</t>
  </si>
  <si>
    <t>-716.261208759075 -33.727686967411 780.094526239058</t>
  </si>
  <si>
    <t>-592.814280492824 -102.704633982197 851.441126774613</t>
  </si>
  <si>
    <t>9763-20170724T111020.417133500.bin</t>
  </si>
  <si>
    <t>-758.50908350827 83.3464946410659 -68.1822895945849</t>
  </si>
  <si>
    <t>-785.365467616853 75.0285212542285 -180.546853226942</t>
  </si>
  <si>
    <t>-793.09056054253 71.9750352104156 -278.820166360946</t>
  </si>
  <si>
    <t>-794.38778777037 70.3556650568144 -367.892730019454</t>
  </si>
  <si>
    <t>-789.60099464705 69.6645831464084 -456.858194373733</t>
  </si>
  <si>
    <t>-776.513915150218 69.431326012405 -580.751374788469</t>
  </si>
  <si>
    <t>-738.290364150005 70.816263294058 -654.521821236249</t>
  </si>
  <si>
    <t>-782.588523451826 97.2410650100874 -526.317616728842</t>
  </si>
  <si>
    <t>-777.994491784277 233.203457111171 -506.530693708599</t>
  </si>
  <si>
    <t>-728.446580987566 279.655760887151 -220.211914105464</t>
  </si>
  <si>
    <t>-491.209989273264 318.165641046564 -203.282184452563</t>
  </si>
  <si>
    <t>-781.957175780927 41.8267987308382 -526.146636754577</t>
  </si>
  <si>
    <t>-779.939457419149 177.37325054689 -70.9620951449764</t>
  </si>
  <si>
    <t>-784.436684621735 196.614337353209 332.106366876775</t>
  </si>
  <si>
    <t>-835.295956261918 199.201596749137 776.979650480551</t>
  </si>
  <si>
    <t>-696.944195770161 245.271012991786 838.815833566713</t>
  </si>
  <si>
    <t>-689.302371756221 -21.9299868762864 333.019978032449</t>
  </si>
  <si>
    <t>-716.226377297596 -33.7284884080705 780.065960126852</t>
  </si>
  <si>
    <t>-592.741982365665 -102.62824728333 851.422186627962</t>
  </si>
  <si>
    <t>9763-20170724T111020.482234700.bin</t>
  </si>
  <si>
    <t>-758.329136872485 84.0008946489511 -68.1351538241355</t>
  </si>
  <si>
    <t>-785.153861805417 75.7055509052889 -180.508951377833</t>
  </si>
  <si>
    <t>-792.786317483679 72.6354843317108 -278.789006516526</t>
  </si>
  <si>
    <t>-793.974516403418 70.9848187829411 -367.862661006056</t>
  </si>
  <si>
    <t>-789.054909457733 70.2445093984638 -456.820323786489</t>
  </si>
  <si>
    <t>-775.757719769678 69.9224066019292 -580.690819749044</t>
  </si>
  <si>
    <t>-736.824958202489 71.2910642339698 -654.089783393662</t>
  </si>
  <si>
    <t>-781.890157010459 97.7714717999852 -526.283858346514</t>
  </si>
  <si>
    <t>-777.084884788209 233.726349145338 -506.515251628195</t>
  </si>
  <si>
    <t>-727.242618041508 280.433153434263 -220.289089331572</t>
  </si>
  <si>
    <t>-489.806391207891 318.136025124765 -204.371001405098</t>
  </si>
  <si>
    <t>-781.328216935839 42.3567740029548 -526.079408550248</t>
  </si>
  <si>
    <t>-779.926071723612 178.118796249961 -70.9340900855982</t>
  </si>
  <si>
    <t>-784.116266572392 196.948058146907 332.157155801519</t>
  </si>
  <si>
    <t>-835.248380049056 199.016798419279 777.069278552529</t>
  </si>
  <si>
    <t>-696.988014739649 245.371354151609 838.896938809489</t>
  </si>
  <si>
    <t>-689.199586753417 -21.7509082519018 333.042437874477</t>
  </si>
  <si>
    <t>-716.1385537039 -33.5990569634337 780.037204494914</t>
  </si>
  <si>
    <t>-592.756932089592 -102.66299545815 851.412473165875</t>
  </si>
  <si>
    <t>9763-20170724T111020.515326500.bin</t>
  </si>
  <si>
    <t>-758.08051996375 84.3223854101561 -68.1260924600678</t>
  </si>
  <si>
    <t>-784.942944813502 76.0528104869936 -180.492665066997</t>
  </si>
  <si>
    <t>-792.575527585965 72.9839794674444 -278.77286810846</t>
  </si>
  <si>
    <t>-793.751480717084 71.3256038288173 -367.846395732411</t>
  </si>
  <si>
    <t>-788.807297254815 70.5679309587658 -456.802782860028</t>
  </si>
  <si>
    <t>-775.463612187427 70.2106984515749 -580.668181197004</t>
  </si>
  <si>
    <t>-736.232133458174 71.5579559969319 -653.90808379309</t>
  </si>
  <si>
    <t>-781.58239708217 98.0756625491526 -526.267583120595</t>
  </si>
  <si>
    <t>-776.600460214206 234.022163742923 -506.521072935241</t>
  </si>
  <si>
    <t>-726.779982038358 280.663295930392 -220.280450156496</t>
  </si>
  <si>
    <t>-489.184946084152 317.628193629496 -205.014194803339</t>
  </si>
  <si>
    <t>-781.088998307812 42.6601206928908 -526.054608658231</t>
  </si>
  <si>
    <t>-779.652981291668 178.464874920994 -70.889463240973</t>
  </si>
  <si>
    <t>-783.720802884906 197.062482936757 332.21385265475</t>
  </si>
  <si>
    <t>-835.182813201612 198.83015964414 777.12141657018</t>
  </si>
  <si>
    <t>-696.937803536574 245.262396661701 838.925625139191</t>
  </si>
  <si>
    <t>-689.037185305496 -21.6767536406364 333.064704000309</t>
  </si>
  <si>
    <t>-716.11525253277 -33.5873039925746 780.030765588974</t>
  </si>
  <si>
    <t>-592.683920034709 -102.561642292912 851.406880692719</t>
  </si>
  <si>
    <t>9763-20170724T111020.585203900.bin</t>
  </si>
  <si>
    <t>-757.075511195318 84.9110082393445 -68.0733749970799</t>
  </si>
  <si>
    <t>-784.029118990474 76.7137308118417 -180.423437014144</t>
  </si>
  <si>
    <t>-791.7030947672 73.6571714729776 -278.700660542901</t>
  </si>
  <si>
    <t>-792.903218708328 71.9926048341363 -367.773803348713</t>
  </si>
  <si>
    <t>-787.97083263267 71.2103154545357 -456.730643477068</t>
  </si>
  <si>
    <t>-774.631231889306 70.7998573410773 -580.596188098341</t>
  </si>
  <si>
    <t>-735.019166358821 72.0975277332345 -653.632040338106</t>
  </si>
  <si>
    <t>-780.663512081807 98.6888392846822 -526.198343770947</t>
  </si>
  <si>
    <t>-775.194128157677 234.630947989882 -506.523740484308</t>
  </si>
  <si>
    <t>-725.423834187981 281.187349926164 -220.260601975582</t>
  </si>
  <si>
    <t>-487.522864857395 316.392327190033 -205.609022391781</t>
  </si>
  <si>
    <t>-780.339185170273 43.2721184963489 -525.979799282059</t>
  </si>
  <si>
    <t>-778.458877913163 179.183087428883 -70.7561638147172</t>
  </si>
  <si>
    <t>-782.332789689011 197.479979671851 332.362745809092</t>
  </si>
  <si>
    <t>-835.272342455166 198.725248435463 777.196176594318</t>
  </si>
  <si>
    <t>-696.977233438548 245.095478991659 838.93448545477</t>
  </si>
  <si>
    <t>-688.347861773428 -21.5722319306201 333.129762683119</t>
  </si>
  <si>
    <t>-716.044738305816 -33.4208331465629 780.028010070213</t>
  </si>
  <si>
    <t>-592.786821700827 -102.681740438203 851.426470121789</t>
  </si>
  <si>
    <t>9763-20170724T111020.619301300.bin</t>
  </si>
  <si>
    <t>-756.55618538605 85.236659463098 -68.0032537287317</t>
  </si>
  <si>
    <t>-783.531825383552 77.0861558527977 -180.351427386612</t>
  </si>
  <si>
    <t>-791.237760514003 74.0258306907758 -278.626098251595</t>
  </si>
  <si>
    <t>-792.473208130433 72.3415820836858 -367.69850372974</t>
  </si>
  <si>
    <t>-787.582828374135 71.5226527228288 -456.657135749947</t>
  </si>
  <si>
    <t>-774.309705778214 71.0435873897977 -580.529801092091</t>
  </si>
  <si>
    <t>-734.62766345844 72.2898571631195 -653.528356626735</t>
  </si>
  <si>
    <t>-780.251495305516 98.9629888974891 -526.137449696356</t>
  </si>
  <si>
    <t>-774.40431430706 234.889414133993 -506.505232547699</t>
  </si>
  <si>
    <t>-724.349308902821 281.54299481301 -220.307441532003</t>
  </si>
  <si>
    <t>-486.297923606258 315.702871829628 -205.627662878609</t>
  </si>
  <si>
    <t>-780.04964348002 43.5457225310684 -525.90153892183</t>
  </si>
  <si>
    <t>-777.880122246263 179.603350765374 -70.6734456819286</t>
  </si>
  <si>
    <t>-781.5776369748 197.63875004271 332.459001558128</t>
  </si>
  <si>
    <t>-835.353360676977 198.675669352973 777.234665356849</t>
  </si>
  <si>
    <t>-696.992956246574 244.920183716052 838.92052120319</t>
  </si>
  <si>
    <t>-687.99373999823 -21.5609745617344 333.186390691074</t>
  </si>
  <si>
    <t>-716.030241958994 -33.3850127034652 780.039366461793</t>
  </si>
  <si>
    <t>-592.744231096878 -102.597452628283 851.436016724173</t>
  </si>
  <si>
    <t>9763-20170724T111020.682467000.bin</t>
  </si>
  <si>
    <t>-755.440346728156 86.0288604467182 -67.8086071779718</t>
  </si>
  <si>
    <t>-782.522080730324 78.0205711218127 -180.141333858434</t>
  </si>
  <si>
    <t>-790.364824417876 74.9982044319804 -278.40640842907</t>
  </si>
  <si>
    <t>-791.745195642872 73.3197434855838 -367.476701373573</t>
  </si>
  <si>
    <t>-787.021165449139 72.4774887195958 -456.444223948336</t>
  </si>
  <si>
    <t>-774.003766520538 71.9364301291293 -580.343705533539</t>
  </si>
  <si>
    <t>-734.391914718309 73.0519371448659 -653.382434165094</t>
  </si>
  <si>
    <t>-779.686835156733 99.8832893558915 -525.937850369829</t>
  </si>
  <si>
    <t>-772.964660393524 235.791312724651 -506.404546432951</t>
  </si>
  <si>
    <t>-722.08809721308 282.114532162241 -220.297896363516</t>
  </si>
  <si>
    <t>-483.861374454268 315.024164302041 -205.606185680283</t>
  </si>
  <si>
    <t>-779.777246819192 44.4657197287775 -525.705404071648</t>
  </si>
  <si>
    <t>-776.510484801867 180.447560176302 -70.4428137422714</t>
  </si>
  <si>
    <t>-780.043635727854 197.934371859626 332.715181991575</t>
  </si>
  <si>
    <t>-835.375979872625 198.291934823376 777.36091854323</t>
  </si>
  <si>
    <t>-697.028412973306 244.816830578749 838.864193005719</t>
  </si>
  <si>
    <t>-687.240610795386 -21.4973861108815 333.312226054941</t>
  </si>
  <si>
    <t>-715.997151506199 -33.2381562394394 780.063154410024</t>
  </si>
  <si>
    <t>-592.937563205705 -102.834913789779 851.47664984397</t>
  </si>
  <si>
    <t>9763-20170724T111020.714552400.bin</t>
  </si>
  <si>
    <t>-754.965695017061 86.4904157958858 -67.7096973155129</t>
  </si>
  <si>
    <t>-782.109276395856 78.5529332701371 -180.032644586827</t>
  </si>
  <si>
    <t>-790.040924353912 75.562593970431 -278.291484684144</t>
  </si>
  <si>
    <t>-791.517144260512 73.9048013636188 -367.360643534252</t>
  </si>
  <si>
    <t>-786.904934665325 73.0755152058514 -456.334105543035</t>
  </si>
  <si>
    <t>-774.060046751621 72.5458467513376 -580.251540369233</t>
  </si>
  <si>
    <t>-734.562785046393 73.5840292388134 -653.353653993899</t>
  </si>
  <si>
    <t>-779.594797987214 100.487383151828 -525.827889964234</t>
  </si>
  <si>
    <t>-772.460439401467 236.384974297624 -506.352474932413</t>
  </si>
  <si>
    <t>-721.195221546808 282.594987623139 -220.296961591691</t>
  </si>
  <si>
    <t>-482.92320205322 315.145323839528 -205.541370425362</t>
  </si>
  <si>
    <t>-779.830158465088 45.0702053908403 -525.615313318148</t>
  </si>
  <si>
    <t>-775.916964194407 180.979592755403 -70.3393314689272</t>
  </si>
  <si>
    <t>-779.410671988409 198.07595175287 332.835798150083</t>
  </si>
  <si>
    <t>-835.435593609739 198.152006129164 777.421246357795</t>
  </si>
  <si>
    <t>-696.962795308332 244.462877032881 838.804313032846</t>
  </si>
  <si>
    <t>-687.062487335007 -21.4821161257887 333.390850564389</t>
  </si>
  <si>
    <t>-716.01606187153 -33.2483119086924 780.094043309173</t>
  </si>
  <si>
    <t>-593.00456830687 -102.930892173155 851.507064800508</t>
  </si>
  <si>
    <t>9763-20170724T111020.784748600.bin</t>
  </si>
  <si>
    <t>-754.072619069135 87.2972642666427 -67.6163046022066</t>
  </si>
  <si>
    <t>-781.334542789331 79.5238681755418 -179.922139229449</t>
  </si>
  <si>
    <t>-789.464354036973 76.5971912190171 -278.166689924109</t>
  </si>
  <si>
    <t>-791.161254399696 74.9728304070477 -367.232497049878</t>
  </si>
  <si>
    <t>-786.811428579665 74.1531448564087 -456.219262062552</t>
  </si>
  <si>
    <t>-774.376833187712 73.6140075165658 -580.178576790826</t>
  </si>
  <si>
    <t>-735.215273912107 74.4250117793727 -653.463913501662</t>
  </si>
  <si>
    <t>-779.589667550965 101.558939252776 -525.724716252314</t>
  </si>
  <si>
    <t>-771.807160864937 237.448939264295 -506.412272136994</t>
  </si>
  <si>
    <t>-719.961428790282 283.637310699116 -220.457887726613</t>
  </si>
  <si>
    <t>-481.66267281907 315.917070249789 -205.541333173215</t>
  </si>
  <si>
    <t>-780.107674527465 46.143507817751 -525.535661325517</t>
  </si>
  <si>
    <t>-774.691797140279 181.875417442896 -70.1954476574257</t>
  </si>
  <si>
    <t>-778.227341706155 198.222089363906 333.010441660351</t>
  </si>
  <si>
    <t>-835.484582955816 197.834738467752 777.461263932217</t>
  </si>
  <si>
    <t>-696.952958834976 244.231238647195 838.646911276365</t>
  </si>
  <si>
    <t>-686.798741904472 -21.3401149552556 333.494545638061</t>
  </si>
  <si>
    <t>-715.962368030805 -32.9137878255524 780.130712027462</t>
  </si>
  <si>
    <t>-593.169220793262 -102.970135076311 851.553891682806</t>
  </si>
  <si>
    <t>9763-20170724T111020.814830000.bin</t>
  </si>
  <si>
    <t>-753.584127065504 87.5438836232138 -67.602862078368</t>
  </si>
  <si>
    <t>-780.879295220598 79.8422151280542 -179.905376294346</t>
  </si>
  <si>
    <t>-789.086195010359 76.9431889055099 -278.144365086157</t>
  </si>
  <si>
    <t>-790.8734249332 75.333192809579 -367.208710540482</t>
  </si>
  <si>
    <t>-786.634328284827 74.5175480056701 -456.200868632083</t>
  </si>
  <si>
    <t>-774.376223955284 73.974375173882 -580.177743136213</t>
  </si>
  <si>
    <t>-735.424324769407 74.6570426110538 -653.576023789912</t>
  </si>
  <si>
    <t>-779.452315219798 101.92037046663 -525.711703522945</t>
  </si>
  <si>
    <t>-771.378232189889 237.796433492322 -506.433665987701</t>
  </si>
  <si>
    <t>-719.240886452983 284.216071635826 -220.569891880381</t>
  </si>
  <si>
    <t>-480.913483671708 316.180237804598 -205.427685350592</t>
  </si>
  <si>
    <t>-780.088314589006 46.5062807325112 -525.531753968727</t>
  </si>
  <si>
    <t>-773.996878974439 182.162792086664 -70.1717637463994</t>
  </si>
  <si>
    <t>-777.551419740931 198.244121698488 333.044626918196</t>
  </si>
  <si>
    <t>-835.408833732385 197.628756903136 777.410221819008</t>
  </si>
  <si>
    <t>-696.95911270446 244.329494296263 838.548914733269</t>
  </si>
  <si>
    <t>-686.63629700557 -21.4542911387375 333.518108924143</t>
  </si>
  <si>
    <t>-716.018849980807 -33.0237507707993 780.150161641129</t>
  </si>
  <si>
    <t>-593.067888889956 -102.828506679033 851.548350062254</t>
  </si>
  <si>
    <t>9763-20170724T111020.882658800.bin</t>
  </si>
  <si>
    <t>-752.551176904612 88.1438341636504 -67.5862191215369</t>
  </si>
  <si>
    <t>-779.915464656805 80.5585727510752 -179.880057384721</t>
  </si>
  <si>
    <t>-788.241798159198 77.7046018521096 -278.110230252073</t>
  </si>
  <si>
    <t>-790.16293493768 76.1172293364793 -367.17215949687</t>
  </si>
  <si>
    <t>-786.084644794058 75.306340104014 -456.17188808887</t>
  </si>
  <si>
    <t>-774.078530134771 74.7526529626002 -580.173300590987</t>
  </si>
  <si>
    <t>-735.551024899658 75.2113119012574 -653.796989638226</t>
  </si>
  <si>
    <t>-778.953916539391 102.702105485782 -525.690655356443</t>
  </si>
  <si>
    <t>-770.397044995859 238.544552743069 -506.440029860485</t>
  </si>
  <si>
    <t>-717.770011047814 285.551188824536 -220.762011389471</t>
  </si>
  <si>
    <t>-479.349824031763 316.70588177012 -205.398876866132</t>
  </si>
  <si>
    <t>-779.769738023331 47.2904878891677 -525.522321171654</t>
  </si>
  <si>
    <t>-772.670690803798 182.814083214036 -70.1573959113605</t>
  </si>
  <si>
    <t>-776.317827703841 198.625790016235 333.068873469173</t>
  </si>
  <si>
    <t>-835.440609834955 197.568575840758 777.251636722179</t>
  </si>
  <si>
    <t>-696.864425559269 243.896229055357 838.388099996361</t>
  </si>
  <si>
    <t>-686.151515955712 -21.3305027929096 333.54494291097</t>
  </si>
  <si>
    <t>-716.010871857387 -32.7784429644385 780.156677565217</t>
  </si>
  <si>
    <t>-593.490511668507 -103.328254569471 851.562414020692</t>
  </si>
  <si>
    <t>9763-20170724T111020.915746600.bin</t>
  </si>
  <si>
    <t>-752.069085084339 88.3236429357262 -67.5798411904062</t>
  </si>
  <si>
    <t>-779.457067027894 80.7804414326611 -179.870701584825</t>
  </si>
  <si>
    <t>-787.830835549119 77.9469578133794 -278.097517833919</t>
  </si>
  <si>
    <t>-789.806781064885 76.3733718336898 -367.158479391202</t>
  </si>
  <si>
    <t>-785.793976396134 75.5714442659196 -456.16127014117</t>
  </si>
  <si>
    <t>-773.89219419352 75.02594273056 -580.172798946152</t>
  </si>
  <si>
    <t>-735.535141817074 75.4156275698238 -653.88598215985</t>
  </si>
  <si>
    <t>-778.689869351085 102.971403702855 -525.681164482414</t>
  </si>
  <si>
    <t>-769.912100113853 238.801227174265 -506.430618655052</t>
  </si>
  <si>
    <t>-716.864594886665 285.94611729898 -220.853017679075</t>
  </si>
  <si>
    <t>-478.405247744265 316.729799424594 -205.348528127771</t>
  </si>
  <si>
    <t>-779.569239267352 47.5605397079503 -525.521746640534</t>
  </si>
  <si>
    <t>-772.088414577347 183.023556250962 -70.1580530082811</t>
  </si>
  <si>
    <t>-775.723425540618 198.736494535587 333.072097627173</t>
  </si>
  <si>
    <t>-835.379020171094 197.454644954719 777.177414698341</t>
  </si>
  <si>
    <t>-696.871839203093 243.979263496492 838.32069016607</t>
  </si>
  <si>
    <t>-685.889309711546 -21.3950093181757 333.551284173914</t>
  </si>
  <si>
    <t>-716.062039767681 -32.8897655557548 780.154982434764</t>
  </si>
  <si>
    <t>-593.364758024734 -103.150931018407 851.541675264799</t>
  </si>
  <si>
    <t>9763-20170724T111020.988494400.bin</t>
  </si>
  <si>
    <t>-751.197370514292 88.7248943609502 -67.5942551733102</t>
  </si>
  <si>
    <t>-778.629511755861 81.233748669606 -179.877817912945</t>
  </si>
  <si>
    <t>-787.103453668296 78.427069993596 -278.09677879586</t>
  </si>
  <si>
    <t>-789.194947747109 76.8731836946931 -367.155527705521</t>
  </si>
  <si>
    <t>-785.324154867405 76.0868296989979 -456.16461052019</t>
  </si>
  <si>
    <t>-773.646175395548 75.5589158345297 -580.19758321073</t>
  </si>
  <si>
    <t>-735.507269296781 75.8780333763029 -654.023968852273</t>
  </si>
  <si>
    <t>-778.288742853878 103.495689321873 -525.687942093345</t>
  </si>
  <si>
    <t>-769.033692509698 239.2948981247 -506.447095039414</t>
  </si>
  <si>
    <t>-715.313384186979 286.641299759025 -221.028656650278</t>
  </si>
  <si>
    <t>-476.767193774019 316.698699190247 -205.43909510894</t>
  </si>
  <si>
    <t>-779.281644555228 48.0867308166225 -525.54561884622</t>
  </si>
  <si>
    <t>-771.056594380026 183.428025235823 -70.1807058304364</t>
  </si>
  <si>
    <t>-774.676292501438 199.042127606216 333.05339961862</t>
  </si>
  <si>
    <t>-835.280295647573 197.286642424471 777.029471132813</t>
  </si>
  <si>
    <t>-696.874776929693 244.091232036778 838.188952115268</t>
  </si>
  <si>
    <t>-685.366001853343 -21.3900680557676 333.549555602226</t>
  </si>
  <si>
    <t>-716.082578889911 -32.8026068496592 780.131793594855</t>
  </si>
  <si>
    <t>-593.338838933195 -102.987636206091 851.513431327231</t>
  </si>
  <si>
    <t>9763-20170724T111021.016568000.bin</t>
  </si>
  <si>
    <t>-750.886945468083 88.9792655955475 -67.5772845031034</t>
  </si>
  <si>
    <t>-778.342716115379 81.5056765917843 -179.856234920233</t>
  </si>
  <si>
    <t>-786.871940205371 78.7043463327282 -278.070462325766</t>
  </si>
  <si>
    <t>-789.027399757013 77.1535064597542 -367.127783580292</t>
  </si>
  <si>
    <t>-785.234609115585 76.3688735601554 -456.140291877244</t>
  </si>
  <si>
    <t>-773.680714030992 75.8435697329751 -580.184876019366</t>
  </si>
  <si>
    <t>-735.622619874704 76.1438566374795 -654.053185222911</t>
  </si>
  <si>
    <t>-778.248566989662 103.778925970504 -525.668158701916</t>
  </si>
  <si>
    <t>-768.801637033846 239.575266019543 -506.466446552564</t>
  </si>
  <si>
    <t>-714.89392803936 286.994839312726 -221.095685021736</t>
  </si>
  <si>
    <t>-476.330950962037 316.818899928593 -205.312366023831</t>
  </si>
  <si>
    <t>-779.281546011387 48.3706254193062 -525.529827087049</t>
  </si>
  <si>
    <t>-770.721041858082 183.751579667851 -70.1768707610643</t>
  </si>
  <si>
    <t>-774.275378818983 199.248927090032 333.062382846249</t>
  </si>
  <si>
    <t>-835.325898651301 197.29426143166 777.000279873972</t>
  </si>
  <si>
    <t>-696.779055676898 243.702295636192 838.142972817357</t>
  </si>
  <si>
    <t>-685.222089819282 -21.3537961227439 333.56477882195</t>
  </si>
  <si>
    <t>-716.117659518193 -32.8607990845098 780.129751297649</t>
  </si>
  <si>
    <t>-593.396251282347 -103.083213179 851.512996090901</t>
  </si>
  <si>
    <t>9763-20170724T111021.085943400.bin</t>
  </si>
  <si>
    <t>-750.49683917035 89.5313686451245 -67.5628522417938</t>
  </si>
  <si>
    <t>-777.995605381413 82.0865681685236 -179.833061303502</t>
  </si>
  <si>
    <t>-786.620033517867 79.2904484840283 -278.039324180248</t>
  </si>
  <si>
    <t>-788.886965084132 77.7408856623779 -367.093758951382</t>
  </si>
  <si>
    <t>-785.229696446849 76.9554930284994 -456.112020806706</t>
  </si>
  <si>
    <t>-773.890337948602 76.4293613393629 -580.17633469761</t>
  </si>
  <si>
    <t>-735.968668457742 76.7273047726699 -654.114838907711</t>
  </si>
  <si>
    <t>-778.345456329848 104.364758515876 -525.650362039781</t>
  </si>
  <si>
    <t>-768.67177780009 240.155936377131 -506.525723743976</t>
  </si>
  <si>
    <t>-714.172504452055 288.038213565612 -221.344542253947</t>
  </si>
  <si>
    <t>-475.559734202405 317.158793091628 -205.009414341087</t>
  </si>
  <si>
    <t>-779.414975074876 48.9572127337592 -525.513215685229</t>
  </si>
  <si>
    <t>-770.28785339598 184.316041068942 -70.1738979034466</t>
  </si>
  <si>
    <t>-773.735784114408 199.470224117651 333.079300773043</t>
  </si>
  <si>
    <t>-835.379814019034 197.293942382548 776.920966946407</t>
  </si>
  <si>
    <t>-696.748505464331 243.458542115034 838.055809556476</t>
  </si>
  <si>
    <t>-685.003101691854 -21.1865630768266 333.596174256183</t>
  </si>
  <si>
    <t>-716.142826667149 -32.6983175965088 780.133391768965</t>
  </si>
  <si>
    <t>-593.590668746285 -103.215954928304 851.516208892335</t>
  </si>
  <si>
    <t>9763-20170724T111021.118033300.bin</t>
  </si>
  <si>
    <t>-750.350982591073 89.7324719936732 -67.5969278962802</t>
  </si>
  <si>
    <t>-777.850412361198 82.2909226149009 -179.867315319214</t>
  </si>
  <si>
    <t>-786.492806577749 79.4863241083776 -278.071643799455</t>
  </si>
  <si>
    <t>-788.782947477566 77.9253308319521 -367.125355079866</t>
  </si>
  <si>
    <t>-785.156863889012 77.1254402576651 -456.144739129999</t>
  </si>
  <si>
    <t>-773.868579684806 76.5760059766831 -580.21354163583</t>
  </si>
  <si>
    <t>-735.996219539211 76.8640083401369 -654.177204389124</t>
  </si>
  <si>
    <t>-778.293324111627 104.521458472063 -525.690219784448</t>
  </si>
  <si>
    <t>-768.48923525666 240.306498488724 -506.60529886504</t>
  </si>
  <si>
    <t>-713.625807363788 288.398969998991 -221.529332672147</t>
  </si>
  <si>
    <t>-474.989109699658 317.07255674411 -204.759793598404</t>
  </si>
  <si>
    <t>-779.378470318679 49.1141250495557 -525.54361332723</t>
  </si>
  <si>
    <t>-770.047030893099 184.53357050706 -70.2065612909082</t>
  </si>
  <si>
    <t>-773.603805963403 199.64968261912 333.047154822337</t>
  </si>
  <si>
    <t>-835.443734390361 197.421813287733 776.835430237686</t>
  </si>
  <si>
    <t>-696.756255715979 243.357066488208 838.015370391674</t>
  </si>
  <si>
    <t>-684.940342283626 -21.1509805280671 333.593967906672</t>
  </si>
  <si>
    <t>-716.185361642314 -32.7364088777781 780.1348915798</t>
  </si>
  <si>
    <t>-593.549255964884 -103.120716332367 851.505020064957</t>
  </si>
  <si>
    <t>9763-20170724T111021.184855700.bin</t>
  </si>
  <si>
    <t>-750.072773430804 89.9417951995047 -67.6550113845636</t>
  </si>
  <si>
    <t>-777.507116390383 82.495834534348 -179.941005340133</t>
  </si>
  <si>
    <t>-786.105850530284 79.6772531544189 -278.148839500854</t>
  </si>
  <si>
    <t>-788.36256895777 78.0995677313581 -367.203066790823</t>
  </si>
  <si>
    <t>-784.708112771398 77.2785049824324 -456.221092672967</t>
  </si>
  <si>
    <t>-773.387298788722 76.6948941274909 -580.286898633036</t>
  </si>
  <si>
    <t>-735.587870108045 76.9443917892863 -654.288003683898</t>
  </si>
  <si>
    <t>-777.814764658208 104.654999813029 -525.771414636232</t>
  </si>
  <si>
    <t>-767.767165626424 240.430467145773 -506.747917679383</t>
  </si>
  <si>
    <t>-712.300679765234 288.966279509112 -221.863904071295</t>
  </si>
  <si>
    <t>-473.681906520157 316.545933324179 -203.117388606851</t>
  </si>
  <si>
    <t>-778.923245406158 49.248245143775 -525.611911006265</t>
  </si>
  <si>
    <t>-769.728764545689 184.736714171975 -70.3047472288537</t>
  </si>
  <si>
    <t>-773.256696844079 199.908825701002 332.94708270193</t>
  </si>
  <si>
    <t>-835.395858435741 197.453895476961 776.676849524149</t>
  </si>
  <si>
    <t>-696.733145808166 243.338775134742 837.951723384347</t>
  </si>
  <si>
    <t>-684.749523951821 -21.031912664715 333.567288170262</t>
  </si>
  <si>
    <t>-716.193752739571 -32.5686540216116 780.109822361736</t>
  </si>
  <si>
    <t>-593.602133000643 -103.03091780923 851.479521493579</t>
  </si>
  <si>
    <t>9763-20170724T111021.217942800.bin</t>
  </si>
  <si>
    <t>-749.990406780157 89.9823998720303 -67.6849053157656</t>
  </si>
  <si>
    <t>-777.375520392714 82.5367631883964 -179.982890593111</t>
  </si>
  <si>
    <t>-785.930499925732 79.7100790754166 -278.194255103461</t>
  </si>
  <si>
    <t>-788.147109513795 78.1212922789387 -367.249246343156</t>
  </si>
  <si>
    <t>-784.453054258784 77.2856874025465 -456.26561292396</t>
  </si>
  <si>
    <t>-773.076562591816 76.677704810772 -580.326049468672</t>
  </si>
  <si>
    <t>-735.300621223294 76.9012039982385 -654.339383424405</t>
  </si>
  <si>
    <t>-777.523829068997 104.648399661698 -525.81782950747</t>
  </si>
  <si>
    <t>-767.41237896068 240.427782009097 -506.828181978532</t>
  </si>
  <si>
    <t>-711.754172545391 289.273704266301 -222.034434708405</t>
  </si>
  <si>
    <t>-473.163897567982 316.574309537672 -202.534684003248</t>
  </si>
  <si>
    <t>-778.641308662122 49.2418197811335 -525.648729934462</t>
  </si>
  <si>
    <t>-769.601001553274 184.751176187101 -70.3456080758217</t>
  </si>
  <si>
    <t>-773.093512477073 199.973739672897 332.904729950195</t>
  </si>
  <si>
    <t>-835.330876021674 197.418596153854 776.609294787014</t>
  </si>
  <si>
    <t>-696.753690651847 243.495876895071 837.932821793345</t>
  </si>
  <si>
    <t>-684.738622588072 -21.0648842471805 333.554455502873</t>
  </si>
  <si>
    <t>-716.252241674904 -32.7001260817979 780.103300423604</t>
  </si>
  <si>
    <t>-593.531457951721 -102.946168367889 851.464292160234</t>
  </si>
  <si>
    <t>9763-20170724T111021.284867500.bin</t>
  </si>
  <si>
    <t>-749.903494143744 90.3156741428143 -67.7250351527922</t>
  </si>
  <si>
    <t>-777.176072434778 82.870181257967 -180.050414985976</t>
  </si>
  <si>
    <t>-785.627378649032 80.0373058873474 -278.270504746465</t>
  </si>
  <si>
    <t>-787.747784889267 78.4416485829452 -367.327834577069</t>
  </si>
  <si>
    <t>-783.956154102349 77.5984843311712 -456.339973096938</t>
  </si>
  <si>
    <t>-772.441853310375 76.9799387399289 -580.387739624315</t>
  </si>
  <si>
    <t>-734.708286495023 77.1277475643083 -654.422792277177</t>
  </si>
  <si>
    <t>-776.957863067491 104.955607822937 -525.887502251957</t>
  </si>
  <si>
    <t>-766.823889690588 240.734070730233 -506.934662738136</t>
  </si>
  <si>
    <t>-710.345958850393 290.13606855229 -222.398294720966</t>
  </si>
  <si>
    <t>-471.780368141591 317.282739466958 -202.389071060682</t>
  </si>
  <si>
    <t>-778.059515130645 49.5485839533617 -525.713446741148</t>
  </si>
  <si>
    <t>-769.385977583451 184.995163772754 -70.4450322660092</t>
  </si>
  <si>
    <t>-772.987380858377 200.221581310345 332.80412939622</t>
  </si>
  <si>
    <t>-835.278997521215 197.468558569935 776.481240460131</t>
  </si>
  <si>
    <t>-696.665173985813 243.285925225015 837.916687373764</t>
  </si>
  <si>
    <t>-684.722643375526 -20.8383266681876 333.52857303197</t>
  </si>
  <si>
    <t>-716.239255952624 -32.4828623491994 780.085576666436</t>
  </si>
  <si>
    <t>-593.803144125506 -103.206363726343 851.463742306069</t>
  </si>
  <si>
    <t>9763-20170724T111021.318957800.bin</t>
  </si>
  <si>
    <t>-749.864061012799 90.4264554197043 -67.7579522127255</t>
  </si>
  <si>
    <t>-777.071400999878 82.9881722332166 -180.099716290588</t>
  </si>
  <si>
    <t>-785.45928115145 80.1505977774318 -278.325206491075</t>
  </si>
  <si>
    <t>-787.520449554462 78.546234005235 -367.383660607417</t>
  </si>
  <si>
    <t>-783.667464644014 77.6897204945894 -456.393096404619</t>
  </si>
  <si>
    <t>-772.065882055012 77.0476883967954 -580.432587474796</t>
  </si>
  <si>
    <t>-734.333109071352 77.1519990590145 -654.46813885826</t>
  </si>
  <si>
    <t>-776.617948919558 105.033687279592 -525.940505937895</t>
  </si>
  <si>
    <t>-766.464609354926 240.816535572526 -507.017040574761</t>
  </si>
  <si>
    <t>-709.433980791201 290.551665047006 -222.649114720395</t>
  </si>
  <si>
    <t>-470.892622414141 317.771982592059 -202.45207230846</t>
  </si>
  <si>
    <t>-777.724189797838 49.6268821969916 -525.757254017831</t>
  </si>
  <si>
    <t>-769.236988866399 185.093768385486 -70.4912547029866</t>
  </si>
  <si>
    <t>-773.060593677291 200.263114816295 332.757961966467</t>
  </si>
  <si>
    <t>-835.218476818139 197.453205620809 776.426695346565</t>
  </si>
  <si>
    <t>-696.627042809937 243.264495249415 837.91697203216</t>
  </si>
  <si>
    <t>-684.758119712297 -20.8612969821957 333.512046245208</t>
  </si>
  <si>
    <t>-716.299625803226 -32.6354322640263 780.085904917997</t>
  </si>
  <si>
    <t>-593.665730248986 -103.034672095366 851.445173405363</t>
  </si>
  <si>
    <t>9763-20170724T111021.385138100.bin</t>
  </si>
  <si>
    <t>-749.830410930012 90.6235423215053 -67.7879479533966</t>
  </si>
  <si>
    <t>-776.81615994941 83.2248810081005 -180.185645243723</t>
  </si>
  <si>
    <t>-784.996363287535 80.3905943565287 -278.428735666375</t>
  </si>
  <si>
    <t>-786.864270137406 78.7759775680129 -367.491371079336</t>
  </si>
  <si>
    <t>-782.813382540437 77.8947682027465 -456.491602199169</t>
  </si>
  <si>
    <t>-770.932419733528 77.2024377493694 -580.504439438672</t>
  </si>
  <si>
    <t>-733.186023891308 77.2220264678485 -654.533144799329</t>
  </si>
  <si>
    <t>-775.58534285111 105.210000108826 -526.03208584203</t>
  </si>
  <si>
    <t>-765.274086308154 240.982844179748 -507.158734749486</t>
  </si>
  <si>
    <t>-707.3518003757 291.351876538266 -223.082780345974</t>
  </si>
  <si>
    <t>-468.797121431355 318.413470510199 -202.827347073852</t>
  </si>
  <si>
    <t>-776.735879108357 49.8043307925136 -525.833018662671</t>
  </si>
  <si>
    <t>-769.089438127013 185.265627612956 -70.5647510622947</t>
  </si>
  <si>
    <t>-773.475843590802 200.163552889867 332.688886817198</t>
  </si>
  <si>
    <t>-835.133489950722 197.442247370316 776.378809090122</t>
  </si>
  <si>
    <t>-696.572568553031 243.232871466636 837.952872918576</t>
  </si>
  <si>
    <t>-684.81583655449 -20.7853927639489 333.486002166768</t>
  </si>
  <si>
    <t>-716.332413131289 -32.6151795179967 780.079935482731</t>
  </si>
  <si>
    <t>-593.609759340337 -102.881686391303 851.417746133119</t>
  </si>
  <si>
    <t>9763-20170724T111021.418225500.bin</t>
  </si>
  <si>
    <t>-749.860843701484 90.7064069662229 -67.8153596865196</t>
  </si>
  <si>
    <t>-776.72814037297 83.3336152577572 -180.243057938681</t>
  </si>
  <si>
    <t>-784.776324344555 80.5074450035227 -278.497435185578</t>
  </si>
  <si>
    <t>-786.513433789395 78.8932111304139 -367.562573251956</t>
  </si>
  <si>
    <t>-782.321158371771 78.0048427475235 -456.556207197274</t>
  </si>
  <si>
    <t>-770.231993679645 77.2939765356764 -580.548864991507</t>
  </si>
  <si>
    <t>-732.473470506046 77.2805133663937 -654.571322546099</t>
  </si>
  <si>
    <t>-774.963517826938 105.309495641628 -526.087276868241</t>
  </si>
  <si>
    <t>-764.586886046405 241.084654585749 -507.233738565312</t>
  </si>
  <si>
    <t>-706.18289130595 291.670276156738 -223.294876151362</t>
  </si>
  <si>
    <t>-467.615470578056 318.6416713158 -203.069331077039</t>
  </si>
  <si>
    <t>-776.140403137449 49.9042052240129 -525.884365889633</t>
  </si>
  <si>
    <t>-769.072224377256 185.365572972686 -70.5985210013534</t>
  </si>
  <si>
    <t>-773.717379758793 200.134741708454 332.656916073647</t>
  </si>
  <si>
    <t>-835.137252332868 197.515784267317 776.362231621613</t>
  </si>
  <si>
    <t>-696.61744780853 243.362446758379 837.987210607648</t>
  </si>
  <si>
    <t>-684.892035108767 -20.7621594423144 333.468304208655</t>
  </si>
  <si>
    <t>-716.365420736089 -32.6575015810313 780.077883866097</t>
  </si>
  <si>
    <t>-593.604559462668 -102.869220310602 851.403543367835</t>
  </si>
  <si>
    <t>9763-20170724T111021.481396200.bin</t>
  </si>
  <si>
    <t>-750.091441672701 90.9233397348166 -67.8719167819372</t>
  </si>
  <si>
    <t>-776.697096177376 83.6212451335455 -180.366625574228</t>
  </si>
  <si>
    <t>-784.42423243153 80.8055826519972 -278.646894918238</t>
  </si>
  <si>
    <t>-785.834885603337 79.1780819302198 -367.717618150242</t>
  </si>
  <si>
    <t>-781.28183675728 78.2510124202181 -456.693223611329</t>
  </si>
  <si>
    <t>-768.654705052381 77.4572135658491 -580.631667483564</t>
  </si>
  <si>
    <t>-730.851283073305 77.3597007002136 -654.631160742035</t>
  </si>
  <si>
    <t>-773.580986116223 105.508039898866 -526.205677592503</t>
  </si>
  <si>
    <t>-762.988451686566 241.26803890086 -507.377274005674</t>
  </si>
  <si>
    <t>-703.775177160652 291.934534260064 -223.620535319956</t>
  </si>
  <si>
    <t>-465.206303001021 318.81149684559 -203.29095881948</t>
  </si>
  <si>
    <t>-774.841592206385 50.1048048128064 -525.979242761797</t>
  </si>
  <si>
    <t>-769.181227144153 185.569355038584 -70.6650538641222</t>
  </si>
  <si>
    <t>-774.13344667268 200.280223167496 332.588912839859</t>
  </si>
  <si>
    <t>-835.131648069431 197.632653950904 776.357403485055</t>
  </si>
  <si>
    <t>-696.596730511145 243.31389907479 838.07113494504</t>
  </si>
  <si>
    <t>-685.179655383651 -20.6170970356502 333.422336272624</t>
  </si>
  <si>
    <t>-716.385890367884 -32.5946812185352 780.071071029105</t>
  </si>
  <si>
    <t>-593.726218668815 -102.994264291476 851.386109174521</t>
  </si>
  <si>
    <t>9763-20170724T111021.518496100.bin</t>
  </si>
  <si>
    <t>-750.234989192637 91.0394746834468 -67.8638712904873</t>
  </si>
  <si>
    <t>-776.706750955748 83.7942221578924 -180.393725383001</t>
  </si>
  <si>
    <t>-784.255902691195 81.0031476871827 -278.688633788668</t>
  </si>
  <si>
    <t>-785.481401551646 79.387089953424 -367.762318503562</t>
  </si>
  <si>
    <t>-780.720102863892 78.4597518334772 -456.726989179902</t>
  </si>
  <si>
    <t>-767.779258395112 77.6527973170928 -580.632943845349</t>
  </si>
  <si>
    <t>-729.956898253886 77.5130681518117 -654.622660307948</t>
  </si>
  <si>
    <t>-772.820553409809 105.709096759763 -526.220174054881</t>
  </si>
  <si>
    <t>-762.08889588215 241.452893529505 -507.374243632889</t>
  </si>
  <si>
    <t>-702.659668626391 292.160402264852 -223.669915133426</t>
  </si>
  <si>
    <t>-464.108707358594 318.92847032471 -202.987249698732</t>
  </si>
  <si>
    <t>-774.127299636376 50.3066778481343 -525.995934514067</t>
  </si>
  <si>
    <t>-769.214848642967 185.688640364325 -70.660620914884</t>
  </si>
  <si>
    <t>-774.191484081427 200.353610327768 332.594708511062</t>
  </si>
  <si>
    <t>-835.12346737995 197.658426762425 776.386529752814</t>
  </si>
  <si>
    <t>-696.641034572134 243.47155785319 838.120094963783</t>
  </si>
  <si>
    <t>-685.333861261072 -20.569745639094 333.407874938662</t>
  </si>
  <si>
    <t>-716.405661839437 -32.6029513880262 780.069688162275</t>
  </si>
  <si>
    <t>-593.720912112592 -102.967333741029 851.376131365494</t>
  </si>
  <si>
    <t>9763-20170724T111021.583686300.bin</t>
  </si>
  <si>
    <t>-750.545276090158 91.3058705267331 -67.7974643787226</t>
  </si>
  <si>
    <t>-776.794159482687 84.1784183281316 -180.387098985093</t>
  </si>
  <si>
    <t>-783.99401999253 81.4503477696885 -278.709923570169</t>
  </si>
  <si>
    <t>-784.842308446226 79.8744324294553 -367.788727509557</t>
  </si>
  <si>
    <t>-779.644927484648 78.9673894871921 -456.729178191753</t>
  </si>
  <si>
    <t>-766.035211943755 78.1660436889938 -580.563584848751</t>
  </si>
  <si>
    <t>-728.214359575203 77.9374844164849 -654.553768072814</t>
  </si>
  <si>
    <t>-771.302656673091 106.218135929016 -526.170056518441</t>
  </si>
  <si>
    <t>-760.207579013219 241.92259356136 -507.22272478782</t>
  </si>
  <si>
    <t>-700.475453659277 292.687204534457 -223.592320137237</t>
  </si>
  <si>
    <t>-461.969527440752 319.798020401393 -202.835442187474</t>
  </si>
  <si>
    <t>-772.745602370082 50.8191675747116 -525.970221182305</t>
  </si>
  <si>
    <t>-769.295036689687 185.85809052611 -70.5887690836707</t>
  </si>
  <si>
    <t>-774.1424189007 200.521379703521 332.668194003993</t>
  </si>
  <si>
    <t>-834.988391208964 197.487714572747 776.481622256135</t>
  </si>
  <si>
    <t>-696.570198486589 243.483404907278 838.223925987633</t>
  </si>
  <si>
    <t>-685.798950754044 -20.4866543280564 333.423991683458</t>
  </si>
  <si>
    <t>-716.450915736486 -32.6483520164693 780.085481704239</t>
  </si>
  <si>
    <t>-593.702607872834 -102.91696704052 851.376944466093</t>
  </si>
  <si>
    <t>9763-20170724T111021.614768800.bin</t>
  </si>
  <si>
    <t>-750.705893420156 91.5459877934732 -67.7735219336608</t>
  </si>
  <si>
    <t>-776.883861373523 84.4513842975462 -180.381709055234</t>
  </si>
  <si>
    <t>-783.938941798942 81.7585121827851 -278.715950038821</t>
  </si>
  <si>
    <t>-784.622409192426 80.2163212984751 -367.796815819733</t>
  </si>
  <si>
    <t>-779.227118498885 79.3430515843056 -456.725946176326</t>
  </si>
  <si>
    <t>-765.307047269304 78.5878349402146 -580.526016884921</t>
  </si>
  <si>
    <t>-727.506484889028 78.3179227348132 -654.526455363867</t>
  </si>
  <si>
    <t>-770.669095125444 106.618764062506 -526.130865509542</t>
  </si>
  <si>
    <t>-759.367667373193 242.293767290865 -507.10376521714</t>
  </si>
  <si>
    <t>-699.23323522816 292.858710228783 -223.522741426764</t>
  </si>
  <si>
    <t>-460.744344600771 320.322267537367 -203.035224906311</t>
  </si>
  <si>
    <t>-772.195900383974 51.2218668121873 -525.964682639342</t>
  </si>
  <si>
    <t>-769.353949484239 186.068596289893 -70.562281593944</t>
  </si>
  <si>
    <t>-774.092800455637 200.669476559525 332.698216287433</t>
  </si>
  <si>
    <t>-835.000453035709 197.507327004962 776.526161066546</t>
  </si>
  <si>
    <t>-696.559680635574 243.446790330092 838.259552666466</t>
  </si>
  <si>
    <t>-686.0835072491 -20.4323158947 333.444704206029</t>
  </si>
  <si>
    <t>-716.466511685092 -32.6576301378923 780.102365805042</t>
  </si>
  <si>
    <t>-593.745663937813 -102.973962756447 851.39396753921</t>
  </si>
  <si>
    <t>9763-20170724T111021.683748500.bin</t>
  </si>
  <si>
    <t>-750.908664127272 92.0173285030637 -67.73927275177</t>
  </si>
  <si>
    <t>-776.919735772582 85.0534116618151 -180.394297061734</t>
  </si>
  <si>
    <t>-783.714773629655 82.412095918678 -278.748291130684</t>
  </si>
  <si>
    <t>-784.119434412224 80.8921245433667 -367.831133213556</t>
  </si>
  <si>
    <t>-778.403320935795 80.0145897326943 -456.740213596912</t>
  </si>
  <si>
    <t>-763.993450875189 79.224452579067 -580.483970994858</t>
  </si>
  <si>
    <t>-726.27280415856 78.8247370747058 -654.524632715998</t>
  </si>
  <si>
    <t>-769.477110039881 107.267858819874 -526.1074783275</t>
  </si>
  <si>
    <t>-757.836981117867 242.914471719382 -507.048023529832</t>
  </si>
  <si>
    <t>-696.520112212495 293.625506843034 -223.746349084957</t>
  </si>
  <si>
    <t>-458.037846036489 321.574208158019 -203.848117043738</t>
  </si>
  <si>
    <t>-771.191790534577 51.876546186179 -525.953438500149</t>
  </si>
  <si>
    <t>-769.184881780218 186.492151860691 -70.5193323918967</t>
  </si>
  <si>
    <t>-773.88357383849 200.885093415425 332.749114820524</t>
  </si>
  <si>
    <t>-834.997251839847 197.518219806342 776.576121929019</t>
  </si>
  <si>
    <t>-696.508640422968 243.308501638202 838.313087391992</t>
  </si>
  <si>
    <t>-686.565768711997 -20.3099412389724 333.484165133787</t>
  </si>
  <si>
    <t>-716.513055776142 -32.670274505992 780.144131905578</t>
  </si>
  <si>
    <t>-593.749773646722 -102.928785902771 851.419708677427</t>
  </si>
  <si>
    <t>9763-20170724T111021.717840200.bin</t>
  </si>
  <si>
    <t>-750.817890846143 92.2148429489398 -67.7275341008802</t>
  </si>
  <si>
    <t>-776.734962132155 85.3182294315075 -180.408317926317</t>
  </si>
  <si>
    <t>-783.41076484287 82.6764399054427 -278.770498778779</t>
  </si>
  <si>
    <t>-783.694289137523 81.1330811930802 -367.853581661689</t>
  </si>
  <si>
    <t>-777.845150469005 80.2079362312984 -456.753318984334</t>
  </si>
  <si>
    <t>-763.238530212204 79.3251453139128 -580.473465591159</t>
  </si>
  <si>
    <t>-725.564744832592 78.8570063700481 -654.537577167936</t>
  </si>
  <si>
    <t>-768.752919427438 107.407635029585 -526.120067673685</t>
  </si>
  <si>
    <t>-756.921753819861 243.046381318628 -507.110348259958</t>
  </si>
  <si>
    <t>-695.444961046206 294.122418955856 -223.908943640641</t>
  </si>
  <si>
    <t>-456.966582136964 322.061654675875 -203.950231562463</t>
  </si>
  <si>
    <t>-770.57934162228 52.0198499149101 -525.940583363937</t>
  </si>
  <si>
    <t>-768.905303978027 186.736492554668 -70.4916921163128</t>
  </si>
  <si>
    <t>-773.737632539458 200.996945074747 332.779955061294</t>
  </si>
  <si>
    <t>-835.059553139423 197.61172380007 776.592938342662</t>
  </si>
  <si>
    <t>-696.508841892287 243.202221185309 838.338365031417</t>
  </si>
  <si>
    <t>-686.607370829337 -20.2662901561753 333.493961144902</t>
  </si>
  <si>
    <t>-716.535746699073 -32.656035198283 780.16513414973</t>
  </si>
  <si>
    <t>-593.862265393034 -103.069697762141 851.442222214155</t>
  </si>
  <si>
    <t>9763-20170724T111021.786024000.bin</t>
  </si>
  <si>
    <t>-750.414660380125 92.413280364186 -67.6140849811587</t>
  </si>
  <si>
    <t>-776.211840957779 85.6574492503205 -180.331024194307</t>
  </si>
  <si>
    <t>-782.700799565356 83.0275238524196 -278.705888167685</t>
  </si>
  <si>
    <t>-782.785405936996 81.4528622469957 -367.788681961494</t>
  </si>
  <si>
    <t>-776.710504463143 80.4528406749318 -456.67260966521</t>
  </si>
  <si>
    <t>-761.762022699075 79.4200100946382 -580.350700323501</t>
  </si>
  <si>
    <t>-724.183297085649 78.8264291959204 -654.462309853053</t>
  </si>
  <si>
    <t>-767.333045013328 107.564948634217 -526.035579446093</t>
  </si>
  <si>
    <t>-755.097233846846 243.172912918665 -507.109746422599</t>
  </si>
  <si>
    <t>-693.356444243172 294.854833596953 -224.075675946395</t>
  </si>
  <si>
    <t>-454.867948862883 322.928204153423 -204.42861059145</t>
  </si>
  <si>
    <t>-769.347510529631 52.1839553713398 -525.816701328082</t>
  </si>
  <si>
    <t>-768.218459066559 186.989028990927 -70.3905124040156</t>
  </si>
  <si>
    <t>-773.141631941245 201.052951177212 332.886846486121</t>
  </si>
  <si>
    <t>-834.963792621515 197.495174302662 776.633979057142</t>
  </si>
  <si>
    <t>-696.438551651996 243.139718256202 838.396702158068</t>
  </si>
  <si>
    <t>-686.431192292124 -20.313943707803 333.562277054016</t>
  </si>
  <si>
    <t>-716.605137476746 -32.726240426015 780.209241211352</t>
  </si>
  <si>
    <t>-593.866205600873 -103.045801695661 851.466711040945</t>
  </si>
  <si>
    <t>9763-20170724T111021.818109700.bin</t>
  </si>
  <si>
    <t>-750.19547941585 92.6503045759196 -67.5567260088201</t>
  </si>
  <si>
    <t>-775.961882770669 85.9429413061948 -180.283560183712</t>
  </si>
  <si>
    <t>-782.373691624784 83.3178862185082 -278.663682478758</t>
  </si>
  <si>
    <t>-782.369957201764 81.7330265286205 -367.746381813212</t>
  </si>
  <si>
    <t>-776.18840493473 80.7069774854626 -456.622526648727</t>
  </si>
  <si>
    <t>-761.073677748067 79.6212347454621 -580.280087493836</t>
  </si>
  <si>
    <t>-723.525726120563 78.9602114910108 -654.406569374417</t>
  </si>
  <si>
    <t>-766.674913516426 107.787900739902 -525.979347399959</t>
  </si>
  <si>
    <t>-754.162613882189 243.36785311209 -507.025593025858</t>
  </si>
  <si>
    <t>-691.701435527388 295.138910955961 -224.165854685867</t>
  </si>
  <si>
    <t>-453.167612613395 323.268195196373 -205.161112168157</t>
  </si>
  <si>
    <t>-768.775114966362 52.4101554139538 -525.749733151191</t>
  </si>
  <si>
    <t>-767.90131843882 187.176561287179 -70.3395223376143</t>
  </si>
  <si>
    <t>-772.796151645415 201.154331733775 332.941148709049</t>
  </si>
  <si>
    <t>-834.89429133399 197.415872896615 776.659159748145</t>
  </si>
  <si>
    <t>-696.351320367112 242.997023423116 838.429242584905</t>
  </si>
  <si>
    <t>-686.255528716058 -20.1575748571145 333.600644273594</t>
  </si>
  <si>
    <t>-716.574254314995 -32.4985591462419 780.219281603474</t>
  </si>
  <si>
    <t>-594.094148770383 -103.253414825027 851.491357171349</t>
  </si>
  <si>
    <t>9763-20170724T111021.886821100.bin</t>
  </si>
  <si>
    <t>-749.689370078307 92.8411398413009 -67.4570104543895</t>
  </si>
  <si>
    <t>-775.349052852214 86.234060797336 -180.213969376871</t>
  </si>
  <si>
    <t>-781.646295184024 83.5809325274267 -278.600830654174</t>
  </si>
  <si>
    <t>-781.533375626197 81.9261746843854 -367.682217747245</t>
  </si>
  <si>
    <t>-775.239140800099 80.7839610135911 -456.549200938517</t>
  </si>
  <si>
    <t>-759.966248601219 79.4875908320741 -580.185153972192</t>
  </si>
  <si>
    <t>-722.492891446495 78.6527890920743 -654.347794789187</t>
  </si>
  <si>
    <t>-765.532797796011 107.742665358366 -525.926759949946</t>
  </si>
  <si>
    <t>-752.516951739172 243.28353846345 -507.070041926634</t>
  </si>
  <si>
    <t>-687.904660945465 295.506334241472 -224.777279562548</t>
  </si>
  <si>
    <t>-449.242366738454 323.274783154176 -206.887030236605</t>
  </si>
  <si>
    <t>-767.84136374343 52.3734748870543 -525.631304634943</t>
  </si>
  <si>
    <t>-766.981543603291 187.330414936587 -70.2235462747728</t>
  </si>
  <si>
    <t>-772.089031720849 201.191307580651 333.05855057198</t>
  </si>
  <si>
    <t>-834.669128407647 197.119221206338 776.702419864454</t>
  </si>
  <si>
    <t>-696.363147506656 243.422818708938 838.466047091439</t>
  </si>
  <si>
    <t>-685.840623087733 -20.2203378040736 333.700146381911</t>
  </si>
  <si>
    <t>-716.689408859006 -32.7575807239032 780.265397210406</t>
  </si>
  <si>
    <t>-594.062949825089 -103.270400099155 851.525283736927</t>
  </si>
  <si>
    <t>9763-20170724T111021.929936700.bin</t>
  </si>
  <si>
    <t>-749.493618048407 93.0671131725871 -67.3992961276547</t>
  </si>
  <si>
    <t>-775.094836344744 86.5552153398594 -180.175099994297</t>
  </si>
  <si>
    <t>-781.332619584635 83.8839741406869 -278.565185098087</t>
  </si>
  <si>
    <t>-781.165659900805 82.1750662414488 -367.645550209717</t>
  </si>
  <si>
    <t>-774.819274019428 80.9412063743634 -456.507475518336</t>
  </si>
  <si>
    <t>-759.476282861555 79.4778198702597 -580.13288152209</t>
  </si>
  <si>
    <t>-722.040450779826 78.5469578761781 -654.313247780357</t>
  </si>
  <si>
    <t>-765.016989964914 107.803868626433 -525.908890225245</t>
  </si>
  <si>
    <t>-751.73063571761 243.341557739664 -507.193746713842</t>
  </si>
  <si>
    <t>-686.553555755628 296.018950288867 -225.115333292183</t>
  </si>
  <si>
    <t>-447.823748592795 323.227690211614 -207.263873581125</t>
  </si>
  <si>
    <t>-767.438982875625 52.4398066325393 -525.554126442476</t>
  </si>
  <si>
    <t>-766.702185087947 187.700801178686 -70.1739282488477</t>
  </si>
  <si>
    <t>-771.905468032726 201.434543634004 333.111259940954</t>
  </si>
  <si>
    <t>-834.791283813497 197.313849442326 776.7275491981</t>
  </si>
  <si>
    <t>-696.307959704636 243.081154958139 838.493161528321</t>
  </si>
  <si>
    <t>-685.708921277488 -20.1067391603438 333.725576842321</t>
  </si>
  <si>
    <t>-716.68887190433 -32.7157478051304 780.266877200526</t>
  </si>
  <si>
    <t>-594.174471611776 -103.4054825415 851.544652451598</t>
  </si>
  <si>
    <t>9763-20170724T111021.982578900.bin</t>
  </si>
  <si>
    <t>-749.401083194224 93.5001997395275 -67.2856671736299</t>
  </si>
  <si>
    <t>-774.922077447264 87.1468739527986 -180.088671794929</t>
  </si>
  <si>
    <t>-781.022054414186 84.4421664885413 -278.486542821864</t>
  </si>
  <si>
    <t>-780.708383645588 82.6380838673645 -367.564579348768</t>
  </si>
  <si>
    <t>-774.196443113861 81.2429775024725 -456.412103070366</t>
  </si>
  <si>
    <t>-758.606193857462 79.4857909065786 -580.002933134799</t>
  </si>
  <si>
    <t>-721.226089184666 78.3464589733608 -654.208518754588</t>
  </si>
  <si>
    <t>-764.1332237107 107.935122924281 -525.842053776667</t>
  </si>
  <si>
    <t>-750.243767036756 243.445789399245 -507.385089011013</t>
  </si>
  <si>
    <t>-684.08087459411 297.25599966536 -225.750348656038</t>
  </si>
  <si>
    <t>-445.183688141345 322.856827739607 -207.759676035885</t>
  </si>
  <si>
    <t>-766.800063961012 52.5830752745478 -525.391423827051</t>
  </si>
  <si>
    <t>-766.276054227338 188.103287986451 -70.0724918601868</t>
  </si>
  <si>
    <t>-771.29363188245 201.571121348386 333.224061601688</t>
  </si>
  <si>
    <t>-834.529098190325 197.023611956411 776.77996591667</t>
  </si>
  <si>
    <t>-696.24955656876 243.407097921277 838.542436926629</t>
  </si>
  <si>
    <t>-685.608841205105 -19.9414202522412 333.759891044682</t>
  </si>
  <si>
    <t>-716.745189764447 -32.7570219475256 780.277030821936</t>
  </si>
  <si>
    <t>-594.224457633493 -103.424875546648 851.565424958363</t>
  </si>
  <si>
    <t>9763-20170724T111022.015351900.bin</t>
  </si>
  <si>
    <t>-749.482010396052 93.8005162678842 -67.2452691892668</t>
  </si>
  <si>
    <t>-774.94212827007 87.5019363095271 -180.065238466442</t>
  </si>
  <si>
    <t>-780.96277658588 84.7594660845898 -278.466914459257</t>
  </si>
  <si>
    <t>-780.56944185994 82.887185483537 -367.543259612485</t>
  </si>
  <si>
    <t>-773.971574854587 81.3885901586532 -456.382706743154</t>
  </si>
  <si>
    <t>-758.255792630745 79.4489540999916 -579.954775529544</t>
  </si>
  <si>
    <t>-720.89848118545 78.1639985962297 -654.169449632643</t>
  </si>
  <si>
    <t>-763.75854176238 107.974355334261 -525.831545428672</t>
  </si>
  <si>
    <t>-749.484826223799 243.463531392398 -507.457126251683</t>
  </si>
  <si>
    <t>-682.605530027844 297.618532445417 -226.057679196002</t>
  </si>
  <si>
    <t>-443.589253766478 322.354288803869 -208.444572523506</t>
  </si>
  <si>
    <t>-766.58441868622 52.6305770198205 -525.322167050007</t>
  </si>
  <si>
    <t>-766.140652633947 188.435659055915 -70.0303555161576</t>
  </si>
  <si>
    <t>-771.12512875616 201.800930998535 333.269988669661</t>
  </si>
  <si>
    <t>-834.562841769104 197.112772593445 776.812629302497</t>
  </si>
  <si>
    <t>-696.191301774863 243.209828442666 838.583482754349</t>
  </si>
  <si>
    <t>-685.664365134161 -19.8239797212186 333.783400437849</t>
  </si>
  <si>
    <t>-716.800912003308 -32.8251579388434 780.289728468414</t>
  </si>
  <si>
    <t>-594.167219431916 -103.305243161238 851.569786373515</t>
  </si>
  <si>
    <t>9763-20170724T111022.086572400.bin</t>
  </si>
  <si>
    <t>-749.753118146537 94.5082102393708 -67.1534947381905</t>
  </si>
  <si>
    <t>-775.099850190814 88.3381494119471 -180.005977113438</t>
  </si>
  <si>
    <t>-780.99816764625 85.5169390957835 -278.412815596988</t>
  </si>
  <si>
    <t>-780.489176122007 83.4984805627323 -367.485235037972</t>
  </si>
  <si>
    <t>-773.774896641258 81.7747271616586 -456.312012637317</t>
  </si>
  <si>
    <t>-757.898807231987 79.4372757752453 -579.856756984612</t>
  </si>
  <si>
    <t>-720.628634749885 77.8074691785664 -654.108473581278</t>
  </si>
  <si>
    <t>-763.2776620643 108.126427306715 -525.80758702664</t>
  </si>
  <si>
    <t>-748.067452577252 243.542414747671 -507.677188513558</t>
  </si>
  <si>
    <t>-678.520594878136 297.288912346584 -226.846650301197</t>
  </si>
  <si>
    <t>-439.250540354618 320.509394760867 -210.677580876676</t>
  </si>
  <si>
    <t>-766.492228588164 52.8052440201204 -525.174115791556</t>
  </si>
  <si>
    <t>-766.074461739779 189.230749568332 -69.9571435414442</t>
  </si>
  <si>
    <t>-770.916281966964 202.359347791298 333.352729574096</t>
  </si>
  <si>
    <t>-834.632439898093 197.279283275162 776.887000657919</t>
  </si>
  <si>
    <t>-696.088536340627 242.86434751346 838.651113578661</t>
  </si>
  <si>
    <t>-685.993920316872 -19.4944573626872 333.845029776756</t>
  </si>
  <si>
    <t>-716.899635180715 -32.9202760830931 780.33103195261</t>
  </si>
  <si>
    <t>-594.186540850896 -103.277328963166 851.595861923917</t>
  </si>
  <si>
    <t>9763-20170724T111022.119656400.bin</t>
  </si>
  <si>
    <t>-749.911999721528 95.0197510538687 -67.0931090426905</t>
  </si>
  <si>
    <t>-775.207315658412 88.9223445578409 -179.961135430037</t>
  </si>
  <si>
    <t>-781.067549669818 86.0450769412041 -278.368669248138</t>
  </si>
  <si>
    <t>-780.530672441899 83.9288282112584 -367.438698361149</t>
  </si>
  <si>
    <t>-773.796509247459 82.0583157483579 -456.260877498285</t>
  </si>
  <si>
    <t>-757.90293592721 79.462994582716 -579.798349251953</t>
  </si>
  <si>
    <t>-720.711609220865 77.6211032222736 -654.084408006336</t>
  </si>
  <si>
    <t>-763.162766886131 108.257325275589 -525.793415553894</t>
  </si>
  <si>
    <t>-747.51102123398 243.651532623716 -507.900772141891</t>
  </si>
  <si>
    <t>-675.8152793003 297.227264780944 -227.578561055487</t>
  </si>
  <si>
    <t>-436.43296644913 319.959079980803 -212.404103361297</t>
  </si>
  <si>
    <t>-766.631266578303 52.9525985110017 -525.077797766073</t>
  </si>
  <si>
    <t>-765.98638643007 189.712531009851 -69.926164523276</t>
  </si>
  <si>
    <t>-770.841831392202 202.593589475223 333.391571658119</t>
  </si>
  <si>
    <t>-834.551011127663 197.19739532784 776.932109788681</t>
  </si>
  <si>
    <t>-696.012771638364 242.821850758896 838.680568171407</t>
  </si>
  <si>
    <t>-734.099419140093 0.300511345621999 -66.3537302987426</t>
  </si>
  <si>
    <t>-686.206457176777 -19.1757107897215 333.873204335253</t>
  </si>
  <si>
    <t>-716.909558082058 -32.823328005893 780.34009227095</t>
  </si>
  <si>
    <t>-594.388351389961 -103.494790844564 851.623949413941</t>
  </si>
  <si>
    <t>9763-20170724T111022.186451300.bin</t>
  </si>
  <si>
    <t>-750.146629001362 96.3364510241017 -67.0221803931778</t>
  </si>
  <si>
    <t>-775.390697948549 90.442705122151 -179.912547379063</t>
  </si>
  <si>
    <t>-781.239408640849 87.4312503384895 -278.316719321312</t>
  </si>
  <si>
    <t>-780.714130816776 85.0735923596012 -367.380694152849</t>
  </si>
  <si>
    <t>-774.018484254188 82.8371821718615 -456.197482299831</t>
  </si>
  <si>
    <t>-758.212570028126 79.6001431910695 -579.730764839165</t>
  </si>
  <si>
    <t>-721.273376636116 77.2664864052981 -654.129063635092</t>
  </si>
  <si>
    <t>-763.128615834285 108.654606057036 -525.833019948161</t>
  </si>
  <si>
    <t>-746.524888762311 244.041947457962 -508.757143465427</t>
  </si>
  <si>
    <t>-671.716677353623 296.928633577357 -229.118225448514</t>
  </si>
  <si>
    <t>-432.287983832854 319.802660405241 -214.920322503736</t>
  </si>
  <si>
    <t>-767.206894444219 53.3943965701778 -524.906823493829</t>
  </si>
  <si>
    <t>-765.652076742412 191.032661291085 -69.8682965164953</t>
  </si>
  <si>
    <t>-770.606420652585 203.198112728177 333.470426074622</t>
  </si>
  <si>
    <t>-834.508838005217 197.188544101496 777.063456972315</t>
  </si>
  <si>
    <t>-695.937024216115 242.818748842754 838.73213671043</t>
  </si>
  <si>
    <t>-734.905522642026 1.61659692745934 -66.2657502736348</t>
  </si>
  <si>
    <t>-686.738381973996 -18.4647190701867 333.8983817373</t>
  </si>
  <si>
    <t>-716.927190327558 -32.7084275197703 780.336337965049</t>
  </si>
  <si>
    <t>-594.671891441078 -103.778995813755 851.679757501529</t>
  </si>
  <si>
    <t>9763-20170724T111022.218537300.bin</t>
  </si>
  <si>
    <t>-750.253060775722 96.9567859320537 -66.958219370768</t>
  </si>
  <si>
    <t>-775.477431279526 91.2103456444497 -179.860568136812</t>
  </si>
  <si>
    <t>-781.340610109812 88.1465199787631 -278.262222950861</t>
  </si>
  <si>
    <t>-780.846459925218 85.6751927816954 -367.323434819834</t>
  </si>
  <si>
    <t>-774.202887498037 83.2584143059685 -456.139253969889</t>
  </si>
  <si>
    <t>-758.493565623712 79.7013339210439 -579.676254518464</t>
  </si>
  <si>
    <t>-721.736680778586 77.1156596926544 -654.156110193286</t>
  </si>
  <si>
    <t>-763.208021590871 108.88368007189 -525.829361914555</t>
  </si>
  <si>
    <t>-746.018481605326 244.253240498367 -509.111229836545</t>
  </si>
  <si>
    <t>-671.059357668565 296.786083769191 -229.445976935399</t>
  </si>
  <si>
    <t>-431.655074867134 319.76015179511 -215.003223848227</t>
  </si>
  <si>
    <t>-767.605017945827 53.6499114432631 -524.798105935386</t>
  </si>
  <si>
    <t>-765.448832405096 191.654996299059 -69.7839267946455</t>
  </si>
  <si>
    <t>-770.200862899433 203.469495380282 333.567656832972</t>
  </si>
  <si>
    <t>-834.462879136836 197.040343595409 777.210070358228</t>
  </si>
  <si>
    <t>-695.909091710519 242.921303713586 838.733137701232</t>
  </si>
  <si>
    <t>-735.3410636165 2.24828089439006 -66.230397473941</t>
  </si>
  <si>
    <t>-687.140788169502 -18.15150318922 333.913593559897</t>
  </si>
  <si>
    <t>-716.911861292364 -32.6058577906092 780.319606451291</t>
  </si>
  <si>
    <t>-594.768496512254 -103.820339858364 851.711900453307</t>
  </si>
  <si>
    <t>9763-20170724T111022.282709100.bin</t>
  </si>
  <si>
    <t>-750.845064222072 98.4087990694984 -66.795023287283</t>
  </si>
  <si>
    <t>-776.214686149318 92.8449896838179 -179.673846064391</t>
  </si>
  <si>
    <t>-782.189591459332 89.718937974013 -278.066901093467</t>
  </si>
  <si>
    <t>-781.797289297626 87.1113713868876 -367.12477149004</t>
  </si>
  <si>
    <t>-775.258970307357 84.4765799615784 -455.942220408476</t>
  </si>
  <si>
    <t>-759.703953058799 80.5315471388717 -579.486839730318</t>
  </si>
  <si>
    <t>-723.477841537962 77.5514351233496 -654.211961208347</t>
  </si>
  <si>
    <t>-764.094140526326 109.861618710039 -525.69312687686</t>
  </si>
  <si>
    <t>-745.905382548662 245.148471858985 -509.382253954509</t>
  </si>
  <si>
    <t>-672.290954705082 297.910534369191 -229.403145803601</t>
  </si>
  <si>
    <t>-432.883079658423 320.332417419629 -214.171920913746</t>
  </si>
  <si>
    <t>-769.003831901579 54.6734274037954 -524.549034315747</t>
  </si>
  <si>
    <t>-765.61918998069 192.992605273167 -69.6199032733722</t>
  </si>
  <si>
    <t>-769.133588321278 204.215663213598 333.76127539713</t>
  </si>
  <si>
    <t>-834.56536283523 197.017730867945 777.37394001167</t>
  </si>
  <si>
    <t>-695.681344892036 242.333488788604 838.570915703801</t>
  </si>
  <si>
    <t>-736.407917947612 3.85337793732879 -66.1016301484309</t>
  </si>
  <si>
    <t>-687.929537837792 -17.4219405735935 333.963236343813</t>
  </si>
  <si>
    <t>-716.892322116812 -32.320545891776 780.309866259406</t>
  </si>
  <si>
    <t>-595.350828421672 -104.436952170732 851.823122483773</t>
  </si>
  <si>
    <t>9763-20170724T111022.314309200.bin</t>
  </si>
  <si>
    <t>-750.787024574115 98.8797923078041 -66.7864956202872</t>
  </si>
  <si>
    <t>-776.286659437372 93.3472697459561 -179.637652787138</t>
  </si>
  <si>
    <t>-782.35327738341 90.1681420475611 -278.023519462174</t>
  </si>
  <si>
    <t>-782.03788010231 87.4803734335969 -367.079188326648</t>
  </si>
  <si>
    <t>-775.571767757292 84.7300784116487 -455.898380975873</t>
  </si>
  <si>
    <t>-760.112922850602 80.5855366495475 -579.448575815857</t>
  </si>
  <si>
    <t>-724.232575181253 77.3983515242344 -654.331645938168</t>
  </si>
  <si>
    <t>-764.347143298473 109.992519777341 -525.684183025625</t>
  </si>
  <si>
    <t>-745.858401824326 245.271630141187 -509.560765931677</t>
  </si>
  <si>
    <t>-672.779377434231 298.004508874316 -229.43590169928</t>
  </si>
  <si>
    <t>-433.358904978269 320.040285410736 -213.844909175753</t>
  </si>
  <si>
    <t>-769.484302038229 54.8263662676432 -524.476476849455</t>
  </si>
  <si>
    <t>-765.224564615766 193.313200604877 -69.6096907079065</t>
  </si>
  <si>
    <t>-768.599780385174 204.361921574986 333.777478311118</t>
  </si>
  <si>
    <t>-834.569817966945 197.06458776896 777.304614355317</t>
  </si>
  <si>
    <t>-695.698465672159 242.561232439714 838.395368323993</t>
  </si>
  <si>
    <t>-736.400035422305 4.40079140543276 -66.0958423485076</t>
  </si>
  <si>
    <t>-688.289846012661 -17.0844885733227 334.002226815312</t>
  </si>
  <si>
    <t>-716.927106714823 -32.2149931224449 780.32819138289</t>
  </si>
  <si>
    <t>-595.595677360798 -104.659167309998 851.867119347953</t>
  </si>
  <si>
    <t>9763-20170724T111022.385004400.bin</t>
  </si>
  <si>
    <t>-750.606521560836 99.4906026083886 -66.9057033579373</t>
  </si>
  <si>
    <t>-776.480384418273 93.7684667321373 -179.662181062646</t>
  </si>
  <si>
    <t>-782.853733179994 90.3401485693248 -278.02012802925</t>
  </si>
  <si>
    <t>-782.809153056783 87.3684208012392 -367.06734357789</t>
  </si>
  <si>
    <t>-776.609768215525 84.2596952985177 -455.893879710415</t>
  </si>
  <si>
    <t>-761.521841695592 79.5224620365248 -579.468694010976</t>
  </si>
  <si>
    <t>-726.545362696602 75.815146997124 -654.754177522445</t>
  </si>
  <si>
    <t>-765.315826561014 109.160414410498 -525.798264762726</t>
  </si>
  <si>
    <t>-745.612886436553 244.295502435609 -510.03179643107</t>
  </si>
  <si>
    <t>-677.353908457236 296.269828546082 -228.552426741804</t>
  </si>
  <si>
    <t>-437.992597266456 317.878008317574 -211.517820483071</t>
  </si>
  <si>
    <t>-771.00705215158 54.0536272411059 -524.380578599784</t>
  </si>
  <si>
    <t>-765.461947270585 193.613914127172 -69.7090477813643</t>
  </si>
  <si>
    <t>-768.411269463379 204.639071711655 333.682019688038</t>
  </si>
  <si>
    <t>-834.748488233726 197.365805049359 777.220130790904</t>
  </si>
  <si>
    <t>-695.580782024989 242.32575165199 838.033277188066</t>
  </si>
  <si>
    <t>-735.933745676146 5.3006068472273 -66.1258549173318</t>
  </si>
  <si>
    <t>-688.140997672374 -16.8261745019518 333.975324843719</t>
  </si>
  <si>
    <t>-716.836132456402 -31.7775551142845 780.244545340249</t>
  </si>
  <si>
    <t>-595.946443811947 -104.819909550894 851.922892491737</t>
  </si>
  <si>
    <t>9763-20170724T111022.414081600.bin</t>
  </si>
  <si>
    <t>-750.907437677419 99.7915960556206 -66.9516533428663</t>
  </si>
  <si>
    <t>-776.940242112024 93.9059080252673 -179.663152030499</t>
  </si>
  <si>
    <t>-783.46144635575 90.3938919520178 -278.008391157695</t>
  </si>
  <si>
    <t>-783.552714845066 87.3539264520082 -367.053225964119</t>
  </si>
  <si>
    <t>-777.489359929261 84.1757382981027 -455.886753065164</t>
  </si>
  <si>
    <t>-762.593561954597 79.3322818262809 -579.480606804637</t>
  </si>
  <si>
    <t>-728.142401350643 75.4850243758124 -655.001142883538</t>
  </si>
  <si>
    <t>-766.204261365989 109.00627693465 -525.817706249052</t>
  </si>
  <si>
    <t>-746.129373514773 244.083659240691 -510.023850178767</t>
  </si>
  <si>
    <t>-681.952265965791 294.784568431201 -227.354582213346</t>
  </si>
  <si>
    <t>-442.708803966179 316.819143616086 -209.245941456658</t>
  </si>
  <si>
    <t>-772.092637528496 53.920948168367 -524.368607866133</t>
  </si>
  <si>
    <t>-766.452297858732 193.853252076986 -69.8190219516379</t>
  </si>
  <si>
    <t>-768.8906515805 204.746886409941 333.57908894193</t>
  </si>
  <si>
    <t>-834.881645059972 197.592801489335 777.170026038702</t>
  </si>
  <si>
    <t>-695.57384524126 242.300297658312 837.849002275003</t>
  </si>
  <si>
    <t>-735.755801299153 5.65099931422719 -66.1668955362616</t>
  </si>
  <si>
    <t>-687.958559267712 -16.6453546591861 333.92433818175</t>
  </si>
  <si>
    <t>-716.81318038978 -31.6147016214031 780.19434687963</t>
  </si>
  <si>
    <t>-596.179983203956 -105.013666149945 851.940551845588</t>
  </si>
  <si>
    <t>9763-20170724T111022.462210000.bin</t>
  </si>
  <si>
    <t>-751.163210789329 99.8820917170674 -67.0021670683255</t>
  </si>
  <si>
    <t>-777.308913779061 93.8952928262202 -179.68226641482</t>
  </si>
  <si>
    <t>-783.946656465216 90.3987965974761 -278.020269020183</t>
  </si>
  <si>
    <t>-784.147217931451 87.4055428213019 -367.066579354826</t>
  </si>
  <si>
    <t>-778.195351158744 84.3016521100949 -455.910242664238</t>
  </si>
  <si>
    <t>-763.455747258162 79.5858627450798 -579.527779818215</t>
  </si>
  <si>
    <t>-729.556702722735 75.7158019838553 -655.296532377722</t>
  </si>
  <si>
    <t>-766.955721388005 109.199982954988 -525.824278832036</t>
  </si>
  <si>
    <t>-746.775175046951 244.209447016083 -509.728347792463</t>
  </si>
  <si>
    <t>-686.96908874833 293.200345583115 -225.80174648765</t>
  </si>
  <si>
    <t>-447.744673256998 315.548272938628 -207.824225873443</t>
  </si>
  <si>
    <t>-772.928277729015 54.1221538033319 -524.435345364142</t>
  </si>
  <si>
    <t>-766.938066416385 193.903309802313 -69.9563630065572</t>
  </si>
  <si>
    <t>-769.41091739638 204.678951012289 333.444734148448</t>
  </si>
  <si>
    <t>-834.844165137235 197.638876574486 777.071603029995</t>
  </si>
  <si>
    <t>-695.568323009823 242.570763037746 837.65750310963</t>
  </si>
  <si>
    <t>-735.660783627339 5.72048270554478 -66.2209065765386</t>
  </si>
  <si>
    <t>-688.012134363176 -16.416634180347 333.896801331255</t>
  </si>
  <si>
    <t>-716.811898802504 -31.4616867691402 780.172224221487</t>
  </si>
  <si>
    <t>-596.332733680698 -105.087168384332 851.945091145693</t>
  </si>
  <si>
    <t>9763-20170724T111022.519377700.bin</t>
  </si>
  <si>
    <t>-750.907624601769 99.3554534794316 -67.2658793112039</t>
  </si>
  <si>
    <t>-777.11658828235 93.2492248842273 -179.924785807733</t>
  </si>
  <si>
    <t>-783.908603580987 89.9224691106597 -278.258242593258</t>
  </si>
  <si>
    <t>-784.278977398298 87.1883790419483 -367.312276890631</t>
  </si>
  <si>
    <t>-778.52257722899 84.4489117577236 -456.180732187449</t>
  </si>
  <si>
    <t>-764.076502042094 80.3505406987097 -579.855012255445</t>
  </si>
  <si>
    <t>-731.20941428111 76.5998289443078 -656.083009331948</t>
  </si>
  <si>
    <t>-767.496988087699 109.701196695655 -526.001850552724</t>
  </si>
  <si>
    <t>-747.638363347961 244.667425356422 -508.930583408935</t>
  </si>
  <si>
    <t>-696.67334847685 289.030407421549 -222.529309875562</t>
  </si>
  <si>
    <t>-457.673094462615 315.750068428874 -207.839119682242</t>
  </si>
  <si>
    <t>-773.370045477523 54.6069592325925 -524.862188296825</t>
  </si>
  <si>
    <t>-766.412585969603 193.670774567643 -70.22006908833</t>
  </si>
  <si>
    <t>-769.974972258904 204.207228085232 333.17918138389</t>
  </si>
  <si>
    <t>-834.698849668799 197.667632200845 776.839673670514</t>
  </si>
  <si>
    <t>-695.409690437137 242.665442754452 837.346080119278</t>
  </si>
  <si>
    <t>-735.50861123413 4.93389872410489 -66.3992125710651</t>
  </si>
  <si>
    <t>-688.157174947088 -16.2619098131427 333.804745840242</t>
  </si>
  <si>
    <t>-716.926616980768 -31.4374664808279 780.163461553882</t>
  </si>
  <si>
    <t>-596.483209320366 -105.147033823742 851.90982035662</t>
  </si>
  <si>
    <t>9763-20170724T111022.584069900.bin</t>
  </si>
  <si>
    <t>-751.192904940498 98.6558243572267 -67.4468448435914</t>
  </si>
  <si>
    <t>-777.340213681513 92.6725067446241 -180.126606523358</t>
  </si>
  <si>
    <t>-784.222687778604 89.6136661295786 -278.4624654047</t>
  </si>
  <si>
    <t>-784.728156880978 87.1941909013008 -367.524957732082</t>
  </si>
  <si>
    <t>-779.155464485567 84.8478549619308 -456.416384374675</t>
  </si>
  <si>
    <t>-765.013568890527 81.3849481359175 -580.14527646862</t>
  </si>
  <si>
    <t>-733.002256852954 77.8942302354094 -656.748883490906</t>
  </si>
  <si>
    <t>-768.426521251256 110.471350533764 -526.148473194884</t>
  </si>
  <si>
    <t>-749.468048416213 245.462153729049 -508.3439329498</t>
  </si>
  <si>
    <t>-708.117367846714 283.840334129579 -219.538821112358</t>
  </si>
  <si>
    <t>-469.86351184819 317.361364384495 -206.801388193753</t>
  </si>
  <si>
    <t>-774.04702345243 55.346352964722 -525.248051673542</t>
  </si>
  <si>
    <t>-766.748139191632 193.230225859188 -70.3710254176505</t>
  </si>
  <si>
    <t>-770.756904521575 203.498924138337 333.030932335206</t>
  </si>
  <si>
    <t>-834.517151093919 197.751807912117 776.673457518195</t>
  </si>
  <si>
    <t>-695.296413692086 242.793239628158 837.30487542089</t>
  </si>
  <si>
    <t>-735.964193117603 4.21029952112258 -66.5953904294317</t>
  </si>
  <si>
    <t>-688.351508056988 -16.6179851080979 333.596942835344</t>
  </si>
  <si>
    <t>-717.089283145786 -31.5644240018332 780.094896515614</t>
  </si>
  <si>
    <t>-596.357977638402 -104.84699384555 851.794914916551</t>
  </si>
  <si>
    <t>9763-20170724T111022.617666600.bin</t>
  </si>
  <si>
    <t>-751.443771572036 98.3565189830415 -67.5176430421726</t>
  </si>
  <si>
    <t>-777.556840004272 92.4396892626933 -180.208899141428</t>
  </si>
  <si>
    <t>-784.453332402471 89.5070752831116 -278.547594021331</t>
  </si>
  <si>
    <t>-784.987246210391 87.2343713197856 -367.613775060772</t>
  </si>
  <si>
    <t>-779.457597874228 85.0717360834769 -456.512458516961</t>
  </si>
  <si>
    <t>-765.388354486815 81.9072377022853 -580.257703980815</t>
  </si>
  <si>
    <t>-733.71235708763 78.5975858210568 -657.008573665764</t>
  </si>
  <si>
    <t>-768.850005404422 110.871348509387 -526.198299782257</t>
  </si>
  <si>
    <t>-750.430414871588 245.911160887287 -508.175748976285</t>
  </si>
  <si>
    <t>-713.644591760961 282.518554457686 -218.524372738468</t>
  </si>
  <si>
    <t>-475.854900458916 318.693507649907 -204.44129965993</t>
  </si>
  <si>
    <t>-774.308991999844 55.7282814151804 -525.408889782938</t>
  </si>
  <si>
    <t>-766.874265521817 192.910211868427 -70.4300376200167</t>
  </si>
  <si>
    <t>-771.164232154395 203.121489945733 332.970440916043</t>
  </si>
  <si>
    <t>-834.344826499034 197.732212116238 776.642882581647</t>
  </si>
  <si>
    <t>-695.195551024572 242.836007751564 837.391782471715</t>
  </si>
  <si>
    <t>-736.296612340136 3.87089306167309 -66.7034128919973</t>
  </si>
  <si>
    <t>-688.775641328323 -16.8558453499745 333.505102038415</t>
  </si>
  <si>
    <t>-717.231141973295 -31.7971839923771 780.077197206304</t>
  </si>
  <si>
    <t>-596.391236021398 -104.930836162108 851.746368647299</t>
  </si>
  <si>
    <t>9763-20170724T111022.683845800.bin</t>
  </si>
  <si>
    <t>-751.685264946515 97.5029402610039 -67.6691339520349</t>
  </si>
  <si>
    <t>-777.822300527671 91.5851976231857 -180.354826318795</t>
  </si>
  <si>
    <t>-784.747183636354 88.7969377832783 -278.695686616215</t>
  </si>
  <si>
    <t>-785.30598948851 86.7167693468255 -367.766431169533</t>
  </si>
  <si>
    <t>-779.796791023874 84.8118057009756 -456.672400924276</t>
  </si>
  <si>
    <t>-765.749536683061 82.0783756941114 -580.430211532227</t>
  </si>
  <si>
    <t>-734.559533302865 79.1020132259705 -657.393627971566</t>
  </si>
  <si>
    <t>-769.326154356261 110.865688395577 -526.284155956125</t>
  </si>
  <si>
    <t>-751.619353962844 245.931364934321 -507.923079957553</t>
  </si>
  <si>
    <t>-724.025550455542 281.973611290537 -217.181391372904</t>
  </si>
  <si>
    <t>-487.033722843654 320.341558365388 -196.841786126805</t>
  </si>
  <si>
    <t>-774.535746719554 55.6965338730647 -525.656771817634</t>
  </si>
  <si>
    <t>-766.857943089786 191.966223958746 -70.49864919455</t>
  </si>
  <si>
    <t>-771.519711099586 202.512562562534 332.889108440253</t>
  </si>
  <si>
    <t>-834.023349840959 197.539235213499 776.687951376851</t>
  </si>
  <si>
    <t>-695.040418265584 243.059256915636 837.507168790695</t>
  </si>
  <si>
    <t>-736.730843814352 2.95953613805386 -66.890255054572</t>
  </si>
  <si>
    <t>-689.839357615343 -17.2275207678458 333.420121771783</t>
  </si>
  <si>
    <t>-717.384865775003 -31.9234992644624 780.085407968605</t>
  </si>
  <si>
    <t>-596.348201842136 -104.796463663289 851.687681706623</t>
  </si>
  <si>
    <t>9763-20170724T111022.717940000.bin</t>
  </si>
  <si>
    <t>-751.779623526585 96.9874897320137 -67.6844097414624</t>
  </si>
  <si>
    <t>-777.969685772542 91.0680951408317 -180.357579136561</t>
  </si>
  <si>
    <t>-784.934452895011 88.3398838180342 -278.697412073981</t>
  </si>
  <si>
    <t>-785.524954293434 86.3387588174205 -367.769833999017</t>
  </si>
  <si>
    <t>-780.041753719079 84.5386049984854 -456.679408860521</t>
  </si>
  <si>
    <t>-766.023631122343 81.9781789871108 -580.444334739134</t>
  </si>
  <si>
    <t>-735.030864395879 79.1315988769429 -657.492242311421</t>
  </si>
  <si>
    <t>-769.627105391271 110.693453567615 -526.261615755552</t>
  </si>
  <si>
    <t>-752.137220040345 245.77279235677 -507.743377451752</t>
  </si>
  <si>
    <t>-728.546617022225 281.45514853117 -216.60523802335</t>
  </si>
  <si>
    <t>-492.089487676178 320.7432268557 -192.206154906161</t>
  </si>
  <si>
    <t>-774.757685940151 55.5163380416907 -525.701431972996</t>
  </si>
  <si>
    <t>-766.969286677435 191.562217888792 -70.4720668734236</t>
  </si>
  <si>
    <t>-771.666902778134 202.230291847406 332.912077746161</t>
  </si>
  <si>
    <t>-834.034507098117 197.579828956219 776.748822651899</t>
  </si>
  <si>
    <t>-694.951182477435 242.834303498544 837.53651377082</t>
  </si>
  <si>
    <t>-736.878405315757 2.33305331681095 -66.9480620959172</t>
  </si>
  <si>
    <t>-690.297136934759 -17.5681792113846 333.412789018439</t>
  </si>
  <si>
    <t>-717.525304123665 -32.2136824712316 780.121400205484</t>
  </si>
  <si>
    <t>-596.07009595723 -104.445767899874 851.664769402911</t>
  </si>
  <si>
    <t>9763-20170724T111022.784619200.bin</t>
  </si>
  <si>
    <t>-751.830914388994 96.3268901121673 -67.6211616088824</t>
  </si>
  <si>
    <t>-778.168378430033 90.4049792660849 -180.259917695841</t>
  </si>
  <si>
    <t>-785.280563331922 87.7936396580913 -278.59219879724</t>
  </si>
  <si>
    <t>-786.008327147932 85.9455339183055 -367.666981043311</t>
  </si>
  <si>
    <t>-780.664362297777 84.3459241705505 -456.589048864767</t>
  </si>
  <si>
    <t>-766.839752236404 82.116385583211 -580.381926120095</t>
  </si>
  <si>
    <t>-736.152534656179 79.4354528088907 -657.558088864431</t>
  </si>
  <si>
    <t>-770.407123844835 110.691191035498 -526.12275334722</t>
  </si>
  <si>
    <t>-753.254137593391 245.762841631367 -507.251792016411</t>
  </si>
  <si>
    <t>-735.911873992812 279.458269845798 -215.438363226464</t>
  </si>
  <si>
    <t>-500.490901179951 319.601753344642 -183.558932111235</t>
  </si>
  <si>
    <t>-775.439290889381 55.5039674684613 -525.690875123447</t>
  </si>
  <si>
    <t>-767.055866172759 190.917330462612 -70.3267798577755</t>
  </si>
  <si>
    <t>-771.953531727797 201.576397139594 333.055289104777</t>
  </si>
  <si>
    <t>-834.08462918537 197.572147761873 776.929596591719</t>
  </si>
  <si>
    <t>-694.997158053827 243.025291703975 837.5602021385</t>
  </si>
  <si>
    <t>-736.93733576993 1.71983190334913 -66.9555301558553</t>
  </si>
  <si>
    <t>-690.775011070218 -17.9707424061749 333.464239535755</t>
  </si>
  <si>
    <t>-717.608405216538 -32.1407786630671 780.188326411256</t>
  </si>
  <si>
    <t>-596.289327548923 -104.636007165491 851.696447407569</t>
  </si>
  <si>
    <t>9763-20170724T111022.820216600.bin</t>
  </si>
  <si>
    <t>-751.951199575973 96.1250746926507 -67.5836246678183</t>
  </si>
  <si>
    <t>-778.380465271231 90.1635597464087 -180.198840440519</t>
  </si>
  <si>
    <t>-785.594886610496 87.6007759569407 -278.525069067352</t>
  </si>
  <si>
    <t>-786.421710108267 85.8303028327591 -367.600362185745</t>
  </si>
  <si>
    <t>-781.180857684535 84.3415263050219 -456.530451911423</t>
  </si>
  <si>
    <t>-767.503427712286 82.3017017145685 -580.3430997391</t>
  </si>
  <si>
    <t>-736.939215573371 79.6677220590336 -657.569503764214</t>
  </si>
  <si>
    <t>-771.023919882609 110.794987688165 -526.038001407468</t>
  </si>
  <si>
    <t>-754.032856910299 245.873602434501 -507.042058913044</t>
  </si>
  <si>
    <t>-739.208138864901 278.584629835953 -214.977831655317</t>
  </si>
  <si>
    <t>-504.173701614387 318.680634635336 -180.306923771483</t>
  </si>
  <si>
    <t>-776.020864496681 55.6036824125945 -525.680562994514</t>
  </si>
  <si>
    <t>-767.256619996415 190.75107654089 -70.2759975205755</t>
  </si>
  <si>
    <t>-772.180733545888 201.301648312931 333.108544569761</t>
  </si>
  <si>
    <t>-834.153040439281 197.595426651698 777.011607783237</t>
  </si>
  <si>
    <t>-694.939668267017 242.778939757327 837.554577894399</t>
  </si>
  <si>
    <t>-736.969875617089 1.42159574793504 -66.9360551361754</t>
  </si>
  <si>
    <t>-691.13628819861 -18.1785073021924 333.525920669776</t>
  </si>
  <si>
    <t>-717.719254111503 -32.3447565105193 780.243371409482</t>
  </si>
  <si>
    <t>-596.261533592825 -104.641998333065 851.71650781736</t>
  </si>
  <si>
    <t>9763-20170724T111022.884890500.bin</t>
  </si>
  <si>
    <t>-752.07546493506 95.8128692165083 -67.6244431651802</t>
  </si>
  <si>
    <t>-778.698201783871 89.7381535011596 -180.187982596432</t>
  </si>
  <si>
    <t>-786.148634127347 87.2380334362051 -278.498208405753</t>
  </si>
  <si>
    <t>-787.211183904441 85.5900013316409 -367.573507509076</t>
  </si>
  <si>
    <t>-782.22484888186 84.2920352412439 -456.521110115987</t>
  </si>
  <si>
    <t>-768.918391765463 82.5915480958893 -580.379417845692</t>
  </si>
  <si>
    <t>-738.55995995994 79.991070759173 -657.68803060192</t>
  </si>
  <si>
    <t>-772.332477884788 110.941013341526 -525.992176522943</t>
  </si>
  <si>
    <t>-755.658598850402 246.027421580359 -506.749042731045</t>
  </si>
  <si>
    <t>-743.403981402568 276.894320448428 -214.365252637725</t>
  </si>
  <si>
    <t>-508.970012384571 318.242975493499 -177.190309877563</t>
  </si>
  <si>
    <t>-777.215473838286 55.7389195174715 -525.758804827728</t>
  </si>
  <si>
    <t>-767.378317837082 190.301141817981 -70.3137878212066</t>
  </si>
  <si>
    <t>-772.184877815594 200.97012678091 333.069070809598</t>
  </si>
  <si>
    <t>-834.04113318777 197.422194022702 776.960518734382</t>
  </si>
  <si>
    <t>-694.67224191962 242.261088959089 837.40159407812</t>
  </si>
  <si>
    <t>-737.058514073278 1.24887738886446 -66.9355225074256</t>
  </si>
  <si>
    <t>-691.983401448216 -18.321337781957 333.613989233337</t>
  </si>
  <si>
    <t>-717.803255553645 -32.2839157527505 780.349805531741</t>
  </si>
  <si>
    <t>-596.403885771268 -104.727956921536 851.773290943649</t>
  </si>
  <si>
    <t>9763-20170724T111022.921019700.bin</t>
  </si>
  <si>
    <t>-752.202352153912 95.6885824908895 -67.6728731787385</t>
  </si>
  <si>
    <t>-778.843398419939 89.5808742422923 -180.230263438522</t>
  </si>
  <si>
    <t>-786.358441592221 87.1010021578468 -278.536160078945</t>
  </si>
  <si>
    <t>-787.498045841602 85.4924988856092 -367.611075686822</t>
  </si>
  <si>
    <t>-782.60576720945 84.2577654578545 -456.564999335643</t>
  </si>
  <si>
    <t>-769.446865949285 82.6710171755362 -580.440598881184</t>
  </si>
  <si>
    <t>-739.128300744725 80.0671781227416 -657.76459753266</t>
  </si>
  <si>
    <t>-772.829441945745 110.973319552529 -526.026793939108</t>
  </si>
  <si>
    <t>-756.196375806017 246.055592545043 -506.720065064367</t>
  </si>
  <si>
    <t>-743.651736267592 277.23126648172 -214.381315520902</t>
  </si>
  <si>
    <t>-509.088468052504 317.626697524673 -176.97685799678</t>
  </si>
  <si>
    <t>-777.645778325882 55.7651834277249 -525.831158705867</t>
  </si>
  <si>
    <t>-767.440800438893 190.145351557961 -70.3836758403799</t>
  </si>
  <si>
    <t>-772.206473402621 200.904976558952 332.997251909957</t>
  </si>
  <si>
    <t>-834.006114972168 197.410120641456 776.889205865175</t>
  </si>
  <si>
    <t>-694.651928749651 242.264326822984 837.352011050987</t>
  </si>
  <si>
    <t>-737.215110447971 1.16120600452268 -66.9378681549241</t>
  </si>
  <si>
    <t>-692.304636379253 -18.4371795520351 333.628713926836</t>
  </si>
  <si>
    <t>-717.905414340068 -32.479853547065 780.398317905909</t>
  </si>
  <si>
    <t>-596.318420607979 -104.648930349001 851.781276933072</t>
  </si>
  <si>
    <t>9763-20170724T111022.982185700.bin</t>
  </si>
  <si>
    <t>-752.25957805227 95.6783120250884 -67.7555387448491</t>
  </si>
  <si>
    <t>-778.847872885872 89.4992578824567 -180.321461059773</t>
  </si>
  <si>
    <t>-786.437579908093 86.9277157868523 -278.619212002015</t>
  </si>
  <si>
    <t>-787.693285705847 85.2272018211975 -367.691001260506</t>
  </si>
  <si>
    <t>-782.966365368347 83.8923945939855 -456.652220866079</t>
  </si>
  <si>
    <t>-770.090307954598 82.1590594590862 -580.55553368941</t>
  </si>
  <si>
    <t>-739.828337276086 79.3732289520344 -657.895593308655</t>
  </si>
  <si>
    <t>-773.311884687357 110.522391761151 -526.163872617939</t>
  </si>
  <si>
    <t>-756.243685348397 245.588619336783 -507.105567046856</t>
  </si>
  <si>
    <t>-742.270903541839 278.409429736857 -215.011807448545</t>
  </si>
  <si>
    <t>-507.446489037399 318.283263901853 -178.700928500263</t>
  </si>
  <si>
    <t>-778.201406578369 55.3211826271331 -525.899871378964</t>
  </si>
  <si>
    <t>-767.270569488085 190.053748183353 -70.5220926188812</t>
  </si>
  <si>
    <t>-772.325166060854 201.028183115332 332.849574930241</t>
  </si>
  <si>
    <t>-833.838862864133 197.46950951294 776.777492776037</t>
  </si>
  <si>
    <t>-694.602092165736 242.527856870612 837.359401022155</t>
  </si>
  <si>
    <t>-737.442338809193 1.15860362066496 -66.9121484351787</t>
  </si>
  <si>
    <t>-692.359627454438 -18.4926275639345 333.632538874619</t>
  </si>
  <si>
    <t>-717.95638573018 -32.4627243929399 780.431562458281</t>
  </si>
  <si>
    <t>-596.484213791033 -104.838522093282 851.801075913881</t>
  </si>
  <si>
    <t>9763-20170724T111023.019788100.bin</t>
  </si>
  <si>
    <t>-752.268065429173 95.7027302964848 -67.7592593511558</t>
  </si>
  <si>
    <t>-778.818516007205 89.4769319899242 -180.331594149137</t>
  </si>
  <si>
    <t>-786.423217092902 86.8079475996756 -278.625587112349</t>
  </si>
  <si>
    <t>-787.713360993299 84.9975246853801 -367.69471171012</t>
  </si>
  <si>
    <t>-783.04257067482 83.5309227181724 -456.656861651633</t>
  </si>
  <si>
    <t>-770.268047550704 81.5916848371662 -580.567605807316</t>
  </si>
  <si>
    <t>-740.023905693796 78.6620347956323 -657.909274005993</t>
  </si>
  <si>
    <t>-773.402014392658 110.04169471357 -526.216065844536</t>
  </si>
  <si>
    <t>-756.02397408146 245.108436983019 -507.414672303373</t>
  </si>
  <si>
    <t>-740.810474659577 278.654014708583 -215.465287170104</t>
  </si>
  <si>
    <t>-505.697597445982 317.676324087866 -180.109908831192</t>
  </si>
  <si>
    <t>-778.377015687759 54.8485321449839 -525.865091359352</t>
  </si>
  <si>
    <t>-767.249632679368 190.111460345626 -70.6138529640024</t>
  </si>
  <si>
    <t>-772.34486565412 201.144336186355 332.755730770558</t>
  </si>
  <si>
    <t>-833.874662569657 197.591181270078 776.692499334506</t>
  </si>
  <si>
    <t>-694.618723000864 242.52912849467 837.3196446827</t>
  </si>
  <si>
    <t>-737.546741978623 1.15721135876902 -66.8875122728995</t>
  </si>
  <si>
    <t>-692.391682666146 -18.5090252083096 333.648232280194</t>
  </si>
  <si>
    <t>-717.986615106732 -32.48521130053 780.44658472107</t>
  </si>
  <si>
    <t>-596.542409813835 -104.912245880881 851.811449697391</t>
  </si>
  <si>
    <t>9763-20170724T111023.082463000.bin</t>
  </si>
  <si>
    <t>-752.305119274781 95.8130936335506 -67.7348785858013</t>
  </si>
  <si>
    <t>-778.773326334328 89.5586745607161 -180.324905487223</t>
  </si>
  <si>
    <t>-786.356603382412 86.6995612955975 -278.61512777561</t>
  </si>
  <si>
    <t>-787.652462306643 84.6528889424285 -367.679140574851</t>
  </si>
  <si>
    <t>-783.015688359472 82.8857919966958 -456.637653401661</t>
  </si>
  <si>
    <t>-770.320616003705 80.4597661547323 -580.547910798014</t>
  </si>
  <si>
    <t>-740.091214443912 77.211365632656 -657.882626525114</t>
  </si>
  <si>
    <t>-773.335757885027 109.115351638271 -526.297910383539</t>
  </si>
  <si>
    <t>-755.43286587409 244.192196020818 -508.078236037136</t>
  </si>
  <si>
    <t>-737.278724872932 279.956929925836 -216.560686305954</t>
  </si>
  <si>
    <t>-501.410434585343 316.055309513766 -183.184377478493</t>
  </si>
  <si>
    <t>-778.4782404386 53.9392254974759 -525.744421375747</t>
  </si>
  <si>
    <t>-767.106043128068 190.249317720589 -70.7502205049581</t>
  </si>
  <si>
    <t>-772.165987226826 201.12495682981 332.624045723771</t>
  </si>
  <si>
    <t>-833.565699510266 197.249859652385 776.565983755045</t>
  </si>
  <si>
    <t>-694.490276813804 242.700822356418 837.225319854903</t>
  </si>
  <si>
    <t>-737.807840945237 1.37764782113345 -66.8207857807912</t>
  </si>
  <si>
    <t>-692.639174406967 -18.4542670988485 333.705332310754</t>
  </si>
  <si>
    <t>-718.019533308332 -32.4533892188138 780.476617593742</t>
  </si>
  <si>
    <t>-596.64011262309 -104.993182062887 851.836867670818</t>
  </si>
  <si>
    <t>9763-20170724T111023.116054400.bin</t>
  </si>
  <si>
    <t>-752.373777335947 96.1441214949814 -67.7510682025115</t>
  </si>
  <si>
    <t>-778.811968962895 89.8777205239726 -180.347593927419</t>
  </si>
  <si>
    <t>-786.383411800189 86.9050996854667 -278.63545876238</t>
  </si>
  <si>
    <t>-787.678229808094 84.7150935678178 -367.696008840682</t>
  </si>
  <si>
    <t>-783.050918304225 82.7633624897276 -456.651149874044</t>
  </si>
  <si>
    <t>-770.382374707109 80.035611392555 -580.557757395343</t>
  </si>
  <si>
    <t>-740.155578364206 76.5687832061981 -657.884117441146</t>
  </si>
  <si>
    <t>-773.329007978937 108.817893344998 -526.371035469624</t>
  </si>
  <si>
    <t>-755.117704227669 243.891411363102 -508.463110965056</t>
  </si>
  <si>
    <t>-735.856526936417 280.916498055808 -217.173847320197</t>
  </si>
  <si>
    <t>-499.709071556223 315.232064498429 -183.89303848007</t>
  </si>
  <si>
    <t>-778.585328526889 53.6538766199033 -525.694126762119</t>
  </si>
  <si>
    <t>-767.154620335129 190.619436547895 -70.7896310676434</t>
  </si>
  <si>
    <t>-772.08160617963 201.389293730471 332.589108332351</t>
  </si>
  <si>
    <t>-833.629594417104 197.353878484244 776.531733619172</t>
  </si>
  <si>
    <t>-694.407878153205 242.386497542343 837.167433159553</t>
  </si>
  <si>
    <t>-737.956478469046 1.66562012952318 -66.7940927557398</t>
  </si>
  <si>
    <t>-692.775535970803 -18.3438852082627 333.721758742472</t>
  </si>
  <si>
    <t>-718.062120864332 -32.5679889396001 780.48462222925</t>
  </si>
  <si>
    <t>-596.638464534855 -105.02893432378 851.849971625903</t>
  </si>
  <si>
    <t>9763-20170724T111023.186901200.bin</t>
  </si>
  <si>
    <t>-752.230775440348 96.6988449502692 -67.7569002247117</t>
  </si>
  <si>
    <t>-778.628390852989 90.5040194436428 -180.366854315257</t>
  </si>
  <si>
    <t>-786.138852371086 87.3772650278675 -278.654553422097</t>
  </si>
  <si>
    <t>-787.373980539394 84.9619694256753 -367.710101043268</t>
  </si>
  <si>
    <t>-782.688477231749 82.6967716046934 -456.654857963044</t>
  </si>
  <si>
    <t>-769.942574159509 79.4382183778989 -580.540825167512</t>
  </si>
  <si>
    <t>-739.695529835333 75.5247643602534 -657.837807164969</t>
  </si>
  <si>
    <t>-772.785099403375 108.439166097387 -526.465222596387</t>
  </si>
  <si>
    <t>-753.64169599857 243.461521640075 -509.162626058317</t>
  </si>
  <si>
    <t>-734.391603264089 281.195196767697 -217.963704173699</t>
  </si>
  <si>
    <t>-497.962323690381 312.309362031884 -183.554912518166</t>
  </si>
  <si>
    <t>-778.317543882628 53.3050484838609 -525.58427202719</t>
  </si>
  <si>
    <t>-766.657707011794 191.247884697023 -70.8274067726577</t>
  </si>
  <si>
    <t>-771.692574699567 201.627135832879 332.560239319028</t>
  </si>
  <si>
    <t>-833.604615520223 197.306949607119 776.424632102247</t>
  </si>
  <si>
    <t>-694.315148727716 242.305685590177 836.930109853495</t>
  </si>
  <si>
    <t>-738.084335218659 2.04934329928756 -66.7540910766999</t>
  </si>
  <si>
    <t>-692.740166278343 -18.3286447140558 333.724732577211</t>
  </si>
  <si>
    <t>-718.153461972657 -32.7721823580737 780.491004189487</t>
  </si>
  <si>
    <t>-596.488545574628 -104.833795255392 851.849659804465</t>
  </si>
  <si>
    <t>9763-20170724T111023.213972700.bin</t>
  </si>
  <si>
    <t>-752.1299601384 97.039698276476 -67.7399702791645</t>
  </si>
  <si>
    <t>-778.46812491315 90.8975568455171 -180.366666693573</t>
  </si>
  <si>
    <t>-785.914974002917 87.7255185758095 -278.65792672071</t>
  </si>
  <si>
    <t>-787.091036186775 85.2349702319416 -367.712112813316</t>
  </si>
  <si>
    <t>-782.345876905021 82.859497989883 -456.650764066751</t>
  </si>
  <si>
    <t>-769.518517686256 79.4114177313236 -580.523099205717</t>
  </si>
  <si>
    <t>-739.250865604216 75.30107921028 -657.801821890134</t>
  </si>
  <si>
    <t>-772.339450615017 108.489367044379 -526.487640517985</t>
  </si>
  <si>
    <t>-752.779229970814 243.478862840272 -509.401627151663</t>
  </si>
  <si>
    <t>-733.924006783495 280.868193105225 -218.13248413442</t>
  </si>
  <si>
    <t>-497.509284921066 310.941676941835 -182.712631784414</t>
  </si>
  <si>
    <t>-777.987208287504 53.3680562203208 -525.538339429079</t>
  </si>
  <si>
    <t>-766.429890577248 191.656496878021 -70.8570106678661</t>
  </si>
  <si>
    <t>-771.509617940985 201.641872743339 332.539985578179</t>
  </si>
  <si>
    <t>-833.592687709781 197.199837914195 776.357393067648</t>
  </si>
  <si>
    <t>-694.219592112809 242.050067487545 836.779765351427</t>
  </si>
  <si>
    <t>-738.102658390691 2.39062489746266 -66.7258609950372</t>
  </si>
  <si>
    <t>-692.748544494339 -18.2727377318101 333.737283719382</t>
  </si>
  <si>
    <t>-718.170541450384 -32.6846581149771 780.497604648759</t>
  </si>
  <si>
    <t>-596.517657473598 -104.780063641768 851.842740829487</t>
  </si>
  <si>
    <t>9763-20170724T111023.285664700.bin</t>
  </si>
  <si>
    <t>-751.87730502489 97.9314507101653 -67.7775326432469</t>
  </si>
  <si>
    <t>-778.013412162512 91.8904675130984 -180.456888896551</t>
  </si>
  <si>
    <t>-785.321189233943 88.7007376408324 -278.757830343303</t>
  </si>
  <si>
    <t>-786.389673204488 86.1566110970175 -367.812023900009</t>
  </si>
  <si>
    <t>-781.557260759676 83.6912383873223 -456.743465370017</t>
  </si>
  <si>
    <t>-768.631154996278 80.0814059846393 -580.601007035869</t>
  </si>
  <si>
    <t>-738.342684100892 75.6092741929629 -657.851342937596</t>
  </si>
  <si>
    <t>-771.414994028502 109.221682933396 -526.597322990401</t>
  </si>
  <si>
    <t>-751.162501536818 244.145030196025 -509.760897078935</t>
  </si>
  <si>
    <t>-732.775065147714 281.232272628276 -218.423071135921</t>
  </si>
  <si>
    <t>-496.288294112899 309.312684539372 -181.866492058973</t>
  </si>
  <si>
    <t>-777.223816719175 54.1180615261778 -525.597496518504</t>
  </si>
  <si>
    <t>-765.887173609968 192.543235546873 -70.9047693862758</t>
  </si>
  <si>
    <t>-771.200845970331 201.938969448412 332.50343308969</t>
  </si>
  <si>
    <t>-833.543793160069 197.109179079656 776.28945339499</t>
  </si>
  <si>
    <t>-694.136051611521 241.968296682099 836.625180546834</t>
  </si>
  <si>
    <t>-738.117686426418 3.30733443008694 -66.6847914817376</t>
  </si>
  <si>
    <t>-692.825950581808 -17.9528103266075 333.754109864678</t>
  </si>
  <si>
    <t>-718.232693786249 -32.5991414364098 780.505745074866</t>
  </si>
  <si>
    <t>-596.812696714071 -105.093764522537 851.84294627534</t>
  </si>
  <si>
    <t>9763-20170724T111023.318843500.bin</t>
  </si>
  <si>
    <t>-751.742587092958 98.3754917885431 -67.7817782857743</t>
  </si>
  <si>
    <t>-777.764156717163 92.3948864473214 -180.490863680096</t>
  </si>
  <si>
    <t>-784.986808025873 89.1942471402585 -278.79781219979</t>
  </si>
  <si>
    <t>-785.98564103006 86.6173557484981 -367.851684773081</t>
  </si>
  <si>
    <t>-781.092806778392 84.0965731867823 -456.778264520747</t>
  </si>
  <si>
    <t>-768.09219669747 80.3860461022155 -580.625199430872</t>
  </si>
  <si>
    <t>-737.77351468583 75.7206366048267 -657.852323663576</t>
  </si>
  <si>
    <t>-770.873201822714 109.566675465778 -526.643003754065</t>
  </si>
  <si>
    <t>-750.432713209169 244.489705628979 -509.988102571241</t>
  </si>
  <si>
    <t>-732.116308646263 281.163662171534 -218.593597982356</t>
  </si>
  <si>
    <t>-495.706168293415 309.143523784935 -181.469364529469</t>
  </si>
  <si>
    <t>-776.752800764374 54.4709853150607 -525.609497246259</t>
  </si>
  <si>
    <t>-765.592261929063 192.970319458127 -70.9055237710734</t>
  </si>
  <si>
    <t>-771.021095228457 202.090909048806 332.507432715675</t>
  </si>
  <si>
    <t>-833.472957087964 196.983360131235 776.279381782601</t>
  </si>
  <si>
    <t>-693.948907536006 241.519214006418 836.585659240767</t>
  </si>
  <si>
    <t>-738.129634439113 3.73790642462654 -66.6663558994409</t>
  </si>
  <si>
    <t>-692.783068368321 -17.8811584387563 333.747196838634</t>
  </si>
  <si>
    <t>-718.298337839185 -32.7031327902259 780.504437895606</t>
  </si>
  <si>
    <t>-596.837017212325 -105.131747029532 851.838068275508</t>
  </si>
  <si>
    <t>9763-20170724T111023.385523100.bin</t>
  </si>
  <si>
    <t>-751.457183113629 99.5909186572571 -67.6914215036044</t>
  </si>
  <si>
    <t>-777.263655975369 93.7575469976555 -180.457679507213</t>
  </si>
  <si>
    <t>-784.281579953645 90.4920321598479 -278.777162278285</t>
  </si>
  <si>
    <t>-785.094887282351 87.7834768033931 -367.829171761943</t>
  </si>
  <si>
    <t>-780.019171241767 85.0579446468532 -456.739427195331</t>
  </si>
  <si>
    <t>-766.770737177782 80.9868920216772 -580.548710850351</t>
  </si>
  <si>
    <t>-736.386532000031 75.9482447551286 -657.726616205979</t>
  </si>
  <si>
    <t>-769.580098923615 110.316146385947 -526.648692521316</t>
  </si>
  <si>
    <t>-748.856398252907 245.262402572398 -510.542951197402</t>
  </si>
  <si>
    <t>-731.071654080713 281.050689743746 -219.005493581332</t>
  </si>
  <si>
    <t>-495.336421128524 312.11494474691 -180.085106185938</t>
  </si>
  <si>
    <t>-775.621325578901 55.2406924722904 -525.484063577151</t>
  </si>
  <si>
    <t>-765.072368132646 194.021258326145 -70.8223996582378</t>
  </si>
  <si>
    <t>-770.435292344996 202.597233907786 332.60338174756</t>
  </si>
  <si>
    <t>-833.412176510973 196.854523224607 776.30150231045</t>
  </si>
  <si>
    <t>-693.863879821941 241.458896397223 836.501638729252</t>
  </si>
  <si>
    <t>-738.092202324636 5.09571024533807 -66.5909699925529</t>
  </si>
  <si>
    <t>-692.643886134053 -17.5498938021055 333.754223186138</t>
  </si>
  <si>
    <t>-718.35403642706 -32.5349085132516 780.517840241939</t>
  </si>
  <si>
    <t>-597.184222248039 -105.446191689585 851.855614506208</t>
  </si>
  <si>
    <t>9763-20170724T111023.416656000.bin</t>
  </si>
  <si>
    <t>-751.302303984227 100.114208650225 -67.6205990519212</t>
  </si>
  <si>
    <t>-777.010028284735 94.3465632297639 -180.412743984826</t>
  </si>
  <si>
    <t>-783.921683740338 91.0584522512645 -278.739176035627</t>
  </si>
  <si>
    <t>-784.632866771581 88.3004391255395 -367.790369911898</t>
  </si>
  <si>
    <t>-779.45132452222 85.49854442897 -456.692195779875</t>
  </si>
  <si>
    <t>-766.051383731079 81.2930945555586 -580.480522464265</t>
  </si>
  <si>
    <t>-735.620233814295 76.1306594723283 -657.631876933152</t>
  </si>
  <si>
    <t>-768.911419499922 110.679059844618 -526.614206441368</t>
  </si>
  <si>
    <t>-748.09139128558 245.633841323202 -510.750536783824</t>
  </si>
  <si>
    <t>-730.525766432406 281.213427126926 -219.174180967577</t>
  </si>
  <si>
    <t>-495.229302132818 314.365797533964 -179.332758933976</t>
  </si>
  <si>
    <t>-774.984714078224 55.6082596225365 -525.400675557112</t>
  </si>
  <si>
    <t>-764.728450934346 194.485058565072 -70.7497660628355</t>
  </si>
  <si>
    <t>-770.021711088877 202.908976071315 332.680164438255</t>
  </si>
  <si>
    <t>-833.36942675415 196.785639665762 776.332663051353</t>
  </si>
  <si>
    <t>-693.78998681493 241.362409684752 836.480534472357</t>
  </si>
  <si>
    <t>-738.113681550987 5.633275137086 -66.5142725342536</t>
  </si>
  <si>
    <t>-692.509949664763 -17.4305997827601 333.789394289806</t>
  </si>
  <si>
    <t>-718.423287452641 -32.5592624188657 780.538883934086</t>
  </si>
  <si>
    <t>-597.373068103815 -105.664627528163 851.881506854964</t>
  </si>
  <si>
    <t>9763-20170724T111023.484839200.bin</t>
  </si>
  <si>
    <t>-751.182422182239 101.224183048041 -67.4052622714323</t>
  </si>
  <si>
    <t>-776.701317457444 95.5564343981509 -180.245358757685</t>
  </si>
  <si>
    <t>-783.394666246657 92.224286273115 -278.585430447547</t>
  </si>
  <si>
    <t>-783.891435313032 89.3808210064808 -367.635432621146</t>
  </si>
  <si>
    <t>-778.480566277973 86.4504974332085 -456.519410807517</t>
  </si>
  <si>
    <t>-764.747761064321 82.0237994667887 -580.263628808207</t>
  </si>
  <si>
    <t>-734.215347234265 76.6604458694624 -657.361201108069</t>
  </si>
  <si>
    <t>-767.759677639046 111.506754749443 -526.458518541721</t>
  </si>
  <si>
    <t>-746.877236943708 246.498166417787 -510.939420293728</t>
  </si>
  <si>
    <t>-729.083245982425 283.39956337276 -219.54125500717</t>
  </si>
  <si>
    <t>-494.311964039501 318.971757636983 -178.701404278734</t>
  </si>
  <si>
    <t>-773.822087547691 56.4365968280617 -525.161323037418</t>
  </si>
  <si>
    <t>-764.257316358564 195.58398497273 -70.5618280445318</t>
  </si>
  <si>
    <t>-769.412091837405 203.638369845376 332.877416173771</t>
  </si>
  <si>
    <t>-833.311365549311 196.759396342772 776.424644220789</t>
  </si>
  <si>
    <t>-693.675058008884 241.261897099375 836.495684400608</t>
  </si>
  <si>
    <t>-738.341639515101 6.76067035860888 -66.2993636767741</t>
  </si>
  <si>
    <t>-692.345677261049 -17.0309685653515 333.916789191589</t>
  </si>
  <si>
    <t>-718.594044483367 -32.7935365409367 780.610995974825</t>
  </si>
  <si>
    <t>-597.545261188421 -105.912082093987 851.942318719828</t>
  </si>
  <si>
    <t>9763-20170724T111023.519433400.bin</t>
  </si>
  <si>
    <t>-751.221944527462 101.761662119725 -67.294332428106</t>
  </si>
  <si>
    <t>-776.622668759277 96.1262405341599 -180.162683879571</t>
  </si>
  <si>
    <t>-783.187150648201 92.7545276430519 -278.510080250903</t>
  </si>
  <si>
    <t>-783.558825607674 89.8505157307745 -367.558699104807</t>
  </si>
  <si>
    <t>-778.016169519462 86.835072145826 -456.431886543813</t>
  </si>
  <si>
    <t>-764.093476727702 82.2656739311533 -580.149688218758</t>
  </si>
  <si>
    <t>-733.499655899946 76.8012958065742 -657.215661623144</t>
  </si>
  <si>
    <t>-767.197105796038 111.81180302577 -526.384334915454</t>
  </si>
  <si>
    <t>-746.260116620804 246.804749848056 -511.00426746327</t>
  </si>
  <si>
    <t>-728.146095451394 284.832511383961 -219.770750641935</t>
  </si>
  <si>
    <t>-493.486466575445 320.692106793164 -178.542546141029</t>
  </si>
  <si>
    <t>-773.243494879908 56.7411426321555 -525.030750531937</t>
  </si>
  <si>
    <t>-764.21215297737 196.139640854366 -70.4539345227691</t>
  </si>
  <si>
    <t>-769.248662708716 204.044292007479 332.989780864457</t>
  </si>
  <si>
    <t>-833.27722345225 196.79002695189 776.482350765187</t>
  </si>
  <si>
    <t>-693.699496913543 241.478651964157 836.551596748629</t>
  </si>
  <si>
    <t>-738.46312698795 7.29506763026393 -66.1933141295045</t>
  </si>
  <si>
    <t>-692.215399645552 -16.7551008978303 333.978383492469</t>
  </si>
  <si>
    <t>-718.66508286112 -32.8797024144001 780.653373890324</t>
  </si>
  <si>
    <t>-597.684821758085 -106.114634269045 851.981954168743</t>
  </si>
  <si>
    <t>9763-20170724T111023.585112200.bin</t>
  </si>
  <si>
    <t>-751.342440715871 102.873205715692 -67.0779043317697</t>
  </si>
  <si>
    <t>-776.491617738485 97.3533050927804 -180.008204224606</t>
  </si>
  <si>
    <t>-782.799665611821 93.9314167469583 -278.370667011705</t>
  </si>
  <si>
    <t>-782.929269032732 90.9234304107799 -367.416653518769</t>
  </si>
  <si>
    <t>-777.137002618448 87.7478423038706 -456.268140168575</t>
  </si>
  <si>
    <t>-762.861472249101 82.8967582651844 -579.934946595153</t>
  </si>
  <si>
    <t>-732.166420309161 77.2523049215501 -656.947889877454</t>
  </si>
  <si>
    <t>-766.143495039198 112.568000963059 -526.249130716766</t>
  </si>
  <si>
    <t>-745.081373528931 247.565108488323 -511.095173892538</t>
  </si>
  <si>
    <t>-726.120332459872 286.973879233498 -220.099197856028</t>
  </si>
  <si>
    <t>-491.627902499053 323.488743761494 -178.495421655714</t>
  </si>
  <si>
    <t>-772.142943203575 57.4951463532584 -524.78142744209</t>
  </si>
  <si>
    <t>-764.282540786623 197.382148726861 -70.2304807104085</t>
  </si>
  <si>
    <t>-769.25887428936 204.826103966451 333.222745116546</t>
  </si>
  <si>
    <t>-833.174869372504 196.944434868158 776.688042945759</t>
  </si>
  <si>
    <t>-693.710345063077 241.87070010181 836.842842793194</t>
  </si>
  <si>
    <t>-738.609098875905 8.33994617095777 -66.0199419804584</t>
  </si>
  <si>
    <t>-691.835385421616 -16.1730621809397 334.062508494855</t>
  </si>
  <si>
    <t>-718.733565359373 -32.9321217169718 780.678420575651</t>
  </si>
  <si>
    <t>-597.743430991522 -106.136707074953 852.02130604073</t>
  </si>
  <si>
    <t>9763-20170724T111023.617706800.bin</t>
  </si>
  <si>
    <t>-751.40916830273 103.548889970089 -66.9742239188396</t>
  </si>
  <si>
    <t>-776.428586335223 98.0675852082418 -179.935352712718</t>
  </si>
  <si>
    <t>-782.595971404694 94.6162445797941 -278.305554865069</t>
  </si>
  <si>
    <t>-782.588695238633 91.5574776487601 -367.349830827859</t>
  </si>
  <si>
    <t>-776.651301094591 88.307024278884 -456.189166147903</t>
  </si>
  <si>
    <t>-762.166445764929 83.3274785427298 -579.826551055181</t>
  </si>
  <si>
    <t>-731.450337620197 77.6064830546616 -656.825410328124</t>
  </si>
  <si>
    <t>-765.557144330039 113.05636154136 -526.179397772225</t>
  </si>
  <si>
    <t>-744.478291723575 248.059502058832 -511.110722214555</t>
  </si>
  <si>
    <t>-725.279842716965 287.754736949926 -220.169377353843</t>
  </si>
  <si>
    <t>-490.756300389293 324.41533273137 -178.87105593109</t>
  </si>
  <si>
    <t>-771.523975524303 57.9812238254913 -524.660362762444</t>
  </si>
  <si>
    <t>-764.398632164859 198.098727547868 -70.1245464663618</t>
  </si>
  <si>
    <t>-769.397778874779 205.211074446471 333.334395090975</t>
  </si>
  <si>
    <t>-833.10725966366 196.981225663396 776.812454025414</t>
  </si>
  <si>
    <t>-693.50227866182 241.421180088029 837.002735733031</t>
  </si>
  <si>
    <t>-738.669821801319 8.97258461985894 -65.9468821907005</t>
  </si>
  <si>
    <t>-691.58786634359 -15.8530649307918 334.080136270289</t>
  </si>
  <si>
    <t>-718.748878455733 -32.952103899258 780.668874792036</t>
  </si>
  <si>
    <t>-597.76999820209 -106.154504260815 852.032655234071</t>
  </si>
  <si>
    <t>9763-20170724T111023.686400100.bin</t>
  </si>
  <si>
    <t>-751.616827650344 105.200764348725 -66.8147361751144</t>
  </si>
  <si>
    <t>-776.441253203002 99.7069914682047 -179.818173194531</t>
  </si>
  <si>
    <t>-782.352720489029 96.1475712520673 -278.200299620473</t>
  </si>
  <si>
    <t>-782.081321361489 92.951555047026 -367.239335650986</t>
  </si>
  <si>
    <t>-775.851501969543 89.5255765044676 -456.051981707717</t>
  </si>
  <si>
    <t>-760.929317356027 84.2606480058635 -579.625594277366</t>
  </si>
  <si>
    <t>-730.224141363882 78.387051564604 -656.61729169921</t>
  </si>
  <si>
    <t>-764.559915855282 114.118294318058 -526.065815011266</t>
  </si>
  <si>
    <t>-743.545092253537 249.158803476197 -511.208653951313</t>
  </si>
  <si>
    <t>-724.030427521186 289.547236089903 -220.383617913596</t>
  </si>
  <si>
    <t>-489.401347138556 326.123787228826 -179.613411150732</t>
  </si>
  <si>
    <t>-770.431978485479 59.0366090018106 -524.428116993044</t>
  </si>
  <si>
    <t>-764.812488730145 199.859784594388 -69.9750586286106</t>
  </si>
  <si>
    <t>-769.81425032627 206.225420217751 333.496277381279</t>
  </si>
  <si>
    <t>-833.020107378691 197.211226175816 777.043589686259</t>
  </si>
  <si>
    <t>-693.681668958068 242.387483653642 837.302816307164</t>
  </si>
  <si>
    <t>-738.653031354391 10.5225661355475 -65.8121766536364</t>
  </si>
  <si>
    <t>-691.144929897912 -14.9830622315294 334.121677322453</t>
  </si>
  <si>
    <t>-718.764038115724 -32.909687306746 780.631241225917</t>
  </si>
  <si>
    <t>-597.932058206371 -106.302856968544 852.048357957641</t>
  </si>
  <si>
    <t>9763-20170724T111023.717538400.bin</t>
  </si>
  <si>
    <t>-751.753142776557 106.013943778089 -66.7663513772097</t>
  </si>
  <si>
    <t>-776.485270604679 100.46932443675 -179.787594693634</t>
  </si>
  <si>
    <t>-782.277047838835 96.8140414205864 -278.173395881585</t>
  </si>
  <si>
    <t>-781.883283014912 93.5093668266845 -367.207823842737</t>
  </si>
  <si>
    <t>-775.517817900064 89.9519795369388 -456.005751625701</t>
  </si>
  <si>
    <t>-760.394273680262 84.4798487403864 -579.545909397847</t>
  </si>
  <si>
    <t>-729.705284646302 78.5138716538272 -656.536985252958</t>
  </si>
  <si>
    <t>-764.133484852033 114.429417979574 -526.044936469718</t>
  </si>
  <si>
    <t>-743.189838116834 249.497926893005 -511.333688870633</t>
  </si>
  <si>
    <t>-723.466522236985 290.339952325402 -220.586152502281</t>
  </si>
  <si>
    <t>-488.768904923804 326.712654123498 -180.02742556823</t>
  </si>
  <si>
    <t>-769.965528776245 59.3461137094105 -524.319038492481</t>
  </si>
  <si>
    <t>-765.109223819501 200.721902277792 -69.9370469707241</t>
  </si>
  <si>
    <t>-769.947620428681 206.749111100387 333.541485290094</t>
  </si>
  <si>
    <t>-832.953257390277 197.314219306782 777.145464735053</t>
  </si>
  <si>
    <t>-693.662628016373 242.554373634037 837.46728435876</t>
  </si>
  <si>
    <t>-738.626476647175 11.263630934412 -65.7353444469287</t>
  </si>
  <si>
    <t>-690.897541894402 -14.6047407764286 334.148943250435</t>
  </si>
  <si>
    <t>-718.803286766931 -32.9654612070726 780.621939390699</t>
  </si>
  <si>
    <t>-597.929556203503 -106.28116376561 852.047460317713</t>
  </si>
  <si>
    <t>9763-20170724T111023.782714700.bin</t>
  </si>
  <si>
    <t>-751.953527656986 107.40432148456 -66.6910870782434</t>
  </si>
  <si>
    <t>-776.488533417135 101.771296873652 -179.750721069772</t>
  </si>
  <si>
    <t>-782.027408013354 97.8845878948805 -278.142275488792</t>
  </si>
  <si>
    <t>-781.376653725745 94.3048936457758 -367.164674266769</t>
  </si>
  <si>
    <t>-774.730135593403 90.4059587998486 -455.927552643101</t>
  </si>
  <si>
    <t>-759.192054467408 84.3860071527615 -579.390748086493</t>
  </si>
  <si>
    <t>-728.530381858557 78.1689673409437 -656.37278554498</t>
  </si>
  <si>
    <t>-763.126832934363 114.574343874589 -526.038197950579</t>
  </si>
  <si>
    <t>-742.167959670633 249.676548404499 -511.701934972384</t>
  </si>
  <si>
    <t>-721.840812930981 291.466861335311 -221.130847751982</t>
  </si>
  <si>
    <t>-487.051977269173 327.587180284107 -180.877165692964</t>
  </si>
  <si>
    <t>-768.932533667121 59.4959230209756 -524.083272562405</t>
  </si>
  <si>
    <t>-765.568855972601 202.28160148055 -69.8833707523444</t>
  </si>
  <si>
    <t>-770.134841324174 207.639237749985 333.607792131354</t>
  </si>
  <si>
    <t>-832.823340758699 197.525573283841 777.299434808398</t>
  </si>
  <si>
    <t>-693.634767046118 242.902720397882 837.75428713356</t>
  </si>
  <si>
    <t>-738.536585141869 12.4144488608204 -65.5786037680356</t>
  </si>
  <si>
    <t>-690.397460401905 -13.9529706200678 334.223932706203</t>
  </si>
  <si>
    <t>-718.907095286972 -33.1381646785294 780.608851630148</t>
  </si>
  <si>
    <t>-597.755364051991 -105.994553191039 852.033764001715</t>
  </si>
  <si>
    <t>9763-20170724T111023.815831500.bin</t>
  </si>
  <si>
    <t>-751.972622646217 108.080037773183 -66.6551718552633</t>
  </si>
  <si>
    <t>-776.399371900483 102.452340431389 -179.738695267119</t>
  </si>
  <si>
    <t>-781.81023937531 98.4693276809221 -278.133471215115</t>
  </si>
  <si>
    <t>-781.033192976512 94.7607517722531 -367.149683616186</t>
  </si>
  <si>
    <t>-774.25207702953 90.6918199243214 -455.894787998182</t>
  </si>
  <si>
    <t>-758.51986805229 84.3904269091649 -579.319286899162</t>
  </si>
  <si>
    <t>-727.886178054677 78.0303891454382 -656.300643296619</t>
  </si>
  <si>
    <t>-762.533872901373 114.699739183713 -526.041330002903</t>
  </si>
  <si>
    <t>-741.536612883418 249.822714050134 -511.924520046729</t>
  </si>
  <si>
    <t>-720.908745766846 292.080279652932 -221.442180502759</t>
  </si>
  <si>
    <t>-485.96435546329 327.880647481376 -181.814256534169</t>
  </si>
  <si>
    <t>-768.351723723948 59.6268349146899 -523.971142261937</t>
  </si>
  <si>
    <t>-765.639461575163 203.030628476467 -69.8520881809437</t>
  </si>
  <si>
    <t>-770.267122177286 208.046696476489 333.64278716881</t>
  </si>
  <si>
    <t>-832.754923213749 197.611475830868 777.366025948593</t>
  </si>
  <si>
    <t>-693.633124471855 243.118021630814 837.876933706203</t>
  </si>
  <si>
    <t>-738.496698238827 13.0809247502971 -65.5198433458526</t>
  </si>
  <si>
    <t>-690.070936568164 -13.4714736521041 334.235834744957</t>
  </si>
  <si>
    <t>-718.851870061777 -32.8640233526521 780.575778025521</t>
  </si>
  <si>
    <t>-597.99873864524 -106.175233774172 852.041029954608</t>
  </si>
  <si>
    <t>9763-20170724T111023.883515300.bin</t>
  </si>
  <si>
    <t>-752.045453187683 109.368353002348 -66.5491895907923</t>
  </si>
  <si>
    <t>-776.307296737518 103.709304815096 -179.666666807848</t>
  </si>
  <si>
    <t>-781.518303935014 99.4880996403808 -278.062122842233</t>
  </si>
  <si>
    <t>-780.544479313535 95.4782596909349 -367.063439265767</t>
  </si>
  <si>
    <t>-773.554976047573 91.0210794234426 -455.773847028865</t>
  </si>
  <si>
    <t>-757.52447314273 84.0857962535906 -579.125728221727</t>
  </si>
  <si>
    <t>-726.972573389601 77.4223221716875 -656.114168840646</t>
  </si>
  <si>
    <t>-761.641731281839 114.665827468233 -526.010707382853</t>
  </si>
  <si>
    <t>-740.581959408022 249.83480335914 -512.430281128562</t>
  </si>
  <si>
    <t>-719.389156131651 293.364306676302 -222.176506242837</t>
  </si>
  <si>
    <t>-484.134802222891 328.430106710233 -183.74887496386</t>
  </si>
  <si>
    <t>-767.515958278576 59.6093472305406 -523.678704797014</t>
  </si>
  <si>
    <t>-765.899149902269 204.435626215703 -69.7883041450486</t>
  </si>
  <si>
    <t>-770.412571679734 208.814573726235 333.715261675488</t>
  </si>
  <si>
    <t>-832.633742334215 197.736137890385 777.486962166493</t>
  </si>
  <si>
    <t>-693.480824252995 243.083633158957 838.045983066841</t>
  </si>
  <si>
    <t>-738.472726285948 14.2822947721484 -65.4164650688986</t>
  </si>
  <si>
    <t>-689.622249175203 -12.8868679829125 334.24602149378</t>
  </si>
  <si>
    <t>-718.935627056498 -32.9599777630797 780.521231847427</t>
  </si>
  <si>
    <t>-598.02539783883 -106.137651321133 852.026943552974</t>
  </si>
  <si>
    <t>9763-20170724T111023.918181800.bin</t>
  </si>
  <si>
    <t>-752.083944277303 110.085659079959 -66.4899087736128</t>
  </si>
  <si>
    <t>-776.311436052425 104.393852223213 -179.613101495847</t>
  </si>
  <si>
    <t>-781.450688787304 100.062263323356 -278.007514830734</t>
  </si>
  <si>
    <t>-780.398137302538 95.918937326559 -367.001847875799</t>
  </si>
  <si>
    <t>-773.317344440998 91.2937790191863 -455.696316526721</t>
  </si>
  <si>
    <t>-757.147995974246 84.0881361222159 -579.014804330391</t>
  </si>
  <si>
    <t>-726.636452997216 77.3010096079693 -656.008346285554</t>
  </si>
  <si>
    <t>-761.317395628104 114.783754571259 -525.970426537602</t>
  </si>
  <si>
    <t>-740.231491814016 249.963891307527 -512.632249285429</t>
  </si>
  <si>
    <t>-718.820760906206 294.213002076109 -222.503234179545</t>
  </si>
  <si>
    <t>-483.47741520982 328.884841533411 -184.264096177643</t>
  </si>
  <si>
    <t>-767.209145592314 59.7340931708968 -523.526304539467</t>
  </si>
  <si>
    <t>-766.00003518279 205.135337642799 -69.7669777408532</t>
  </si>
  <si>
    <t>-770.368853392217 209.20758738767 333.741404973934</t>
  </si>
  <si>
    <t>-832.568490405675 197.699993761161 777.513353037682</t>
  </si>
  <si>
    <t>-693.425563148965 243.126494840119 838.036209431907</t>
  </si>
  <si>
    <t>-738.421820115426 15.0102155548184 -65.3506704678958</t>
  </si>
  <si>
    <t>-689.461984549189 -12.485869871321 334.27614468468</t>
  </si>
  <si>
    <t>-718.934647263305 -32.8159271572731 780.502217465289</t>
  </si>
  <si>
    <t>-598.117893425812 -106.126850587994 852.029341093085</t>
  </si>
  <si>
    <t>9763-20170724T111023.982353200.bin</t>
  </si>
  <si>
    <t>-752.149209267488 111.255675997521 -66.4453258729762</t>
  </si>
  <si>
    <t>-776.350187125106 105.558275779976 -179.573951394935</t>
  </si>
  <si>
    <t>-781.406718834791 101.078192944332 -277.966163969142</t>
  </si>
  <si>
    <t>-780.259096817083 96.7425587048997 -366.949960759098</t>
  </si>
  <si>
    <t>-773.066503985107 91.8674438733879 -455.622074096968</t>
  </si>
  <si>
    <t>-756.726621873056 84.2517482322291 -578.893380528167</t>
  </si>
  <si>
    <t>-726.279403976491 77.2397620551601 -655.89225886968</t>
  </si>
  <si>
    <t>-760.952258030027 115.122013805448 -525.954910836699</t>
  </si>
  <si>
    <t>-739.777318319407 250.326496830315 -512.97305389052</t>
  </si>
  <si>
    <t>-718.232101637905 295.208476914425 -222.951302951986</t>
  </si>
  <si>
    <t>-482.741385880129 329.479130171143 -185.261245597845</t>
  </si>
  <si>
    <t>-766.881746478919 60.0840121940723 -523.340656079629</t>
  </si>
  <si>
    <t>-766.139340621584 206.317336444894 -69.7486905789489</t>
  </si>
  <si>
    <t>-770.198202619156 209.755475508023 333.768862240404</t>
  </si>
  <si>
    <t>-832.460598821164 197.571826287821 777.532772508044</t>
  </si>
  <si>
    <t>-693.208585042028 242.824416156899 837.934954449324</t>
  </si>
  <si>
    <t>-738.387055111013 16.1493546244033 -65.2756568820604</t>
  </si>
  <si>
    <t>-689.276162054329 -11.822650020667 334.299523224901</t>
  </si>
  <si>
    <t>-718.998659192763 -32.7128944830965 780.467392223287</t>
  </si>
  <si>
    <t>-598.355782358386 -106.265778655378 852.039536888304</t>
  </si>
  <si>
    <t>9763-20170724T111024.020982800.bin</t>
  </si>
  <si>
    <t>-752.086704703371 111.641687746389 -66.4541231682645</t>
  </si>
  <si>
    <t>-776.286335923499 105.948070564205 -179.583132459623</t>
  </si>
  <si>
    <t>-781.333083788358 101.417746211444 -277.973360768994</t>
  </si>
  <si>
    <t>-780.174791695365 97.0157415858312 -366.953955251844</t>
  </si>
  <si>
    <t>-772.971055852282 92.0535428501371 -455.620300065824</t>
  </si>
  <si>
    <t>-756.615091055992 84.2952002751344 -578.880622183274</t>
  </si>
  <si>
    <t>-726.191562896967 77.1670524491301 -655.878158426799</t>
  </si>
  <si>
    <t>-760.841987596548 115.225956503625 -525.977673704453</t>
  </si>
  <si>
    <t>-739.633558287323 250.436985522852 -513.095746965206</t>
  </si>
  <si>
    <t>-717.879547521305 295.416511746096 -223.104688284765</t>
  </si>
  <si>
    <t>-482.296284795564 329.480542899025 -185.807832336729</t>
  </si>
  <si>
    <t>-766.783029406429 60.1924021177192 -523.302033231446</t>
  </si>
  <si>
    <t>-766.072384748165 206.739081001276 -69.7452590748615</t>
  </si>
  <si>
    <t>-770.052652940942 209.967540757472 333.774788397503</t>
  </si>
  <si>
    <t>-832.387927077117 197.553655611502 777.543498148929</t>
  </si>
  <si>
    <t>-693.172536064739 242.9289255545 837.937993285229</t>
  </si>
  <si>
    <t>-738.276440339268 16.4441602044585 -65.2691248033186</t>
  </si>
  <si>
    <t>-689.158479587963 -11.5906585024309 334.30080507859</t>
  </si>
  <si>
    <t>-719.050743988714 -32.7487573475746 780.44013803006</t>
  </si>
  <si>
    <t>-598.316351155389 -106.132339679837 852.03145754346</t>
  </si>
  <si>
    <t>9763-20170724T111024.082648500.bin</t>
  </si>
  <si>
    <t>-752.111121049701 112.384199582848 -66.4092061413545</t>
  </si>
  <si>
    <t>-776.3354025588 106.680293508706 -179.532460031987</t>
  </si>
  <si>
    <t>-781.37562879154 102.086563779683 -277.920268727913</t>
  </si>
  <si>
    <t>-780.201507262188 97.6055613489366 -366.89655547211</t>
  </si>
  <si>
    <t>-772.973127195055 92.5433406824986 -455.555210602573</t>
  </si>
  <si>
    <t>-756.574867649863 84.6229646242809 -578.799615081344</t>
  </si>
  <si>
    <t>-726.147932968332 77.3276986636592 -655.780117251164</t>
  </si>
  <si>
    <t>-760.815828561978 115.623162860665 -525.938190173469</t>
  </si>
  <si>
    <t>-739.541083027969 250.83394958105 -513.160107315397</t>
  </si>
  <si>
    <t>-717.10737855212 295.968281171391 -223.244839514761</t>
  </si>
  <si>
    <t>-481.288947734638 329.646805694761 -187.102745800377</t>
  </si>
  <si>
    <t>-766.766005965586 60.5936610859044 -523.193541420884</t>
  </si>
  <si>
    <t>-766.144053807571 207.551901956057 -69.7007127745676</t>
  </si>
  <si>
    <t>-769.671748789371 210.464636478534 333.825889956764</t>
  </si>
  <si>
    <t>-832.176164597679 197.567775842339 777.603251391398</t>
  </si>
  <si>
    <t>-692.983843984614 242.874831575156 838.101393468819</t>
  </si>
  <si>
    <t>-738.300253477412 17.1718476665001 -65.190389320795</t>
  </si>
  <si>
    <t>-688.818799952847 -11.209068050533 334.310226747032</t>
  </si>
  <si>
    <t>-719.156322115143 -32.7191867892143 780.40917712823</t>
  </si>
  <si>
    <t>-598.522454275463 -106.232819216326 852.036879792241</t>
  </si>
  <si>
    <t>9763-20170724T111024.113732400.bin</t>
  </si>
  <si>
    <t>-752.136419138583 112.749470178708 -66.3595086262632</t>
  </si>
  <si>
    <t>-776.380213946463 107.030448910101 -179.477862972182</t>
  </si>
  <si>
    <t>-781.418484806353 102.389101045802 -277.863355718446</t>
  </si>
  <si>
    <t>-780.236646591901 97.8515843160171 -366.83669974674</t>
  </si>
  <si>
    <t>-772.994512862374 92.7188161345252 -455.490203446802</t>
  </si>
  <si>
    <t>-756.571987462596 84.6863803014849 -578.724289708562</t>
  </si>
  <si>
    <t>-726.122869911386 77.3255338408617 -655.689670842639</t>
  </si>
  <si>
    <t>-760.814078493102 115.733529358174 -525.890606977212</t>
  </si>
  <si>
    <t>-739.462972127941 250.94009130947 -513.204770190448</t>
  </si>
  <si>
    <t>-716.575864689531 296.273438282469 -223.356143932306</t>
  </si>
  <si>
    <t>-480.642545931427 329.905262434584 -187.927774610772</t>
  </si>
  <si>
    <t>-766.783650220192 60.7085860747361 -523.099573887149</t>
  </si>
  <si>
    <t>-766.130479219841 207.918144120989 -69.6588728866487</t>
  </si>
  <si>
    <t>-769.439256484342 210.726123292279 333.870335039433</t>
  </si>
  <si>
    <t>-832.094790252518 197.590600713792 777.627570615225</t>
  </si>
  <si>
    <t>-692.892080939271 242.824128913889 838.157313855727</t>
  </si>
  <si>
    <t>-738.360791474609 17.5328376991915 -65.1242054743304</t>
  </si>
  <si>
    <t>-688.688465272128 -10.9727612717174 334.34388897832</t>
  </si>
  <si>
    <t>-719.207880430266 -32.6355892730371 780.416833861224</t>
  </si>
  <si>
    <t>-598.561637644945 -106.135926962921 852.037071050885</t>
  </si>
  <si>
    <t>9763-20170724T111024.185928000.bin</t>
  </si>
  <si>
    <t>-752.321727821218 113.44223536246 -66.2482529727569</t>
  </si>
  <si>
    <t>-776.596453525654 107.728532501261 -179.360280379591</t>
  </si>
  <si>
    <t>-781.65328404509 102.992839910905 -277.740377819479</t>
  </si>
  <si>
    <t>-780.48735889891 98.3331265822894 -366.707616913086</t>
  </si>
  <si>
    <t>-773.262474426874 93.0420208367941 -455.353231439964</t>
  </si>
  <si>
    <t>-756.866261371469 84.7510677136361 -578.573611704928</t>
  </si>
  <si>
    <t>-726.381178269085 77.2787589185127 -655.514191921819</t>
  </si>
  <si>
    <t>-761.063508406731 115.905509552982 -525.799585433324</t>
  </si>
  <si>
    <t>-739.464477587772 251.096116938607 -513.344514145363</t>
  </si>
  <si>
    <t>-715.214622264451 297.148538581666 -223.720139740412</t>
  </si>
  <si>
    <t>-479.146647129551 330.887136114999 -189.302311715754</t>
  </si>
  <si>
    <t>-767.099011726788 60.8933837837908 -522.901241274875</t>
  </si>
  <si>
    <t>-766.203733889234 208.640223564161 -69.5735689158382</t>
  </si>
  <si>
    <t>-769.062789150357 211.215178282362 333.960641532595</t>
  </si>
  <si>
    <t>-831.93155133033 197.616146527484 777.669886387225</t>
  </si>
  <si>
    <t>-692.771398617139 242.91682024164 838.247702775985</t>
  </si>
  <si>
    <t>-738.68666969313 18.1821372081599 -64.9750265070667</t>
  </si>
  <si>
    <t>-688.600395354413 -10.6238519863 334.419775662305</t>
  </si>
  <si>
    <t>-719.402478370627 -32.7873043868758 780.438707779718</t>
  </si>
  <si>
    <t>-598.658960285797 -106.145600946672 852.040620090579</t>
  </si>
  <si>
    <t>9763-20170724T111024.214006500.bin</t>
  </si>
  <si>
    <t>-752.445330213456 113.825716212371 -66.1974588222157</t>
  </si>
  <si>
    <t>-776.763078242071 108.128282840315 -179.300927045876</t>
  </si>
  <si>
    <t>-781.847131963871 103.342373351597 -277.677258979398</t>
  </si>
  <si>
    <t>-780.703552563656 98.6125611066595 -366.641150720117</t>
  </si>
  <si>
    <t>-773.499536157154 93.2265642024126 -455.282742113477</t>
  </si>
  <si>
    <t>-757.132298065455 84.7781599692544 -578.496189113082</t>
  </si>
  <si>
    <t>-726.634144705388 77.219532024048 -655.423145042854</t>
  </si>
  <si>
    <t>-761.290117037152 115.997302676732 -525.757375872445</t>
  </si>
  <si>
    <t>-739.533874267649 251.179883776765 -513.455685584737</t>
  </si>
  <si>
    <t>-714.494724126198 297.856244906508 -223.998258891429</t>
  </si>
  <si>
    <t>-478.431068328291 331.589596988552 -189.546185523228</t>
  </si>
  <si>
    <t>-767.379311363224 60.9944795202236 -522.794825961166</t>
  </si>
  <si>
    <t>-766.245912423416 209.018139115501 -69.5306767546294</t>
  </si>
  <si>
    <t>-768.908260145397 211.48241869171 334.005593308427</t>
  </si>
  <si>
    <t>-831.838868112071 197.623226229859 777.697707533617</t>
  </si>
  <si>
    <t>-692.651690637448 242.79861829578 838.305544951789</t>
  </si>
  <si>
    <t>-738.891160331341 18.6086386368729 -64.9090162205295</t>
  </si>
  <si>
    <t>-688.526187725176 -10.342976482862 334.440260257711</t>
  </si>
  <si>
    <t>-719.433601002568 -32.6812127953572 780.432104288582</t>
  </si>
  <si>
    <t>-598.8562861704 -106.295264677652 852.051575401492</t>
  </si>
  <si>
    <t>9763-20170724T111024.283192900.bin</t>
  </si>
  <si>
    <t>-752.690327453539 114.532347920231 -66.0996675693716</t>
  </si>
  <si>
    <t>-777.071002003368 108.864656421201 -179.191216560106</t>
  </si>
  <si>
    <t>-782.185876002438 103.961739354555 -277.560194071459</t>
  </si>
  <si>
    <t>-781.065167078709 99.0712137432465 -366.515697858788</t>
  </si>
  <si>
    <t>-773.881008149466 93.4699365093416 -455.145597400861</t>
  </si>
  <si>
    <t>-757.541102667848 84.6640600307705 -578.337511073487</t>
  </si>
  <si>
    <t>-727.025223817142 76.8618304142178 -655.233114935202</t>
  </si>
  <si>
    <t>-761.648782476093 116.031985614112 -525.683133147192</t>
  </si>
  <si>
    <t>-739.597985595528 251.19385739726 -513.718797436729</t>
  </si>
  <si>
    <t>-713.114980251103 299.315825992622 -224.626785758057</t>
  </si>
  <si>
    <t>-476.909932212108 332.138346695869 -190.265792271302</t>
  </si>
  <si>
    <t>-767.814397853777 61.045926611253 -522.57048294272</t>
  </si>
  <si>
    <t>-766.378909841442 209.771747870688 -69.4769216559575</t>
  </si>
  <si>
    <t>-768.721894122436 211.924549082339 334.063062709831</t>
  </si>
  <si>
    <t>-831.559950458052 197.680246632419 777.720780190706</t>
  </si>
  <si>
    <t>-692.388729276384 242.806993162542 838.402302590592</t>
  </si>
  <si>
    <t>-739.202454262534 19.2205779165424 -64.8158214236859</t>
  </si>
  <si>
    <t>-688.355598740838 -9.84500372174489 334.464112071399</t>
  </si>
  <si>
    <t>-719.556887776714 -32.6784817466869 780.414452226513</t>
  </si>
  <si>
    <t>-599.112921258375 -106.486919214918 852.058377522865</t>
  </si>
  <si>
    <t>9763-20170724T111024.316286700.bin</t>
  </si>
  <si>
    <t>-752.769218753271 114.770131096941 -66.0766911365723</t>
  </si>
  <si>
    <t>-777.181167511279 109.124217637834 -179.162547370291</t>
  </si>
  <si>
    <t>-782.306707731395 104.164898976897 -277.528064753997</t>
  </si>
  <si>
    <t>-781.190405222586 99.1943070933103 -366.479260715223</t>
  </si>
  <si>
    <t>-774.007779106325 93.4842851163221 -455.102175657573</t>
  </si>
  <si>
    <t>-757.66731170174 84.4975946402456 -578.281020034659</t>
  </si>
  <si>
    <t>-727.141706212003 76.5556270387892 -655.158646355617</t>
  </si>
  <si>
    <t>-761.764899104149 115.941934778848 -525.671379253058</t>
  </si>
  <si>
    <t>-739.644232414391 251.110519444995 -513.896586016221</t>
  </si>
  <si>
    <t>-712.598740795596 299.673331811187 -224.930536635679</t>
  </si>
  <si>
    <t>-476.23825073791 331.994810137283 -191.168150771715</t>
  </si>
  <si>
    <t>-767.95063607787 60.9626074335606 -522.480971792339</t>
  </si>
  <si>
    <t>-766.374691565473 210.031548966113 -69.4568369683052</t>
  </si>
  <si>
    <t>-768.628408973457 212.109293246445 334.084120848407</t>
  </si>
  <si>
    <t>-831.435021021822 197.640822716887 777.735376083413</t>
  </si>
  <si>
    <t>-692.351381811168 243.003691325846 838.441927767884</t>
  </si>
  <si>
    <t>-739.349931018168 19.456274888169 -64.7894200670386</t>
  </si>
  <si>
    <t>-688.254826174319 -9.59972565259841 334.459490296353</t>
  </si>
  <si>
    <t>-719.588636573761 -32.588235010036 780.391877511351</t>
  </si>
  <si>
    <t>-599.194466054426 -106.461977340031 852.05221233196</t>
  </si>
  <si>
    <t>9763-20170724T111024.384971300.bin</t>
  </si>
  <si>
    <t>-753.107419179066 115.466025091969 -66.0341501397643</t>
  </si>
  <si>
    <t>-777.60621910607 109.801875961765 -179.100337402028</t>
  </si>
  <si>
    <t>-782.812482212208 104.726386616991 -277.455677442808</t>
  </si>
  <si>
    <t>-781.774367586015 99.6118072671966 -366.399526643884</t>
  </si>
  <si>
    <t>-774.675953226109 93.7202883788068 -455.017389721228</t>
  </si>
  <si>
    <t>-758.46095403302 84.4411926557104 -578.191309454196</t>
  </si>
  <si>
    <t>-727.923175648413 76.2644715184915 -655.039194043207</t>
  </si>
  <si>
    <t>-762.498615844327 116.009464333412 -525.651299715139</t>
  </si>
  <si>
    <t>-740.255522115387 251.186117486229 -514.205372328791</t>
  </si>
  <si>
    <t>-712.01275177683 299.989790966233 -225.394313840561</t>
  </si>
  <si>
    <t>-475.269391045583 331.709080961738 -193.812150274396</t>
  </si>
  <si>
    <t>-768.694258292958 61.0394179244913 -522.32588470125</t>
  </si>
  <si>
    <t>-766.829600411965 210.836677254163 -69.4354269638901</t>
  </si>
  <si>
    <t>-768.607485614909 212.611291951638 334.109316451679</t>
  </si>
  <si>
    <t>-831.3338519719 197.754478465557 777.795517676679</t>
  </si>
  <si>
    <t>-692.138689212904 242.763673853085 838.509328290532</t>
  </si>
  <si>
    <t>-739.662085918934 20.0480061276935 -64.7286907758925</t>
  </si>
  <si>
    <t>-688.116937235462 -9.09941461546759 334.455715075807</t>
  </si>
  <si>
    <t>-719.716426451876 -32.6096125047011 780.34740421759</t>
  </si>
  <si>
    <t>-599.24796941307 -106.338345277054 852.032047388725</t>
  </si>
  <si>
    <t>9763-20170724T111024.419465000.bin</t>
  </si>
  <si>
    <t>-753.288356228643 115.808651925784 -66.0057689187523</t>
  </si>
  <si>
    <t>-777.860244383455 110.109878060787 -179.054384016767</t>
  </si>
  <si>
    <t>-783.147215019337 104.96588833096 -277.401810618709</t>
  </si>
  <si>
    <t>-782.189766475361 99.7748269615545 -366.342195863972</t>
  </si>
  <si>
    <t>-775.181108253863 93.7934838342012 -454.961205433274</t>
  </si>
  <si>
    <t>-759.099929130889 84.3759889859411 -578.142098816365</t>
  </si>
  <si>
    <t>-728.541080912803 76.1093304826736 -654.972151792901</t>
  </si>
  <si>
    <t>-763.0865221004 116.004091243663 -525.634291080139</t>
  </si>
  <si>
    <t>-740.848450468788 251.19611545008 -514.337135739826</t>
  </si>
  <si>
    <t>-711.701780303999 300.299727748064 -225.666883004669</t>
  </si>
  <si>
    <t>-474.870080990213 331.946054378027 -194.681291617096</t>
  </si>
  <si>
    <t>-769.266154115723 61.0362645924902 -522.238502446291</t>
  </si>
  <si>
    <t>-766.995280124374 211.154623811056 -69.4283580748817</t>
  </si>
  <si>
    <t>-768.622696866435 212.862367185725 334.117280779231</t>
  </si>
  <si>
    <t>-831.288612089745 197.847092959201 777.800610456452</t>
  </si>
  <si>
    <t>-692.147640920097 242.995025013124 838.536251028621</t>
  </si>
  <si>
    <t>-739.830606705129 20.4344484834041 -64.6868458513786</t>
  </si>
  <si>
    <t>-688.026801783768 -8.84255727502205 334.454603384815</t>
  </si>
  <si>
    <t>-719.764049667938 -32.5580382657777 780.325137008562</t>
  </si>
  <si>
    <t>-599.381808996904 -106.411042379793 852.026841925625</t>
  </si>
  <si>
    <t>9763-20170724T111024.488652000.bin</t>
  </si>
  <si>
    <t>-753.583596481433 116.283446538155 -66.0477296019957</t>
  </si>
  <si>
    <t>-778.254237120148 110.419054006561 -179.066247412501</t>
  </si>
  <si>
    <t>-783.664060435143 105.116434045889 -277.3987887602</t>
  </si>
  <si>
    <t>-782.833565000058 99.7746829508151 -366.33130364334</t>
  </si>
  <si>
    <t>-775.965867698038 93.6353370533902 -454.950694079988</t>
  </si>
  <si>
    <t>-760.09883089792 83.9888758423226 -578.14172964648</t>
  </si>
  <si>
    <t>-729.456482692584 75.6181481515318 -654.927074913492</t>
  </si>
  <si>
    <t>-764.014189957631 115.716410681634 -525.688321737361</t>
  </si>
  <si>
    <t>-741.80371127478 250.927582262268 -514.634176710422</t>
  </si>
  <si>
    <t>-710.125941979706 301.398682018036 -226.466833266095</t>
  </si>
  <si>
    <t>-473.17215149171 332.443862530014 -195.809518917297</t>
  </si>
  <si>
    <t>-770.148008169865 60.7510290912232 -522.174456104847</t>
  </si>
  <si>
    <t>-767.336677458738 211.519285775951 -69.5480619829013</t>
  </si>
  <si>
    <t>-768.455758163095 213.331948979369 333.998879091772</t>
  </si>
  <si>
    <t>-830.947443621885 197.899206035435 777.639295243835</t>
  </si>
  <si>
    <t>-691.938747661749 243.151848047489 838.598645897195</t>
  </si>
  <si>
    <t>-739.96048711412 20.9683775443536 -64.6185510350813</t>
  </si>
  <si>
    <t>-687.735395306858 -8.40732698322154 334.46073693548</t>
  </si>
  <si>
    <t>-719.849166297504 -32.3854741814216 780.288687442019</t>
  </si>
  <si>
    <t>-599.547131610548 -106.35013725072 852.010183537278</t>
  </si>
  <si>
    <t>9763-20170724T111024.517732400.bin</t>
  </si>
  <si>
    <t>-753.653112469083 116.3524497933 -66.0946357147386</t>
  </si>
  <si>
    <t>-778.326980943291 110.424803001198 -179.109052937572</t>
  </si>
  <si>
    <t>-783.755842319622 105.062824903467 -277.437402905584</t>
  </si>
  <si>
    <t>-782.949135509009 99.6636302567645 -366.366706782275</t>
  </si>
  <si>
    <t>-776.113269483843 93.462935206187 -454.984220374162</t>
  </si>
  <si>
    <t>-760.297238248102 83.7256949630159 -578.174556454916</t>
  </si>
  <si>
    <t>-729.620921346052 75.3168861274571 -654.942198397284</t>
  </si>
  <si>
    <t>-764.19519217131 115.492357609142 -525.743727079725</t>
  </si>
  <si>
    <t>-741.965024573861 250.701534277418 -514.757420969432</t>
  </si>
  <si>
    <t>-708.796176591581 301.83976947826 -226.875703855078</t>
  </si>
  <si>
    <t>-471.733332047368 332.499186508222 -196.675727199386</t>
  </si>
  <si>
    <t>-770.318792102052 60.5287999648353 -522.185422540495</t>
  </si>
  <si>
    <t>-767.408396387113 211.666936360119 -69.647210802155</t>
  </si>
  <si>
    <t>-768.456628146898 213.505731852888 333.899732307673</t>
  </si>
  <si>
    <t>-830.854759510679 198.056774283888 777.54538505709</t>
  </si>
  <si>
    <t>-691.851049116928 243.127958429108 838.651182485106</t>
  </si>
  <si>
    <t>-740.01249440154 20.9755773777983 -64.6018201623165</t>
  </si>
  <si>
    <t>-687.52687281959 -8.30194371447988 334.450511461918</t>
  </si>
  <si>
    <t>-719.952268200577 -32.5406293804595 780.273718606215</t>
  </si>
  <si>
    <t>-599.468038282329 -106.213608750912 851.989381210932</t>
  </si>
  <si>
    <t>9763-20170724T111024.586417300.bin</t>
  </si>
  <si>
    <t>-753.551744522271 116.347199841975 -66.1394079212964</t>
  </si>
  <si>
    <t>-778.104538729797 110.448901323081 -179.1818033834</t>
  </si>
  <si>
    <t>-783.480807816168 105.030809030191 -277.509888098145</t>
  </si>
  <si>
    <t>-782.650142818623 99.5476673390249 -366.433947822592</t>
  </si>
  <si>
    <t>-775.815337053758 93.2302402020723 -455.043198707831</t>
  </si>
  <si>
    <t>-760.02953583233 83.2967836217586 -578.22182370808</t>
  </si>
  <si>
    <t>-729.360703445609 74.814980397688 -654.984489821209</t>
  </si>
  <si>
    <t>-763.903910890104 115.145792179858 -525.839279873193</t>
  </si>
  <si>
    <t>-741.521115051583 250.35010421986 -515.006027417698</t>
  </si>
  <si>
    <t>-705.146784492634 301.874818992694 -227.580651179263</t>
  </si>
  <si>
    <t>-467.75217626157 331.585654216169 -199.085144572874</t>
  </si>
  <si>
    <t>-770.048468430289 60.1901427008647 -522.194787086517</t>
  </si>
  <si>
    <t>-767.192358857818 211.859821888158 -69.7097459963467</t>
  </si>
  <si>
    <t>-768.903898314691 213.418075842709 333.836128259781</t>
  </si>
  <si>
    <t>-830.596819472914 198.136481835042 777.533189072013</t>
  </si>
  <si>
    <t>-691.680281932047 243.226529992841 838.821919050201</t>
  </si>
  <si>
    <t>-740.090469306735 20.7742112010687 -64.600716425758</t>
  </si>
  <si>
    <t>-686.935297903651 -8.14797728661142 334.388877546276</t>
  </si>
  <si>
    <t>-720.124662663057 -32.7476718953262 780.211938707574</t>
  </si>
  <si>
    <t>-599.417764137514 -106.045657875762 851.937147161503</t>
  </si>
  <si>
    <t>9763-20170724T111024.619005800.bin</t>
  </si>
  <si>
    <t>-753.581087445288 116.43037369766 -66.1342429155118</t>
  </si>
  <si>
    <t>-778.089664790733 110.573149976029 -179.188410828138</t>
  </si>
  <si>
    <t>-783.441754192962 105.129115754044 -277.516218416633</t>
  </si>
  <si>
    <t>-782.596806783449 99.5986323983379 -366.437177866368</t>
  </si>
  <si>
    <t>-775.756177476197 93.2098508634153 -455.041102706539</t>
  </si>
  <si>
    <t>-759.972686833846 83.1514889572118 -578.209755610206</t>
  </si>
  <si>
    <t>-729.322626087232 74.6314444486238 -654.975719488041</t>
  </si>
  <si>
    <t>-763.819879379607 115.051008849363 -525.85578582295</t>
  </si>
  <si>
    <t>-741.302029733166 250.24007085232 -515.148206085819</t>
  </si>
  <si>
    <t>-702.865158708412 302.135279979109 -228.05808151448</t>
  </si>
  <si>
    <t>-465.324204230498 331.25916312169 -200.18503640602</t>
  </si>
  <si>
    <t>-770.016937750519 60.1044757165432 -522.162763512283</t>
  </si>
  <si>
    <t>-767.262033091553 211.893685014224 -69.6839462101226</t>
  </si>
  <si>
    <t>-769.157958068972 213.414917870697 333.861271833505</t>
  </si>
  <si>
    <t>-830.451690607324 198.120114099695 777.592494591813</t>
  </si>
  <si>
    <t>-691.674551748252 243.580510333245 838.924357691673</t>
  </si>
  <si>
    <t>-740.22600872747 20.9275940047405 -64.6191515592724</t>
  </si>
  <si>
    <t>-686.739316570561 -7.88786420767474 334.33383249252</t>
  </si>
  <si>
    <t>-720.045366797415 -32.2813095624815 780.156065751646</t>
  </si>
  <si>
    <t>-599.795869211623 -106.283087671412 851.9270742491</t>
  </si>
  <si>
    <t>9763-20170724T111024.685189600.bin</t>
  </si>
  <si>
    <t>-754.33426248422 116.781526952976 -66.0497255357081</t>
  </si>
  <si>
    <t>-778.769215314483 111.002003970117 -179.123818834168</t>
  </si>
  <si>
    <t>-784.037671269968 105.506094420861 -277.453404572522</t>
  </si>
  <si>
    <t>-783.112954790003 99.8796918384546 -366.367478881875</t>
  </si>
  <si>
    <t>-776.191731450201 93.3432887702816 -454.954243834855</t>
  </si>
  <si>
    <t>-760.296503389909 83.0224748373871 -578.086794269489</t>
  </si>
  <si>
    <t>-729.649505891302 74.3598153794073 -654.838051079117</t>
  </si>
  <si>
    <t>-764.079616189048 115.021711506357 -525.78918052385</t>
  </si>
  <si>
    <t>-741.004910835434 250.12197490401 -515.311852694753</t>
  </si>
  <si>
    <t>-698.613143408343 303.004785739431 -228.95974915528</t>
  </si>
  <si>
    <t>-460.743052089203 330.621197993732 -202.388658145515</t>
  </si>
  <si>
    <t>-770.503146571947 60.1065519139192 -522.015457559727</t>
  </si>
  <si>
    <t>-767.976835445498 212.367379337989 -69.6104200377321</t>
  </si>
  <si>
    <t>-769.731933503134 213.626370870055 333.936279053268</t>
  </si>
  <si>
    <t>-830.371093276057 198.30109039274 777.802559482345</t>
  </si>
  <si>
    <t>-691.403987568291 243.135882676062 839.164350926483</t>
  </si>
  <si>
    <t>-741.097711032549 21.2214446432763 -64.6068619676756</t>
  </si>
  <si>
    <t>-687.318463698188 -7.5568132934377 334.309577659787</t>
  </si>
  <si>
    <t>-720.179292072325 -32.260346380448 780.125251681932</t>
  </si>
  <si>
    <t>-599.955733976447 -106.298799048037 851.901754038127</t>
  </si>
  <si>
    <t>9763-20170724T111024.716877200.bin</t>
  </si>
  <si>
    <t>-754.619022200579 116.981076490526 -65.9973626614446</t>
  </si>
  <si>
    <t>-779.03879392847 111.284881839828 -179.079030081004</t>
  </si>
  <si>
    <t>-784.272991792826 105.77341290431 -277.409555224161</t>
  </si>
  <si>
    <t>-783.311440412529 100.099286659912 -366.320330523936</t>
  </si>
  <si>
    <t>-776.349277467645 93.4804451793675 -454.897594280162</t>
  </si>
  <si>
    <t>-760.394795875792 83.008683874541 -578.009836504568</t>
  </si>
  <si>
    <t>-729.741234903144 74.2396400445032 -654.746385284166</t>
  </si>
  <si>
    <t>-764.125217361805 115.063716275936 -525.742550238021</t>
  </si>
  <si>
    <t>-740.776272958508 250.141162310979 -515.450799753129</t>
  </si>
  <si>
    <t>-696.588618783167 303.278924872451 -229.417533348577</t>
  </si>
  <si>
    <t>-458.585887986491 330.388542169154 -203.52096470013</t>
  </si>
  <si>
    <t>-770.705748122943 60.1701671412138 -521.926114872598</t>
  </si>
  <si>
    <t>-768.010437437626 212.556674203736 -69.53316635035</t>
  </si>
  <si>
    <t>-769.83099957993 213.626784822876 334.013833434762</t>
  </si>
  <si>
    <t>-830.27352549846 198.227116314294 777.942289148425</t>
  </si>
  <si>
    <t>-691.308376254625 243.127888632615 839.26051555582</t>
  </si>
  <si>
    <t>-741.570458659331 21.3889505110974 -64.5830693342992</t>
  </si>
  <si>
    <t>-687.825336847239 -7.43166738145237 334.334802645799</t>
  </si>
  <si>
    <t>-720.290810219448 -32.3835719842414 780.138571121668</t>
  </si>
  <si>
    <t>-599.898288462804 -106.159786858019 851.902135760778</t>
  </si>
  <si>
    <t>9763-20170724T111024.785919300.bin</t>
  </si>
  <si>
    <t>-754.757615895889 117.657761367845 -65.8571680433265</t>
  </si>
  <si>
    <t>-779.159602366245 112.176610927801 -178.953137126995</t>
  </si>
  <si>
    <t>-784.366831076013 106.637692247158 -277.283567986953</t>
  </si>
  <si>
    <t>-783.382407243997 100.858301264819 -366.18731897273</t>
  </si>
  <si>
    <t>-776.403131882995 94.051552156925 -454.749230592003</t>
  </si>
  <si>
    <t>-760.433998428347 83.2312294377807 -577.829283766884</t>
  </si>
  <si>
    <t>-729.758550714464 74.2037735784511 -654.527177822127</t>
  </si>
  <si>
    <t>-763.956255969279 115.409644227952 -525.623355024696</t>
  </si>
  <si>
    <t>-739.75863394189 250.379744602522 -515.778453356007</t>
  </si>
  <si>
    <t>-693.574026352853 303.927012251643 -230.137257414139</t>
  </si>
  <si>
    <t>-455.404532282059 330.32985698193 -205.05691718188</t>
  </si>
  <si>
    <t>-770.965931458707 60.5758583078937 -521.712254941771</t>
  </si>
  <si>
    <t>-767.523423687288 213.114351315887 -69.2657370074576</t>
  </si>
  <si>
    <t>-769.525696242797 213.819552134237 334.28118670672</t>
  </si>
  <si>
    <t>-830.246010993327 198.11157818283 778.297297631158</t>
  </si>
  <si>
    <t>-691.142792580234 242.889399995111 839.391900249429</t>
  </si>
  <si>
    <t>-742.227758209862 22.2493459669527 -64.5157388894744</t>
  </si>
  <si>
    <t>-688.643879933796 -7.13815530664533 334.382508241187</t>
  </si>
  <si>
    <t>-720.394912459128 -32.2916313577621 780.158047049948</t>
  </si>
  <si>
    <t>-600.207241176405 -106.359946244008 851.964290414909</t>
  </si>
  <si>
    <t>9763-20170724T111024.818060000.bin</t>
  </si>
  <si>
    <t>-754.63645210517 117.977878670616 -65.7547939199327</t>
  </si>
  <si>
    <t>-779.067394943531 112.597307546347 -178.849335301943</t>
  </si>
  <si>
    <t>-784.295153037157 107.063995415193 -277.179063501452</t>
  </si>
  <si>
    <t>-783.330810682017 101.259999735083 -366.08138995462</t>
  </si>
  <si>
    <t>-776.373214293313 94.3974259479005 -454.640570347636</t>
  </si>
  <si>
    <t>-760.437943830284 83.4672083839278 -577.715413497567</t>
  </si>
  <si>
    <t>-729.778662845902 74.3373243908841 -654.40767634638</t>
  </si>
  <si>
    <t>-763.833318079841 115.678770550856 -525.521447536136</t>
  </si>
  <si>
    <t>-739.229291650573 250.576696224432 -515.843666047552</t>
  </si>
  <si>
    <t>-692.289206913981 304.635165064894 -230.422053830444</t>
  </si>
  <si>
    <t>-454.06062300834 330.780337957578 -205.63341077277</t>
  </si>
  <si>
    <t>-771.067373418282 60.8755419117851 -521.59115710136</t>
  </si>
  <si>
    <t>-767.146673193816 213.371072156742 -69.1186358048755</t>
  </si>
  <si>
    <t>-769.05715999416 213.856653523291 334.429098089832</t>
  </si>
  <si>
    <t>-830.237068834042 198.044922251082 778.429453136748</t>
  </si>
  <si>
    <t>-691.088749574658 242.852629735136 839.400115082741</t>
  </si>
  <si>
    <t>-742.395846716821 22.5485556807675 -64.4497869201905</t>
  </si>
  <si>
    <t>-688.9038469517 -7.10076732567222 334.441384590646</t>
  </si>
  <si>
    <t>-720.45876228765 -32.2799928049167 780.181986606988</t>
  </si>
  <si>
    <t>-600.300484318787 -106.380934446202 852.003436193212</t>
  </si>
  <si>
    <t>9763-20170724T111024.882733200.bin</t>
  </si>
  <si>
    <t>-754.228540089508 118.341283293514 -65.5879882724635</t>
  </si>
  <si>
    <t>-778.751554689282 113.196459884547 -178.673643622088</t>
  </si>
  <si>
    <t>-784.088269568047 107.716699802851 -277.000383200577</t>
  </si>
  <si>
    <t>-783.237911390418 101.907252190664 -365.903603098085</t>
  </si>
  <si>
    <t>-776.412013585471 94.9836675677311 -454.46817723633</t>
  </si>
  <si>
    <t>-760.681362252851 83.9113054304598 -577.556714475285</t>
  </si>
  <si>
    <t>-730.081267220628 74.5956820091324 -654.25019450564</t>
  </si>
  <si>
    <t>-763.785215172703 116.157294875556 -525.365955842772</t>
  </si>
  <si>
    <t>-738.38223847096 250.925208024185 -515.843285059932</t>
  </si>
  <si>
    <t>-689.826161627684 305.442573565507 -230.779522542203</t>
  </si>
  <si>
    <t>-451.493356991233 331.50836724408 -206.928735433119</t>
  </si>
  <si>
    <t>-771.42229718049 61.4101071610971 -521.417208225919</t>
  </si>
  <si>
    <t>-766.072058843379 213.706657621937 -68.8897757182773</t>
  </si>
  <si>
    <t>-767.84571361192 213.89012623442 334.658841628344</t>
  </si>
  <si>
    <t>-830.13763182745 197.89227719363 778.535720028092</t>
  </si>
  <si>
    <t>-690.854389952077 242.501449725281 839.342279732928</t>
  </si>
  <si>
    <t>-742.570138174116 22.8495054958366 -64.3609960791838</t>
  </si>
  <si>
    <t>-689.042134000915 -7.02141429821177 334.508852242855</t>
  </si>
  <si>
    <t>-720.5263445601 -31.9433518800379 780.234532545938</t>
  </si>
  <si>
    <t>-600.81649184581 -106.732320104564 852.091666176663</t>
  </si>
  <si>
    <t>9763-20170724T111024.920337700.bin</t>
  </si>
  <si>
    <t>-753.909949075726 118.253884385632 -65.525083419602</t>
  </si>
  <si>
    <t>-778.479350550312 113.240764675974 -178.60665165064</t>
  </si>
  <si>
    <t>-783.89797926452 107.802904996211 -276.931185294514</t>
  </si>
  <si>
    <t>-783.140406960017 102.006380982743 -365.83612140136</t>
  </si>
  <si>
    <t>-776.427167101942 95.0707608163607 -454.408561112482</t>
  </si>
  <si>
    <t>-760.874928060458 83.9557463333531 -577.515725351982</t>
  </si>
  <si>
    <t>-730.317541909157 74.5638761106861 -654.216847980067</t>
  </si>
  <si>
    <t>-763.808640754886 116.207310969671 -525.31870764603</t>
  </si>
  <si>
    <t>-738.01868770637 250.906971188794 -515.82524229538</t>
  </si>
  <si>
    <t>-688.446358401776 305.256384904302 -230.904319298525</t>
  </si>
  <si>
    <t>-450.059682895975 331.161865108102 -207.419266254131</t>
  </si>
  <si>
    <t>-771.628813278961 61.4862984766637 -521.366034105268</t>
  </si>
  <si>
    <t>-765.437562820114 213.751339875708 -68.7797377288628</t>
  </si>
  <si>
    <t>-767.278379273424 213.822650985137 334.768588454259</t>
  </si>
  <si>
    <t>-830.156171511168 197.923159977406 778.565410863871</t>
  </si>
  <si>
    <t>-690.748070813191 242.230060827829 839.30708081296</t>
  </si>
  <si>
    <t>-742.579381083144 22.6138283601617 -64.3302391165741</t>
  </si>
  <si>
    <t>-689.124770688759 -7.09313530205372 334.561691108406</t>
  </si>
  <si>
    <t>-720.648292974249 -32.0378634480439 780.276907677178</t>
  </si>
  <si>
    <t>-600.825805804807 -106.659172056609 852.120718759736</t>
  </si>
  <si>
    <t>9763-20170724T111024.986524000.bin</t>
  </si>
  <si>
    <t>-753.032042627562 118.044990512978 -65.3730086804702</t>
  </si>
  <si>
    <t>-777.706229416852 113.226938579923 -178.440160480283</t>
  </si>
  <si>
    <t>-783.310808321176 107.884657294371 -276.759552393935</t>
  </si>
  <si>
    <t>-782.761314354653 102.149892919541 -365.669966083785</t>
  </si>
  <si>
    <t>-776.297107036912 95.2495751308488 -454.263644905785</t>
  </si>
  <si>
    <t>-761.135590373754 84.1568976133335 -577.421724559426</t>
  </si>
  <si>
    <t>-730.728845456731 74.6720511117837 -654.171150443375</t>
  </si>
  <si>
    <t>-763.730618180457 116.375457744712 -525.186252260278</t>
  </si>
  <si>
    <t>-737.149719065707 250.910671546636 -515.641146430895</t>
  </si>
  <si>
    <t>-685.644491169133 304.759840042706 -230.968231297701</t>
  </si>
  <si>
    <t>-447.192612595024 330.400838689063 -207.856661994462</t>
  </si>
  <si>
    <t>-771.884477622967 61.7010023598841 -521.265574476998</t>
  </si>
  <si>
    <t>-763.964498756401 213.655778041792 -68.5715027496723</t>
  </si>
  <si>
    <t>-765.917744896708 213.618908741933 334.976367510804</t>
  </si>
  <si>
    <t>-829.859387219941 197.72921569162 778.593901818084</t>
  </si>
  <si>
    <t>-690.462108553913 242.251431290261 839.203121205601</t>
  </si>
  <si>
    <t>-742.333767937259 22.4278782025431 -64.23152764038</t>
  </si>
  <si>
    <t>-688.723272330991 -7.48508774375932 334.624124368865</t>
  </si>
  <si>
    <t>-720.835620029228 -32.1198019044309 780.300879018126</t>
  </si>
  <si>
    <t>-601.080557508878 -106.822136050015 852.172971604039</t>
  </si>
  <si>
    <t>9763-20170724T111025.018764800.bin</t>
  </si>
  <si>
    <t>-752.652025500269 118.128809928686 -65.3200343690377</t>
  </si>
  <si>
    <t>-777.380999723082 113.366259583159 -178.377585270548</t>
  </si>
  <si>
    <t>-783.064066903124 108.060761443817 -276.694521661317</t>
  </si>
  <si>
    <t>-782.599325850695 102.355658989587 -365.607218690164</t>
  </si>
  <si>
    <t>-776.232588673006 95.4803034504143 -454.209952619991</t>
  </si>
  <si>
    <t>-761.221004574402 84.4171927496345 -577.389050911836</t>
  </si>
  <si>
    <t>-730.907209904795 74.916261918951 -654.17332329504</t>
  </si>
  <si>
    <t>-763.682328104986 116.613537053596 -525.133272002172</t>
  </si>
  <si>
    <t>-736.764979984441 251.078266588235 -515.511086691777</t>
  </si>
  <si>
    <t>-684.415726546362 304.551395678177 -230.921162885358</t>
  </si>
  <si>
    <t>-445.967041173893 330.152631103475 -207.733003339654</t>
  </si>
  <si>
    <t>-771.971291174072 61.957703733704 -521.234719099516</t>
  </si>
  <si>
    <t>-763.451842177317 213.710936653808 -68.5263122223398</t>
  </si>
  <si>
    <t>-765.352795832022 213.592823814963 335.021714143031</t>
  </si>
  <si>
    <t>-829.832524227496 197.634344559726 778.525674093062</t>
  </si>
  <si>
    <t>-690.407155210362 242.166263612534 839.063075341455</t>
  </si>
  <si>
    <t>-742.107320160046 22.5584438529545 -64.1904563270791</t>
  </si>
  <si>
    <t>-688.496319866339 -7.60789118741604 334.646071845311</t>
  </si>
  <si>
    <t>-720.906436822438 -32.0719593843678 780.309065917431</t>
  </si>
  <si>
    <t>-601.220251082576 -106.874954759996 852.191014836956</t>
  </si>
  <si>
    <t>9763-20170724T111025.082439000.bin</t>
  </si>
  <si>
    <t>-751.9487934726 118.200150616474 -65.3219123896121</t>
  </si>
  <si>
    <t>-776.782210559281 113.546228507746 -178.361238110053</t>
  </si>
  <si>
    <t>-782.610504094237 108.311537718987 -276.67336232186</t>
  </si>
  <si>
    <t>-782.298732286209 102.664130705869 -365.590431018109</t>
  </si>
  <si>
    <t>-776.107659102077 95.8394209255298 -454.209522709151</t>
  </si>
  <si>
    <t>-761.363626416138 84.8405877545492 -577.42653700155</t>
  </si>
  <si>
    <t>-731.249474556483 75.3643481964336 -654.292406573285</t>
  </si>
  <si>
    <t>-763.6039333239 116.994012812076 -525.134669801102</t>
  </si>
  <si>
    <t>-736.090103761422 251.327062544357 -515.366389682553</t>
  </si>
  <si>
    <t>-682.539972730621 303.767692114782 -230.807883663662</t>
  </si>
  <si>
    <t>-444.08450422686 329.588171937557 -207.936264425844</t>
  </si>
  <si>
    <t>-772.099431683167 62.3671979328301 -521.274937657889</t>
  </si>
  <si>
    <t>-762.366601960923 213.757132026964 -68.525285514345</t>
  </si>
  <si>
    <t>-764.250056612245 213.504273776623 335.022853020672</t>
  </si>
  <si>
    <t>-829.702399754855 197.344309949743 778.381345852782</t>
  </si>
  <si>
    <t>-690.135361801342 241.683310422324 838.733508858154</t>
  </si>
  <si>
    <t>-741.729459629356 22.5733451770902 -64.1963260711196</t>
  </si>
  <si>
    <t>-688.345671869703 -7.67736640970043 334.664252120766</t>
  </si>
  <si>
    <t>-721.007185130456 -31.9002678462075 780.300376805412</t>
  </si>
  <si>
    <t>-601.367779660288 -106.746192947777 852.215324552728</t>
  </si>
  <si>
    <t>9763-20170724T111025.116988800.bin</t>
  </si>
  <si>
    <t>-751.643115495229 118.190717429017 -65.3516678735026</t>
  </si>
  <si>
    <t>-776.507341165626 113.575694910983 -178.385735081795</t>
  </si>
  <si>
    <t>-782.405793245316 108.37267154607 -276.695325583776</t>
  </si>
  <si>
    <t>-782.175322772763 102.755076222796 -365.614679700766</t>
  </si>
  <si>
    <t>-776.082146809443 95.9608929553874 -454.242825231152</t>
  </si>
  <si>
    <t>-761.493313409621 85.0057294611383 -577.482240222945</t>
  </si>
  <si>
    <t>-731.483467816644 75.5602717372058 -654.392744998606</t>
  </si>
  <si>
    <t>-763.626674723039 117.134657354483 -525.170664059968</t>
  </si>
  <si>
    <t>-735.858745870595 251.411395419843 -515.342077564884</t>
  </si>
  <si>
    <t>-681.635551292364 303.457094022195 -230.838379606273</t>
  </si>
  <si>
    <t>-443.170360311524 329.428294656178 -208.239455891593</t>
  </si>
  <si>
    <t>-772.199809767865 62.5185238208664 -521.330594643617</t>
  </si>
  <si>
    <t>-761.913014571617 213.700132453491 -68.5486016300346</t>
  </si>
  <si>
    <t>-763.767825171382 213.429230980222 334.999648482088</t>
  </si>
  <si>
    <t>-829.669183901914 197.256944542527 778.296737725265</t>
  </si>
  <si>
    <t>-690.107136721542 241.761713782588 838.538188552445</t>
  </si>
  <si>
    <t>-741.560825699167 22.648864767611 -64.2394946940951</t>
  </si>
  <si>
    <t>-688.298962199805 -7.62547409220269 334.635572938815</t>
  </si>
  <si>
    <t>-721.005346869936 -31.6801795144775 780.278437637953</t>
  </si>
  <si>
    <t>-601.739456767447 -107.071141140321 852.244766708958</t>
  </si>
  <si>
    <t>9763-20170724T111025.181152800.bin</t>
  </si>
  <si>
    <t>-751.268083488523 117.897513428922 -65.4283575558371</t>
  </si>
  <si>
    <t>-776.219730457949 113.34068406591 -178.445518025723</t>
  </si>
  <si>
    <t>-782.273392080722 108.166465103781 -276.747333771813</t>
  </si>
  <si>
    <t>-782.215980300648 102.566547563828 -365.667914487987</t>
  </si>
  <si>
    <t>-776.329374429648 95.7808315216794 -454.310674716445</t>
  </si>
  <si>
    <t>-762.063217711561 84.8270392470195 -577.588087067264</t>
  </si>
  <si>
    <t>-732.242530367539 75.4192000963972 -654.576716812488</t>
  </si>
  <si>
    <t>-763.979808423198 116.94346477359 -525.260443594356</t>
  </si>
  <si>
    <t>-735.843068201198 251.147467081781 -515.386887489946</t>
  </si>
  <si>
    <t>-680.408621216476 302.859823673541 -231.05592951161</t>
  </si>
  <si>
    <t>-441.884963054922 328.680413120625 -208.907442322017</t>
  </si>
  <si>
    <t>-772.702473759144 62.351219698583 -521.419153461635</t>
  </si>
  <si>
    <t>-761.364522570828 213.393003334865 -68.6156787559315</t>
  </si>
  <si>
    <t>-763.202486723345 213.204865344409 334.932650246047</t>
  </si>
  <si>
    <t>-829.524461333686 197.035021386192 778.173573242004</t>
  </si>
  <si>
    <t>-689.87773736344 241.497606477101 838.249488761426</t>
  </si>
  <si>
    <t>-741.354005058326 22.356649427843 -64.3134464095855</t>
  </si>
  <si>
    <t>-688.208378459496 -7.96108525233831 334.57382872339</t>
  </si>
  <si>
    <t>-721.188713048961 -31.8462243382251 780.244241213</t>
  </si>
  <si>
    <t>-601.739199041245 -106.911476733852 852.246266459548</t>
  </si>
  <si>
    <t>9763-20170724T111025.217252700.bin</t>
  </si>
  <si>
    <t>-751.057216074854 117.635402660932 -65.4777108229124</t>
  </si>
  <si>
    <t>-776.080408266754 113.079701022065 -178.47908110942</t>
  </si>
  <si>
    <t>-782.232329220698 107.907751091685 -276.774830837665</t>
  </si>
  <si>
    <t>-782.278573610545 102.30972459857 -365.695623331059</t>
  </si>
  <si>
    <t>-776.509973243192 95.524775846864 -454.346130458593</t>
  </si>
  <si>
    <t>-762.424234203265 84.570439472463 -577.644227322299</t>
  </si>
  <si>
    <t>-732.717030291142 75.1677856326469 -654.677401999121</t>
  </si>
  <si>
    <t>-764.225525639736 116.681203536667 -525.309111635101</t>
  </si>
  <si>
    <t>-735.97577602652 250.857740859994 -515.439200421396</t>
  </si>
  <si>
    <t>-680.427926144472 302.54759082283 -231.126317323835</t>
  </si>
  <si>
    <t>-441.857130301034 328.107490378887 -209.182409551982</t>
  </si>
  <si>
    <t>-773.019827253781 62.1006655695646 -521.464626700421</t>
  </si>
  <si>
    <t>-761.072519249436 213.094941391389 -68.641453602938</t>
  </si>
  <si>
    <t>-762.802594954076 213.08267949754 334.90736466737</t>
  </si>
  <si>
    <t>-829.464319679052 196.986133988334 778.112055701614</t>
  </si>
  <si>
    <t>-689.758004414799 241.34156455451 838.129659331094</t>
  </si>
  <si>
    <t>-741.201357936487 22.1088816897268 -64.3627649060754</t>
  </si>
  <si>
    <t>-688.262870784728 -8.18351848560815 334.553916507289</t>
  </si>
  <si>
    <t>-721.293166206486 -31.9599933307582 780.234448868084</t>
  </si>
  <si>
    <t>-601.783495253346 -106.918206836502 852.248425300421</t>
  </si>
  <si>
    <t>9763-20170724T111025.283934100.bin</t>
  </si>
  <si>
    <t>-750.636901007705 117.028049045505 -65.5614481975559</t>
  </si>
  <si>
    <t>-775.893011861426 112.460618745253 -178.51046927998</t>
  </si>
  <si>
    <t>-782.347420755349 107.30422229663 -276.78772070632</t>
  </si>
  <si>
    <t>-782.707025225212 101.729772695189 -365.709257671698</t>
  </si>
  <si>
    <t>-777.29088127164 94.975525669654 -454.384364218969</t>
  </si>
  <si>
    <t>-763.737241288392 84.0701380040114 -577.746435821371</t>
  </si>
  <si>
    <t>-734.300252413861 74.6917053252905 -654.886098821428</t>
  </si>
  <si>
    <t>-765.230603973013 116.147394630746 -525.381064335794</t>
  </si>
  <si>
    <t>-736.876010551757 250.305443993633 -515.551874908359</t>
  </si>
  <si>
    <t>-682.566660910762 301.987664237742 -230.998328895911</t>
  </si>
  <si>
    <t>-443.89188281052 326.671747644576 -209.184146577782</t>
  </si>
  <si>
    <t>-774.172421846708 61.5905206425623 -521.540677369781</t>
  </si>
  <si>
    <t>-760.565611193581 212.321255121566 -68.7152980703404</t>
  </si>
  <si>
    <t>-761.996612135985 212.609814686461 334.834603061145</t>
  </si>
  <si>
    <t>-829.294390013595 196.834047161257 777.968650383741</t>
  </si>
  <si>
    <t>-689.429833913842 240.808872036571 837.897230974613</t>
  </si>
  <si>
    <t>-740.96859940749 21.6970369716805 -64.4499140930953</t>
  </si>
  <si>
    <t>-688.45829269662 -8.49506766674585 334.53096320055</t>
  </si>
  <si>
    <t>-721.394732548818 -31.8580127176792 780.218074551991</t>
  </si>
  <si>
    <t>-601.981676309247 -106.937036553617 852.265989130102</t>
  </si>
  <si>
    <t>9763-20170724T111025.315519400.bin</t>
  </si>
  <si>
    <t>-750.513376687589 116.676394425736 -65.6065409670709</t>
  </si>
  <si>
    <t>-775.902764008981 112.094268738799 -178.525010430599</t>
  </si>
  <si>
    <t>-782.554867066717 106.965217216671 -276.790523330955</t>
  </si>
  <si>
    <t>-783.12529455769 101.431068323697 -365.713497041074</t>
  </si>
  <si>
    <t>-777.950666950757 94.7325548018816 -454.407427392337</t>
  </si>
  <si>
    <t>-764.766085510131 83.9205802924398 -577.817530552453</t>
  </si>
  <si>
    <t>-735.499788051944 74.5774511140867 -655.026499333676</t>
  </si>
  <si>
    <t>-766.062874864524 115.951976350439 -525.418932478668</t>
  </si>
  <si>
    <t>-737.676914732767 250.098115725059 -515.562446666172</t>
  </si>
  <si>
    <t>-684.609654049516 301.634214097984 -230.74835916618</t>
  </si>
  <si>
    <t>-445.972359506457 326.062172423307 -208.244477091631</t>
  </si>
  <si>
    <t>-775.073004764778 61.4047382988538 -521.602662704863</t>
  </si>
  <si>
    <t>-760.363970481715 211.885204868317 -68.764175756185</t>
  </si>
  <si>
    <t>-761.705296587781 212.341860919062 334.785941359349</t>
  </si>
  <si>
    <t>-829.202998960564 196.759472144779 777.89756550702</t>
  </si>
  <si>
    <t>-689.240678404135 240.457869732612 837.799990505943</t>
  </si>
  <si>
    <t>-740.955340011848 21.4252016934911 -64.492002868667</t>
  </si>
  <si>
    <t>-688.533558782125 -8.71686172823229 334.504369307381</t>
  </si>
  <si>
    <t>-721.465572396311 -31.913419272933 780.202422209346</t>
  </si>
  <si>
    <t>-602.010613416781 -106.906310037493 852.270820501304</t>
  </si>
  <si>
    <t>9763-20170724T111025.385207200.bin</t>
  </si>
  <si>
    <t>-750.326328827643 115.849359152492 -65.6904487840044</t>
  </si>
  <si>
    <t>-776.055824747225 111.26555469071 -178.531931560956</t>
  </si>
  <si>
    <t>-783.122107256563 106.264068475272 -276.775089851388</t>
  </si>
  <si>
    <t>-784.111716105599 100.898032962667 -365.70474788815</t>
  </si>
  <si>
    <t>-779.397124449895 94.4198970625444 -454.440521245639</t>
  </si>
  <si>
    <t>-766.893747082536 83.9711808237903 -577.952861114632</t>
  </si>
  <si>
    <t>-737.959675860134 74.7605144019103 -655.3028823535</t>
  </si>
  <si>
    <t>-767.864098785267 115.842426705362 -525.449719839415</t>
  </si>
  <si>
    <t>-739.424456096021 249.952062620948 -515.29487485918</t>
  </si>
  <si>
    <t>-689.418686027529 300.405174042599 -229.733901596329</t>
  </si>
  <si>
    <t>-450.748680821482 323.858798592732 -206.550408786703</t>
  </si>
  <si>
    <t>-776.927145681751 61.2957443465707 -521.752696108871</t>
  </si>
  <si>
    <t>-760.052969929122 210.947486476631 -68.8488575002185</t>
  </si>
  <si>
    <t>-761.087638234461 211.835490043389 334.701395791334</t>
  </si>
  <si>
    <t>-829.074063474924 196.726495277489 777.743773302386</t>
  </si>
  <si>
    <t>-689.131882235808 240.56641803182 837.589380005765</t>
  </si>
  <si>
    <t>-740.856352290778 20.7599695112076 -64.6170423081968</t>
  </si>
  <si>
    <t>-688.580645375714 -9.00261614559486 334.426974988907</t>
  </si>
  <si>
    <t>-721.491350666696 -31.6624734877691 780.172676594872</t>
  </si>
  <si>
    <t>-602.355554635732 -107.113905712856 852.290805090836</t>
  </si>
  <si>
    <t>9763-20170724T111025.419365600.bin</t>
  </si>
  <si>
    <t>-750.193846514593 115.261706741254 -65.7178141352234</t>
  </si>
  <si>
    <t>-776.114670934778 110.664908778189 -178.514967876393</t>
  </si>
  <si>
    <t>-783.413973144069 105.742274823818 -276.745066693933</t>
  </si>
  <si>
    <t>-784.638168944035 100.484117142033 -365.678080441809</t>
  </si>
  <si>
    <t>-780.179872327622 94.1515081035118 -454.437774325405</t>
  </si>
  <si>
    <t>-768.054624140811 83.9448155650493 -578.00805449509</t>
  </si>
  <si>
    <t>-739.286133036544 74.8254304775483 -655.430515013928</t>
  </si>
  <si>
    <t>-768.867862488388 115.713746661254 -525.440094877024</t>
  </si>
  <si>
    <t>-740.460910088375 249.815877457197 -515.067175024662</t>
  </si>
  <si>
    <t>-691.986443920316 299.357860839418 -229.082846169631</t>
  </si>
  <si>
    <t>-453.248505925192 322.412246892728 -206.20219877071</t>
  </si>
  <si>
    <t>-777.912697247669 61.1586597897694 -521.821576111538</t>
  </si>
  <si>
    <t>-759.832777821219 210.330137889805 -68.8734921817237</t>
  </si>
  <si>
    <t>-760.676581736917 211.50262089948 334.676525901932</t>
  </si>
  <si>
    <t>-828.984041804609 196.642597846298 777.659157385023</t>
  </si>
  <si>
    <t>-688.949512030041 240.220172732013 837.480260022761</t>
  </si>
  <si>
    <t>-740.787008749919 20.1541540332596 -64.6657666315587</t>
  </si>
  <si>
    <t>-688.602307619114 -9.29425617278275 334.413469794444</t>
  </si>
  <si>
    <t>-721.592129035164 -31.7879041133015 780.175770279386</t>
  </si>
  <si>
    <t>-602.310264931182 -107.021741025837 852.279931923932</t>
  </si>
  <si>
    <t>9763-20170724T111025.483541200.bin</t>
  </si>
  <si>
    <t>-749.928958501238 114.078951275347 -65.8200109259745</t>
  </si>
  <si>
    <t>-776.190276639809 109.448454039643 -178.536878118825</t>
  </si>
  <si>
    <t>-784.002950952004 104.644601757358 -276.733366629772</t>
  </si>
  <si>
    <t>-785.775194287547 99.5551843033563 -365.667110929674</t>
  </si>
  <si>
    <t>-781.944209042287 93.4528803497137 -454.472086559011</t>
  </si>
  <si>
    <t>-770.774501477689 83.6340513943683 -578.163841956658</t>
  </si>
  <si>
    <t>-742.34176731623 74.6814049392256 -655.729656666241</t>
  </si>
  <si>
    <t>-771.161647112549 115.234868118097 -525.489861843055</t>
  </si>
  <si>
    <t>-742.811000906152 249.329941123119 -514.803606804801</t>
  </si>
  <si>
    <t>-698.300317284832 296.618683794572 -227.795301659832</t>
  </si>
  <si>
    <t>-459.445109083513 318.939934265321 -205.416825550957</t>
  </si>
  <si>
    <t>-780.217764339007 60.6747749373326 -521.976513327646</t>
  </si>
  <si>
    <t>-759.497854883148 209.068033891947 -68.9414996445142</t>
  </si>
  <si>
    <t>-760.029575266082 210.889452001277 334.606574306562</t>
  </si>
  <si>
    <t>-828.85733352083 196.60606263849 777.493075029385</t>
  </si>
  <si>
    <t>-688.841738360093 240.286759024914 837.283834565459</t>
  </si>
  <si>
    <t>-740.631943126359 19.0406902366062 -64.749261971333</t>
  </si>
  <si>
    <t>-688.582680328271 -9.74175187596029 334.396217564031</t>
  </si>
  <si>
    <t>-721.674150449735 -31.7051055445036 780.17004777791</t>
  </si>
  <si>
    <t>-602.426225007804 -107.005526662407 852.261297602704</t>
  </si>
  <si>
    <t>9763-20170724T111025.517156500.bin</t>
  </si>
  <si>
    <t>-749.82377861047 113.465591070955 -65.8759123347105</t>
  </si>
  <si>
    <t>-776.194910830777 108.840759096909 -178.567454587935</t>
  </si>
  <si>
    <t>-784.232922478129 104.096043524749 -276.748593687087</t>
  </si>
  <si>
    <t>-786.259595682653 99.0839448767638 -365.681321976428</t>
  </si>
  <si>
    <t>-782.732227553196 93.0844731632938 -454.505933956419</t>
  </si>
  <si>
    <t>-772.035788768193 83.4364032626336 -578.252764775289</t>
  </si>
  <si>
    <t>-743.77096728357 74.5710025356007 -655.889983473305</t>
  </si>
  <si>
    <t>-772.204335648122 114.961813345159 -525.532533027613</t>
  </si>
  <si>
    <t>-743.888779953025 249.054745383169 -514.778899567274</t>
  </si>
  <si>
    <t>-702.475569354013 295.008908424154 -227.090839920075</t>
  </si>
  <si>
    <t>-463.780380604662 317.740634864807 -203.451973601195</t>
  </si>
  <si>
    <t>-781.281222779562 60.4022972015996 -522.063313332355</t>
  </si>
  <si>
    <t>-759.272020371437 208.481080404524 -68.9915097287442</t>
  </si>
  <si>
    <t>-759.956130209529 210.497908936424 334.555408151985</t>
  </si>
  <si>
    <t>-828.786197589791 196.576288714253 777.41663297748</t>
  </si>
  <si>
    <t>-688.726092865569 240.118721309022 837.203433776077</t>
  </si>
  <si>
    <t>-740.634106178297 18.4036802092901 -64.8102431566974</t>
  </si>
  <si>
    <t>-688.625800280477 -9.90732258309799 334.374275467127</t>
  </si>
  <si>
    <t>-721.718817160511 -31.6830077165914 780.17055745313</t>
  </si>
  <si>
    <t>-602.468886306266 -106.996886520015 852.243952378807</t>
  </si>
  <si>
    <t>9763-20170724T111025.587342200.bin</t>
  </si>
  <si>
    <t>-749.946591960572 112.345139316113 -65.9756129808204</t>
  </si>
  <si>
    <t>-776.398390510375 107.769975359089 -178.650398594755</t>
  </si>
  <si>
    <t>-784.716560852101 103.174387564565 -276.81524775676</t>
  </si>
  <si>
    <t>-787.078197372575 98.3487208513525 -365.749864218382</t>
  </si>
  <si>
    <t>-783.963109909438 92.5921938997258 -454.605954146807</t>
  </si>
  <si>
    <t>-773.919862569408 83.3465547513638 -578.438385255638</t>
  </si>
  <si>
    <t>-746.023226865308 74.6849821322994 -656.231559458025</t>
  </si>
  <si>
    <t>-773.820719134944 114.702193930945 -525.616698636903</t>
  </si>
  <si>
    <t>-745.599827753824 248.795481700064 -514.710338497768</t>
  </si>
  <si>
    <t>-711.979068165823 292.591696225665 -225.672822013222</t>
  </si>
  <si>
    <t>-473.733115884812 316.515940322888 -198.888132017635</t>
  </si>
  <si>
    <t>-782.858040252954 60.1280956411338 -522.275085174472</t>
  </si>
  <si>
    <t>-759.046711729083 207.577277610131 -69.1053035163524</t>
  </si>
  <si>
    <t>-760.31450846984 209.711111613537 334.439604483624</t>
  </si>
  <si>
    <t>-828.567922973373 196.687788705834 777.347827912936</t>
  </si>
  <si>
    <t>-688.599747043728 240.239949482827 837.342757065268</t>
  </si>
  <si>
    <t>-741.12242773249 17.1460241537084 -64.9116610306012</t>
  </si>
  <si>
    <t>-689.143554827145 -10.3896970710935 334.331017494345</t>
  </si>
  <si>
    <t>-721.971774746118 -31.9818993269132 780.23050260257</t>
  </si>
  <si>
    <t>-602.149862979368 -106.519353100732 852.161881771795</t>
  </si>
  <si>
    <t>9763-20170724T111025.623486900.bin</t>
  </si>
  <si>
    <t>-750.247263842778 111.939953109508 -66.0153284022672</t>
  </si>
  <si>
    <t>-776.705731017429 107.373826814826 -178.688879815601</t>
  </si>
  <si>
    <t>-785.074650600314 102.85248531175 -276.852912920935</t>
  </si>
  <si>
    <t>-787.498101636586 98.1244900963338 -365.791174879267</t>
  </si>
  <si>
    <t>-784.458742028552 92.4983434742635 -454.658186958602</t>
  </si>
  <si>
    <t>-774.534241328799 83.4709831336831 -578.516233664314</t>
  </si>
  <si>
    <t>-746.783489675577 74.9195847509091 -656.373833006507</t>
  </si>
  <si>
    <t>-774.424901386971 114.739798150893 -525.643178217094</t>
  </si>
  <si>
    <t>-746.302692098685 248.844233579128 -514.642617056736</t>
  </si>
  <si>
    <t>-716.467411566303 291.53599694421 -225.024828196573</t>
  </si>
  <si>
    <t>-478.554838606387 316.497653100204 -196.295250639212</t>
  </si>
  <si>
    <t>-783.378309193235 60.1470792372843 -522.381627359072</t>
  </si>
  <si>
    <t>-759.244367015884 207.236955118441 -69.142687917792</t>
  </si>
  <si>
    <t>-760.538184661575 209.439858391022 334.401809727427</t>
  </si>
  <si>
    <t>-828.468763331105 196.736698999595 777.340855215644</t>
  </si>
  <si>
    <t>-688.617780918457 240.516218601025 837.443364299543</t>
  </si>
  <si>
    <t>-741.577330900386 16.6925134610665 -64.9336890362171</t>
  </si>
  <si>
    <t>-689.582630199888 -10.5788993478031 334.325015223787</t>
  </si>
  <si>
    <t>-722.119588228772 -32.1256952337467 780.292907111465</t>
  </si>
  <si>
    <t>-602.20131874084 -106.58909599229 852.140846837291</t>
  </si>
  <si>
    <t>9763-20170724T111025.684652600.bin</t>
  </si>
  <si>
    <t>-751.056478929531 111.285867449385 -66.0892950212848</t>
  </si>
  <si>
    <t>-777.526564145195 106.620700090846 -178.756051773144</t>
  </si>
  <si>
    <t>-785.898370816715 102.192305894494 -276.923963581311</t>
  </si>
  <si>
    <t>-788.315955868257 97.621916591424 -365.870676541121</t>
  </si>
  <si>
    <t>-785.258111587355 92.2300209185564 -454.751628334582</t>
  </si>
  <si>
    <t>-775.289863079459 83.6128784831685 -578.635391034791</t>
  </si>
  <si>
    <t>-747.733725108792 75.2665299698506 -656.584175674103</t>
  </si>
  <si>
    <t>-775.333363348106 114.727409825507 -525.671367190977</t>
  </si>
  <si>
    <t>-747.558596508378 248.886819862035 -514.449489445403</t>
  </si>
  <si>
    <t>-720.144687946898 291.822983926733 -224.628677790963</t>
  </si>
  <si>
    <t>-482.71822341157 317.977888455353 -193.077985329818</t>
  </si>
  <si>
    <t>-784.019286736842 60.0823489327563 -522.569145392715</t>
  </si>
  <si>
    <t>-759.947679774194 206.519609404489 -69.2309677344393</t>
  </si>
  <si>
    <t>-761.25767500483 209.206284979193 334.310532475651</t>
  </si>
  <si>
    <t>-828.305919690125 196.875925098164 777.33949419782</t>
  </si>
  <si>
    <t>-688.449780308991 240.386398121051 837.625401058487</t>
  </si>
  <si>
    <t>-742.422251667724 16.0370038402775 -64.9387459768295</t>
  </si>
  <si>
    <t>-690.412240551079 -10.7523194996411 334.350601110096</t>
  </si>
  <si>
    <t>-722.317125657409 -32.2079655347416 780.396477810781</t>
  </si>
  <si>
    <t>-602.19453900572 -106.486263823758 852.094412176013</t>
  </si>
  <si>
    <t>9763-20170724T111025.716774600.bin</t>
  </si>
  <si>
    <t>-751.437543229747 111.007722884927 -66.122155101236</t>
  </si>
  <si>
    <t>-777.861431488446 106.239272922393 -178.795396693291</t>
  </si>
  <si>
    <t>-786.234274980902 101.767840721034 -276.961366351685</t>
  </si>
  <si>
    <t>-788.667465037092 97.1758441865127 -365.906517829197</t>
  </si>
  <si>
    <t>-785.640190327518 91.7804427733854 -454.788270761812</t>
  </si>
  <si>
    <t>-775.72943276728 83.1769253329571 -578.677565890445</t>
  </si>
  <si>
    <t>-748.243449513596 74.8420588477102 -656.652403299501</t>
  </si>
  <si>
    <t>-775.794200280341 114.292558717123 -525.714169812451</t>
  </si>
  <si>
    <t>-748.185809591602 248.490916669989 -514.481564580916</t>
  </si>
  <si>
    <t>-718.921759581336 291.993288172905 -224.92603881503</t>
  </si>
  <si>
    <t>-481.471364718616 318.22036598361 -193.615708982972</t>
  </si>
  <si>
    <t>-784.387340348778 59.6331027904821 -522.605797272952</t>
  </si>
  <si>
    <t>-760.355831499637 206.221446708651 -69.3032011330283</t>
  </si>
  <si>
    <t>-761.857510995892 209.202349750093 334.235553907644</t>
  </si>
  <si>
    <t>-828.25408151467 196.994757325768 777.331223360705</t>
  </si>
  <si>
    <t>-688.510495715659 240.75950619586 837.694267714465</t>
  </si>
  <si>
    <t>-742.729653010628 15.7199980203509 -64.9424416820137</t>
  </si>
  <si>
    <t>-690.745830182586 -10.8624329949685 334.36415149371</t>
  </si>
  <si>
    <t>-722.414322794084 -32.3133391449987 780.440666315361</t>
  </si>
  <si>
    <t>-602.1532647175 -106.421597616319 852.08211699189</t>
  </si>
  <si>
    <t>9763-20170724T111025.782954200.bin</t>
  </si>
  <si>
    <t>-752.168242845607 110.455927289022 -66.2014234618046</t>
  </si>
  <si>
    <t>-778.56678132707 105.487848503729 -178.872021451022</t>
  </si>
  <si>
    <t>-786.978572009362 100.828678894321 -277.025938056237</t>
  </si>
  <si>
    <t>-789.472570929253 96.0564795372475 -365.959922689283</t>
  </si>
  <si>
    <t>-786.532406650426 90.4689323384646 -454.832719253926</t>
  </si>
  <si>
    <t>-776.771305283258 81.582973141537 -578.713921976881</t>
  </si>
  <si>
    <t>-749.382967748628 73.1404166815264 -656.711675387657</t>
  </si>
  <si>
    <t>-776.780559888512 112.820828715378 -525.822282464378</t>
  </si>
  <si>
    <t>-749.018730520134 247.005277707089 -514.901496102034</t>
  </si>
  <si>
    <t>-714.491801598833 292.337642164098 -226.207685288508</t>
  </si>
  <si>
    <t>-476.897215486453 317.463331226065 -195.088101745318</t>
  </si>
  <si>
    <t>-785.352624870188 58.1657899617876 -522.577544732069</t>
  </si>
  <si>
    <t>-761.303584107441 205.765355888082 -69.4962870283247</t>
  </si>
  <si>
    <t>-763.166316792727 209.169319939853 334.037608655496</t>
  </si>
  <si>
    <t>-828.158540814318 197.182035188357 777.309575322497</t>
  </si>
  <si>
    <t>-688.454764316177 240.906963469911 837.793473726287</t>
  </si>
  <si>
    <t>-743.373973655317 15.0471676769967 -64.9458991131235</t>
  </si>
  <si>
    <t>-691.436409146529 -11.0790905295216 334.396747831357</t>
  </si>
  <si>
    <t>-722.602703603312 -32.6265913459515 780.522485074008</t>
  </si>
  <si>
    <t>-601.996416112176 -106.249025490243 852.084788562225</t>
  </si>
  <si>
    <t>9763-20170724T111025.815112800.bin</t>
  </si>
  <si>
    <t>-752.611331899517 110.28779171629 -66.2142753705041</t>
  </si>
  <si>
    <t>-778.99879012247 105.293423398533 -178.886268191608</t>
  </si>
  <si>
    <t>-787.386188859324 100.56831043363 -277.039060745676</t>
  </si>
  <si>
    <t>-789.854069430908 95.7171774415701 -365.969587451308</t>
  </si>
  <si>
    <t>-786.884281296429 90.0304539158997 -454.835133338468</t>
  </si>
  <si>
    <t>-777.079521001566 80.98414082818 -578.701362361195</t>
  </si>
  <si>
    <t>-749.734925942826 72.4338977567177 -656.702533665817</t>
  </si>
  <si>
    <t>-777.088416847502 112.287510181371 -525.848599973867</t>
  </si>
  <si>
    <t>-749.081771857982 246.432547293888 -515.121854393399</t>
  </si>
  <si>
    <t>-712.579795517936 292.720113631564 -226.823017942844</t>
  </si>
  <si>
    <t>-474.960381227713 317.341231979777 -195.491362811411</t>
  </si>
  <si>
    <t>-785.699844122663 57.6425764941305 -522.539321490985</t>
  </si>
  <si>
    <t>-761.806256570343 205.720982111751 -69.5770335184711</t>
  </si>
  <si>
    <t>-763.701277085849 209.08911862043 333.957032294029</t>
  </si>
  <si>
    <t>-828.12837933052 197.235144140835 777.296709682959</t>
  </si>
  <si>
    <t>-688.451935572668 241.025544561727 837.796184390007</t>
  </si>
  <si>
    <t>-743.782010113945 14.8515919569595 -64.9516696494123</t>
  </si>
  <si>
    <t>-691.86759974606 -11.0883781818993 334.406176735382</t>
  </si>
  <si>
    <t>-722.639377077363 -32.5981835595294 780.553190695021</t>
  </si>
  <si>
    <t>-602.047696239083 -106.266302350159 852.093242967619</t>
  </si>
  <si>
    <t>9763-20170724T111025.885301300.bin</t>
  </si>
  <si>
    <t>-753.293905554144 110.386907976588 -66.2885120501384</t>
  </si>
  <si>
    <t>-779.630533604183 105.394175567656 -178.972584156878</t>
  </si>
  <si>
    <t>-787.930926244498 100.537483202499 -277.126304406706</t>
  </si>
  <si>
    <t>-790.306671401866 95.5149737650236 -366.049757817193</t>
  </si>
  <si>
    <t>-787.234645795982 89.604399744258 -454.897161356698</t>
  </si>
  <si>
    <t>-777.278229568931 80.190179393971 -578.72390910654</t>
  </si>
  <si>
    <t>-750.032486579451 71.2972566115636 -656.721324664406</t>
  </si>
  <si>
    <t>-777.303350702297 111.642878741279 -525.959874234202</t>
  </si>
  <si>
    <t>-748.811981874056 245.727354521644 -515.586540755277</t>
  </si>
  <si>
    <t>-709.719606365265 292.942741856733 -227.778164842424</t>
  </si>
  <si>
    <t>-472.120878876397 317.163873593504 -195.980653128742</t>
  </si>
  <si>
    <t>-786.015658929827 57.0229322773021 -522.507905468353</t>
  </si>
  <si>
    <t>-762.321195679289 205.795918499257 -69.6912369294964</t>
  </si>
  <si>
    <t>-764.271600272214 209.083638640722 333.843184027024</t>
  </si>
  <si>
    <t>-828.07777182133 197.227854800022 777.267399429681</t>
  </si>
  <si>
    <t>-688.328786860277 240.840169525339 837.727922233553</t>
  </si>
  <si>
    <t>-744.617236301669 14.9784242544783 -64.9512390769239</t>
  </si>
  <si>
    <t>-692.620984507481 -10.9029450137477 334.399751184958</t>
  </si>
  <si>
    <t>-722.690066596555 -32.4760580954944 780.59022326335</t>
  </si>
  <si>
    <t>-602.359075927305 -106.582662884621 852.11621437961</t>
  </si>
  <si>
    <t>9763-20170724T111025.918392000.bin</t>
  </si>
  <si>
    <t>-753.529808454091 110.467186283695 -66.3005559627622</t>
  </si>
  <si>
    <t>-779.841645886773 105.488765305754 -178.99085311617</t>
  </si>
  <si>
    <t>-788.09968845197 100.584535296283 -277.145870133111</t>
  </si>
  <si>
    <t>-790.430365036841 95.4961668212982 -366.066724782541</t>
  </si>
  <si>
    <t>-787.307299524916 89.4967074387546 -454.906411025646</t>
  </si>
  <si>
    <t>-777.274974622818 79.9345969477777 -578.715828613</t>
  </si>
  <si>
    <t>-750.072662839848 70.8526297720705 -656.706745043117</t>
  </si>
  <si>
    <t>-777.304218214328 111.445997842993 -525.986804725804</t>
  </si>
  <si>
    <t>-748.53504281029 245.479785775714 -515.74729896372</t>
  </si>
  <si>
    <t>-708.680916713227 292.81597831076 -228.063180022624</t>
  </si>
  <si>
    <t>-471.056743741852 316.903230851019 -196.356024650463</t>
  </si>
  <si>
    <t>-786.075082094691 56.8388846256539 -522.48007654527</t>
  </si>
  <si>
    <t>-762.407062755964 205.876579937693 -69.7256381807468</t>
  </si>
  <si>
    <t>-764.363262394009 209.09862282352 333.809305693414</t>
  </si>
  <si>
    <t>-828.040640664032 197.173780888348 777.246429788081</t>
  </si>
  <si>
    <t>-688.241925495628 240.669404962292 837.676600013838</t>
  </si>
  <si>
    <t>-744.951499108571 15.0483042216301 -64.9365610559095</t>
  </si>
  <si>
    <t>-692.870099391665 -10.9407640785598 334.396366829365</t>
  </si>
  <si>
    <t>-722.768230566602 -32.6248577564947 780.605513894711</t>
  </si>
  <si>
    <t>-602.294468565608 -106.51243917512 852.117463858288</t>
  </si>
  <si>
    <t>9763-20170724T111025.984069100.bin</t>
  </si>
  <si>
    <t>-753.716904428672 110.80502675003 -66.2808230030558</t>
  </si>
  <si>
    <t>-779.910935284708 105.862990397115 -179.000377798997</t>
  </si>
  <si>
    <t>-788.015208133498 100.883923220938 -277.164439122663</t>
  </si>
  <si>
    <t>-790.189089085465 95.6857661730378 -366.082838628983</t>
  </si>
  <si>
    <t>-786.89421753036 89.5328505652001 -454.905843916444</t>
  </si>
  <si>
    <t>-776.608518633042 79.7114936195085 -578.67404538649</t>
  </si>
  <si>
    <t>-749.426068973617 70.2632698525745 -656.62832461798</t>
  </si>
  <si>
    <t>-776.685134859261 111.32393431391 -526.005579373026</t>
  </si>
  <si>
    <t>-747.378266468771 245.264211918523 -515.982345337345</t>
  </si>
  <si>
    <t>-706.014528610177 293.324994624763 -228.631720848851</t>
  </si>
  <si>
    <t>-467.912969020089 316.360520115447 -199.859037871768</t>
  </si>
  <si>
    <t>-785.584412457864 56.7430396949435 -522.413998044512</t>
  </si>
  <si>
    <t>-762.382418246938 206.210210189492 -69.7491835286953</t>
  </si>
  <si>
    <t>-764.419484350748 209.275832360379 333.786600989473</t>
  </si>
  <si>
    <t>-827.985354521541 197.21843660998 777.239475102671</t>
  </si>
  <si>
    <t>-688.312529569214 241.112158197816 837.673193486011</t>
  </si>
  <si>
    <t>-745.299176434312 15.3705306594352 -64.8927530016667</t>
  </si>
  <si>
    <t>-693.13931911513 -10.9211443014992 334.410121227121</t>
  </si>
  <si>
    <t>-722.867885175029 -32.7084169025138 780.635571440485</t>
  </si>
  <si>
    <t>-602.411441591205 -106.636357794606 852.135013255872</t>
  </si>
  <si>
    <t>9763-20170724T111026.015190000.bin</t>
  </si>
  <si>
    <t>-753.645967978578 111.013105054228 -66.277385044085</t>
  </si>
  <si>
    <t>-779.774129152425 106.069416821519 -179.012030185538</t>
  </si>
  <si>
    <t>-787.791356813014 101.024093265496 -277.179837061429</t>
  </si>
  <si>
    <t>-789.876766598582 95.7398419665165 -366.095438603074</t>
  </si>
  <si>
    <t>-786.484456122367 89.4746660036999 -454.906890009184</t>
  </si>
  <si>
    <t>-776.055814218753 79.4680163367566 -578.648194278577</t>
  </si>
  <si>
    <t>-748.85682171272 69.8341519995424 -656.573839068485</t>
  </si>
  <si>
    <t>-776.176657266518 111.15656163234 -526.025614323769</t>
  </si>
  <si>
    <t>-746.710343818214 245.066405504305 -516.176918368597</t>
  </si>
  <si>
    <t>-704.286707053683 293.549491486588 -229.051778856736</t>
  </si>
  <si>
    <t>-465.980816072922 316.554012518618 -201.997236873943</t>
  </si>
  <si>
    <t>-785.113652469116 56.5863233009823 -522.365897735966</t>
  </si>
  <si>
    <t>-762.254224980211 206.387800441815 -69.7561044805108</t>
  </si>
  <si>
    <t>-764.298204260835 209.465390316014 333.779507262003</t>
  </si>
  <si>
    <t>-827.938303570299 197.198746997795 777.236960063655</t>
  </si>
  <si>
    <t>-688.189410618272 240.848595231672 837.670148131256</t>
  </si>
  <si>
    <t>-745.259739385207 15.5575283426142 -64.8723660157317</t>
  </si>
  <si>
    <t>-693.145075893352 -10.8290868616987 334.430189847954</t>
  </si>
  <si>
    <t>-722.909221218275 -32.7371918026488 780.645377514362</t>
  </si>
  <si>
    <t>-602.486426059182 -106.717705566769 852.146944419638</t>
  </si>
  <si>
    <t>9763-20170724T111026.081872700.bin</t>
  </si>
  <si>
    <t>-753.348053430336 111.321902235182 -66.2231853618248</t>
  </si>
  <si>
    <t>-779.394686216996 106.357265799851 -178.975746013031</t>
  </si>
  <si>
    <t>-787.304032418919 101.133184790205 -277.142958670837</t>
  </si>
  <si>
    <t>-789.280979256578 95.6232941236663 -366.047311691818</t>
  </si>
  <si>
    <t>-785.773630139045 89.0682875810567 -454.833470458767</t>
  </si>
  <si>
    <t>-775.179954872881 78.5895861465297 -578.521733469961</t>
  </si>
  <si>
    <t>-747.889814588564 68.6145298172796 -656.372712860986</t>
  </si>
  <si>
    <t>-775.352734779118 110.47577573578 -526.01884665231</t>
  </si>
  <si>
    <t>-745.792562454868 244.400268233066 -516.650416664953</t>
  </si>
  <si>
    <t>-699.692503113314 293.844414493096 -230.256707300831</t>
  </si>
  <si>
    <t>-461.242128634339 317.925996013985 -205.512063782795</t>
  </si>
  <si>
    <t>-784.330557330105 55.9256183186212 -522.166369255692</t>
  </si>
  <si>
    <t>-761.944328191903 206.732228345037 -69.7370985834692</t>
  </si>
  <si>
    <t>-763.843284612682 209.678224331537 333.800201451579</t>
  </si>
  <si>
    <t>-827.875875198533 197.086952513808 777.189536433966</t>
  </si>
  <si>
    <t>-688.013970667643 240.485590332736 837.54272227685</t>
  </si>
  <si>
    <t>-745.030778476001 15.8581034844415 -64.8072478856234</t>
  </si>
  <si>
    <t>-692.959304352717 -10.8518387251302 334.47935765599</t>
  </si>
  <si>
    <t>-722.994423975372 -32.8235771519207 780.66048242156</t>
  </si>
  <si>
    <t>-602.380303945088 -106.50100773651 852.152900006826</t>
  </si>
  <si>
    <t>9763-20170724T111026.117556600.bin</t>
  </si>
  <si>
    <t>-753.177497840541 111.596250490379 -66.2054193336564</t>
  </si>
  <si>
    <t>-779.172234428019 106.621623407867 -178.969568327919</t>
  </si>
  <si>
    <t>-787.032453160167 101.283903269083 -277.134623809145</t>
  </si>
  <si>
    <t>-788.966919313901 95.6286791676748 -366.030804243003</t>
  </si>
  <si>
    <t>-785.421357884526 88.8855312361438 -454.801242818555</t>
  </si>
  <si>
    <t>-774.780007099765 78.0995034173652 -578.458988621895</t>
  </si>
  <si>
    <t>-747.434745760097 67.9418981905433 -656.26699569455</t>
  </si>
  <si>
    <t>-774.954630957097 110.113171079022 -526.03380208087</t>
  </si>
  <si>
    <t>-745.333805673198 244.048936595092 -516.948538960607</t>
  </si>
  <si>
    <t>-697.176266135508 294.476919241185 -231.065545700167</t>
  </si>
  <si>
    <t>-458.763085313697 319.101432250509 -206.494868914744</t>
  </si>
  <si>
    <t>-783.970910475627 55.5786126995858 -522.052926760684</t>
  </si>
  <si>
    <t>-761.762994582036 206.975424569925 -69.7377645747671</t>
  </si>
  <si>
    <t>-763.652663371029 209.837078279772 333.800231368454</t>
  </si>
  <si>
    <t>-827.878885621511 197.050933954989 777.154546203035</t>
  </si>
  <si>
    <t>-688.073831131328 240.745693102092 837.425694876266</t>
  </si>
  <si>
    <t>-744.88078247702 16.1701926012765 -64.7674478211247</t>
  </si>
  <si>
    <t>-692.802936758637 -10.7395685596639 334.504936113172</t>
  </si>
  <si>
    <t>-722.992486829926 -32.7048435827232 780.665503778024</t>
  </si>
  <si>
    <t>-602.670834513167 -106.838352676807 852.179311063883</t>
  </si>
  <si>
    <t>9763-20170724T111026.183736100.bin</t>
  </si>
  <si>
    <t>-752.817732423524 112.007762163307 -66.1871667377947</t>
  </si>
  <si>
    <t>-778.691647534767 107.015293220588 -178.978255304187</t>
  </si>
  <si>
    <t>-786.442802230551 101.422879191248 -277.137727403583</t>
  </si>
  <si>
    <t>-788.284579875685 95.4402330629259 -366.014491771051</t>
  </si>
  <si>
    <t>-784.657208831467 88.2721881438938 -454.74833718932</t>
  </si>
  <si>
    <t>-773.918730362782 76.7900104707878 -578.334934996237</t>
  </si>
  <si>
    <t>-746.50254939962 66.2105614354828 -656.061813343636</t>
  </si>
  <si>
    <t>-774.074543651619 109.088867731577 -526.085000399856</t>
  </si>
  <si>
    <t>-744.2369833537 243.013814226744 -517.601579941013</t>
  </si>
  <si>
    <t>-693.22424192376 295.114891093638 -232.514822523517</t>
  </si>
  <si>
    <t>-454.916620291502 320.270991288795 -207.464098911997</t>
  </si>
  <si>
    <t>-783.213995029933 54.5964646823545 -521.81629033519</t>
  </si>
  <si>
    <t>-761.308259483873 207.439589858981 -69.7611367367854</t>
  </si>
  <si>
    <t>-763.271060973066 210.08688309072 333.777988782738</t>
  </si>
  <si>
    <t>-827.882511047342 196.974206673208 777.074470772958</t>
  </si>
  <si>
    <t>-688.103894831176 240.966657232148 837.18995340349</t>
  </si>
  <si>
    <t>-744.581128686334 16.4735668639137 -64.7035242153589</t>
  </si>
  <si>
    <t>-692.545334739701 -10.7771057998434 334.551221843058</t>
  </si>
  <si>
    <t>-723.102484678358 -32.8326921253829 780.694461048649</t>
  </si>
  <si>
    <t>-602.562600191822 -106.627091838314 852.191404086928</t>
  </si>
  <si>
    <t>9763-20170724T111026.219529600.bin</t>
  </si>
  <si>
    <t>-752.685546955838 112.249641434008 -66.1627466201575</t>
  </si>
  <si>
    <t>-778.480933593676 107.250392318683 -178.97156411067</t>
  </si>
  <si>
    <t>-786.160574352371 101.535233077309 -277.129683334866</t>
  </si>
  <si>
    <t>-787.940176423862 95.3950400425961 -365.996832428297</t>
  </si>
  <si>
    <t>-784.255763785304 88.0222403523735 -454.71154459289</t>
  </si>
  <si>
    <t>-773.445633973344 76.2049239352223 -578.260330954952</t>
  </si>
  <si>
    <t>-746.002133113037 65.397392736385 -655.946185953507</t>
  </si>
  <si>
    <t>-773.594093367797 108.63937940528 -526.094358775609</t>
  </si>
  <si>
    <t>-743.60655167436 242.541913761276 -517.874655965427</t>
  </si>
  <si>
    <t>-691.844892344941 295.122833153075 -233.011130426185</t>
  </si>
  <si>
    <t>-453.624247991021 320.625141141396 -207.487968795917</t>
  </si>
  <si>
    <t>-782.810980683009 54.1708967573568 -521.690960299789</t>
  </si>
  <si>
    <t>-761.13931835122 207.705881877945 -69.760772802466</t>
  </si>
  <si>
    <t>-763.027453449167 210.21036049482 333.779657742005</t>
  </si>
  <si>
    <t>-827.862108497276 196.962487282201 777.043307755697</t>
  </si>
  <si>
    <t>-688.11565937274 241.110188049975 837.120308122989</t>
  </si>
  <si>
    <t>-744.506826472262 16.7270208205746 -64.6451082511076</t>
  </si>
  <si>
    <t>-692.443424927099 -10.7345109789803 334.591583694799</t>
  </si>
  <si>
    <t>-723.151178604932 -32.8486632237846 780.710503985857</t>
  </si>
  <si>
    <t>-602.725901541763 -106.827136613787 852.210422365386</t>
  </si>
  <si>
    <t>9763-20170724T111026.283200300.bin</t>
  </si>
  <si>
    <t>-752.326951421762 112.850150775108 -66.1258525751683</t>
  </si>
  <si>
    <t>-777.995819714445 107.858938690904 -178.963906635209</t>
  </si>
  <si>
    <t>-785.549411872294 101.927338319164 -277.119069424953</t>
  </si>
  <si>
    <t>-787.215920113121 95.5023356501465 -365.968189183445</t>
  </si>
  <si>
    <t>-783.423637102859 87.7543346684142 -454.646477101088</t>
  </si>
  <si>
    <t>-772.473515970448 75.3180469220383 -578.122121355283</t>
  </si>
  <si>
    <t>-744.969038970324 64.0252491170045 -655.717376656488</t>
  </si>
  <si>
    <t>-772.585065369286 107.997861594856 -526.109435146498</t>
  </si>
  <si>
    <t>-742.134467845538 241.823649652947 -518.376758011582</t>
  </si>
  <si>
    <t>-689.014902785874 294.759075377815 -233.829214668065</t>
  </si>
  <si>
    <t>-450.97889396583 321.154095465268 -207.503635988308</t>
  </si>
  <si>
    <t>-781.998826830217 53.5833161827072 -521.463687041196</t>
  </si>
  <si>
    <t>-760.54457889826 208.322585315469 -69.7586723125195</t>
  </si>
  <si>
    <t>-762.49543884633 210.589093586439 333.78279504821</t>
  </si>
  <si>
    <t>-827.803670809511 196.975977447516 776.994797813329</t>
  </si>
  <si>
    <t>-688.060889408942 241.172118968628 837.044490117893</t>
  </si>
  <si>
    <t>-744.357246009079 17.3560769245441 -64.5406391929224</t>
  </si>
  <si>
    <t>-692.183579255772 -10.5265627705762 334.652446800863</t>
  </si>
  <si>
    <t>-723.167034466129 -32.6641091131683 780.728988171588</t>
  </si>
  <si>
    <t>-602.859047004661 -106.823749058582 852.238624608814</t>
  </si>
  <si>
    <t>9763-20170724T111026.316325100.bin</t>
  </si>
  <si>
    <t>-752.143861916633 113.188568531732 -66.085163634381</t>
  </si>
  <si>
    <t>-777.740624337119 108.217115062362 -178.940514799135</t>
  </si>
  <si>
    <t>-785.236034601502 102.183981589586 -277.093765787643</t>
  </si>
  <si>
    <t>-786.855171930702 95.6205496221519 -365.933830569282</t>
  </si>
  <si>
    <t>-783.023837549488 87.68709286276 -454.593927371685</t>
  </si>
  <si>
    <t>-772.030090695917 74.9431534104806 -578.034262082214</t>
  </si>
  <si>
    <t>-744.475272592578 63.4064884951131 -655.575717542028</t>
  </si>
  <si>
    <t>-772.098059506292 107.742347029167 -526.096755881364</t>
  </si>
  <si>
    <t>-741.328246716401 241.511452177835 -518.610269706288</t>
  </si>
  <si>
    <t>-687.405430857054 294.767087257636 -234.273330008763</t>
  </si>
  <si>
    <t>-449.43711390314 321.33356933687 -207.512774129535</t>
  </si>
  <si>
    <t>-781.637812592552 53.3597659036527 -521.331924440106</t>
  </si>
  <si>
    <t>-760.177078358558 208.649493991627 -69.741373731443</t>
  </si>
  <si>
    <t>-762.123393905834 210.821079351769 333.800602668507</t>
  </si>
  <si>
    <t>-827.778374274205 196.987024409658 776.961289110883</t>
  </si>
  <si>
    <t>-688.068074590944 241.30838303106 836.994525751008</t>
  </si>
  <si>
    <t>-744.347909127266 17.6921944935289 -64.4763508467228</t>
  </si>
  <si>
    <t>-692.066317088914 -10.4214831082686 334.686470470045</t>
  </si>
  <si>
    <t>-723.234700560326 -32.7688182387187 780.743194541162</t>
  </si>
  <si>
    <t>-603.00492409213 -107.044473267527 852.264287470886</t>
  </si>
  <si>
    <t>9763-20170724T111026.380998300.bin</t>
  </si>
  <si>
    <t>-751.73252499909 113.722683515339 -65.9892338092732</t>
  </si>
  <si>
    <t>-777.261687184102 108.799657747626 -178.86187470102</t>
  </si>
  <si>
    <t>-784.69490542003 102.552866502204 -277.006584823714</t>
  </si>
  <si>
    <t>-786.264028037689 95.6962261399312 -365.825233648219</t>
  </si>
  <si>
    <t>-782.394684549127 87.3684888939829 -454.447709849071</t>
  </si>
  <si>
    <t>-771.365375878712 73.967780640568 -577.815340134123</t>
  </si>
  <si>
    <t>-743.630810324245 61.9836186204038 -655.224717075626</t>
  </si>
  <si>
    <t>-771.292090823134 107.01660763089 -526.036214271747</t>
  </si>
  <si>
    <t>-739.76559174712 240.641230012958 -519.092155734731</t>
  </si>
  <si>
    <t>-684.212379046684 294.655882122385 -235.212898085119</t>
  </si>
  <si>
    <t>-446.350891934581 321.416912778569 -207.706343060525</t>
  </si>
  <si>
    <t>-781.145689943221 52.7128225977503 -521.018466265769</t>
  </si>
  <si>
    <t>-759.347925002627 209.10462826876 -69.7124859701885</t>
  </si>
  <si>
    <t>-761.156822966134 211.115179131762 333.831002458641</t>
  </si>
  <si>
    <t>-827.724447340195 196.94994631891 776.861159917689</t>
  </si>
  <si>
    <t>-687.98025556252 241.243974389614 836.83523825403</t>
  </si>
  <si>
    <t>-744.371728676931 18.3083113716634 -64.3501120615365</t>
  </si>
  <si>
    <t>-691.877540526385 -10.2342975160691 334.754294655698</t>
  </si>
  <si>
    <t>-723.248335677132 -32.6378986536652 780.760405751817</t>
  </si>
  <si>
    <t>-603.171284709744 -107.137090954923 852.305232074746</t>
  </si>
  <si>
    <t>9763-20170724T111026.417642000.bin</t>
  </si>
  <si>
    <t>-751.58717802108 113.950612365618 -65.9475833023272</t>
  </si>
  <si>
    <t>-777.104931712866 109.039624914747 -178.823360340113</t>
  </si>
  <si>
    <t>-784.540308518651 102.702773825202 -276.962131042954</t>
  </si>
  <si>
    <t>-786.119658601209 95.7256793471847 -365.771250704922</t>
  </si>
  <si>
    <t>-782.270938318834 87.2381524018037 -454.379453149534</t>
  </si>
  <si>
    <t>-771.282870847337 73.5731186075113 -577.721717690127</t>
  </si>
  <si>
    <t>-743.437515867625 61.4074986171058 -655.062969918651</t>
  </si>
  <si>
    <t>-771.116452752816 106.71971611389 -526.005413703001</t>
  </si>
  <si>
    <t>-739.245743439022 240.269034002954 -519.297090795001</t>
  </si>
  <si>
    <t>-682.869249898603 294.754388019433 -235.670197980152</t>
  </si>
  <si>
    <t>-445.053289118014 321.528294108172 -207.783727058945</t>
  </si>
  <si>
    <t>-781.119855086256 52.4530019920494 -520.884247264462</t>
  </si>
  <si>
    <t>-759.072699882541 209.296443985068 -69.7180497091836</t>
  </si>
  <si>
    <t>-760.776868871014 211.165377665182 333.82658041019</t>
  </si>
  <si>
    <t>-827.688333411164 196.908566474265 776.80772119503</t>
  </si>
  <si>
    <t>-687.854317672924 240.961416754587 836.750627996929</t>
  </si>
  <si>
    <t>-744.3947136703 18.5803629832981 -64.2907055495759</t>
  </si>
  <si>
    <t>-691.854032902668 -10.1578472498841 334.793637240256</t>
  </si>
  <si>
    <t>-723.275572711154 -32.6193086651892 780.771693782253</t>
  </si>
  <si>
    <t>-603.217269356501 -107.145258700729 852.32027203166</t>
  </si>
  <si>
    <t>9763-20170724T111026.485824000.bin</t>
  </si>
  <si>
    <t>-751.436009269996 114.22902328039 -65.9496432820099</t>
  </si>
  <si>
    <t>-776.948786927929 109.314082273224 -178.826352947833</t>
  </si>
  <si>
    <t>-784.406400034688 102.839345122062 -276.954382773959</t>
  </si>
  <si>
    <t>-786.020808349491 95.6856115744281 -365.74892385965</t>
  </si>
  <si>
    <t>-782.22505545785 86.9680278834517 -454.336952459644</t>
  </si>
  <si>
    <t>-771.332640001005 72.925985373568 -577.6454115465</t>
  </si>
  <si>
    <t>-743.248282554675 60.4919858399044 -654.857362993454</t>
  </si>
  <si>
    <t>-771.004770418726 106.209027243699 -526.017619916402</t>
  </si>
  <si>
    <t>-738.643473640066 239.666671636217 -519.666308642457</t>
  </si>
  <si>
    <t>-680.860672624472 294.763697381393 -236.440585766795</t>
  </si>
  <si>
    <t>-443.070796343541 321.513313252992 -208.311669165415</t>
  </si>
  <si>
    <t>-781.247169858349 52.0011961614473 -520.749275821329</t>
  </si>
  <si>
    <t>-758.621787363817 209.537131970407 -69.7776797741587</t>
  </si>
  <si>
    <t>-760.20161797013 211.227174590312 333.768255681429</t>
  </si>
  <si>
    <t>-827.60007817895 196.824274831294 776.68507901235</t>
  </si>
  <si>
    <t>-687.711034387756 240.764845343659 836.580945252637</t>
  </si>
  <si>
    <t>-744.473447662811 18.8906905345275 -64.2135466107796</t>
  </si>
  <si>
    <t>-691.867363816665 -10.1263463092973 334.841962149269</t>
  </si>
  <si>
    <t>-723.367361353846 -32.730433428238 780.796009805937</t>
  </si>
  <si>
    <t>-603.24217740869 -107.144583776155 852.348656755755</t>
  </si>
  <si>
    <t>9763-20170724T111026.517413300.bin</t>
  </si>
  <si>
    <t>-751.29499548404 114.238932190446 -65.9615936056322</t>
  </si>
  <si>
    <t>-776.804571291917 109.306863339276 -178.838302476498</t>
  </si>
  <si>
    <t>-784.253682368845 102.788644617475 -276.964101729716</t>
  </si>
  <si>
    <t>-785.859560677649 95.583745348958 -365.754637277943</t>
  </si>
  <si>
    <t>-782.054848618729 86.8011641810735 -454.3358940496</t>
  </si>
  <si>
    <t>-771.150900940582 72.6539144491371 -577.631435818656</t>
  </si>
  <si>
    <t>-742.913670406322 60.1611029091837 -654.7781387633</t>
  </si>
  <si>
    <t>-770.78553384718 105.973580055201 -526.027230213409</t>
  </si>
  <si>
    <t>-738.258832379994 239.391742814486 -519.775302972296</t>
  </si>
  <si>
    <t>-679.806459322786 294.692060755384 -236.726756064439</t>
  </si>
  <si>
    <t>-442.005967729777 321.53000310733 -208.772519885363</t>
  </si>
  <si>
    <t>-781.112942517732 51.7853319503797 -520.723038292501</t>
  </si>
  <si>
    <t>-758.365254718256 209.522991969205 -69.8247244460988</t>
  </si>
  <si>
    <t>-759.965162304745 211.203727373803 333.721162309276</t>
  </si>
  <si>
    <t>-827.555263389285 196.799663698287 776.621320405235</t>
  </si>
  <si>
    <t>-687.598625224123 240.540346726521 836.506201497613</t>
  </si>
  <si>
    <t>-744.406748589679 18.8964981904046 -64.1957980374845</t>
  </si>
  <si>
    <t>-691.8032230107 -10.1661413478128 334.856698127062</t>
  </si>
  <si>
    <t>-723.405387474504 -32.7534887324628 780.807026768885</t>
  </si>
  <si>
    <t>-603.272713978652 -107.153589789403 852.361965116371</t>
  </si>
  <si>
    <t>9763-20170724T111026.582088200.bin</t>
  </si>
  <si>
    <t>-750.854012660096 114.02414182675 -66.0246024828022</t>
  </si>
  <si>
    <t>-776.422191039949 109.045892253599 -178.885979236118</t>
  </si>
  <si>
    <t>-783.886945393975 102.460043488891 -277.006159803616</t>
  </si>
  <si>
    <t>-785.493994868385 95.1798409732605 -365.790539769605</t>
  </si>
  <si>
    <t>-781.679160295791 86.30608772405 -454.362227122479</t>
  </si>
  <si>
    <t>-770.750338974243 72.0130933201822 -577.638707814253</t>
  </si>
  <si>
    <t>-742.161936203986 59.5096145539092 -654.654102676731</t>
  </si>
  <si>
    <t>-770.350874809396 105.385612667118 -526.068995385095</t>
  </si>
  <si>
    <t>-737.786816965687 238.806384245047 -519.952103343186</t>
  </si>
  <si>
    <t>-678.392010235883 294.32670452799 -237.142968331913</t>
  </si>
  <si>
    <t>-440.628690604274 321.759403217741 -209.449247251291</t>
  </si>
  <si>
    <t>-780.768599924212 51.219894656766 -520.7124698615</t>
  </si>
  <si>
    <t>-757.863521666977 209.178971771423 -69.9106488087333</t>
  </si>
  <si>
    <t>-759.383224239432 210.957557051165 333.635117171746</t>
  </si>
  <si>
    <t>-827.47616908354 196.764885693099 776.472780635011</t>
  </si>
  <si>
    <t>-687.500422967456 240.485645154783 836.32694086394</t>
  </si>
  <si>
    <t>-744.032109492599 18.8957607556813 -64.2150410016181</t>
  </si>
  <si>
    <t>-691.662602444833 -10.2976607789419 334.858660610162</t>
  </si>
  <si>
    <t>-723.395164683164 -32.5459068917612 780.801968572419</t>
  </si>
  <si>
    <t>-603.607420791431 -107.469883258237 852.388304348509</t>
  </si>
  <si>
    <t>9763-20170724T111026.621201900.bin</t>
  </si>
  <si>
    <t>-750.684960998935 113.79713476403 -66.0633937982793</t>
  </si>
  <si>
    <t>-776.318354848981 108.782346314722 -178.90834311128</t>
  </si>
  <si>
    <t>-783.811094534507 102.185720359491 -277.025694351934</t>
  </si>
  <si>
    <t>-785.431560517646 94.9012180594013 -365.809378363501</t>
  </si>
  <si>
    <t>-781.61822731532 86.0272398176967 -454.381252124535</t>
  </si>
  <si>
    <t>-770.679545894152 71.7368525386273 -577.656919186686</t>
  </si>
  <si>
    <t>-741.884311916061 59.283811807119 -654.603798417359</t>
  </si>
  <si>
    <t>-770.289895120457 105.109478341789 -526.0873551768</t>
  </si>
  <si>
    <t>-737.907863810741 238.579810761587 -520.013085399458</t>
  </si>
  <si>
    <t>-678.659192360754 294.230786479174 -237.199223480038</t>
  </si>
  <si>
    <t>-440.935380451109 322.030377824276 -209.531650096345</t>
  </si>
  <si>
    <t>-780.696352969388 50.9412777869334 -520.731529298477</t>
  </si>
  <si>
    <t>-757.793107607184 208.844066539612 -69.9569215585979</t>
  </si>
  <si>
    <t>-759.213338380152 210.793198270223 333.588413904406</t>
  </si>
  <si>
    <t>-827.440925383818 196.723996118482 776.39862010002</t>
  </si>
  <si>
    <t>-687.528935437385 240.692156946121 836.221000483852</t>
  </si>
  <si>
    <t>-743.807839366534 18.752349097198 -64.2463785967547</t>
  </si>
  <si>
    <t>-691.592582240943 -10.4988901867682 334.843349025581</t>
  </si>
  <si>
    <t>-723.39723124344 -32.4891930892682 780.790988690024</t>
  </si>
  <si>
    <t>-603.670759489031 -107.497908311808 852.391043259131</t>
  </si>
  <si>
    <t>9763-20170724T111026.683871900.bin</t>
  </si>
  <si>
    <t>-750.463566810085 112.919620081811 -66.1592432009519</t>
  </si>
  <si>
    <t>-776.19989234321 107.858890963618 -178.978886787718</t>
  </si>
  <si>
    <t>-783.797286895259 101.278817494984 -277.089075413709</t>
  </si>
  <si>
    <t>-785.518006598323 94.0281216665135 -365.873747037235</t>
  </si>
  <si>
    <t>-781.808790786717 85.2061335590456 -454.455103444935</t>
  </si>
  <si>
    <t>-771.018783080806 71.0056093625049 -577.754526908946</t>
  </si>
  <si>
    <t>-741.825786275111 58.7304231014696 -654.579749350743</t>
  </si>
  <si>
    <t>-770.602155238444 104.346801940704 -526.164856117971</t>
  </si>
  <si>
    <t>-738.896790240686 237.978033609843 -520.119742312526</t>
  </si>
  <si>
    <t>-682.068786091213 294.359995368392 -236.953848256186</t>
  </si>
  <si>
    <t>-444.406048411987 323.123058042695 -209.751667578011</t>
  </si>
  <si>
    <t>-780.931589705233 50.1621133779963 -520.828180118721</t>
  </si>
  <si>
    <t>-757.671824427203 207.877521768066 -70.0577291747528</t>
  </si>
  <si>
    <t>-758.941143887594 210.18597534873 333.486206984747</t>
  </si>
  <si>
    <t>-827.355971890605 196.573959702344 776.247687515948</t>
  </si>
  <si>
    <t>-687.282588931312 240.110420647412 836.008183716015</t>
  </si>
  <si>
    <t>-743.517157705816 17.9020722910645 -64.3785472871381</t>
  </si>
  <si>
    <t>-691.612783078767 -10.9771441655184 334.778878177734</t>
  </si>
  <si>
    <t>-723.442602863773 -32.4941711252673 780.777346603563</t>
  </si>
  <si>
    <t>-603.74521510046 -107.534925592832 852.392769332915</t>
  </si>
  <si>
    <t>9763-20170724T111026.714457200.bin</t>
  </si>
  <si>
    <t>-750.344791140592 112.428775983732 -66.217999662288</t>
  </si>
  <si>
    <t>-776.119805833528 107.381060452271 -179.02927817478</t>
  </si>
  <si>
    <t>-783.793788962144 100.834300369459 -277.135893323154</t>
  </si>
  <si>
    <t>-785.600241879156 93.6228372114861 -365.921948044243</t>
  </si>
  <si>
    <t>-781.992735719904 84.8497889231603 -454.512430222559</t>
  </si>
  <si>
    <t>-771.361329833823 70.7278650768485 -577.834621684267</t>
  </si>
  <si>
    <t>-741.958344553887 58.5703432316614 -654.598455932106</t>
  </si>
  <si>
    <t>-770.889465162793 104.03812790745 -526.225477325731</t>
  </si>
  <si>
    <t>-739.47131855267 237.727782059766 -520.163445301181</t>
  </si>
  <si>
    <t>-685.187371657119 294.237090613292 -236.524450125052</t>
  </si>
  <si>
    <t>-447.336265738565 323.020694605737 -211.043921161806</t>
  </si>
  <si>
    <t>-781.190065014259 49.8460106647112 -520.907832521587</t>
  </si>
  <si>
    <t>-757.524812089537 207.380382006795 -70.0969754412388</t>
  </si>
  <si>
    <t>-758.867260906885 209.795190435624 333.446186595902</t>
  </si>
  <si>
    <t>-827.292718534616 196.46422720446 776.189112054113</t>
  </si>
  <si>
    <t>-687.109866348919 239.671549610408 835.931691881251</t>
  </si>
  <si>
    <t>-743.468716528541 17.4108596640458 -64.4400908803309</t>
  </si>
  <si>
    <t>-691.707577007392 -11.2781965364156 334.749586625397</t>
  </si>
  <si>
    <t>-723.554617356422 -32.7777122994371 780.791374515222</t>
  </si>
  <si>
    <t>-603.682833651692 -107.556666119295 852.388625136397</t>
  </si>
  <si>
    <t>9763-20170724T111026.788156000.bin</t>
  </si>
  <si>
    <t>-750.014500637947 111.534279916536 -66.294941557353</t>
  </si>
  <si>
    <t>-775.957085754019 106.564714924994 -179.071238556772</t>
  </si>
  <si>
    <t>-783.845617843275 100.201022149723 -277.172993192151</t>
  </si>
  <si>
    <t>-785.869460555804 93.2064149182311 -365.971529626718</t>
  </si>
  <si>
    <t>-782.499155663215 84.7028271636541 -454.597688965457</t>
  </si>
  <si>
    <t>-772.215575280824 71.0153348272056 -577.998238451204</t>
  </si>
  <si>
    <t>-742.37735571404 59.1749568328028 -654.643659442661</t>
  </si>
  <si>
    <t>-771.625854540669 104.148849668346 -526.276612982576</t>
  </si>
  <si>
    <t>-740.762170784542 237.956461955454 -519.92464483693</t>
  </si>
  <si>
    <t>-691.997247756545 292.924197007674 -234.98290623861</t>
  </si>
  <si>
    <t>-454.156890435808 323.85892949243 -212.051043101175</t>
  </si>
  <si>
    <t>-781.855817532712 49.9282244671745 -521.115055266885</t>
  </si>
  <si>
    <t>-757.027591058544 206.56349487701 -70.1173165274994</t>
  </si>
  <si>
    <t>-758.489569739018 209.193273497822 333.424041195943</t>
  </si>
  <si>
    <t>-827.234799464567 196.395279054039 776.113202347877</t>
  </si>
  <si>
    <t>-687.003439644997 239.501691644937 835.814932671891</t>
  </si>
  <si>
    <t>-743.324920083064 16.4900146153218 -64.5473214995942</t>
  </si>
  <si>
    <t>-691.719272967273 -11.7108125852665 334.697266582224</t>
  </si>
  <si>
    <t>-723.584256510523 -32.7560843575034 780.779862623436</t>
  </si>
  <si>
    <t>-603.59988924795 -107.368528494344 852.361976375452</t>
  </si>
  <si>
    <t>9763-20170724T111026.814780000.bin</t>
  </si>
  <si>
    <t>-749.893337327262 111.164696902371 -66.3048147065897</t>
  </si>
  <si>
    <t>-775.946609612443 106.236913161215 -179.057493197553</t>
  </si>
  <si>
    <t>-783.971398968812 99.9975804677038 -277.156056396325</t>
  </si>
  <si>
    <t>-786.131568787332 93.152656614845 -365.963257818058</t>
  </si>
  <si>
    <t>-782.908615559938 84.8382107867733 -454.612711021963</t>
  </si>
  <si>
    <t>-772.8397370974 71.4564209940754 -578.064537250508</t>
  </si>
  <si>
    <t>-742.808300580401 59.7796011752434 -654.659611956918</t>
  </si>
  <si>
    <t>-772.181546829223 104.465597631568 -526.264195146608</t>
  </si>
  <si>
    <t>-741.638093486674 238.342620922476 -519.65323790619</t>
  </si>
  <si>
    <t>-695.859332237003 292.031688696059 -233.973342856169</t>
  </si>
  <si>
    <t>-458.158532034952 324.171047063307 -211.251359638499</t>
  </si>
  <si>
    <t>-782.359749778469 50.2245821721899 -521.214888776177</t>
  </si>
  <si>
    <t>-756.873302957379 206.219148144631 -70.0993342811896</t>
  </si>
  <si>
    <t>-758.204715786415 208.99406475811 333.441493241531</t>
  </si>
  <si>
    <t>-827.222178324345 196.393241319092 776.084823957861</t>
  </si>
  <si>
    <t>-687.073805910466 239.799774649392 835.76417828272</t>
  </si>
  <si>
    <t>-743.232591333036 16.1434612370608 -64.5860116895977</t>
  </si>
  <si>
    <t>-691.687454653187 -11.8709095839267 334.679475566868</t>
  </si>
  <si>
    <t>-723.605372790443 -32.7624352368111 780.776532631218</t>
  </si>
  <si>
    <t>-603.651106394293 -107.425087468773 852.356928166624</t>
  </si>
  <si>
    <t>9763-20170724T111026.886474100.bin</t>
  </si>
  <si>
    <t>-749.495828502177 110.420480790542 -66.3078675633632</t>
  </si>
  <si>
    <t>-775.73661059731 105.593549531067 -179.021390035883</t>
  </si>
  <si>
    <t>-784.044531664044 99.5816158495254 -277.11047961384</t>
  </si>
  <si>
    <t>-786.504160970963 93.0044805296066 -365.930248944116</t>
  </si>
  <si>
    <t>-783.619499913669 85.0236609361668 -454.6219660492</t>
  </si>
  <si>
    <t>-774.058620109191 72.1798236613195 -578.171317601945</t>
  </si>
  <si>
    <t>-743.62266401851 60.8361954653728 -654.656583333385</t>
  </si>
  <si>
    <t>-773.233376662923 104.971225324133 -526.235264390507</t>
  </si>
  <si>
    <t>-743.19944992589 238.931668829232 -519.137408950906</t>
  </si>
  <si>
    <t>-704.193934798374 290.170798234231 -232.006175194369</t>
  </si>
  <si>
    <t>-466.805816730752 323.05497609218 -207.17954744191</t>
  </si>
  <si>
    <t>-783.298641466405 50.6924062667185 -521.371520140911</t>
  </si>
  <si>
    <t>-756.291681935758 205.508015873132 -70.0149988160258</t>
  </si>
  <si>
    <t>-757.590395025174 208.498090146005 333.524443051588</t>
  </si>
  <si>
    <t>-827.162280907019 196.321088487605 776.041843542608</t>
  </si>
  <si>
    <t>-686.931239354354 239.49685405207 835.694749092161</t>
  </si>
  <si>
    <t>-742.959568318956 15.3069335529849 -64.6616956563976</t>
  </si>
  <si>
    <t>-691.594048679883 -12.226594433123 334.660397459617</t>
  </si>
  <si>
    <t>-723.720542284746 -33.0057047502924 780.788977488457</t>
  </si>
  <si>
    <t>-603.652607316026 -107.50606378958 852.347686211119</t>
  </si>
  <si>
    <t>9763-20170724T111026.917606300.bin</t>
  </si>
  <si>
    <t>-749.309070794144 110.181680211935 -66.3019659091921</t>
  </si>
  <si>
    <t>-775.629515633011 105.407249780051 -178.999202508821</t>
  </si>
  <si>
    <t>-784.07202605575 99.4938055435887 -277.082816835625</t>
  </si>
  <si>
    <t>-786.678245617632 93.030922102791 -365.906850862085</t>
  </si>
  <si>
    <t>-783.962684575977 85.1917210280712 -454.616520667514</t>
  </si>
  <si>
    <t>-774.659331412501 72.5759505047481 -578.20899223521</t>
  </si>
  <si>
    <t>-744.01687653582 61.3881996307064 -654.63465814488</t>
  </si>
  <si>
    <t>-773.751516601525 105.276087651368 -526.216782064871</t>
  </si>
  <si>
    <t>-743.965197778121 239.278466331254 -518.927904401958</t>
  </si>
  <si>
    <t>-708.694667286676 289.386687360296 -231.11488461745</t>
  </si>
  <si>
    <t>-471.720626882639 322.575383718219 -202.958138773112</t>
  </si>
  <si>
    <t>-783.754980953331 50.9790302134793 -521.427327645466</t>
  </si>
  <si>
    <t>-756.08465107552 205.334039116002 -69.9845081934142</t>
  </si>
  <si>
    <t>-757.480855136658 208.284411421469 333.554788759889</t>
  </si>
  <si>
    <t>-827.150353452568 196.335330427895 776.040361276342</t>
  </si>
  <si>
    <t>-687.034538365935 239.904173623587 835.677781467934</t>
  </si>
  <si>
    <t>-742.803987379335 14.9779278917758 -64.6963044492899</t>
  </si>
  <si>
    <t>-691.539394570875 -12.2783291753062 334.657795770223</t>
  </si>
  <si>
    <t>-723.759339634824 -33.08881273215 780.786779861297</t>
  </si>
  <si>
    <t>-603.752749647533 -107.686639580014 852.346924550264</t>
  </si>
  <si>
    <t>9763-20170724T111026.982786600.bin</t>
  </si>
  <si>
    <t>-749.061598681436 109.957960084483 -66.3322759136244</t>
  </si>
  <si>
    <t>-775.447393632495 105.265294682828 -179.017617872984</t>
  </si>
  <si>
    <t>-784.054720653616 99.4867222946359 -277.095100183936</t>
  </si>
  <si>
    <t>-786.851274970643 93.1772414092466 -365.924170112445</t>
  </si>
  <si>
    <t>-784.364222146143 85.5256342740349 -454.656948167815</t>
  </si>
  <si>
    <t>-775.418662264847 73.2101656284176 -578.306072249184</t>
  </si>
  <si>
    <t>-744.437038316358 62.2706351319766 -654.631011267566</t>
  </si>
  <si>
    <t>-774.382425121411 105.787899865216 -526.23936466755</t>
  </si>
  <si>
    <t>-744.888125366753 239.838097820573 -518.701364531688</t>
  </si>
  <si>
    <t>-717.269783351059 287.538622103802 -229.645944632237</t>
  </si>
  <si>
    <t>-481.811726511432 322.653215937979 -192.532250266731</t>
  </si>
  <si>
    <t>-784.327948337518 51.4715556241927 -521.549086767549</t>
  </si>
  <si>
    <t>-755.695171745863 205.26404628357 -69.9615872562993</t>
  </si>
  <si>
    <t>-757.78494549682 207.896137524265 333.577031222251</t>
  </si>
  <si>
    <t>-827.096062593298 196.361752067578 776.088921478499</t>
  </si>
  <si>
    <t>-686.995951607172 239.956933806971 835.743927423866</t>
  </si>
  <si>
    <t>-742.693646231267 14.6031760196029 -64.7362796424524</t>
  </si>
  <si>
    <t>-691.489247373928 -12.3043835662415 334.649226497368</t>
  </si>
  <si>
    <t>-723.796949776265 -33.0532748476289 780.797008623739</t>
  </si>
  <si>
    <t>-603.713495448244 -107.561641753696 852.321534006525</t>
  </si>
  <si>
    <t>9763-20170724T111027.016392100.bin</t>
  </si>
  <si>
    <t>-749.170487874761 110.008975170969 -66.3496319751118</t>
  </si>
  <si>
    <t>-775.534297983668 105.339369120179 -179.041070134093</t>
  </si>
  <si>
    <t>-784.145020379131 99.6439572282243 -277.12315191877</t>
  </si>
  <si>
    <t>-786.951171585806 93.4374499957494 -365.959165387229</t>
  </si>
  <si>
    <t>-784.479332598956 85.9177106775201 -454.70355024211</t>
  </si>
  <si>
    <t>-775.558241965322 73.8174086445556 -578.375887897125</t>
  </si>
  <si>
    <t>-744.433557882408 63.0148984406874 -654.662131012137</t>
  </si>
  <si>
    <t>-774.521238883125 106.305930885953 -526.253636051385</t>
  </si>
  <si>
    <t>-744.994977871417 240.323559000142 -518.516069243392</t>
  </si>
  <si>
    <t>-720.67579142368 286.506320394004 -228.918192298452</t>
  </si>
  <si>
    <t>-486.258255170448 323.292818304255 -187.132592753365</t>
  </si>
  <si>
    <t>-784.446545172386 51.9781894515181 -521.654078226718</t>
  </si>
  <si>
    <t>-755.76260979568 205.409648626095 -69.9605249264813</t>
  </si>
  <si>
    <t>-758.127060754118 207.842586961715 333.577708204645</t>
  </si>
  <si>
    <t>-827.08431852911 196.440144461551 776.134232760011</t>
  </si>
  <si>
    <t>-687.068954146307 240.285864375368 835.804412855447</t>
  </si>
  <si>
    <t>-742.898599309639 14.5631267046274 -64.7335774437506</t>
  </si>
  <si>
    <t>-691.638659152939 -12.2475948804572 334.651350441791</t>
  </si>
  <si>
    <t>-723.846143754281 -33.1061433859854 780.812671607009</t>
  </si>
  <si>
    <t>-603.72155291734 -107.57644309266 852.30785496504</t>
  </si>
  <si>
    <t>9763-20170724T111027.082570900.bin</t>
  </si>
  <si>
    <t>-749.981795458892 110.308009147115 -66.3379298157107</t>
  </si>
  <si>
    <t>-776.256628161188 105.658947527778 -179.051122502629</t>
  </si>
  <si>
    <t>-784.726185529066 100.128270165812 -277.154743135389</t>
  </si>
  <si>
    <t>-787.372770949923 94.1324740992418 -366.010151013943</t>
  </si>
  <si>
    <t>-784.70679394973 86.8863542808949 -454.771786802923</t>
  </si>
  <si>
    <t>-775.474664011278 75.2360288819109 -578.464511689262</t>
  </si>
  <si>
    <t>-744.068249728155 64.6627605621243 -654.667228716266</t>
  </si>
  <si>
    <t>-774.621537923098 107.543954287291 -526.226716705852</t>
  </si>
  <si>
    <t>-745.147840237701 241.566797647815 -518.030360805156</t>
  </si>
  <si>
    <t>-723.531267098366 287.298090038923 -228.146687112898</t>
  </si>
  <si>
    <t>-490.457356071135 326.169933682223 -181.067515171537</t>
  </si>
  <si>
    <t>-784.453378563342 53.181652973833 -521.840221437634</t>
  </si>
  <si>
    <t>-756.512834479174 205.757241588502 -69.9933176373762</t>
  </si>
  <si>
    <t>-759.023689141427 207.893471955381 333.54578946839</t>
  </si>
  <si>
    <t>-827.005688816188 196.517675885205 776.253690405987</t>
  </si>
  <si>
    <t>-686.874238458263 239.901181736176 835.989063248525</t>
  </si>
  <si>
    <t>-743.826405013436 14.8588290058169 -64.7084374498801</t>
  </si>
  <si>
    <t>-692.391318828511 -11.977237511051 334.652173226783</t>
  </si>
  <si>
    <t>-723.940745866274 -33.1846068803411 780.854149964888</t>
  </si>
  <si>
    <t>-603.710070683464 -107.549624326992 852.280532002074</t>
  </si>
  <si>
    <t>9763-20170724T111027.138221300.bin</t>
  </si>
  <si>
    <t>-750.809554591544 110.623976732018 -66.3405446525027</t>
  </si>
  <si>
    <t>-776.958014432881 105.984061799722 -179.083301367415</t>
  </si>
  <si>
    <t>-785.298580431346 100.488375687356 -277.200103085832</t>
  </si>
  <si>
    <t>-787.820148404597 94.5347761537209 -366.062009124478</t>
  </si>
  <si>
    <t>-785.020025377687 87.341541052675 -454.823758644796</t>
  </si>
  <si>
    <t>-775.590733826517 75.7755013223996 -578.509424713383</t>
  </si>
  <si>
    <t>-743.965338124295 65.2320870948811 -654.625831899607</t>
  </si>
  <si>
    <t>-774.83495700131 108.050219398956 -526.249578992298</t>
  </si>
  <si>
    <t>-745.408723775017 242.084146948691 -517.916214068916</t>
  </si>
  <si>
    <t>-722.468572332383 287.769409636649 -228.126904801548</t>
  </si>
  <si>
    <t>-489.069718445768 327.267179400033 -183.230253954101</t>
  </si>
  <si>
    <t>-784.645411538949 53.6799864189638 -521.913365109698</t>
  </si>
  <si>
    <t>-757.223992519261 206.017551123751 -69.9989535223795</t>
  </si>
  <si>
    <t>-759.962546533789 208.066545316799 333.539121104586</t>
  </si>
  <si>
    <t>-826.93728417725 196.59261983995 776.376149584177</t>
  </si>
  <si>
    <t>-686.78068582778 239.802503684145 836.179218205987</t>
  </si>
  <si>
    <t>-744.640187624131 15.1922140650827 -64.6969986679416</t>
  </si>
  <si>
    <t>-692.923469464394 -11.7339717103027 334.621149469384</t>
  </si>
  <si>
    <t>-723.990367983987 -33.2145018562219 780.869244164153</t>
  </si>
  <si>
    <t>-603.644154803367 -107.430681878791 852.255671105753</t>
  </si>
  <si>
    <t>9763-20170724T111027.185347600.bin</t>
  </si>
  <si>
    <t>-751.573592518886 110.857025619059 -66.3185590625932</t>
  </si>
  <si>
    <t>-777.596967097033 106.277991901857 -179.092830854464</t>
  </si>
  <si>
    <t>-785.837464703577 100.756638786506 -277.216656781643</t>
  </si>
  <si>
    <t>-788.2741746268 94.7501458520765 -366.077304378429</t>
  </si>
  <si>
    <t>-785.39630861546 87.4743862251325 -454.829859151734</t>
  </si>
  <si>
    <t>-775.867638233153 75.7631540374664 -578.49431595442</t>
  </si>
  <si>
    <t>-743.95087216324 65.1611981257461 -654.48067741491</t>
  </si>
  <si>
    <t>-775.134707923597 108.096076619941 -526.270036631227</t>
  </si>
  <si>
    <t>-745.645682831215 242.109567030349 -518.064335670413</t>
  </si>
  <si>
    <t>-720.092048044959 288.291831530045 -228.572748936973</t>
  </si>
  <si>
    <t>-486.094971332257 326.53968125431 -185.755419447723</t>
  </si>
  <si>
    <t>-784.986733153041 53.7374262495582 -521.881336835969</t>
  </si>
  <si>
    <t>-757.934014905358 206.328429340319 -69.973729938125</t>
  </si>
  <si>
    <t>-760.924340651416 208.233417712111 333.563278879384</t>
  </si>
  <si>
    <t>-826.862673060446 196.686305156202 776.541430867291</t>
  </si>
  <si>
    <t>-686.690315118078 239.726184311345 836.429454469199</t>
  </si>
  <si>
    <t>-745.481754173244 15.2756633001391 -64.6905834967213</t>
  </si>
  <si>
    <t>-693.365600281688 -11.4902510371526 334.586541458054</t>
  </si>
  <si>
    <t>-724.076636200282 -33.3809617897687 780.878185505882</t>
  </si>
  <si>
    <t>-603.673632306473 -107.530972864583 852.237956742922</t>
  </si>
  <si>
    <t>9763-20170724T111027.219439300.bin</t>
  </si>
  <si>
    <t>-752.012259543703 111.004875377498 -66.2583954591744</t>
  </si>
  <si>
    <t>-777.953033395047 106.475750960466 -179.053694011578</t>
  </si>
  <si>
    <t>-786.113529414875 100.931252776827 -277.182804899196</t>
  </si>
  <si>
    <t>-788.476362184723 94.877488358371 -366.042314141251</t>
  </si>
  <si>
    <t>-785.524548033645 87.5281495555 -454.786370847776</t>
  </si>
  <si>
    <t>-775.894355458613 75.6860937759079 -578.430410598078</t>
  </si>
  <si>
    <t>-743.731572640324 65.0221003718775 -654.304360847765</t>
  </si>
  <si>
    <t>-775.171258960251 108.0682214835 -526.236678884348</t>
  </si>
  <si>
    <t>-745.467679476644 242.037411343741 -518.129029380519</t>
  </si>
  <si>
    <t>-718.631011869293 289.059013568076 -228.888724799706</t>
  </si>
  <si>
    <t>-484.296684503417 325.825413569548 -186.622120945494</t>
  </si>
  <si>
    <t>-785.093146484632 53.7260221501924 -521.804764482977</t>
  </si>
  <si>
    <t>-758.292052055225 206.562442165904 -69.9176319045339</t>
  </si>
  <si>
    <t>-761.414819453711 208.419628490512 333.61857392312</t>
  </si>
  <si>
    <t>-826.837752496327 196.773836753326 776.661986575113</t>
  </si>
  <si>
    <t>-686.77074173412 240.110687456725 836.58195043766</t>
  </si>
  <si>
    <t>-745.994007174453 15.3609071660212 -64.6631578885991</t>
  </si>
  <si>
    <t>-693.639637800781 -11.3398357245992 334.587069067426</t>
  </si>
  <si>
    <t>-724.112866847111 -33.4023108232004 780.886341364298</t>
  </si>
  <si>
    <t>-603.685750002036 -107.529148972965 852.229618777948</t>
  </si>
  <si>
    <t>9763-20170724T111027.281606800.bin</t>
  </si>
  <si>
    <t>-752.968802142186 111.589914344367 -66.1244032928303</t>
  </si>
  <si>
    <t>-778.805848266246 107.112406254573 -178.945479395453</t>
  </si>
  <si>
    <t>-786.799360640246 101.530466534694 -277.086353219737</t>
  </si>
  <si>
    <t>-788.982721289964 95.4104985512172 -365.945874603223</t>
  </si>
  <si>
    <t>-785.824434212663 87.9603255974448 -454.674402328946</t>
  </si>
  <si>
    <t>-775.880145735753 75.9409069901521 -578.276459449233</t>
  </si>
  <si>
    <t>-743.185353479261 65.1299194213957 -653.901744033917</t>
  </si>
  <si>
    <t>-775.20139807042 108.382483910109 -526.1190393491</t>
  </si>
  <si>
    <t>-744.907808821692 242.236047720476 -518.113610741964</t>
  </si>
  <si>
    <t>-717.239790263045 289.73880192858 -229.030295885242</t>
  </si>
  <si>
    <t>-482.989916642773 325.547650096672 -185.492094685267</t>
  </si>
  <si>
    <t>-785.311094947171 54.0777477748079 -521.651542599068</t>
  </si>
  <si>
    <t>-759.088184597417 207.211442695866 -69.7951437367682</t>
  </si>
  <si>
    <t>-761.749565218962 209.056516298188 333.744479324848</t>
  </si>
  <si>
    <t>-826.797739830854 196.871587195096 776.868094088114</t>
  </si>
  <si>
    <t>-686.748324173706 240.246408172998 836.802413295431</t>
  </si>
  <si>
    <t>-747.205757915132 15.9414691420034 -64.520199914992</t>
  </si>
  <si>
    <t>-694.345830182885 -10.9272322392699 334.652194527123</t>
  </si>
  <si>
    <t>-724.207303197744 -33.442317591544 780.943339027779</t>
  </si>
  <si>
    <t>-603.727184983916 -107.531877937242 852.235783759243</t>
  </si>
  <si>
    <t>9763-20170724T111027.319258900.bin</t>
  </si>
  <si>
    <t>-753.430878939922 111.967204986738 -66.0382331996311</t>
  </si>
  <si>
    <t>-779.242133824264 107.514316663407 -178.866370777551</t>
  </si>
  <si>
    <t>-787.165435549409 101.929218905482 -277.012553188959</t>
  </si>
  <si>
    <t>-789.266307108627 95.7973881556518 -365.873201175407</t>
  </si>
  <si>
    <t>-786.007885457227 88.3255674776783 -454.596391063705</t>
  </si>
  <si>
    <t>-775.904821685986 76.2656551976938 -578.181503762276</t>
  </si>
  <si>
    <t>-742.953142395792 65.3932457819124 -653.686585862462</t>
  </si>
  <si>
    <t>-775.248180212294 108.716259370781 -526.029518468987</t>
  </si>
  <si>
    <t>-744.688863728395 242.503899803567 -518.029688614981</t>
  </si>
  <si>
    <t>-717.330834128617 289.67711754324 -228.862863431565</t>
  </si>
  <si>
    <t>-483.19893481061 325.57476128807 -184.767027702209</t>
  </si>
  <si>
    <t>-785.453229986927 54.4290493629665 -521.566204211139</t>
  </si>
  <si>
    <t>-759.396355602504 207.549182722398 -69.7238935551374</t>
  </si>
  <si>
    <t>-761.591766576274 209.465353252848 333.818177084191</t>
  </si>
  <si>
    <t>-826.776078114789 196.883681354204 776.938548452279</t>
  </si>
  <si>
    <t>-686.733248245158 240.29779885806 836.859355264754</t>
  </si>
  <si>
    <t>-747.830133660407 16.3605555589093 -64.4123347498731</t>
  </si>
  <si>
    <t>-694.660757602895 -10.6959422989021 334.706180675228</t>
  </si>
  <si>
    <t>-724.258848437377 -33.4917409207201 780.981825032557</t>
  </si>
  <si>
    <t>-603.753173279556 -107.561270430062 852.251422041866</t>
  </si>
  <si>
    <t>9763-20170724T111027.384933900.bin</t>
  </si>
  <si>
    <t>-753.887591547448 112.722817296828 -65.8449253847299</t>
  </si>
  <si>
    <t>-779.708553362714 108.352589455114 -178.673947525467</t>
  </si>
  <si>
    <t>-787.518162633556 102.811032197122 -276.831763334998</t>
  </si>
  <si>
    <t>-789.467507730333 96.7087435450439 -365.697938494455</t>
  </si>
  <si>
    <t>-786.009508750627 89.2546768865213 -454.415095596215</t>
  </si>
  <si>
    <t>-775.577467091482 77.2063057168034 -577.974109181726</t>
  </si>
  <si>
    <t>-742.100674495612 66.2279038546353 -653.232385221711</t>
  </si>
  <si>
    <t>-774.970336025511 109.635927155844 -525.808274427268</t>
  </si>
  <si>
    <t>-743.866800267268 243.30231670263 -517.746427180767</t>
  </si>
  <si>
    <t>-716.628023367361 289.918552173005 -228.478143753853</t>
  </si>
  <si>
    <t>-482.826989408455 326.509322526044 -183.210818594857</t>
  </si>
  <si>
    <t>-785.365572779832 55.3805784541846 -521.395540065404</t>
  </si>
  <si>
    <t>-759.372547794398 208.14754716858 -69.550624054032</t>
  </si>
  <si>
    <t>-760.997004108161 210.077325621748 333.994072783158</t>
  </si>
  <si>
    <t>-826.733152569758 196.856394994822 777.036314842843</t>
  </si>
  <si>
    <t>-686.632167970075 240.147625562127 836.910423601371</t>
  </si>
  <si>
    <t>-748.604614300934 17.2304670944982 -64.2031994875661</t>
  </si>
  <si>
    <t>-694.717869701574 -10.2389358873315 334.790916000196</t>
  </si>
  <si>
    <t>-724.279286849133 -33.4688383346343 781.000238545616</t>
  </si>
  <si>
    <t>-603.852734211508 -107.64235766326 852.295657710849</t>
  </si>
  <si>
    <t>9763-20170724T111027.416610200.bin</t>
  </si>
  <si>
    <t>-754.007024797946 113.066670495765 -65.748224668375</t>
  </si>
  <si>
    <t>-779.828663262427 108.724459190585 -178.578273654201</t>
  </si>
  <si>
    <t>-787.573436461495 103.19743754773 -276.742008734372</t>
  </si>
  <si>
    <t>-789.437391185684 97.1029648679946 -365.610625363115</t>
  </si>
  <si>
    <t>-785.868196700485 89.6498183173608 -454.323259873159</t>
  </si>
  <si>
    <t>-775.255146834882 77.5946838316354 -577.866318436534</t>
  </si>
  <si>
    <t>-741.51656165154 66.5528277193766 -652.998282549677</t>
  </si>
  <si>
    <t>-774.678898426374 110.018626689368 -525.696700134506</t>
  </si>
  <si>
    <t>-743.338343339474 243.626174148702 -517.593803451077</t>
  </si>
  <si>
    <t>-715.933911924114 290.200518977873 -228.334317738607</t>
  </si>
  <si>
    <t>-482.164416189788 327.079540384381 -183.139149587655</t>
  </si>
  <si>
    <t>-785.171582594051 55.7802777779948 -521.305656315102</t>
  </si>
  <si>
    <t>-759.423674738487 208.426251545081 -69.4711530687308</t>
  </si>
  <si>
    <t>-760.856440688309 210.30619338271 334.074476764816</t>
  </si>
  <si>
    <t>-826.705979459375 196.852344451579 777.08418396687</t>
  </si>
  <si>
    <t>-686.613837868757 240.195991715042 836.94082193125</t>
  </si>
  <si>
    <t>-748.812122994601 17.6268398446509 -64.1149665324289</t>
  </si>
  <si>
    <t>-694.634972253508 -10.0671586675971 334.82432895164</t>
  </si>
  <si>
    <t>-724.307245560771 -33.4935669212618 781.008920951423</t>
  </si>
  <si>
    <t>-603.967148093627 -107.792105806481 852.320126479542</t>
  </si>
  <si>
    <t>9763-20170724T111027.483292900.bin</t>
  </si>
  <si>
    <t>-754.296928124813 113.709910605893 -65.6669268330049</t>
  </si>
  <si>
    <t>-780.083252753307 109.407384586653 -178.506509446573</t>
  </si>
  <si>
    <t>-787.73268243093 103.861312072655 -276.676776426555</t>
  </si>
  <si>
    <t>-789.486534792638 97.7260387484953 -365.544701017287</t>
  </si>
  <si>
    <t>-785.78483551058 90.2047629815443 -454.24637373668</t>
  </si>
  <si>
    <t>-774.965809041115 78.0242222933625 -577.759113104144</t>
  </si>
  <si>
    <t>-740.758201506102 66.8879725299817 -652.664709142143</t>
  </si>
  <si>
    <t>-774.403135393953 110.487360538376 -525.613802638121</t>
  </si>
  <si>
    <t>-742.621235859467 243.987512098899 -517.461760004687</t>
  </si>
  <si>
    <t>-713.999683961165 290.78214439004 -228.355867901625</t>
  </si>
  <si>
    <t>-480.213684367836 328.305652695415 -183.78021816381</t>
  </si>
  <si>
    <t>-785.050469107558 56.2812273650893 -521.200669531974</t>
  </si>
  <si>
    <t>-759.788421640734 209.158789609822 -69.3834941871513</t>
  </si>
  <si>
    <t>-761.066089910791 210.623920988222 334.164398963768</t>
  </si>
  <si>
    <t>-826.614288113493 196.890741942121 777.219527742308</t>
  </si>
  <si>
    <t>-686.518209235408 240.170729389011 837.113136921802</t>
  </si>
  <si>
    <t>-749.08188309812 18.2284146305228 -64.0262689015532</t>
  </si>
  <si>
    <t>-694.718565441477 -9.62992449559533 334.876261550911</t>
  </si>
  <si>
    <t>-724.352061256346 -33.4661949959964 781.026427715094</t>
  </si>
  <si>
    <t>-604.12765720102 -107.9358059331 852.354164240427</t>
  </si>
  <si>
    <t>9763-20170724T111027.517729900.bin</t>
  </si>
  <si>
    <t>-754.443424910803 113.993515560704 -65.6440507004141</t>
  </si>
  <si>
    <t>-780.195187651455 109.703049391066 -178.491977544362</t>
  </si>
  <si>
    <t>-787.817597496494 104.130240838374 -276.662780340903</t>
  </si>
  <si>
    <t>-789.54961372899 97.954710702435 -365.528408102864</t>
  </si>
  <si>
    <t>-785.830112056891 90.3762453330123 -454.224419511248</t>
  </si>
  <si>
    <t>-774.991316524904 78.0972518954254 -577.725671717382</t>
  </si>
  <si>
    <t>-740.556218639657 66.9594761580602 -652.5267729131</t>
  </si>
  <si>
    <t>-774.408102362837 110.596507503119 -525.602975851598</t>
  </si>
  <si>
    <t>-742.452554265054 244.046607892927 -517.490845062295</t>
  </si>
  <si>
    <t>-712.943905316262 291.240395418783 -228.538956520911</t>
  </si>
  <si>
    <t>-479.222726486109 329.32510445917 -184.099244532982</t>
  </si>
  <si>
    <t>-785.114000261626 56.4046227258536 -521.154788746126</t>
  </si>
  <si>
    <t>-759.928749997219 209.485366899498 -69.3555292239175</t>
  </si>
  <si>
    <t>-761.221972574505 210.823933236195 334.192698273381</t>
  </si>
  <si>
    <t>-826.564756145595 196.943039614263 777.29907655303</t>
  </si>
  <si>
    <t>-686.468286385024 240.167387917573 837.23188741672</t>
  </si>
  <si>
    <t>-749.248277830887 18.4582787743016 -63.9900227059808</t>
  </si>
  <si>
    <t>-694.731066292742 -9.45375087442426 334.887731310642</t>
  </si>
  <si>
    <t>-724.400455146728 -33.5355594821604 781.034233488186</t>
  </si>
  <si>
    <t>-604.114426962235 -107.906360958473 852.361230354607</t>
  </si>
  <si>
    <t>9763-20170724T111027.585409800.bin</t>
  </si>
  <si>
    <t>-754.644780568838 114.711200699597 -65.5365081116421</t>
  </si>
  <si>
    <t>-780.38492938811 110.34510707622 -178.384216353513</t>
  </si>
  <si>
    <t>-788.031148535835 104.711481275877 -276.549647981999</t>
  </si>
  <si>
    <t>-789.798665235201 98.48129332586 -365.41086823461</t>
  </si>
  <si>
    <t>-786.12870856568 90.8481637310092 -454.104058305965</t>
  </si>
  <si>
    <t>-775.373958674497 78.491829724172 -577.605006398341</t>
  </si>
  <si>
    <t>-740.502436543564 67.4356372233042 -652.215763175821</t>
  </si>
  <si>
    <t>-774.718519327653 111.016854451118 -525.499269811371</t>
  </si>
  <si>
    <t>-742.456875875237 244.400576034796 -517.486139631941</t>
  </si>
  <si>
    <t>-710.538845992234 292.317485555301 -228.909657444979</t>
  </si>
  <si>
    <t>-476.838100387178 331.431260669131 -185.264461085427</t>
  </si>
  <si>
    <t>-785.494568194796 56.8416712327085 -521.017516440168</t>
  </si>
  <si>
    <t>-760.182402663258 210.236067277777 -69.2966929545986</t>
  </si>
  <si>
    <t>-761.348226185403 211.372362830179 334.252570595065</t>
  </si>
  <si>
    <t>-826.517819634634 197.071207636678 777.405889554527</t>
  </si>
  <si>
    <t>-686.621551563636 240.929580320585 837.345672035991</t>
  </si>
  <si>
    <t>-749.394585439412 19.1985375363915 -63.8592355703559</t>
  </si>
  <si>
    <t>-694.633828492523 -9.0671872820667 334.960240251191</t>
  </si>
  <si>
    <t>-724.440085961957 -33.4614285855569 781.052716122789</t>
  </si>
  <si>
    <t>-604.204589530142 -107.90691540165 852.38715827041</t>
  </si>
  <si>
    <t>9763-20170724T111027.617549100.bin</t>
  </si>
  <si>
    <t>-754.794637498032 115.086728197981 -65.4987143275628</t>
  </si>
  <si>
    <t>-780.576632649698 110.696348354037 -178.335875884206</t>
  </si>
  <si>
    <t>-788.285191840232 105.038625112556 -276.49499767192</t>
  </si>
  <si>
    <t>-790.119904110642 98.7859548737829 -365.353198921455</t>
  </si>
  <si>
    <t>-786.52743235076 91.1295194255026 -454.047755414926</t>
  </si>
  <si>
    <t>-775.892351900826 78.7397792595552 -577.555680196204</t>
  </si>
  <si>
    <t>-740.823571259047 67.7192958360224 -652.079144470298</t>
  </si>
  <si>
    <t>-775.169550633617 111.275725756718 -525.457695634744</t>
  </si>
  <si>
    <t>-742.789958169042 244.646075093431 -517.528266917866</t>
  </si>
  <si>
    <t>-709.46610822838 292.916719442389 -229.169600330941</t>
  </si>
  <si>
    <t>-475.588306126101 331.959384449272 -186.418089284174</t>
  </si>
  <si>
    <t>-785.975080786301 57.1079879161134 -520.954200894308</t>
  </si>
  <si>
    <t>-760.402455022826 210.586193380168 -69.2787963221225</t>
  </si>
  <si>
    <t>-761.329057209242 211.575679573758 334.271495786631</t>
  </si>
  <si>
    <t>-826.483075726748 197.060493698804 777.435237994579</t>
  </si>
  <si>
    <t>-686.544979484241 240.807025007896 837.358563377162</t>
  </si>
  <si>
    <t>-749.507875282906 19.5460031864404 -63.796070982981</t>
  </si>
  <si>
    <t>-694.575362039988 -8.84411002890783 334.99093309322</t>
  </si>
  <si>
    <t>-724.459066847696 -33.4366036319493 781.057210033447</t>
  </si>
  <si>
    <t>-604.385634014551 -108.124973456617 852.410231629268</t>
  </si>
  <si>
    <t>9763-20170724T111027.649634900.bin</t>
  </si>
  <si>
    <t>-754.874407751054 115.304242548317 -65.4708138535079</t>
  </si>
  <si>
    <t>-780.704398594102 110.908973878447 -178.296893206716</t>
  </si>
  <si>
    <t>-788.495514889514 105.223190806685 -276.447802358348</t>
  </si>
  <si>
    <t>-790.421817065777 98.9368622145616 -365.301737192795</t>
  </si>
  <si>
    <t>-786.938805411141 91.2390671321887 -453.997079532537</t>
  </si>
  <si>
    <t>-776.473931433206 78.7845630312704 -577.512992854866</t>
  </si>
  <si>
    <t>-741.218025289488 67.7914998203778 -651.952273638453</t>
  </si>
  <si>
    <t>-775.659946469022 111.344064694604 -525.430987627057</t>
  </si>
  <si>
    <t>-743.152303694724 244.693190069282 -517.650666398283</t>
  </si>
  <si>
    <t>-708.419948441996 293.399647152184 -229.531706291173</t>
  </si>
  <si>
    <t>-474.348547753222 332.168732610866 -187.597428969645</t>
  </si>
  <si>
    <t>-786.498069741994 57.1862824150753 -520.888354336712</t>
  </si>
  <si>
    <t>-760.430983695259 210.782810587708 -69.2642721452322</t>
  </si>
  <si>
    <t>-761.277435192965 211.704503360202 334.286340460678</t>
  </si>
  <si>
    <t>-826.444147272328 197.033386689863 777.454806279534</t>
  </si>
  <si>
    <t>-686.441368302882 240.603804963506 837.355686836012</t>
  </si>
  <si>
    <t>-749.569135474065 19.748167072737 -63.7557968077241</t>
  </si>
  <si>
    <t>-694.480882373619 -8.65452061467522 335.008844759266</t>
  </si>
  <si>
    <t>-724.452913781509 -33.34179960549 781.046326518075</t>
  </si>
  <si>
    <t>-604.418647754345 -108.076615720497 852.416813929244</t>
  </si>
  <si>
    <t>9763-20170724T111027.717320400.bin</t>
  </si>
  <si>
    <t>-754.963506198785 115.544990555352 -65.4084551648621</t>
  </si>
  <si>
    <t>-780.897142710766 111.131319467758 -178.209937203393</t>
  </si>
  <si>
    <t>-788.887656155747 105.386870421768 -276.341572635832</t>
  </si>
  <si>
    <t>-791.039710852063 99.034158953516 -365.185509841084</t>
  </si>
  <si>
    <t>-787.828066912318 91.2575490387376 -453.884229797148</t>
  </si>
  <si>
    <t>-777.789989447311 78.6809961375229 -577.423181000161</t>
  </si>
  <si>
    <t>-742.212971684162 67.7353736953391 -651.716493570875</t>
  </si>
  <si>
    <t>-776.751072274336 111.283309538509 -525.372073198363</t>
  </si>
  <si>
    <t>-743.977224639998 244.573965466497 -517.922673442903</t>
  </si>
  <si>
    <t>-706.672762542869 294.032510504317 -230.253689946201</t>
  </si>
  <si>
    <t>-472.168906994805 331.794271352335 -189.846116365676</t>
  </si>
  <si>
    <t>-787.663409485353 57.1472887643818 -520.747593638735</t>
  </si>
  <si>
    <t>-760.516251449093 211.033986149162 -69.2368791380839</t>
  </si>
  <si>
    <t>-761.060523517355 211.854426441909 334.314504500315</t>
  </si>
  <si>
    <t>-826.360297879017 196.962976386718 777.471212240594</t>
  </si>
  <si>
    <t>-686.300938846535 240.430241715123 837.31459598072</t>
  </si>
  <si>
    <t>-749.685192411206 19.9941010816251 -63.6777777136101</t>
  </si>
  <si>
    <t>-694.279774289037 -8.44145739001033 335.040601418913</t>
  </si>
  <si>
    <t>-724.501130207585 -33.33941359144 781.035857136836</t>
  </si>
  <si>
    <t>-604.527450092631 -108.137186853872 852.442326863607</t>
  </si>
  <si>
    <t>9763-20170724T111027.786008500.bin</t>
  </si>
  <si>
    <t>-755.169277532406 115.723303599758 -65.3757447258809</t>
  </si>
  <si>
    <t>-781.284929629756 111.356956606565 -178.137139253599</t>
  </si>
  <si>
    <t>-789.524172247473 105.630143675896 -276.249151161322</t>
  </si>
  <si>
    <t>-791.939223422005 99.2868956843399 -365.087061990336</t>
  </si>
  <si>
    <t>-789.027612341476 91.5131316357765 -453.796260507175</t>
  </si>
  <si>
    <t>-779.448159710072 78.9354713856978 -577.371697088022</t>
  </si>
  <si>
    <t>-743.654686177516 68.0608988417416 -651.571308927122</t>
  </si>
  <si>
    <t>-778.148526265036 111.524968325616 -525.318512357342</t>
  </si>
  <si>
    <t>-745.018474100863 244.742640731211 -518.1507753923</t>
  </si>
  <si>
    <t>-706.141283839905 294.590813063636 -230.757387616932</t>
  </si>
  <si>
    <t>-471.365918910088 331.424930907381 -191.076095810061</t>
  </si>
  <si>
    <t>-789.178817644224 57.4154945200075 -520.666000843984</t>
  </si>
  <si>
    <t>-760.669335457443 211.248550435399 -69.2048787083489</t>
  </si>
  <si>
    <t>-760.807798357851 211.990377219207 334.34695092212</t>
  </si>
  <si>
    <t>-826.295291883215 196.933572783717 777.492017728929</t>
  </si>
  <si>
    <t>-686.2809893193 240.621699884776 837.280634587695</t>
  </si>
  <si>
    <t>-749.985402983411 20.1808236876295 -63.6384904666173</t>
  </si>
  <si>
    <t>-694.300709578425 -8.24068320773358 335.041868671008</t>
  </si>
  <si>
    <t>-724.56776190664 -33.3965806884107 781.01157859393</t>
  </si>
  <si>
    <t>-604.498687666975 -108.013880544254 852.446742154363</t>
  </si>
  <si>
    <t>9763-20170724T111027.816591700.bin</t>
  </si>
  <si>
    <t>-755.209836808917 115.751290505333 -65.3651140324781</t>
  </si>
  <si>
    <t>-781.443497283845 111.423952949942 -178.100611665986</t>
  </si>
  <si>
    <t>-789.826359109277 105.735654932677 -276.202802882316</t>
  </si>
  <si>
    <t>-792.388193519235 99.4314896891829 -365.039349004192</t>
  </si>
  <si>
    <t>-789.63915561422 91.7018814402886 -453.757629041792</t>
  </si>
  <si>
    <t>-780.302259099655 79.191292697526 -577.358238938091</t>
  </si>
  <si>
    <t>-744.452780432649 68.3427562735578 -651.534663109856</t>
  </si>
  <si>
    <t>-778.868251903994 111.74629880236 -525.286914953178</t>
  </si>
  <si>
    <t>-745.567028393348 244.941421754432 -518.176169106167</t>
  </si>
  <si>
    <t>-706.212766676053 294.676159294587 -230.828082753694</t>
  </si>
  <si>
    <t>-471.273406640472 330.946667741019 -191.599996269255</t>
  </si>
  <si>
    <t>-789.953730770923 57.6467938273454 -520.648479782932</t>
  </si>
  <si>
    <t>-760.592322779178 211.232087522989 -69.1791272501305</t>
  </si>
  <si>
    <t>-760.557572942913 211.99017902593 334.372728442057</t>
  </si>
  <si>
    <t>-826.238463594044 196.867836249974 777.50107527596</t>
  </si>
  <si>
    <t>-686.165539442204 240.404138245275 837.263048016714</t>
  </si>
  <si>
    <t>-750.104735399007 20.2614481598789 -63.6299354972549</t>
  </si>
  <si>
    <t>-694.211422008979 -8.08979899308679 335.026329373042</t>
  </si>
  <si>
    <t>-724.549261392531 -33.2566689025339 780.985424704252</t>
  </si>
  <si>
    <t>-604.727696969881 -108.235142518219 852.457801448164</t>
  </si>
  <si>
    <t>9763-20170724T111027.883288600.bin</t>
  </si>
  <si>
    <t>-755.214745677252 115.510323496329 -65.2754269653354</t>
  </si>
  <si>
    <t>-781.731624096503 111.281429358675 -177.948388871075</t>
  </si>
  <si>
    <t>-790.438394750681 105.630158202079 -276.024404448405</t>
  </si>
  <si>
    <t>-793.324928672645 99.3435877259294 -364.852355734141</t>
  </si>
  <si>
    <t>-790.933656078723 91.6163924156444 -453.581163528632</t>
  </si>
  <si>
    <t>-782.130840873579 79.0944354915355 -577.21989237994</t>
  </si>
  <si>
    <t>-746.297561843549 68.2511866303871 -651.404920983087</t>
  </si>
  <si>
    <t>-780.41338145556 111.642669864384 -525.152809452717</t>
  </si>
  <si>
    <t>-746.811004707544 244.75864323719 -518.163305458598</t>
  </si>
  <si>
    <t>-706.713380327398 294.105528408171 -230.851152511856</t>
  </si>
  <si>
    <t>-471.562887107293 329.406515853118 -192.005330339565</t>
  </si>
  <si>
    <t>-791.59578431078 57.5667969826645 -520.472344277717</t>
  </si>
  <si>
    <t>-760.40251899163 210.955087777094 -69.0756320297793</t>
  </si>
  <si>
    <t>-760.000543125103 211.73530112866 334.475986306808</t>
  </si>
  <si>
    <t>-826.145468150447 196.755815424923 777.518681453209</t>
  </si>
  <si>
    <t>-686.014618778146 240.192100429989 837.217161486953</t>
  </si>
  <si>
    <t>-750.306934859959 20.0657112746503 -63.6162590610473</t>
  </si>
  <si>
    <t>-694.193172001221 -8.12637507104682 335.020292245568</t>
  </si>
  <si>
    <t>-724.638349313853 -33.333929934754 780.966300626422</t>
  </si>
  <si>
    <t>-604.778205851255 -108.225781783804 852.464914261883</t>
  </si>
  <si>
    <t>9763-20170724T111027.917399700.bin</t>
  </si>
  <si>
    <t>-755.18254696208 115.476739233722 -65.2919822964574</t>
  </si>
  <si>
    <t>-781.88671187685 111.305683774496 -177.922913207778</t>
  </si>
  <si>
    <t>-790.77931107757 105.699057177471 -275.984850485228</t>
  </si>
  <si>
    <t>-793.843977901439 99.4516533362739 -364.809488408578</t>
  </si>
  <si>
    <t>-791.640742273058 91.7615843262142 -453.546438531518</t>
  </si>
  <si>
    <t>-783.109944732393 79.2890280557212 -577.209124216656</t>
  </si>
  <si>
    <t>-747.255357509532 68.4805110354087 -651.388903116732</t>
  </si>
  <si>
    <t>-781.242429073104 111.809396973544 -525.129987731392</t>
  </si>
  <si>
    <t>-747.348970873571 244.840268730137 -518.145522797174</t>
  </si>
  <si>
    <t>-706.912351613638 294.1395556043 -230.87276576421</t>
  </si>
  <si>
    <t>-471.699198825184 328.881418086374 -191.903443476917</t>
  </si>
  <si>
    <t>-792.485351838396 57.745550280868 -520.452710854128</t>
  </si>
  <si>
    <t>-760.298936884414 210.853659278604 -69.0366999318245</t>
  </si>
  <si>
    <t>-759.769270608491 211.678679091033 334.514677641514</t>
  </si>
  <si>
    <t>-826.104726571365 196.731105319117 777.533813347233</t>
  </si>
  <si>
    <t>-685.999630312893 240.287229269687 837.205224406331</t>
  </si>
  <si>
    <t>-750.354736565167 20.1168216635724 -63.6425941421229</t>
  </si>
  <si>
    <t>-694.163024572272 -7.95615393063235 334.991380201649</t>
  </si>
  <si>
    <t>-724.573851949356 -33.022109845655 780.944308233025</t>
  </si>
  <si>
    <t>-605.080285483365 -108.464181440116 852.478217822868</t>
  </si>
  <si>
    <t>9763-20170724T111027.984079600.bin</t>
  </si>
  <si>
    <t>-755.294055415386 115.156131368055 -65.2544178550871</t>
  </si>
  <si>
    <t>-782.273079622825 111.07385326297 -177.822991321873</t>
  </si>
  <si>
    <t>-791.501683078181 105.607953057052 -275.861717118411</t>
  </si>
  <si>
    <t>-794.907001394985 99.5184273832006 -364.685025952629</t>
  </si>
  <si>
    <t>-793.078585405981 92.0189456218277 -453.446887060185</t>
  </si>
  <si>
    <t>-785.10467689553 79.8501074578903 -577.17706802613</t>
  </si>
  <si>
    <t>-749.153015119985 69.1636267498461 -651.3275412285</t>
  </si>
  <si>
    <t>-783.005037688588 112.242999944646 -525.027178213375</t>
  </si>
  <si>
    <t>-749.019496067137 245.2530611809 -517.94780012535</t>
  </si>
  <si>
    <t>-707.356799106671 294.112562366453 -230.775081870489</t>
  </si>
  <si>
    <t>-471.90448204411 327.482475671516 -192.05101117652</t>
  </si>
  <si>
    <t>-794.222134362697 58.1669580354765 -520.431756522277</t>
  </si>
  <si>
    <t>-760.269089352611 210.575338845215 -68.948842724454</t>
  </si>
  <si>
    <t>-759.451996612419 211.4494973685 334.601921632863</t>
  </si>
  <si>
    <t>-826.000434860235 196.646258269934 777.589024133625</t>
  </si>
  <si>
    <t>-685.837123944624 240.067456755338 837.22229906899</t>
  </si>
  <si>
    <t>-750.578786040508 19.6675736897223 -63.6443245999021</t>
  </si>
  <si>
    <t>-694.125750584065 -7.96988141146312 334.983204185864</t>
  </si>
  <si>
    <t>-724.697367599766 -33.1885355452991 780.932504193773</t>
  </si>
  <si>
    <t>-605.095205730779 -108.457499622259 852.466936390899</t>
  </si>
  <si>
    <t>9763-20170724T111028.017685100.bin</t>
  </si>
  <si>
    <t>-755.407190067825 115.044487203244 -65.2055255795392</t>
  </si>
  <si>
    <t>-782.499264151601 110.956957705532 -177.746867275941</t>
  </si>
  <si>
    <t>-791.84117210693 105.546272584153 -275.777972427005</t>
  </si>
  <si>
    <t>-795.353171884604 99.5319307189147 -364.602199115881</t>
  </si>
  <si>
    <t>-793.633993407719 92.1343688512698 -453.374582855866</t>
  </si>
  <si>
    <t>-785.813337245192 80.1359028250722 -577.131180906517</t>
  </si>
  <si>
    <t>-749.78413557568 69.6015975427194 -651.26608587381</t>
  </si>
  <si>
    <t>-783.676308077728 112.462515237529 -524.94175939687</t>
  </si>
  <si>
    <t>-749.785202906702 245.489709449117 -517.806961820707</t>
  </si>
  <si>
    <t>-707.999686929579 293.934077734541 -230.581849835809</t>
  </si>
  <si>
    <t>-472.394424461236 326.751559615057 -192.318935195827</t>
  </si>
  <si>
    <t>-794.833361423757 58.3692849599634 -520.402386778141</t>
  </si>
  <si>
    <t>-760.431163266454 210.476703465893 -68.8972750608518</t>
  </si>
  <si>
    <t>-759.363944103856 211.360736892866 334.652877600936</t>
  </si>
  <si>
    <t>-825.949772192327 196.620887190254 777.624420657662</t>
  </si>
  <si>
    <t>-685.763831975809 239.987928237268 837.243962321344</t>
  </si>
  <si>
    <t>-750.701241357337 19.5713028365631 -63.6272490349983</t>
  </si>
  <si>
    <t>-694.17245701506 -8.06977034637339 334.989290722456</t>
  </si>
  <si>
    <t>-724.779737005224 -33.3293227576642 780.929777905247</t>
  </si>
  <si>
    <t>-604.920621984434 -108.204466631813 852.447452130028</t>
  </si>
  <si>
    <t>9763-20170724T111028.084366800.bin</t>
  </si>
  <si>
    <t>-755.707135251309 115.148414511418 -65.2212849913834</t>
  </si>
  <si>
    <t>-782.925228035629 110.905373155482 -177.726325228448</t>
  </si>
  <si>
    <t>-792.483038589087 105.591794663704 -275.741993577478</t>
  </si>
  <si>
    <t>-796.227213154983 99.7584967549651 -364.568758425316</t>
  </si>
  <si>
    <t>-794.771221954733 92.6354046568017 -453.368458364802</t>
  </si>
  <si>
    <t>-787.346697186974 81.1184624588982 -577.195178726289</t>
  </si>
  <si>
    <t>-751.204691210792 70.9948362693131 -651.332199364942</t>
  </si>
  <si>
    <t>-785.068995242679 113.247279394616 -524.88952758503</t>
  </si>
  <si>
    <t>-751.180438173826 246.263618731741 -517.527974292962</t>
  </si>
  <si>
    <t>-709.205228340796 293.757345517997 -230.171677499743</t>
  </si>
  <si>
    <t>-473.479771084383 326.355279364775 -192.465237921273</t>
  </si>
  <si>
    <t>-796.158776837823 59.1260815603391 -520.520799400995</t>
  </si>
  <si>
    <t>-760.79651279195 210.489355456057 -68.9459693764884</t>
  </si>
  <si>
    <t>-759.500588614768 211.513234586456 334.603163222233</t>
  </si>
  <si>
    <t>-825.851544052025 196.643726388511 777.638551761094</t>
  </si>
  <si>
    <t>-685.643957567908 239.93295774816 837.264011167151</t>
  </si>
  <si>
    <t>-750.861699731579 19.8019704364683 -63.5543311746361</t>
  </si>
  <si>
    <t>-694.260541769649 -7.94700303392574 335.044475303933</t>
  </si>
  <si>
    <t>-724.845876723834 -33.3282309408823 780.945830626532</t>
  </si>
  <si>
    <t>-605.058918708309 -108.309734892913 852.473000201585</t>
  </si>
  <si>
    <t>9763-20170724T111028.116996600.bin</t>
  </si>
  <si>
    <t>-755.802657407354 115.184233591656 -65.2565756114581</t>
  </si>
  <si>
    <t>-783.101191594434 110.888139864012 -177.740037995601</t>
  </si>
  <si>
    <t>-792.789492926893 105.63655523824 -275.746306660248</t>
  </si>
  <si>
    <t>-796.673071301284 99.9021793271468 -364.573547645545</t>
  </si>
  <si>
    <t>-795.37602701369 92.9201905813493 -453.386899599557</t>
  </si>
  <si>
    <t>-788.192513601678 81.6445947909442 -577.250066014791</t>
  </si>
  <si>
    <t>-751.958438581209 71.7041099456715 -651.366917353568</t>
  </si>
  <si>
    <t>-785.80227228938 113.669195520825 -524.88569000031</t>
  </si>
  <si>
    <t>-751.751266150017 246.643683331381 -517.397568828444</t>
  </si>
  <si>
    <t>-709.351918834226 293.771977627879 -230.043383820937</t>
  </si>
  <si>
    <t>-473.547938249699 326.250428548287 -192.726529097423</t>
  </si>
  <si>
    <t>-796.904807263499 59.5439344523516 -520.602310343847</t>
  </si>
  <si>
    <t>-760.949232375061 210.480717994941 -68.9959534532425</t>
  </si>
  <si>
    <t>-759.606508170474 211.535799568703 334.55298137704</t>
  </si>
  <si>
    <t>-825.78257871446 196.626616766049 777.63017565942</t>
  </si>
  <si>
    <t>-685.543295961967 239.796477914756 837.267752553684</t>
  </si>
  <si>
    <t>-750.923125035141 19.8606685338559 -63.5548395839133</t>
  </si>
  <si>
    <t>-694.287204973337 -7.83828116129098 335.042386298276</t>
  </si>
  <si>
    <t>-724.850357767972 -33.2318263693542 780.95027735774</t>
  </si>
  <si>
    <t>-605.227076780026 -108.46386502898 852.488742048197</t>
  </si>
  <si>
    <t>9763-20170724T111028.186687900.bin</t>
  </si>
  <si>
    <t>-756.173055799351 114.935147920427 -65.2921061313639</t>
  </si>
  <si>
    <t>-783.612103701183 110.69162495819 -177.743534867079</t>
  </si>
  <si>
    <t>-793.52431292008 105.537498860504 -275.732507240642</t>
  </si>
  <si>
    <t>-797.65035460752 99.9133323494116 -364.555799128977</t>
  </si>
  <si>
    <t>-796.634506058688 93.0652438707984 -453.383365005056</t>
  </si>
  <si>
    <t>-789.882512703585 82.001034036145 -577.289762241905</t>
  </si>
  <si>
    <t>-753.435724498833 72.2013222399528 -651.320959771096</t>
  </si>
  <si>
    <t>-787.276409257187 113.929453128065 -524.876943450512</t>
  </si>
  <si>
    <t>-752.96086548911 246.841063690058 -517.236473588212</t>
  </si>
  <si>
    <t>-709.391290959907 293.378608704551 -229.961173443191</t>
  </si>
  <si>
    <t>-473.468437614989 325.39588508818 -192.998748190648</t>
  </si>
  <si>
    <t>-798.431301775362 59.8103069785284 -520.652241062931</t>
  </si>
  <si>
    <t>-761.314202348947 210.318436519303 -69.0325709256855</t>
  </si>
  <si>
    <t>-759.977644214704 211.351058339986 334.516394567494</t>
  </si>
  <si>
    <t>-825.661245619253 196.72370289829 777.651591197377</t>
  </si>
  <si>
    <t>-685.601483296065 240.361215099483 837.370328394154</t>
  </si>
  <si>
    <t>-751.348177797923 19.5087264831809 -63.6044598393626</t>
  </si>
  <si>
    <t>-694.502640736052 -7.73550309058919 334.994378495222</t>
  </si>
  <si>
    <t>-724.891802237991 -33.1195879076427 780.947114642932</t>
  </si>
  <si>
    <t>-605.446039048248 -108.62809200448 852.490454055625</t>
  </si>
  <si>
    <t>9763-20170724T111028.219324400.bin</t>
  </si>
  <si>
    <t>-756.360707088834 114.705304346792 -65.2926449827717</t>
  </si>
  <si>
    <t>-783.857512016673 110.513722996498 -177.731838525237</t>
  </si>
  <si>
    <t>-793.842782716265 105.380612471103 -275.714494645575</t>
  </si>
  <si>
    <t>-798.044693726726 99.7676997222843 -364.535043657505</t>
  </si>
  <si>
    <t>-797.114615439107 92.9238849035846 -453.363626634753</t>
  </si>
  <si>
    <t>-790.492736926313 81.8594458362522 -577.277201131906</t>
  </si>
  <si>
    <t>-753.970294789683 72.0860894972134 -651.274542519357</t>
  </si>
  <si>
    <t>-787.831240839147 113.787955582474 -524.867297558929</t>
  </si>
  <si>
    <t>-753.42747732937 246.665672297614 -517.135125578193</t>
  </si>
  <si>
    <t>-709.458625125574 293.100693421783 -229.903896719398</t>
  </si>
  <si>
    <t>-473.483983439958 324.890148342755 -193.077372520332</t>
  </si>
  <si>
    <t>-798.982061590362 59.6688594942266 -520.630764917503</t>
  </si>
  <si>
    <t>-761.415996063947 210.207122705031 -69.0284958464372</t>
  </si>
  <si>
    <t>-760.240972915225 211.126142461868 334.521251033603</t>
  </si>
  <si>
    <t>-825.554898186297 196.726728141516 777.696857037105</t>
  </si>
  <si>
    <t>-685.447322893742 240.088584184673 837.504228635599</t>
  </si>
  <si>
    <t>-751.620788554153 19.2088337009095 -63.6325146763505</t>
  </si>
  <si>
    <t>-694.717351411087 -7.81870612561352 334.972755991994</t>
  </si>
  <si>
    <t>-724.96212878084 -33.2322278617635 780.949114560678</t>
  </si>
  <si>
    <t>-605.284740437053 -108.394755202389 852.470070665788</t>
  </si>
  <si>
    <t>9763-20170724T111028.285508500.bin</t>
  </si>
  <si>
    <t>-756.670064215685 114.403874009132 -65.3212109928189</t>
  </si>
  <si>
    <t>-784.308432617952 110.328731461384 -177.73001554638</t>
  </si>
  <si>
    <t>-794.395748951524 105.253031204019 -275.705253660859</t>
  </si>
  <si>
    <t>-798.682113464286 99.6763689052036 -364.523980973939</t>
  </si>
  <si>
    <t>-797.829551764726 92.8536394722769 -453.355135135537</t>
  </si>
  <si>
    <t>-791.30907217742 81.8034564367863 -577.275166835789</t>
  </si>
  <si>
    <t>-754.667694533143 72.1091514849736 -651.224223327363</t>
  </si>
  <si>
    <t>-788.646423776212 113.734143804615 -524.86670068081</t>
  </si>
  <si>
    <t>-754.397941974706 246.616374193865 -516.910997411455</t>
  </si>
  <si>
    <t>-709.708259838618 293.041419670289 -229.789506332699</t>
  </si>
  <si>
    <t>-473.619852604386 324.34626818297 -193.278051876121</t>
  </si>
  <si>
    <t>-799.710543588075 59.5978901851381 -520.621415884023</t>
  </si>
  <si>
    <t>-761.654707799108 209.96277250842 -68.9468066310794</t>
  </si>
  <si>
    <t>-760.628460127082 211.019453956086 334.603128761668</t>
  </si>
  <si>
    <t>-825.438849850526 196.811951543552 777.811077607576</t>
  </si>
  <si>
    <t>-685.363846931522 240.155224181958 837.708001916378</t>
  </si>
  <si>
    <t>-752.053504064714 18.8749893442177 -63.7468206329271</t>
  </si>
  <si>
    <t>-694.980781079416 -7.73501220600974 334.862379449162</t>
  </si>
  <si>
    <t>-724.96783593362 -33.1746656990031 780.876402240197</t>
  </si>
  <si>
    <t>-605.280391740486 -108.301034061724 852.418330674304</t>
  </si>
  <si>
    <t>9763-20170724T111028.321227200.bin</t>
  </si>
  <si>
    <t>-756.903292446461 114.354282420444 -65.3208310959299</t>
  </si>
  <si>
    <t>-784.558424717207 110.252104244425 -177.724418991458</t>
  </si>
  <si>
    <t>-794.606087012366 105.21918538163 -275.705996901489</t>
  </si>
  <si>
    <t>-798.833026992622 99.703958608125 -364.53135496049</t>
  </si>
  <si>
    <t>-797.896528103218 92.9640819738124 -453.367953439488</t>
  </si>
  <si>
    <t>-791.231737832601 82.050451961044 -577.29245147566</t>
  </si>
  <si>
    <t>-754.469357228908 72.4434740302722 -651.192764252752</t>
  </si>
  <si>
    <t>-788.634168784719 113.924200902588 -524.846110569886</t>
  </si>
  <si>
    <t>-754.459680065573 246.813763629279 -516.757511319742</t>
  </si>
  <si>
    <t>-709.743862262126 293.292077818345 -229.648619291142</t>
  </si>
  <si>
    <t>-473.580949196887 324.24675758348 -193.320356295881</t>
  </si>
  <si>
    <t>-799.694857552869 59.7817998016171 -520.672760291299</t>
  </si>
  <si>
    <t>-761.955110694338 209.914583420134 -68.940509378964</t>
  </si>
  <si>
    <t>-760.776383774721 211.055576046735 334.60869866263</t>
  </si>
  <si>
    <t>-825.41564547962 196.850705046089 777.83966747631</t>
  </si>
  <si>
    <t>-685.359834384557 240.270917639372 837.725779536544</t>
  </si>
  <si>
    <t>-752.144255836735 18.7432538030353 -63.7935212998414</t>
  </si>
  <si>
    <t>-695.032389768837 -7.7096074670194 334.820432649825</t>
  </si>
  <si>
    <t>-724.993375354025 -33.2228669864826 780.835165765964</t>
  </si>
  <si>
    <t>-605.180922686629 -108.142957776325 852.384326132521</t>
  </si>
  <si>
    <t>9763-20170724T111028.383395100.bin</t>
  </si>
  <si>
    <t>-757.024096532743 114.119415745956 -65.3791144659629</t>
  </si>
  <si>
    <t>-784.796781641207 109.973132675695 -177.752165486005</t>
  </si>
  <si>
    <t>-794.821685950109 104.980302664048 -275.738083078005</t>
  </si>
  <si>
    <t>-798.975596355838 99.525274123966 -364.570639252933</t>
  </si>
  <si>
    <t>-797.913316152783 92.8641427777229 -453.411722471255</t>
  </si>
  <si>
    <t>-791.018294163029 82.0753068195227 -577.334727212546</t>
  </si>
  <si>
    <t>-753.966944622734 72.5660438493437 -651.103104587769</t>
  </si>
  <si>
    <t>-788.454872054797 113.88352153358 -524.846739684636</t>
  </si>
  <si>
    <t>-754.122759519361 246.751635996286 -516.585839740056</t>
  </si>
  <si>
    <t>-709.707975605988 292.702561114826 -229.345545967495</t>
  </si>
  <si>
    <t>-473.478494200913 323.247489681587 -193.103319053869</t>
  </si>
  <si>
    <t>-799.650232651167 59.76225631122 -520.75790313356</t>
  </si>
  <si>
    <t>-762.127287197083 209.683370797113 -68.9969646918104</t>
  </si>
  <si>
    <t>-760.755581036961 211.061481453611 334.550891179387</t>
  </si>
  <si>
    <t>-825.360691776504 196.843738287845 777.837344607548</t>
  </si>
  <si>
    <t>-685.261002302399 240.203510338621 837.665273158124</t>
  </si>
  <si>
    <t>-752.210328455555 18.4459989243296 -63.8269025894333</t>
  </si>
  <si>
    <t>-694.979955054951 -7.60193844740161 334.796789570995</t>
  </si>
  <si>
    <t>-724.99303965356 -33.1060113469007 780.789133201305</t>
  </si>
  <si>
    <t>-605.33799227517 -108.245478883898 852.371437684603</t>
  </si>
  <si>
    <t>9763-20170724T111028.415482900.bin</t>
  </si>
  <si>
    <t>-756.992075680186 113.949220909159 -65.3974602255608</t>
  </si>
  <si>
    <t>-784.85083061192 109.816805638697 -177.749759484827</t>
  </si>
  <si>
    <t>-794.930850771885 104.813273758836 -275.729457958035</t>
  </si>
  <si>
    <t>-799.127746920703 99.3371845430779 -364.558653974361</t>
  </si>
  <si>
    <t>-798.10239509727 92.6423301492709 -453.397745750863</t>
  </si>
  <si>
    <t>-791.252912356517 81.7921799174455 -577.317784602584</t>
  </si>
  <si>
    <t>-754.071424400471 72.2738765711374 -651.019623568714</t>
  </si>
  <si>
    <t>-788.634312654621 113.619214735891 -524.843913947958</t>
  </si>
  <si>
    <t>-754.209563433133 246.454888685109 -516.586436463475</t>
  </si>
  <si>
    <t>-709.903010545653 292.119812048128 -229.283696267293</t>
  </si>
  <si>
    <t>-473.605893830344 322.189292506555 -193.085741310219</t>
  </si>
  <si>
    <t>-799.899603605642 59.5145305603969 -520.729457673307</t>
  </si>
  <si>
    <t>-762.056135514173 209.535032665254 -69.0037714224093</t>
  </si>
  <si>
    <t>-760.609367907431 211.008789509552 334.54352520337</t>
  </si>
  <si>
    <t>-825.341765278796 196.829437539752 777.814001233163</t>
  </si>
  <si>
    <t>-685.24567080375 240.267482196466 837.593322484071</t>
  </si>
  <si>
    <t>-752.278443495421 18.3219671200054 -63.8427541131365</t>
  </si>
  <si>
    <t>-694.966197598315 -7.62572830196859 334.775691183098</t>
  </si>
  <si>
    <t>-724.994296911702 -33.0504604592634 780.761307701917</t>
  </si>
  <si>
    <t>-605.423244217396 -108.305912874461 852.362068272866</t>
  </si>
  <si>
    <t>9763-20170724T111028.482664200.bin</t>
  </si>
  <si>
    <t>-757.078472348798 113.933854381814 -65.387712760891</t>
  </si>
  <si>
    <t>-785.092668599148 109.900238770607 -177.704858788127</t>
  </si>
  <si>
    <t>-795.294914032139 104.920270533833 -275.673042053846</t>
  </si>
  <si>
    <t>-799.599142601782 99.4419219263173 -364.49708846005</t>
  </si>
  <si>
    <t>-798.678270882256 92.7206045500693 -453.335182314488</t>
  </si>
  <si>
    <t>-791.973012709813 81.808430515478 -577.257708870574</t>
  </si>
  <si>
    <t>-754.539271965596 72.2738548640577 -650.829655859201</t>
  </si>
  <si>
    <t>-789.260470289754 113.654923512499 -524.800547027088</t>
  </si>
  <si>
    <t>-754.814501154993 246.476881533806 -516.497658248305</t>
  </si>
  <si>
    <t>-710.708877727144 291.589920629765 -229.076801621684</t>
  </si>
  <si>
    <t>-474.255941143765 320.824797162843 -193.212988446326</t>
  </si>
  <si>
    <t>-800.586887559512 59.5657344295842 -520.650611116954</t>
  </si>
  <si>
    <t>-762.030518427022 209.463097406765 -68.9843389125075</t>
  </si>
  <si>
    <t>-760.389595458044 210.907344511274 334.562269812789</t>
  </si>
  <si>
    <t>-825.278915643132 196.754469483962 777.794956802036</t>
  </si>
  <si>
    <t>-685.139631451202 240.167995250951 837.490452268425</t>
  </si>
  <si>
    <t>-752.549579281271 18.4599867066313 -63.8848497867228</t>
  </si>
  <si>
    <t>-695.143728485529 -7.58512410318372 334.713825857788</t>
  </si>
  <si>
    <t>-725.015672517294 -32.9949755772518 780.703817144448</t>
  </si>
  <si>
    <t>-605.325831242464 -108.043714248301 852.323024097226</t>
  </si>
  <si>
    <t>9763-20170724T111028.516300700.bin</t>
  </si>
  <si>
    <t>-757.098710283163 113.920913876739 -65.4042226873889</t>
  </si>
  <si>
    <t>-785.199201035719 109.918726030513 -177.700976689888</t>
  </si>
  <si>
    <t>-795.473198755725 104.968100788022 -275.663214920737</t>
  </si>
  <si>
    <t>-799.840926432216 99.5171721702568 -364.485834074413</t>
  </si>
  <si>
    <t>-798.982583505072 92.8245339023247 -453.326719478776</t>
  </si>
  <si>
    <t>-792.362627350217 81.9532018494551 -577.257403450069</t>
  </si>
  <si>
    <t>-754.840700573289 72.4373585443027 -650.786826878059</t>
  </si>
  <si>
    <t>-789.606251265291 113.78089129751 -524.791173191138</t>
  </si>
  <si>
    <t>-755.204788616456 246.61339895534 -516.417221343631</t>
  </si>
  <si>
    <t>-711.213567212225 291.451791854065 -228.935812595034</t>
  </si>
  <si>
    <t>-474.755929525318 320.732879080567 -193.14085797365</t>
  </si>
  <si>
    <t>-800.945371874364 59.6933915936911 -520.652075302952</t>
  </si>
  <si>
    <t>-761.982372374484 209.400276214295 -68.971902991688</t>
  </si>
  <si>
    <t>-760.207272870578 210.865855471862 334.574139392291</t>
  </si>
  <si>
    <t>-825.231550829854 196.703796674616 777.791407900914</t>
  </si>
  <si>
    <t>-684.975159711107 239.76745195052 837.465469156211</t>
  </si>
  <si>
    <t>-752.563734494843 18.4562850480697 -63.9313656396201</t>
  </si>
  <si>
    <t>-695.177775775252 -7.57054826310741 334.67140759578</t>
  </si>
  <si>
    <t>-725.041647508116 -33.0101467130976 780.683797432567</t>
  </si>
  <si>
    <t>-605.385257110088 -108.105183120397 852.310837896314</t>
  </si>
  <si>
    <t>9763-20170724T111028.583483100.bin</t>
  </si>
  <si>
    <t>-756.807266050026 113.702195522494 -65.4338087583357</t>
  </si>
  <si>
    <t>-785.059100959586 109.671255277468 -177.691644689354</t>
  </si>
  <si>
    <t>-795.462469581298 104.738556687932 -275.641002966122</t>
  </si>
  <si>
    <t>-799.945799895637 99.3185467628705 -364.459726564936</t>
  </si>
  <si>
    <t>-799.200276950185 92.6701890057002 -453.304959432939</t>
  </si>
  <si>
    <t>-792.735120597803 81.8736205067635 -577.250508813848</t>
  </si>
  <si>
    <t>-755.084160352792 72.4397149427914 -650.724373242961</t>
  </si>
  <si>
    <t>-789.909765585319 113.668931772772 -524.768059977508</t>
  </si>
  <si>
    <t>-755.621936345642 246.521266455411 -516.235207084445</t>
  </si>
  <si>
    <t>-711.612026327983 291.02515819957 -228.704743857753</t>
  </si>
  <si>
    <t>-475.213461316441 320.520742826423 -192.696578612659</t>
  </si>
  <si>
    <t>-801.250595008258 59.5804483562288 -520.648305168806</t>
  </si>
  <si>
    <t>-761.687392666061 209.147543989317 -68.9545366786856</t>
  </si>
  <si>
    <t>-759.727768190029 210.800019776704 334.589842248108</t>
  </si>
  <si>
    <t>-825.16952277811 196.690045783067 777.755663268794</t>
  </si>
  <si>
    <t>-684.967881567657 239.975899878767 837.397378505022</t>
  </si>
  <si>
    <t>-752.181016789786 18.1745865864482 -63.9730500375997</t>
  </si>
  <si>
    <t>-694.927330534147 -7.60357205792661 334.664928776246</t>
  </si>
  <si>
    <t>-725.059232931417 -32.8638012280021 780.668101909126</t>
  </si>
  <si>
    <t>-605.625019886766 -108.299152192983 852.307613102383</t>
  </si>
  <si>
    <t>9763-20170724T111028.619109800.bin</t>
  </si>
  <si>
    <t>-756.53340394517 113.466319343312 -65.4456838776503</t>
  </si>
  <si>
    <t>-784.839022125789 109.445602128498 -177.690282844563</t>
  </si>
  <si>
    <t>-795.299585566351 104.518466475135 -275.633990780299</t>
  </si>
  <si>
    <t>-799.83946969623 99.1015439809694 -364.449958351598</t>
  </si>
  <si>
    <t>-799.155262924112 92.4539486039284 -453.295877458662</t>
  </si>
  <si>
    <t>-792.78026643127 81.655616097446 -577.245686418139</t>
  </si>
  <si>
    <t>-755.104265961023 72.268755425659 -650.712777240818</t>
  </si>
  <si>
    <t>-789.917830485388 113.451971815696 -524.766024952748</t>
  </si>
  <si>
    <t>-755.689339626369 246.311715777027 -516.155649369136</t>
  </si>
  <si>
    <t>-711.432338090754 290.701782935613 -228.645580980996</t>
  </si>
  <si>
    <t>-475.084109356486 320.428593514724 -192.49749437281</t>
  </si>
  <si>
    <t>-801.253264509108 59.3628479271979 -520.63691290693</t>
  </si>
  <si>
    <t>-761.434956059971 208.985416626203 -68.9455319911364</t>
  </si>
  <si>
    <t>-759.534758123251 210.654816788435 334.599166292094</t>
  </si>
  <si>
    <t>-825.148984669147 196.70093468034 777.73484062873</t>
  </si>
  <si>
    <t>-684.992069837601 240.147705282408 837.364776712324</t>
  </si>
  <si>
    <t>-751.913313044595 17.8917398118679 -63.9925436279865</t>
  </si>
  <si>
    <t>-694.750663388805 -7.69608944911261 334.670666453596</t>
  </si>
  <si>
    <t>-725.068715536756 -32.7743785749367 780.668480056925</t>
  </si>
  <si>
    <t>-605.722658187573 -108.350133085384 852.307324863641</t>
  </si>
  <si>
    <t>9763-20170724T111028.685794700.bin</t>
  </si>
  <si>
    <t>-756.164052880168 113.008452042331 -65.4714820569683</t>
  </si>
  <si>
    <t>-784.469923271127 109.002594609532 -177.716557152219</t>
  </si>
  <si>
    <t>-794.957647796376 104.120378495989 -275.659435148089</t>
  </si>
  <si>
    <t>-799.531342654957 98.7563282179112 -364.476978190024</t>
  </si>
  <si>
    <t>-798.89069800224 92.1732699745885 -453.327960049941</t>
  </si>
  <si>
    <t>-792.586443388768 81.477048803667 -577.290252353917</t>
  </si>
  <si>
    <t>-754.905571924058 72.184048229949 -650.767013401469</t>
  </si>
  <si>
    <t>-789.684732648338 113.228257294501 -524.785447422736</t>
  </si>
  <si>
    <t>-755.384091224607 246.0436760235 -515.911377767074</t>
  </si>
  <si>
    <t>-710.118249915172 290.358484746393 -228.546763637912</t>
  </si>
  <si>
    <t>-473.814563207977 320.297376372173 -192.282316088732</t>
  </si>
  <si>
    <t>-801.036626363034 59.1395394014635 -520.695723384759</t>
  </si>
  <si>
    <t>-761.033194727513 208.699965006929 -68.9486922269199</t>
  </si>
  <si>
    <t>-759.420522206968 210.274613454279 334.597552972189</t>
  </si>
  <si>
    <t>-825.034220632333 196.685483544944 777.710566705755</t>
  </si>
  <si>
    <t>-684.940072093754 240.234962381369 837.412951363002</t>
  </si>
  <si>
    <t>-751.610169860418 17.2815048106149 -64.0094374513013</t>
  </si>
  <si>
    <t>-694.611542744518 -8.05377567445839 334.693414131931</t>
  </si>
  <si>
    <t>-725.217089265934 -32.9797595426367 780.698655024152</t>
  </si>
  <si>
    <t>-605.631277554622 -108.219848273405 852.290980130524</t>
  </si>
  <si>
    <t>9763-20170724T111028.716405800.bin</t>
  </si>
  <si>
    <t>-756.048930096253 112.902761302436 -65.4873419650165</t>
  </si>
  <si>
    <t>-784.294069690869 108.915371308859 -177.74830772194</t>
  </si>
  <si>
    <t>-794.731005054657 104.074799122362 -275.698864283323</t>
  </si>
  <si>
    <t>-799.259319859528 98.7588863049759 -364.52161178144</t>
  </si>
  <si>
    <t>-798.572450764673 92.2344716025177 -453.37649572407</t>
  </si>
  <si>
    <t>-792.202903050458 81.6308206012131 -577.34345155376</t>
  </si>
  <si>
    <t>-754.535768907151 72.3788399828295 -650.83246336406</t>
  </si>
  <si>
    <t>-789.326899696372 113.342448209495 -524.813323303722</t>
  </si>
  <si>
    <t>-754.916872087813 246.118133635478 -515.775084250541</t>
  </si>
  <si>
    <t>-708.773041910616 290.718529840153 -228.594494075482</t>
  </si>
  <si>
    <t>-472.51954242645 320.847697591383 -192.161884297558</t>
  </si>
  <si>
    <t>-800.684466506008 59.251398748022 -520.770139498899</t>
  </si>
  <si>
    <t>-760.80431943895 208.681753382133 -68.9580778278952</t>
  </si>
  <si>
    <t>-759.532602956898 210.118096568202 334.589956537955</t>
  </si>
  <si>
    <t>-824.947919949952 196.741821166451 777.730780051506</t>
  </si>
  <si>
    <t>-684.953167939706 240.466294352289 837.538991841986</t>
  </si>
  <si>
    <t>-751.576182576639 17.1173025693388 -64.0083270487557</t>
  </si>
  <si>
    <t>-694.595245051236 -8.13932642685131 334.702019639817</t>
  </si>
  <si>
    <t>-725.284585753615 -33.048431849727 780.720818590459</t>
  </si>
  <si>
    <t>-605.637778849717 -108.218898145105 852.284410689154</t>
  </si>
  <si>
    <t>9763-20170724T111028.782091600.bin</t>
  </si>
  <si>
    <t>-756.034382135151 112.820655746396 -65.4978196827835</t>
  </si>
  <si>
    <t>-784.064530389257 108.922833768559 -177.816012793184</t>
  </si>
  <si>
    <t>-794.313212623379 104.186052233056 -275.791320332124</t>
  </si>
  <si>
    <t>-798.669930792541 98.9759754344914 -364.628878771341</t>
  </si>
  <si>
    <t>-797.809534409225 92.5693237524615 -453.490868324772</t>
  </si>
  <si>
    <t>-791.194990663425 82.1437551622239 -577.460102546014</t>
  </si>
  <si>
    <t>-753.577765064779 72.925327638286 -650.978857004027</t>
  </si>
  <si>
    <t>-788.409798539208 113.777079996063 -524.878094199477</t>
  </si>
  <si>
    <t>-753.70249968355 246.465448260896 -515.519321436954</t>
  </si>
  <si>
    <t>-705.877169970511 291.59581963954 -228.696695338225</t>
  </si>
  <si>
    <t>-469.705188750199 322.229855170509 -192.155657227235</t>
  </si>
  <si>
    <t>-799.801628037602 59.6858395290587 -520.93682940671</t>
  </si>
  <si>
    <t>-760.455744191088 208.721307907862 -68.9360964404291</t>
  </si>
  <si>
    <t>-760.006603769416 209.908408586381 334.614509503495</t>
  </si>
  <si>
    <t>-824.804510509226 196.885788029454 777.80422270696</t>
  </si>
  <si>
    <t>-684.879256317111 240.527837257345 837.834199083042</t>
  </si>
  <si>
    <t>-751.921210432981 16.9133446058568 -64.0210429695752</t>
  </si>
  <si>
    <t>-694.828304825202 -8.23778440186061 334.680005622938</t>
  </si>
  <si>
    <t>-725.43211873245 -33.2867051988205 780.749369350075</t>
  </si>
  <si>
    <t>-605.416642167502 -107.925661992095 852.252175360307</t>
  </si>
  <si>
    <t>9763-20170724T111028.819921500.bin</t>
  </si>
  <si>
    <t>-756.144168086634 112.937261038355 -65.4720883972244</t>
  </si>
  <si>
    <t>-784.061409888129 109.085870473491 -177.819857554244</t>
  </si>
  <si>
    <t>-794.188834941071 104.383216344588 -275.809521012741</t>
  </si>
  <si>
    <t>-798.426014561772 99.2025942670739 -364.654663465096</t>
  </si>
  <si>
    <t>-797.437135062708 92.8242156867991 -453.517312042691</t>
  </si>
  <si>
    <t>-790.633244454338 82.4365818163556 -577.47954902453</t>
  </si>
  <si>
    <t>-753.030962235727 73.21073690498 -651.00480893743</t>
  </si>
  <si>
    <t>-787.926560898975 114.053395796569 -524.883275842342</t>
  </si>
  <si>
    <t>-753.094278998752 246.703314892558 -515.41308137862</t>
  </si>
  <si>
    <t>-704.516473171219 291.970203949351 -228.738597080779</t>
  </si>
  <si>
    <t>-468.345658496538 322.888476388759 -192.429392570839</t>
  </si>
  <si>
    <t>-799.327892183168 59.9617686113206 -520.976369042135</t>
  </si>
  <si>
    <t>-760.438583117344 208.832102171081 -68.9065951818634</t>
  </si>
  <si>
    <t>-760.282301487266 209.982129447791 334.644397075108</t>
  </si>
  <si>
    <t>-824.736229601353 196.981898964841 777.857954207673</t>
  </si>
  <si>
    <t>-684.87764549423 240.668792874631 838.010216427335</t>
  </si>
  <si>
    <t>-752.174056398368 17.0703248187738 -64.0268531708417</t>
  </si>
  <si>
    <t>-694.973411312663 -8.09902985876261 334.657557919899</t>
  </si>
  <si>
    <t>-725.427367331551 -33.1841589656678 780.74713521515</t>
  </si>
  <si>
    <t>-605.55527302321 -108.051513192773 852.251287091237</t>
  </si>
  <si>
    <t>9763-20170724T111028.885598900.bin</t>
  </si>
  <si>
    <t>-756.603785923976 113.203701381889 -65.4007089412038</t>
  </si>
  <si>
    <t>-784.311780548474 109.430130739164 -177.802896497519</t>
  </si>
  <si>
    <t>-794.184607230705 104.753960376295 -275.819819048867</t>
  </si>
  <si>
    <t>-798.162143969794 99.5815749506814 -364.677411851588</t>
  </si>
  <si>
    <t>-796.885681246091 93.1957569874094 -453.535999035527</t>
  </si>
  <si>
    <t>-789.652279564114 82.7814016594721 -577.471538999079</t>
  </si>
  <si>
    <t>-752.032175671333 73.4770138249182 -650.977910152651</t>
  </si>
  <si>
    <t>-787.130402030163 114.410272371976 -524.873256727562</t>
  </si>
  <si>
    <t>-752.200304688332 247.025490113281 -515.293104193725</t>
  </si>
  <si>
    <t>-702.036488892639 292.761149204459 -228.966255025675</t>
  </si>
  <si>
    <t>-465.902908821177 324.214701306782 -192.876769135421</t>
  </si>
  <si>
    <t>-798.540268025168 60.3183525680961 -520.993901864188</t>
  </si>
  <si>
    <t>-760.772467342958 209.068643642636 -68.8326480331982</t>
  </si>
  <si>
    <t>-760.713950063471 210.208203884647 334.718289350382</t>
  </si>
  <si>
    <t>-824.621180164554 197.091942209138 777.978591010115</t>
  </si>
  <si>
    <t>-684.744910727272 240.503197235972 838.28943675418</t>
  </si>
  <si>
    <t>-752.790274262594 17.3021123747894 -64.0148281439875</t>
  </si>
  <si>
    <t>-695.328044391478 -7.88631626794313 334.630729417697</t>
  </si>
  <si>
    <t>-725.49597652552 -33.2916749306642 780.740939534371</t>
  </si>
  <si>
    <t>-605.509448231405 -107.98266729648 852.237780143686</t>
  </si>
  <si>
    <t>9763-20170724T111028.918195200.bin</t>
  </si>
  <si>
    <t>-756.823288679736 113.387960070627 -65.3706572769985</t>
  </si>
  <si>
    <t>-784.461352648222 109.614734175504 -177.78995853877</t>
  </si>
  <si>
    <t>-794.220995000443 104.917519599703 -275.817286621394</t>
  </si>
  <si>
    <t>-798.076251088933 99.7171194692964 -364.678590493395</t>
  </si>
  <si>
    <t>-796.656831559878 93.2936321914299 -453.532211945448</t>
  </si>
  <si>
    <t>-789.203734072469 82.8166036921875 -577.449462402574</t>
  </si>
  <si>
    <t>-751.555109673018 73.4384001919584 -650.931935891149</t>
  </si>
  <si>
    <t>-786.777031191899 114.472217612367 -524.863046911486</t>
  </si>
  <si>
    <t>-751.824526770768 247.080071677494 -515.295960051144</t>
  </si>
  <si>
    <t>-700.900528686886 293.245687682962 -229.172336107325</t>
  </si>
  <si>
    <t>-464.820799249676 324.909276879876 -192.914309301524</t>
  </si>
  <si>
    <t>-798.190199644783 60.3816896181443 -520.976279759659</t>
  </si>
  <si>
    <t>-760.955676312457 209.236972009145 -68.8228413831928</t>
  </si>
  <si>
    <t>-761.014190702208 210.354965577853 334.728191163946</t>
  </si>
  <si>
    <t>-824.601205996159 197.158996029361 778.024899505539</t>
  </si>
  <si>
    <t>-684.794251798352 240.75482129602 838.363427914215</t>
  </si>
  <si>
    <t>-753.032114553168 17.4789571535152 -63.9997596023412</t>
  </si>
  <si>
    <t>-695.435736577323 -7.67682177179586 334.628522958879</t>
  </si>
  <si>
    <t>-725.450650192095 -33.0866585509093 780.728646485418</t>
  </si>
  <si>
    <t>-605.678050879216 -108.104306728411 852.242135594242</t>
  </si>
  <si>
    <t>9763-20170724T111028.982868700.bin</t>
  </si>
  <si>
    <t>-757.213665338285 113.701955290276 -65.346476872357</t>
  </si>
  <si>
    <t>-784.708701626514 109.919517752339 -177.800607564139</t>
  </si>
  <si>
    <t>-794.242947980978 105.152515910357 -275.846570358436</t>
  </si>
  <si>
    <t>-797.854785421112 99.8616633191978 -364.712827744252</t>
  </si>
  <si>
    <t>-796.154964495405 93.3186922924583 -453.552926000424</t>
  </si>
  <si>
    <t>-788.272943099498 82.6435489115052 -577.426690171612</t>
  </si>
  <si>
    <t>-750.579249412582 73.0430551971899 -650.857172522002</t>
  </si>
  <si>
    <t>-786.014258561129 114.380504672348 -524.881718647063</t>
  </si>
  <si>
    <t>-750.972432471126 246.973757717532 -515.429436586731</t>
  </si>
  <si>
    <t>-698.783451617091 294.159584019286 -229.700532644863</t>
  </si>
  <si>
    <t>-462.873074774579 326.422738774479 -192.871719720002</t>
  </si>
  <si>
    <t>-797.468732576057 60.3018090268201 -520.950178356563</t>
  </si>
  <si>
    <t>-761.373918754475 209.610527187536 -68.8342072615441</t>
  </si>
  <si>
    <t>-761.661388107737 210.660337077757 334.716898832039</t>
  </si>
  <si>
    <t>-824.573705411393 197.277367727657 778.107576022402</t>
  </si>
  <si>
    <t>-684.807036619045 240.974903638225 838.465578465584</t>
  </si>
  <si>
    <t>-753.391228699925 17.771634648991 -63.9603898051596</t>
  </si>
  <si>
    <t>-695.608969916557 -7.44619477719243 334.637071094616</t>
  </si>
  <si>
    <t>-725.475476659975 -33.0567432488647 780.71894046562</t>
  </si>
  <si>
    <t>-605.689708770554 -108.043003010793 852.242965016977</t>
  </si>
  <si>
    <t>9763-20170724T111029.018990900.bin</t>
  </si>
  <si>
    <t>-757.44135719292 113.940460092022 -65.3495969727406</t>
  </si>
  <si>
    <t>-784.851862043268 110.128383460409 -177.823429752461</t>
  </si>
  <si>
    <t>-794.271617659958 105.311048804612 -275.87815127858</t>
  </si>
  <si>
    <t>-797.764515832177 99.9627635963075 -364.745574285178</t>
  </si>
  <si>
    <t>-795.93099576396 93.349865044087 -453.577763112377</t>
  </si>
  <si>
    <t>-787.847817648457 82.5625837109037 -577.428938808047</t>
  </si>
  <si>
    <t>-750.148748288075 72.8451212143423 -650.841236524797</t>
  </si>
  <si>
    <t>-785.663243242288 114.344596998394 -524.908135688829</t>
  </si>
  <si>
    <t>-750.535473663891 246.913024562959 -515.522395770593</t>
  </si>
  <si>
    <t>-697.887779944582 294.516050730081 -229.946895747212</t>
  </si>
  <si>
    <t>-462.052223345024 327.083255581807 -192.908829560353</t>
  </si>
  <si>
    <t>-797.146406552533 60.2741906556871 -520.948182341525</t>
  </si>
  <si>
    <t>-761.686508372947 209.908422297418 -68.8521829473997</t>
  </si>
  <si>
    <t>-761.981257892438 210.803853700184 334.699280817623</t>
  </si>
  <si>
    <t>-824.548793605349 197.300065345631 778.147318857544</t>
  </si>
  <si>
    <t>-684.730597911975 240.825994943006 838.509888372514</t>
  </si>
  <si>
    <t>-753.55565702932 17.9790666071326 -63.9383264405654</t>
  </si>
  <si>
    <t>-695.716186796738 -7.30833404015493 334.646432348692</t>
  </si>
  <si>
    <t>-725.489339644955 -33.0037466586864 780.726500518456</t>
  </si>
  <si>
    <t>-605.736959372262 -108.045917922568 852.248259119278</t>
  </si>
  <si>
    <t>9763-20170724T111029.083165800.bin</t>
  </si>
  <si>
    <t>-757.911259194457 114.480716288837 -65.3394630420217</t>
  </si>
  <si>
    <t>-785.141560823848 110.621067143261 -177.855513200444</t>
  </si>
  <si>
    <t>-794.335028475099 105.680206283952 -275.92538945902</t>
  </si>
  <si>
    <t>-797.597455190401 100.186316303113 -364.792790472865</t>
  </si>
  <si>
    <t>-795.509914303184 93.3917891658671 -453.605596136572</t>
  </si>
  <si>
    <t>-787.049082478295 82.3132488276397 -577.405921293901</t>
  </si>
  <si>
    <t>-749.402038706844 72.3424525546639 -650.810949758772</t>
  </si>
  <si>
    <t>-784.99774241828 114.213464226102 -524.951280935051</t>
  </si>
  <si>
    <t>-749.653667936878 246.747033665109 -515.789730745111</t>
  </si>
  <si>
    <t>-695.695903154038 295.163222705571 -230.595575062483</t>
  </si>
  <si>
    <t>-460.041563748017 328.418607792175 -193.019383290884</t>
  </si>
  <si>
    <t>-796.546480257725 60.1633923192348 -520.903639304947</t>
  </si>
  <si>
    <t>-762.172088681459 210.438050422176 -68.8915192700329</t>
  </si>
  <si>
    <t>-762.528086043152 211.11792613653 334.660321419156</t>
  </si>
  <si>
    <t>-824.462236036379 197.37312064978 778.222325722748</t>
  </si>
  <si>
    <t>-684.675402570578 240.913935563451 838.646777489213</t>
  </si>
  <si>
    <t>-753.969687907836 18.5085720690968 -63.8604834378698</t>
  </si>
  <si>
    <t>-696.022053178923 -7.01468985478232 334.693509159032</t>
  </si>
  <si>
    <t>-725.547555797118 -32.9347317393017 780.755310502411</t>
  </si>
  <si>
    <t>-605.7786151768 -107.970165218652 852.256110704935</t>
  </si>
  <si>
    <t>9763-20170724T111029.118318600.bin</t>
  </si>
  <si>
    <t>-758.08057991375 114.735507618881 -65.3262044660371</t>
  </si>
  <si>
    <t>-785.213386278851 110.836652854485 -177.864253240339</t>
  </si>
  <si>
    <t>-794.285916089455 105.811120766122 -275.941297782804</t>
  </si>
  <si>
    <t>-797.425496427056 100.219244322409 -364.806933853057</t>
  </si>
  <si>
    <t>-795.203415771464 93.3051331987685 -453.607348346385</t>
  </si>
  <si>
    <t>-786.543586045369 82.03587778153 -577.376615751443</t>
  </si>
  <si>
    <t>-748.934766032248 71.9384775990975 -650.783815685606</t>
  </si>
  <si>
    <t>-784.563504331679 114.0140380171 -524.966839645872</t>
  </si>
  <si>
    <t>-749.057360021869 246.510867564222 -515.932603377835</t>
  </si>
  <si>
    <t>-694.197269434124 295.607850133032 -231.027293747592</t>
  </si>
  <si>
    <t>-458.672906702395 329.324374177299 -193.049243892015</t>
  </si>
  <si>
    <t>-796.145119662008 59.975822729044 -520.856881518061</t>
  </si>
  <si>
    <t>-762.296074926659 210.707435351711 -68.9028045691973</t>
  </si>
  <si>
    <t>-762.653991591947 211.316330327858 334.649125445267</t>
  </si>
  <si>
    <t>-824.407859813561 197.445856355333 778.259832730816</t>
  </si>
  <si>
    <t>-684.644897091372 240.968609830201 838.752961519677</t>
  </si>
  <si>
    <t>-754.152909825296 18.7444969620169 -63.7941071934108</t>
  </si>
  <si>
    <t>-696.13466439833 -6.97769238882074 334.736799576141</t>
  </si>
  <si>
    <t>-725.67317159339 -33.1897872906106 780.792164701568</t>
  </si>
  <si>
    <t>-605.724998369964 -107.962997426026 852.267477328715</t>
  </si>
  <si>
    <t>9763-20170724T111029.184975900.bin</t>
  </si>
  <si>
    <t>-758.287968417926 115.443116289942 -65.2449627596919</t>
  </si>
  <si>
    <t>-785.236683608563 111.481461617166 -177.825054123738</t>
  </si>
  <si>
    <t>-794.057560887595 106.243479111775 -275.913891783665</t>
  </si>
  <si>
    <t>-796.936935650359 100.395528761397 -364.771983354201</t>
  </si>
  <si>
    <t>-794.426055893857 93.1615115233021 -453.539124872805</t>
  </si>
  <si>
    <t>-785.336285485864 81.3776916873558 -577.22960334786</t>
  </si>
  <si>
    <t>-747.806185580691 70.9983153913558 -650.637920889976</t>
  </si>
  <si>
    <t>-783.516737482493 113.568991065676 -524.944656681</t>
  </si>
  <si>
    <t>-747.782194919779 246.040667710028 -516.351163746563</t>
  </si>
  <si>
    <t>-690.739589384135 296.941428585403 -232.192084876188</t>
  </si>
  <si>
    <t>-455.511913041723 331.785878635392 -193.400249161452</t>
  </si>
  <si>
    <t>-795.15565873475 59.5570476252983 -520.654342098217</t>
  </si>
  <si>
    <t>-762.421540652977 211.362522518019 -68.8966352490224</t>
  </si>
  <si>
    <t>-762.677755917687 211.915478769709 334.655428096182</t>
  </si>
  <si>
    <t>-824.295735084369 197.572784514354 778.306675201028</t>
  </si>
  <si>
    <t>-684.613262976198 241.177694635758 838.926203592452</t>
  </si>
  <si>
    <t>-754.466230378962 19.5224191777352 -63.6304852649074</t>
  </si>
  <si>
    <t>-696.217018593075 -6.64498949562994 334.837852832979</t>
  </si>
  <si>
    <t>-725.775751650429 -33.2634545415967 780.845366133898</t>
  </si>
  <si>
    <t>-605.861661740938 -108.099812973948 852.311657096274</t>
  </si>
  <si>
    <t>9763-20170724T111029.217266500.bin</t>
  </si>
  <si>
    <t>-758.349481695604 115.863326510608 -65.2016333232273</t>
  </si>
  <si>
    <t>-785.218288502007 111.87939831005 -177.800101051217</t>
  </si>
  <si>
    <t>-793.93854831175 106.506261737171 -275.890621299952</t>
  </si>
  <si>
    <t>-796.718339391815 100.489908573269 -364.740628436453</t>
  </si>
  <si>
    <t>-794.101107274762 93.0404222288357 -453.486921471023</t>
  </si>
  <si>
    <t>-784.85838037797 80.907255857685 -577.132185987023</t>
  </si>
  <si>
    <t>-747.383164667701 70.3681104962002 -650.545681728669</t>
  </si>
  <si>
    <t>-783.084038562539 113.242323675746 -524.934451857429</t>
  </si>
  <si>
    <t>-747.249847795953 245.702137172842 -516.65998956831</t>
  </si>
  <si>
    <t>-689.243028733022 297.698503976777 -232.894536882976</t>
  </si>
  <si>
    <t>-454.143508368313 332.769215734828 -193.5360929636</t>
  </si>
  <si>
    <t>-794.767379884893 59.2506646535076 -520.509658489181</t>
  </si>
  <si>
    <t>-762.433520598594 211.718667655246 -68.884995398973</t>
  </si>
  <si>
    <t>-762.581568978548 212.223883382422 334.667263945444</t>
  </si>
  <si>
    <t>-824.245752408224 197.609246230226 778.312736342915</t>
  </si>
  <si>
    <t>-684.537472489777 241.072875775746 838.973921341137</t>
  </si>
  <si>
    <t>-754.581226475071 20.0044688480734 -63.5568622596309</t>
  </si>
  <si>
    <t>-696.178053051157 -6.3975151078148 334.873457653071</t>
  </si>
  <si>
    <t>-725.758793984723 -33.1148169059738 780.858258017308</t>
  </si>
  <si>
    <t>-606.054318680745 -108.267501589945 852.344064811972</t>
  </si>
  <si>
    <t>9763-20170724T111029.283954200.bin</t>
  </si>
  <si>
    <t>-758.45164223328 116.432573662956 -65.1063345468485</t>
  </si>
  <si>
    <t>-785.183156945557 112.377916450212 -177.734936076284</t>
  </si>
  <si>
    <t>-793.745003439125 106.721794674069 -275.823472480295</t>
  </si>
  <si>
    <t>-796.372981481447 100.360399657136 -364.653988832884</t>
  </si>
  <si>
    <t>-793.600136744322 92.4759357100279 -453.358079704613</t>
  </si>
  <si>
    <t>-784.14124073604 79.6411977477005 -576.91606357876</t>
  </si>
  <si>
    <t>-746.863571947786 68.8192682794565 -650.389061853622</t>
  </si>
  <si>
    <t>-782.40030470753 112.259852297345 -524.894039137503</t>
  </si>
  <si>
    <t>-746.259537928121 244.670012191451 -517.230819427461</t>
  </si>
  <si>
    <t>-686.729756828952 298.718965095269 -234.165179376947</t>
  </si>
  <si>
    <t>-451.744836866039 333.397226675302 -193.786866436855</t>
  </si>
  <si>
    <t>-794.206931658479 58.318457272369 -520.194678383853</t>
  </si>
  <si>
    <t>-762.473124149064 212.273224752795 -68.8969051516339</t>
  </si>
  <si>
    <t>-762.459741785872 212.627266037511 334.655480983828</t>
  </si>
  <si>
    <t>-824.167029301399 197.685194734439 778.296447918851</t>
  </si>
  <si>
    <t>-684.501790255929 241.214888652038 839.009227724953</t>
  </si>
  <si>
    <t>-754.719840562627 20.5331380208431 -63.4088382893639</t>
  </si>
  <si>
    <t>-696.142866674047 -6.16190176623513 334.976439355917</t>
  </si>
  <si>
    <t>-725.847827607681 -33.1838352467821 780.906138093625</t>
  </si>
  <si>
    <t>-605.94702227674 -108.035012036319 852.37923996855</t>
  </si>
  <si>
    <t>9763-20170724T111029.321552000.bin</t>
  </si>
  <si>
    <t>-758.392658876556 116.633530559364 -65.1013887092347</t>
  </si>
  <si>
    <t>-785.083897640455 112.552319739777 -177.738630032745</t>
  </si>
  <si>
    <t>-793.580268905798 106.784464658858 -275.826360103676</t>
  </si>
  <si>
    <t>-796.139281673331 100.284929595571 -364.648949644706</t>
  </si>
  <si>
    <t>-793.290640027249 92.2240244397458 -453.334642910583</t>
  </si>
  <si>
    <t>-783.720981332453 79.1014759630584 -576.854038482202</t>
  </si>
  <si>
    <t>-746.595126937379 68.1791936930294 -650.388803232465</t>
  </si>
  <si>
    <t>-781.984650895389 111.832258801667 -524.902278770909</t>
  </si>
  <si>
    <t>-745.634097125144 244.198469563055 -517.499942177958</t>
  </si>
  <si>
    <t>-685.532071045081 298.912368000232 -234.6831257872</t>
  </si>
  <si>
    <t>-450.567279589591 333.374467225498 -194.004253733477</t>
  </si>
  <si>
    <t>-793.879942152167 57.9196516633465 -520.096302114</t>
  </si>
  <si>
    <t>-762.38866924587 212.482023886149 -68.9253577157715</t>
  </si>
  <si>
    <t>-762.396378883588 212.745135907807 334.627113952953</t>
  </si>
  <si>
    <t>-824.126776494177 197.69864534392 778.27011643248</t>
  </si>
  <si>
    <t>-684.422734798896 241.089804037016 838.992999648134</t>
  </si>
  <si>
    <t>-754.676068505286 20.7551574994577 -63.362516793034</t>
  </si>
  <si>
    <t>-696.046637871624 -6.03934179510497 335.008327626904</t>
  </si>
  <si>
    <t>-725.845874573378 -33.0850685143828 780.912478688536</t>
  </si>
  <si>
    <t>-606.089089309194 -108.145723872634 852.407446660781</t>
  </si>
  <si>
    <t>9763-20170724T111029.381212000.bin</t>
  </si>
  <si>
    <t>-758.012801629151 116.724360115544 -65.1276922445886</t>
  </si>
  <si>
    <t>-784.588105637868 112.637931486054 -177.792132748145</t>
  </si>
  <si>
    <t>-792.931259432654 106.711630959815 -275.883547875298</t>
  </si>
  <si>
    <t>-795.335457353582 100.005798491925 -364.695148008381</t>
  </si>
  <si>
    <t>-792.319616270645 91.6742306922079 -453.350263962206</t>
  </si>
  <si>
    <t>-782.507257237854 78.1054860937129 -576.802369258545</t>
  </si>
  <si>
    <t>-745.885665469566 67.1192424260353 -650.580397514265</t>
  </si>
  <si>
    <t>-780.791768911449 111.006777247578 -524.957531197708</t>
  </si>
  <si>
    <t>-744.051922510703 243.285355385652 -517.936989240733</t>
  </si>
  <si>
    <t>-682.698681909162 298.483250395282 -235.483116603591</t>
  </si>
  <si>
    <t>-447.700701387303 332.594038161439 -194.699327406139</t>
  </si>
  <si>
    <t>-792.858251430101 57.1461967223381 -519.996804315219</t>
  </si>
  <si>
    <t>-761.79516271922 212.63244592541 -68.9884387742446</t>
  </si>
  <si>
    <t>-762.07773139588 212.844667156641 334.563944292759</t>
  </si>
  <si>
    <t>-824.058274463972 197.736574983144 778.191945623281</t>
  </si>
  <si>
    <t>-684.441212774091 241.391860862609 838.925339315665</t>
  </si>
  <si>
    <t>-754.460630626393 20.7900299752205 -63.3288657214819</t>
  </si>
  <si>
    <t>-695.804173044966 -6.06196678745937 335.034068540505</t>
  </si>
  <si>
    <t>-725.929071819495 -33.2377876432124 780.905780997987</t>
  </si>
  <si>
    <t>-606.165914136647 -108.251871819775 852.438831002307</t>
  </si>
  <si>
    <t>9763-20170724T111029.416820700.bin</t>
  </si>
  <si>
    <t>-757.763633375974 116.680431086429 -65.1513321279209</t>
  </si>
  <si>
    <t>-784.288767288954 112.65112201282 -177.829549873982</t>
  </si>
  <si>
    <t>-792.555544969411 106.714777648658 -275.926931833136</t>
  </si>
  <si>
    <t>-794.878749692778 99.9766572109575 -364.738130225466</t>
  </si>
  <si>
    <t>-791.771762038041 91.5889492778037 -453.384919525681</t>
  </si>
  <si>
    <t>-781.822415437686 77.9169787982023 -576.814610941547</t>
  </si>
  <si>
    <t>-745.552453569593 67.0109970923036 -650.777801603269</t>
  </si>
  <si>
    <t>-780.134918369372 110.855131904472 -524.99242037389</t>
  </si>
  <si>
    <t>-743.24026088965 243.093240810088 -518.069401999408</t>
  </si>
  <si>
    <t>-681.259721097085 298.380694206698 -235.770124545158</t>
  </si>
  <si>
    <t>-446.202795089672 332.269273131969 -195.142050310291</t>
  </si>
  <si>
    <t>-792.266386816927 57.0115012332326 -520.006133360545</t>
  </si>
  <si>
    <t>-761.482200854053 212.618668573204 -69.0073464202762</t>
  </si>
  <si>
    <t>-761.863702213403 212.754520949654 334.545043051379</t>
  </si>
  <si>
    <t>-824.01778885267 197.696278337895 778.14884291592</t>
  </si>
  <si>
    <t>-684.32441181313 241.133187219769 838.863973683197</t>
  </si>
  <si>
    <t>-754.364794316668 20.7722437542393 -63.3543227024883</t>
  </si>
  <si>
    <t>-695.741423364796 -6.0531037580904 335.015348360452</t>
  </si>
  <si>
    <t>-725.897944397422 -33.0726153022879 780.888519355169</t>
  </si>
  <si>
    <t>-606.249305289354 -108.243352313457 852.448892603394</t>
  </si>
  <si>
    <t>9763-20170724T111029.484502400.bin</t>
  </si>
  <si>
    <t>-757.354301944858 116.324893185802 -65.1899446310833</t>
  </si>
  <si>
    <t>-783.754103327081 112.431220184963 -177.902366293209</t>
  </si>
  <si>
    <t>-791.872400644781 106.553880276596 -276.015662720921</t>
  </si>
  <si>
    <t>-794.04646769743 99.8487046390082 -364.833243151539</t>
  </si>
  <si>
    <t>-790.776354147088 91.4729939834842 -453.475151231448</t>
  </si>
  <si>
    <t>-780.586238105623 77.7964493350551 -576.884675852388</t>
  </si>
  <si>
    <t>-745.16984997957 67.2469305258728 -651.311923960437</t>
  </si>
  <si>
    <t>-778.954773679975 110.726829448043 -525.055694725467</t>
  </si>
  <si>
    <t>-741.84883077154 242.912395850516 -518.102122161212</t>
  </si>
  <si>
    <t>-679.0324133051 297.917313792553 -235.932430087632</t>
  </si>
  <si>
    <t>-443.638548115276 330.891291374405 -196.519645475094</t>
  </si>
  <si>
    <t>-791.185935540453 56.9029741877189 -520.100739844367</t>
  </si>
  <si>
    <t>-760.818379941099 212.275907840252 -69.0194253461332</t>
  </si>
  <si>
    <t>-761.518536730659 212.455993161501 334.532511332198</t>
  </si>
  <si>
    <t>-824.035584699601 197.644764276424 778.069021304972</t>
  </si>
  <si>
    <t>-684.458631810674 241.668298623276 838.629023090587</t>
  </si>
  <si>
    <t>-754.255729907621 20.4323080933941 -63.4572934335823</t>
  </si>
  <si>
    <t>-695.894444060376 -6.38397279877609 334.951431851578</t>
  </si>
  <si>
    <t>-725.96844664278 -33.125718838513 780.868637198372</t>
  </si>
  <si>
    <t>-606.279454136031 -108.210597412476 852.451759990794</t>
  </si>
  <si>
    <t>9763-20170724T111029.517092700.bin</t>
  </si>
  <si>
    <t>-757.159902463165 116.177737243221 -65.2149543664348</t>
  </si>
  <si>
    <t>-783.506929445169 112.350351208136 -177.942017883812</t>
  </si>
  <si>
    <t>-791.566272264407 106.54534297688 -276.064516074395</t>
  </si>
  <si>
    <t>-793.681164756933 99.9114414632645 -364.888836517002</t>
  </si>
  <si>
    <t>-790.346005085353 91.6135931832146 -453.53565134867</t>
  </si>
  <si>
    <t>-780.057932451681 78.051916264601 -576.94981463499</t>
  </si>
  <si>
    <t>-745.115975760594 67.7796458890734 -651.639717163351</t>
  </si>
  <si>
    <t>-778.459616125048 110.932124242109 -525.088027310392</t>
  </si>
  <si>
    <t>-741.325230591974 243.098619220874 -518.009014251549</t>
  </si>
  <si>
    <t>-678.378167683288 297.684438976938 -235.786982940101</t>
  </si>
  <si>
    <t>-442.651998776861 329.527394173336 -197.44585576981</t>
  </si>
  <si>
    <t>-790.710820417118 57.1070606846779 -520.194654990945</t>
  </si>
  <si>
    <t>-760.562886997104 212.052993461336 -69.032013567434</t>
  </si>
  <si>
    <t>-761.368571224068 212.157110306543 334.51972254443</t>
  </si>
  <si>
    <t>-824.037550001788 197.517677261619 778.02834468825</t>
  </si>
  <si>
    <t>-684.408047501635 241.545065278989 838.463780663584</t>
  </si>
  <si>
    <t>-754.106702992984 20.4085198373109 -63.5271648182129</t>
  </si>
  <si>
    <t>-695.988121289974 -6.5351939955799 334.908485805335</t>
  </si>
  <si>
    <t>-725.954525830738 -32.9702067623393 780.857642050735</t>
  </si>
  <si>
    <t>-606.463504990336 -108.353492302952 852.457645675454</t>
  </si>
  <si>
    <t>9763-20170724T111029.586281900.bin</t>
  </si>
  <si>
    <t>-756.568386918874 115.316711406387 -65.3179691065747</t>
  </si>
  <si>
    <t>-782.89081021451 111.58640579898 -178.054126980553</t>
  </si>
  <si>
    <t>-790.899702585323 106.002347938133 -276.193434231891</t>
  </si>
  <si>
    <t>-792.953135838276 99.6220867436527 -365.037823523092</t>
  </si>
  <si>
    <t>-789.537153601857 91.6309232223302 -453.709733266566</t>
  </si>
  <si>
    <t>-779.11478284617 78.5530467242875 -577.164836128383</t>
  </si>
  <si>
    <t>-745.183822712859 69.0205308588656 -652.416731845484</t>
  </si>
  <si>
    <t>-777.608700543845 111.237644015774 -525.176779268658</t>
  </si>
  <si>
    <t>-740.670981850987 243.436920373465 -517.587819349588</t>
  </si>
  <si>
    <t>-677.606592267843 296.488108376749 -235.099424508903</t>
  </si>
  <si>
    <t>-441.265606213775 326.462837810524 -199.107664257043</t>
  </si>
  <si>
    <t>-789.793286743355 57.3782450496678 -520.499935387075</t>
  </si>
  <si>
    <t>-759.828633538187 211.175464274568 -69.0582403888717</t>
  </si>
  <si>
    <t>-761.398396771378 211.227144308402 334.491234797371</t>
  </si>
  <si>
    <t>-824.04895129998 197.285417853819 777.967121768671</t>
  </si>
  <si>
    <t>-684.309794988085 241.303926467232 838.155622974197</t>
  </si>
  <si>
    <t>-753.563767346271 19.4215214437118 -63.7036638209092</t>
  </si>
  <si>
    <t>-696.171978472507 -7.26597087991286 334.85449307296</t>
  </si>
  <si>
    <t>-726.103707815188 -33.1879259094426 780.878142880171</t>
  </si>
  <si>
    <t>-606.423749138524 -108.305342548692 852.441748046916</t>
  </si>
  <si>
    <t>9763-20170724T111029.618948300.bin</t>
  </si>
  <si>
    <t>-756.242880809304 114.668718980604 -65.3995397087459</t>
  </si>
  <si>
    <t>-782.542573125585 110.95661582113 -178.141701286521</t>
  </si>
  <si>
    <t>-790.540708437945 105.502813773022 -276.28920713167</t>
  </si>
  <si>
    <t>-792.584996367444 99.2845323725996 -365.145201136475</t>
  </si>
  <si>
    <t>-789.158319820457 91.5000525303026 -453.835114829205</t>
  </si>
  <si>
    <t>-778.716421940075 78.7568993429718 -577.323507582737</t>
  </si>
  <si>
    <t>-745.296177460871 69.6726278647293 -652.858924878163</t>
  </si>
  <si>
    <t>-777.269715901695 111.311262632806 -525.252245090835</t>
  </si>
  <si>
    <t>-740.54263115178 243.548696741194 -517.304974877164</t>
  </si>
  <si>
    <t>-677.276768441717 295.502330895067 -234.657784138978</t>
  </si>
  <si>
    <t>-440.634380256252 324.823561183026 -200.140460466445</t>
  </si>
  <si>
    <t>-789.353186221947 57.4175603295903 -520.71249630328</t>
  </si>
  <si>
    <t>-759.561930108548 210.553811897121 -69.0812185160169</t>
  </si>
  <si>
    <t>-761.558408542705 210.68662259403 334.466402657754</t>
  </si>
  <si>
    <t>-824.019616339669 197.183390998968 777.959126029421</t>
  </si>
  <si>
    <t>-684.250851971397 241.184884680441 838.091175056645</t>
  </si>
  <si>
    <t>-753.164830804336 18.745034940845 -63.8252251826266</t>
  </si>
  <si>
    <t>-696.208658996126 -7.65650767732132 334.814481283259</t>
  </si>
  <si>
    <t>-726.127923803012 -33.1079541380504 780.892263586482</t>
  </si>
  <si>
    <t>-606.514229642987 -108.353988817882 852.431719936456</t>
  </si>
  <si>
    <t>9763-20170724T111029.652036200.bin</t>
  </si>
  <si>
    <t>-755.892663940258 113.904423029532 -65.4893977579972</t>
  </si>
  <si>
    <t>-782.190982767539 110.193892916832 -178.231890092737</t>
  </si>
  <si>
    <t>-790.191441069075 104.886744354453 -276.387171242299</t>
  </si>
  <si>
    <t>-792.235235747469 98.8573946508841 -365.256225221656</t>
  </si>
  <si>
    <t>-788.802362740303 91.3166550105548 -453.966967408716</t>
  </si>
  <si>
    <t>-778.343649230671 78.9715300406078 -577.494377060469</t>
  </si>
  <si>
    <t>-745.435949954954 70.3781862432224 -653.311728194178</t>
  </si>
  <si>
    <t>-776.964896201017 111.371160583783 -525.324715979723</t>
  </si>
  <si>
    <t>-740.502539346634 243.651606653954 -516.983886159206</t>
  </si>
  <si>
    <t>-676.930787535462 294.460750295177 -234.197385429972</t>
  </si>
  <si>
    <t>-440.036165173975 323.353223110759 -201.075794443977</t>
  </si>
  <si>
    <t>-788.927339286126 57.4369227692305 -520.947408672442</t>
  </si>
  <si>
    <t>-759.295301216268 209.835431702815 -69.0967621813256</t>
  </si>
  <si>
    <t>-761.697672136579 210.172221066568 334.448455102314</t>
  </si>
  <si>
    <t>-823.992531528692 197.180990485816 777.969013071807</t>
  </si>
  <si>
    <t>-684.336539791657 241.531731953665 838.106709417868</t>
  </si>
  <si>
    <t>-752.711333890536 17.9319267610085 -63.9486566738894</t>
  </si>
  <si>
    <t>-696.256106193221 -8.0950857115663 334.786953714008</t>
  </si>
  <si>
    <t>-726.163828086317 -33.085760036774 780.90527847958</t>
  </si>
  <si>
    <t>-606.484530323057 -108.255158137423 852.415429017726</t>
  </si>
  <si>
    <t>9763-20170724T111029.718981600.bin</t>
  </si>
  <si>
    <t>-755.136860616002 112.203275256825 -65.6189411235338</t>
  </si>
  <si>
    <t>-781.431535604358 108.417946385594 -178.359734780461</t>
  </si>
  <si>
    <t>-789.434181299091 103.399087355303 -276.530163417672</t>
  </si>
  <si>
    <t>-791.471928020454 97.7663660536455 -365.425361395321</t>
  </si>
  <si>
    <t>-788.018002705819 90.7584811290003 -454.178926476124</t>
  </si>
  <si>
    <t>-777.508102808403 79.2977907002992 -577.787263029565</t>
  </si>
  <si>
    <t>-745.612356451478 71.7174914016205 -654.143188980313</t>
  </si>
  <si>
    <t>-776.304228298284 111.355502151917 -525.402522798526</t>
  </si>
  <si>
    <t>-740.483263449458 243.755032401478 -516.172014046073</t>
  </si>
  <si>
    <t>-676.053583771158 292.578036160857 -233.229795947643</t>
  </si>
  <si>
    <t>-438.454351234766 320.078664229377 -204.226127336741</t>
  </si>
  <si>
    <t>-787.961778641443 57.3266530378232 -521.384219454604</t>
  </si>
  <si>
    <t>-758.739127358692 208.257922386507 -69.1390207356857</t>
  </si>
  <si>
    <t>-761.868827819847 209.101549692492 334.400483404413</t>
  </si>
  <si>
    <t>-823.910619449885 197.191399768957 777.972441075661</t>
  </si>
  <si>
    <t>-684.276257312947 241.48161955147 838.204306276118</t>
  </si>
  <si>
    <t>-751.772869940217 16.1351151542744 -64.146514578683</t>
  </si>
  <si>
    <t>-696.310765673006 -9.17234274666453 334.774780997356</t>
  </si>
  <si>
    <t>-726.279703582975 -33.226370299436 780.966252501544</t>
  </si>
  <si>
    <t>-606.242229888408 -107.905665747744 852.389719425961</t>
  </si>
  <si>
    <t>9763-20170724T111029.783149900.bin</t>
  </si>
  <si>
    <t>-754.449950470435 110.697102595039 -65.7246291044019</t>
  </si>
  <si>
    <t>-780.785762479521 106.889743317392 -178.455078111763</t>
  </si>
  <si>
    <t>-788.859245352863 102.165279362658 -276.634128152291</t>
  </si>
  <si>
    <t>-790.964877657043 96.922605734665 -365.551748607866</t>
  </si>
  <si>
    <t>-787.576699517666 90.4310231753707 -454.347143137307</t>
  </si>
  <si>
    <t>-777.149383004432 79.823625280645 -578.038547332074</t>
  </si>
  <si>
    <t>-746.247212329425 73.2256169112775 -654.892619701175</t>
  </si>
  <si>
    <t>-776.080086257623 111.553967741662 -525.451854206805</t>
  </si>
  <si>
    <t>-740.925248328312 244.070470209674 -515.429106498569</t>
  </si>
  <si>
    <t>-675.364967979739 291.391075833081 -232.491305892923</t>
  </si>
  <si>
    <t>-437.360058673595 318.365389979624 -206.47519385556</t>
  </si>
  <si>
    <t>-787.395656845494 57.4288591116792 -521.764242661297</t>
  </si>
  <si>
    <t>-758.277983775908 206.766012235281 -69.1502361583819</t>
  </si>
  <si>
    <t>-762.060328070227 208.213605458289 334.38199509905</t>
  </si>
  <si>
    <t>-823.895405067127 197.176315030064 777.943030584251</t>
  </si>
  <si>
    <t>-684.314830468827 241.606942620849 838.196478011094</t>
  </si>
  <si>
    <t>-750.988298303754 14.6552129053393 -64.3415388615604</t>
  </si>
  <si>
    <t>-696.534156268704 -10.0864051233207 334.754012642832</t>
  </si>
  <si>
    <t>-726.361739329918 -33.3176010177826 781.02567861078</t>
  </si>
  <si>
    <t>-606.216437688733 -107.887069381427 852.382283782588</t>
  </si>
  <si>
    <t>9763-20170724T111029.817277600.bin</t>
  </si>
  <si>
    <t>-754.27694025437 110.060090533735 -65.7811014671653</t>
  </si>
  <si>
    <t>-780.647308224494 106.22572035668 -178.502474919684</t>
  </si>
  <si>
    <t>-788.788873281118 101.638640522815 -276.682622030469</t>
  </si>
  <si>
    <t>-790.965800105702 96.5849847148379 -365.609329946594</t>
  </si>
  <si>
    <t>-787.655669660292 90.3491358872839 -454.425956588423</t>
  </si>
  <si>
    <t>-777.340604271697 80.16951726141 -578.162857275432</t>
  </si>
  <si>
    <t>-746.89834592469 73.9985020514769 -655.235607620618</t>
  </si>
  <si>
    <t>-776.306621799734 111.734589809434 -525.475960818572</t>
  </si>
  <si>
    <t>-741.410563092771 244.297015710059 -515.044171070785</t>
  </si>
  <si>
    <t>-675.28463819846 290.864546966919 -232.113005071231</t>
  </si>
  <si>
    <t>-437.103517047259 317.731981713721 -207.64310046307</t>
  </si>
  <si>
    <t>-787.453021104687 57.5636342932603 -521.948677928482</t>
  </si>
  <si>
    <t>-758.249113210488 206.158866571453 -69.1788200656471</t>
  </si>
  <si>
    <t>-762.205141270236 207.815227591454 334.350962578206</t>
  </si>
  <si>
    <t>-823.906107009821 197.167870913074 777.919120990103</t>
  </si>
  <si>
    <t>-684.455152867465 242.03426930047 838.149705459633</t>
  </si>
  <si>
    <t>-750.707482003341 14.009130386823 -64.4293530197431</t>
  </si>
  <si>
    <t>-696.71626184969 -10.524009031104 334.741979623047</t>
  </si>
  <si>
    <t>-726.398594998467 -33.3857379070787 781.052394046198</t>
  </si>
  <si>
    <t>-606.128902556109 -107.784422693649 852.377723432727</t>
  </si>
  <si>
    <t>9763-20170724T111029.885430400.bin</t>
  </si>
  <si>
    <t>-753.88084371166 108.810771362646 -65.8868078573786</t>
  </si>
  <si>
    <t>-780.338550154871 104.94782811196 -178.5868989593</t>
  </si>
  <si>
    <t>-788.689547804555 100.616851722585 -276.760848417447</t>
  </si>
  <si>
    <t>-791.101900634418 95.9095607833319 -365.700614517413</t>
  </si>
  <si>
    <t>-788.065664048194 90.1383187303613 -454.558477219186</t>
  </si>
  <si>
    <t>-778.167361240756 80.7338647330807 -578.390519267624</t>
  </si>
  <si>
    <t>-748.602706666533 75.2382130205683 -655.854976884795</t>
  </si>
  <si>
    <t>-777.104354821408 111.997577056985 -525.525126859107</t>
  </si>
  <si>
    <t>-742.763530290088 244.638421837131 -514.388703393837</t>
  </si>
  <si>
    <t>-675.457950948633 289.770699199347 -231.503062064574</t>
  </si>
  <si>
    <t>-437.131953100258 316.812476458873 -208.691677175282</t>
  </si>
  <si>
    <t>-787.941828037187 57.7470052574586 -522.271217211874</t>
  </si>
  <si>
    <t>-757.98192498717 204.817313087201 -69.2291423357375</t>
  </si>
  <si>
    <t>-762.425822735354 206.945274160204 334.293345864958</t>
  </si>
  <si>
    <t>-823.935356656171 197.125153252815 777.86775452938</t>
  </si>
  <si>
    <t>-684.390385603285 241.75385153699 838.057110016512</t>
  </si>
  <si>
    <t>-750.107127089313 12.7738089266745 -64.6075998854951</t>
  </si>
  <si>
    <t>-697.056328566829 -11.3505204929447 334.714720410427</t>
  </si>
  <si>
    <t>-726.421956951626 -33.4131342603605 781.104943264189</t>
  </si>
  <si>
    <t>-605.962215791756 -107.559790399015 852.372329546574</t>
  </si>
  <si>
    <t>9763-20170724T111029.918549200.bin</t>
  </si>
  <si>
    <t>-753.558160245044 108.208402625921 -65.9308454485877</t>
  </si>
  <si>
    <t>-780.112157521713 104.314897072749 -178.607093559943</t>
  </si>
  <si>
    <t>-788.629892642171 100.121003948155 -276.772820788049</t>
  </si>
  <si>
    <t>-791.221569277811 95.6035862163208 -365.717309513848</t>
  </si>
  <si>
    <t>-788.38970017087 90.0897080509753 -454.598261436625</t>
  </si>
  <si>
    <t>-778.799862259041 81.1157977150692 -578.486605353936</t>
  </si>
  <si>
    <t>-749.639477587629 75.9285059303788 -656.125537002412</t>
  </si>
  <si>
    <t>-777.664141931101 112.207004620301 -525.520942316728</t>
  </si>
  <si>
    <t>-743.530426092862 244.88066829547 -514.112827846261</t>
  </si>
  <si>
    <t>-675.894109499022 289.185560121034 -231.175292860852</t>
  </si>
  <si>
    <t>-437.513996396599 316.458513826279 -209.220601473724</t>
  </si>
  <si>
    <t>-788.375629724739 57.922477520131 -522.417956466135</t>
  </si>
  <si>
    <t>-757.734457042366 204.16426622375 -69.2491546543062</t>
  </si>
  <si>
    <t>-762.411075330383 206.537216768973 334.269314496931</t>
  </si>
  <si>
    <t>-823.972040827251 197.102857290623 777.827107433394</t>
  </si>
  <si>
    <t>-684.40248443702 241.714617878674 837.971396393383</t>
  </si>
  <si>
    <t>-749.688468188771 12.2046406494219 -64.700825349554</t>
  </si>
  <si>
    <t>-697.176562477273 -11.6690510101726 334.707820724061</t>
  </si>
  <si>
    <t>-726.408903608599 -33.3484920526284 781.119434091018</t>
  </si>
  <si>
    <t>-606.088185475912 -107.722858817397 852.384232443536</t>
  </si>
  <si>
    <t>9763-20170724T111029.982724200.bin</t>
  </si>
  <si>
    <t>-752.873834469361 106.91922942781 -66.0264679155321</t>
  </si>
  <si>
    <t>-779.763667774967 103.011686566179 -178.622522406444</t>
  </si>
  <si>
    <t>-788.711076654014 99.0963465416348 -276.761708690475</t>
  </si>
  <si>
    <t>-791.738198415984 94.9499649109734 -365.710425092574</t>
  </si>
  <si>
    <t>-789.38196477749 89.9287967282885 -454.634435922666</t>
  </si>
  <si>
    <t>-780.491316674936 81.7725524591306 -578.631327019211</t>
  </si>
  <si>
    <t>-752.077611508918 77.0801965137853 -656.577953302529</t>
  </si>
  <si>
    <t>-779.159993607169 112.533686832282 -525.477748217324</t>
  </si>
  <si>
    <t>-745.49241899285 245.285301433514 -513.515085668199</t>
  </si>
  <si>
    <t>-677.393718335523 288.417763495945 -230.507294244264</t>
  </si>
  <si>
    <t>-438.957021673422 315.899521181856 -209.44597951914</t>
  </si>
  <si>
    <t>-789.647395277743 58.1900034586283 -522.655078514204</t>
  </si>
  <si>
    <t>-757.227944916337 202.850689218755 -69.2876905742797</t>
  </si>
  <si>
    <t>-762.186318118547 205.602763543395 334.225015124153</t>
  </si>
  <si>
    <t>-824.043708257367 196.938132063568 777.721073584144</t>
  </si>
  <si>
    <t>-684.498669767685 241.824570755656 837.718533886657</t>
  </si>
  <si>
    <t>-748.841354164855 10.9506302115774 -64.8730042456604</t>
  </si>
  <si>
    <t>-697.267039750008 -12.4704129444417 334.684544028952</t>
  </si>
  <si>
    <t>-726.395099187754 -33.4251088127285 781.144761985184</t>
  </si>
  <si>
    <t>-605.90990200878 -107.557263445338 852.384276901158</t>
  </si>
  <si>
    <t>9763-20170724T111030.017819800.bin</t>
  </si>
  <si>
    <t>-752.532976077423 106.21009126027 -66.0900990810491</t>
  </si>
  <si>
    <t>-779.644072193691 102.289206178961 -178.632767178346</t>
  </si>
  <si>
    <t>-788.804374072426 98.4863827507165 -276.756509289785</t>
  </si>
  <si>
    <t>-792.02834161402 94.4905033020741 -365.705320394064</t>
  </si>
  <si>
    <t>-789.870831676085 89.6702550051914 -454.645497215798</t>
  </si>
  <si>
    <t>-781.256469823546 81.8462096869721 -578.683362938364</t>
  </si>
  <si>
    <t>-753.162367033451 77.3430196247637 -656.75673912359</t>
  </si>
  <si>
    <t>-779.856713928008 112.473952173619 -525.45463281438</t>
  </si>
  <si>
    <t>-746.415880666031 245.257173046871 -513.254140911492</t>
  </si>
  <si>
    <t>-678.632360284194 287.985766909281 -230.109649256397</t>
  </si>
  <si>
    <t>-440.099758243805 315.238600371837 -209.851270995172</t>
  </si>
  <si>
    <t>-790.237739782157 58.104306935566 -522.746109032901</t>
  </si>
  <si>
    <t>-757.026728954502 202.105031642138 -69.2986332031006</t>
  </si>
  <si>
    <t>-761.839371069652 205.087644650012 334.214226455905</t>
  </si>
  <si>
    <t>-824.067083439105 196.791374915061 777.656028320172</t>
  </si>
  <si>
    <t>-684.410229330932 241.433649220391 837.575496258068</t>
  </si>
  <si>
    <t>-748.400656141132 10.2574621513854 -64.965133424256</t>
  </si>
  <si>
    <t>-697.198709091875 -12.9128808483392 334.654898572339</t>
  </si>
  <si>
    <t>-726.38704024403 -33.4529595537279 781.138279957194</t>
  </si>
  <si>
    <t>-605.822040768448 -107.461010661214 852.371602562856</t>
  </si>
  <si>
    <t>9763-20170724T111030.084498700.bin</t>
  </si>
  <si>
    <t>-751.670407374111 104.933347856987 -66.1777747687413</t>
  </si>
  <si>
    <t>-779.092712520966 100.980677304145 -178.643792121688</t>
  </si>
  <si>
    <t>-788.625084793442 97.3414526402826 -276.738367087196</t>
  </si>
  <si>
    <t>-792.221605054331 93.5714819994337 -365.682729737596</t>
  </si>
  <si>
    <t>-790.467227788741 89.0566581288863 -454.647676746538</t>
  </si>
  <si>
    <t>-782.444616957256 81.744238661031 -578.756528528427</t>
  </si>
  <si>
    <t>-754.903557591059 77.5348061564468 -657.043053333115</t>
  </si>
  <si>
    <t>-780.874988322087 112.167997433897 -525.415614733485</t>
  </si>
  <si>
    <t>-747.971207902485 245.05451144222 -512.865690466747</t>
  </si>
  <si>
    <t>-682.078544941062 287.074536496643 -229.169265098879</t>
  </si>
  <si>
    <t>-443.432936267487 314.387978043574 -210.37784616934</t>
  </si>
  <si>
    <t>-791.07523212623 57.7562221511002 -522.869015683108</t>
  </si>
  <si>
    <t>-756.225106418625 200.799092162021 -69.3290348338494</t>
  </si>
  <si>
    <t>-761.097616676091 204.105597016265 334.180514566192</t>
  </si>
  <si>
    <t>-824.141874946876 196.600823319521 777.510452511682</t>
  </si>
  <si>
    <t>-684.365322192424 241.024077826095 837.313414637</t>
  </si>
  <si>
    <t>-747.417941978176 9.0730503317086 -65.1137541062606</t>
  </si>
  <si>
    <t>-697.022792957341 -13.7014202393602 334.631530535588</t>
  </si>
  <si>
    <t>-726.334462681397 -33.4082414087929 781.145980859262</t>
  </si>
  <si>
    <t>-605.591075867821 -107.155628618086 852.347699982622</t>
  </si>
  <si>
    <t>9763-20170724T111030.118089400.bin</t>
  </si>
  <si>
    <t>-751.159795370034 104.529393970629 -66.2296184482024</t>
  </si>
  <si>
    <t>-778.684393498281 100.551836668217 -178.669950006619</t>
  </si>
  <si>
    <t>-788.416902679888 96.9801124102628 -276.747205772914</t>
  </si>
  <si>
    <t>-792.237171123388 93.3082285823434 -365.686388985229</t>
  </si>
  <si>
    <t>-790.746880139707 88.930711866054 -454.663176403689</t>
  </si>
  <si>
    <t>-783.132842362022 81.8516978700104 -578.811222406252</t>
  </si>
  <si>
    <t>-755.844161921292 77.7389591197812 -657.191233161835</t>
  </si>
  <si>
    <t>-781.414746054259 112.179958695713 -525.420505044649</t>
  </si>
  <si>
    <t>-748.787993071165 245.116364255486 -512.740548462708</t>
  </si>
  <si>
    <t>-684.31165038093 286.663948909103 -228.649301118664</t>
  </si>
  <si>
    <t>-445.611552471859 314.293195351355 -211.04947620304</t>
  </si>
  <si>
    <t>-791.552035452319 57.7535289428502 -522.938793507246</t>
  </si>
  <si>
    <t>-755.749585738721 200.343834945204 -69.3515200531791</t>
  </si>
  <si>
    <t>-760.843316543662 203.77173655205 334.154365278459</t>
  </si>
  <si>
    <t>-824.167408462488 196.520616046007 777.439192243094</t>
  </si>
  <si>
    <t>-684.403704964983 241.027436894105 837.209790844356</t>
  </si>
  <si>
    <t>-746.906637021435 8.72836759372012 -65.1674965726398</t>
  </si>
  <si>
    <t>-696.940811671657 -13.9894527833676 334.634964328741</t>
  </si>
  <si>
    <t>-726.328893606957 -33.4380248790189 781.167001595253</t>
  </si>
  <si>
    <t>-605.680536688875 -107.349932870145 852.358936978579</t>
  </si>
  <si>
    <t>9763-20170724T111030.183286200.bin</t>
  </si>
  <si>
    <t>-750.303183238341 104.067521269985 -66.2964757343661</t>
  </si>
  <si>
    <t>-778.05059540499 100.000455469173 -178.6787582326</t>
  </si>
  <si>
    <t>-788.181149629686 96.5487023813293 -276.719986942279</t>
  </si>
  <si>
    <t>-792.437996712413 93.068650476057 -365.647009700563</t>
  </si>
  <si>
    <t>-791.456473214416 88.9696924561454 -454.644098131355</t>
  </si>
  <si>
    <t>-784.623853277795 82.3740139904203 -578.86424263565</t>
  </si>
  <si>
    <t>-757.741218483309 78.4026927764326 -657.391742065185</t>
  </si>
  <si>
    <t>-782.641292953121 112.507656154604 -525.372450710036</t>
  </si>
  <si>
    <t>-750.55600642003 245.551248500259 -512.430362123095</t>
  </si>
  <si>
    <t>-689.252836090432 286.238914883743 -227.513376974992</t>
  </si>
  <si>
    <t>-450.448116837137 314.378507438826 -212.30425728555</t>
  </si>
  <si>
    <t>-792.619727363085 58.0455840954501 -523.029696945793</t>
  </si>
  <si>
    <t>-755.091641380065 199.874679037743 -69.4285462301182</t>
  </si>
  <si>
    <t>-760.418177041253 203.342176093087 334.073938597421</t>
  </si>
  <si>
    <t>-824.205864655897 196.367007049948 777.286160603313</t>
  </si>
  <si>
    <t>-684.281147732093 240.421868916174 837.015130383586</t>
  </si>
  <si>
    <t>-745.904952687396 8.27763954734928 -65.2536237585845</t>
  </si>
  <si>
    <t>-696.790847035488 -14.4222706278733 334.655379603645</t>
  </si>
  <si>
    <t>-726.282622080792 -33.4229056354529 781.19987547136</t>
  </si>
  <si>
    <t>-605.56700633429 -107.256471836978 852.359108595036</t>
  </si>
  <si>
    <t>9763-20170724T111030.220105100.bin</t>
  </si>
  <si>
    <t>-749.950255721556 103.963599668037 -66.3348613318042</t>
  </si>
  <si>
    <t>-777.789766512647 99.8985355099176 -178.694425555058</t>
  </si>
  <si>
    <t>-788.102796576807 96.4944955198703 -276.718469135236</t>
  </si>
  <si>
    <t>-792.564820254696 93.0788599665611 -365.637817980512</t>
  </si>
  <si>
    <t>-791.827534504644 89.0682802457413 -454.641236489041</t>
  </si>
  <si>
    <t>-785.375319958602 82.6230300832094 -578.889637132471</t>
  </si>
  <si>
    <t>-758.64770062369 78.6755772591932 -657.471316117655</t>
  </si>
  <si>
    <t>-783.266341988121 112.698326084527 -525.370048542039</t>
  </si>
  <si>
    <t>-751.439834968698 245.796900041403 -512.341208570403</t>
  </si>
  <si>
    <t>-692.201577143351 286.403121674188 -226.976207672509</t>
  </si>
  <si>
    <t>-453.366237609038 314.788585054167 -212.734626270645</t>
  </si>
  <si>
    <t>-793.162942373399 58.2200736128316 -523.057983109493</t>
  </si>
  <si>
    <t>-754.809387735866 199.827986203194 -69.4604834167577</t>
  </si>
  <si>
    <t>-760.154440265357 203.193270886823 334.042638951562</t>
  </si>
  <si>
    <t>-824.252894396952 196.357123643834 777.213904160184</t>
  </si>
  <si>
    <t>-684.396277845769 240.660261013727 836.918253787743</t>
  </si>
  <si>
    <t>-745.404654723952 8.13045861330056 -65.3002569482113</t>
  </si>
  <si>
    <t>-696.640382726332 -14.4576840228779 334.657828671921</t>
  </si>
  <si>
    <t>-726.211125991317 -33.276647446437 781.206253941685</t>
  </si>
  <si>
    <t>-605.750098110372 -107.51512441606 852.375751351762</t>
  </si>
  <si>
    <t>9763-20170724T111030.281273600.bin</t>
  </si>
  <si>
    <t>-748.931995480863 103.440709850748 -66.4373390894008</t>
  </si>
  <si>
    <t>-776.915383279436 99.405921683322 -178.762191888733</t>
  </si>
  <si>
    <t>-787.516556902045 96.076906581985 -276.758083013261</t>
  </si>
  <si>
    <t>-792.303890932695 92.7548947751825 -365.664073930493</t>
  </si>
  <si>
    <t>-791.954931855434 88.8677469546442 -454.675385942966</t>
  </si>
  <si>
    <t>-786.108353076309 82.629810700515 -578.964255038626</t>
  </si>
  <si>
    <t>-759.582363608117 78.7015752994907 -657.615232216188</t>
  </si>
  <si>
    <t>-783.783886967631 112.623845066219 -525.40818204318</t>
  </si>
  <si>
    <t>-752.464567534173 245.842193173141 -512.385070066724</t>
  </si>
  <si>
    <t>-698.968393716688 285.431453862539 -225.745675023092</t>
  </si>
  <si>
    <t>-460.343475556284 315.918322375318 -212.343928977759</t>
  </si>
  <si>
    <t>-793.578145060588 58.1255996819104 -523.133659719576</t>
  </si>
  <si>
    <t>-753.722958509784 199.451389170169 -69.4702532110506</t>
  </si>
  <si>
    <t>-759.348819742869 202.845286039018 334.028787257249</t>
  </si>
  <si>
    <t>-824.330901818794 196.290039897642 777.066442232226</t>
  </si>
  <si>
    <t>-684.455193702368 240.572563952531 836.74168248948</t>
  </si>
  <si>
    <t>-744.409175963176 7.31802193927115 -65.3891276729977</t>
  </si>
  <si>
    <t>-695.930808691927 -14.9371617668112 334.622441444688</t>
  </si>
  <si>
    <t>-726.176518093983 -33.4442278714628 781.176406385645</t>
  </si>
  <si>
    <t>-605.420451941904 -107.207178490594 852.340163330417</t>
  </si>
  <si>
    <t>9763-20170724T111030.318378100.bin</t>
  </si>
  <si>
    <t>-748.40743234975 103.358282573011 -66.4345350416086</t>
  </si>
  <si>
    <t>-776.427967576202 99.3320775865823 -178.750418667415</t>
  </si>
  <si>
    <t>-787.109849703844 96.043026947832 -276.738844924179</t>
  </si>
  <si>
    <t>-791.989114843277 92.7730058484231 -365.641915299257</t>
  </si>
  <si>
    <t>-791.749449340423 88.9553412704367 -454.656602714785</t>
  </si>
  <si>
    <t>-786.073561821368 82.834268064802 -578.959099138405</t>
  </si>
  <si>
    <t>-759.628713307493 78.9212432796739 -657.638157664434</t>
  </si>
  <si>
    <t>-783.697961629559 112.781942128975 -525.379367086704</t>
  </si>
  <si>
    <t>-752.587217823667 246.046198293901 -512.351065127349</t>
  </si>
  <si>
    <t>-702.369404135253 285.041839988171 -225.038185268141</t>
  </si>
  <si>
    <t>-463.884739723259 316.547961072468 -211.499295641006</t>
  </si>
  <si>
    <t>-793.444517862924 58.2738287567804 -523.140114865916</t>
  </si>
  <si>
    <t>-753.196585840384 199.411925956636 -69.4604972840293</t>
  </si>
  <si>
    <t>-758.89029012452 202.795324014684 334.037749015181</t>
  </si>
  <si>
    <t>-824.357775636138 196.248012537811 776.99542691697</t>
  </si>
  <si>
    <t>-684.504105041028 240.609817227818 836.663304929094</t>
  </si>
  <si>
    <t>-743.929226017209 7.26341464542838 -65.409269203131</t>
  </si>
  <si>
    <t>-695.537883067782 -15.0386633554544 334.610150987784</t>
  </si>
  <si>
    <t>-726.129296606759 -33.3834021359321 781.166276588289</t>
  </si>
  <si>
    <t>-605.525516785886 -107.386541204107 852.339059153985</t>
  </si>
  <si>
    <t>9763-20170724T111030.381545200.bin</t>
  </si>
  <si>
    <t>-747.632724695662 103.529531930324 -66.4244274979463</t>
  </si>
  <si>
    <t>-775.675348795595 99.5463627686045 -178.736252452001</t>
  </si>
  <si>
    <t>-786.472262446393 96.3437992459735 -276.715073150548</t>
  </si>
  <si>
    <t>-791.492527700791 93.1748314194401 -365.613850848112</t>
  </si>
  <si>
    <t>-791.430070274683 89.4848371089975 -454.634137749434</t>
  </si>
  <si>
    <t>-786.037147685726 83.5713497193647 -578.95942724676</t>
  </si>
  <si>
    <t>-759.750439491243 79.6127769627587 -657.689150995477</t>
  </si>
  <si>
    <t>-783.569619558594 113.434811253374 -525.336744172962</t>
  </si>
  <si>
    <t>-752.885487338936 246.801944160056 -512.313396520686</t>
  </si>
  <si>
    <t>-709.060511549124 285.534783385023 -223.920705160342</t>
  </si>
  <si>
    <t>-471.05379266245 319.302382934317 -207.693850045435</t>
  </si>
  <si>
    <t>-793.251017944988 58.9122904107585 -523.163317756748</t>
  </si>
  <si>
    <t>-752.472901160826 199.59229009214 -69.4319072925709</t>
  </si>
  <si>
    <t>-758.110497747976 202.767002467446 334.068800945866</t>
  </si>
  <si>
    <t>-824.429571509472 196.185687415084 776.873419634489</t>
  </si>
  <si>
    <t>-684.594192883959 240.63458919921 836.519461691086</t>
  </si>
  <si>
    <t>-743.15969044911 7.50316250675178 -65.4209962964046</t>
  </si>
  <si>
    <t>-694.981049426652 -15.0984215791377 334.607303134782</t>
  </si>
  <si>
    <t>-726.018218798934 -33.2334485841184 781.13294669696</t>
  </si>
  <si>
    <t>-605.447335325062 -107.281432139149 852.314836640062</t>
  </si>
  <si>
    <t>9763-20170724T111030.419651900.bin</t>
  </si>
  <si>
    <t>-747.385933036411 103.641376316056 -66.4326046676672</t>
  </si>
  <si>
    <t>-775.390428148611 99.7070133106236 -178.755750452295</t>
  </si>
  <si>
    <t>-786.214827529754 96.5582513557292 -276.733213609978</t>
  </si>
  <si>
    <t>-791.284959561395 93.4452826221336 -365.631127175486</t>
  </si>
  <si>
    <t>-791.295992272811 89.8192872769973 -454.65419612111</t>
  </si>
  <si>
    <t>-786.030811483862 84.0041623340699 -578.989519182406</t>
  </si>
  <si>
    <t>-759.833600008336 79.9564147474057 -657.74460621081</t>
  </si>
  <si>
    <t>-783.508156192845 113.825215409008 -525.34573449569</t>
  </si>
  <si>
    <t>-752.980524281053 247.227147315823 -512.319844935014</t>
  </si>
  <si>
    <t>-712.209753300162 285.603327838212 -223.431986226493</t>
  </si>
  <si>
    <t>-474.543767049503 320.671461135708 -205.100365792218</t>
  </si>
  <si>
    <t>-793.186900767386 59.3007687911372 -523.205587073045</t>
  </si>
  <si>
    <t>-752.209664769494 199.706576539179 -69.4174431872875</t>
  </si>
  <si>
    <t>-757.93941915389 202.767176755509 334.082734310184</t>
  </si>
  <si>
    <t>-824.465274123474 196.167953166508 776.841423922425</t>
  </si>
  <si>
    <t>-684.607819507921 240.554397438294 836.482169438349</t>
  </si>
  <si>
    <t>-742.89886857268 7.55124175147739 -65.4438684385217</t>
  </si>
  <si>
    <t>-694.741637708623 -15.1314806356363 334.582455906793</t>
  </si>
  <si>
    <t>-725.989690662129 -33.2696774161509 781.109757312452</t>
  </si>
  <si>
    <t>-605.278385578952 -107.091347611812 852.288684092095</t>
  </si>
  <si>
    <t>9763-20170724T111030.486333200.bin</t>
  </si>
  <si>
    <t>-746.880648344153 103.893942997134 -66.4192221128902</t>
  </si>
  <si>
    <t>-774.721956975944 100.109316886393 -178.788074339785</t>
  </si>
  <si>
    <t>-785.457897302725 97.0691280497526 -276.778732035769</t>
  </si>
  <si>
    <t>-790.469404778733 94.0489652614788 -365.683281128171</t>
  </si>
  <si>
    <t>-790.443973582164 90.5115541723189 -454.70966456885</t>
  </si>
  <si>
    <t>-785.151630326591 84.8176812480983 -579.04950768885</t>
  </si>
  <si>
    <t>-759.163633179159 80.4991074299387 -657.859460777616</t>
  </si>
  <si>
    <t>-782.627795633169 114.584114238995 -525.375596063222</t>
  </si>
  <si>
    <t>-752.175350449634 248.000522253453 -512.343400707479</t>
  </si>
  <si>
    <t>-715.933362871263 286.550220788955 -222.875607526452</t>
  </si>
  <si>
    <t>-479.12895329744 323.549947909126 -198.267606616775</t>
  </si>
  <si>
    <t>-792.333149435962 60.0623192804474 -523.291886544617</t>
  </si>
  <si>
    <t>-751.606366232278 200.037228542648 -69.3545323735095</t>
  </si>
  <si>
    <t>-757.917388075374 202.77516823301 334.139377816584</t>
  </si>
  <si>
    <t>-824.525795983979 196.132399218307 776.84818663599</t>
  </si>
  <si>
    <t>-684.675986926001 240.555913999221 836.479852379344</t>
  </si>
  <si>
    <t>-742.463198645469 7.73732203883128 -65.5179439800346</t>
  </si>
  <si>
    <t>-694.289198692777 -15.0938666045959 334.497917782298</t>
  </si>
  <si>
    <t>-725.910636621001 -33.2762523167626 781.039604568017</t>
  </si>
  <si>
    <t>-605.330834711273 -107.278567368586 852.253824373367</t>
  </si>
  <si>
    <t>9763-20170724T111030.517824000.bin</t>
  </si>
  <si>
    <t>-746.660342451688 104.098628483453 -66.3866488509748</t>
  </si>
  <si>
    <t>-774.411370793135 100.370551450671 -178.779646258482</t>
  </si>
  <si>
    <t>-785.054806117801 97.3357833278151 -276.780632966002</t>
  </si>
  <si>
    <t>-789.978358432382 94.3030050839293 -365.689535813592</t>
  </si>
  <si>
    <t>-789.86193910836 90.734796050584 -454.714681324346</t>
  </si>
  <si>
    <t>-784.439602354053 84.9780006222959 -579.046167814379</t>
  </si>
  <si>
    <t>-758.557428830996 80.4901447208572 -657.881279527708</t>
  </si>
  <si>
    <t>-781.960272463195 114.769616114395 -525.383778319286</t>
  </si>
  <si>
    <t>-751.525409081806 248.193818355638 -512.402841516308</t>
  </si>
  <si>
    <t>-716.40776067078 287.267348249856 -222.866640880446</t>
  </si>
  <si>
    <t>-479.908604581421 324.529571946672 -195.839348990626</t>
  </si>
  <si>
    <t>-791.691348058661 60.2530149842955 -523.284146346628</t>
  </si>
  <si>
    <t>-751.390758344854 200.260532562799 -69.304594293647</t>
  </si>
  <si>
    <t>-757.863223778106 202.864423108171 334.187660900233</t>
  </si>
  <si>
    <t>-824.568401401036 196.139334427658 776.875545930543</t>
  </si>
  <si>
    <t>-684.763953100712 240.723031903571 836.493271432039</t>
  </si>
  <si>
    <t>-742.252991069455 7.94732504057902 -65.5329205033423</t>
  </si>
  <si>
    <t>-694.087012786792 -15.0320092215316 334.475353088172</t>
  </si>
  <si>
    <t>-725.854644490153 -33.2109318995372 781.006088519682</t>
  </si>
  <si>
    <t>-605.400081000035 -107.394732711032 852.243232584152</t>
  </si>
  <si>
    <t>9763-20170724T111030.583479300.bin</t>
  </si>
  <si>
    <t>-746.358871782294 104.365415307093 -66.3433994353891</t>
  </si>
  <si>
    <t>-774.001648052202 100.703387608468 -178.765433902499</t>
  </si>
  <si>
    <t>-784.453488232267 97.6094136619522 -276.784987820606</t>
  </si>
  <si>
    <t>-789.167573501494 94.4715453456047 -365.701576833103</t>
  </si>
  <si>
    <t>-788.808667597363 90.7429964944531 -454.719673967115</t>
  </si>
  <si>
    <t>-783.016005480509 84.7019683680901 -579.020751810556</t>
  </si>
  <si>
    <t>-757.287604034742 79.9035850111572 -657.888238896914</t>
  </si>
  <si>
    <t>-780.638317348513 114.605944650511 -525.416444993811</t>
  </si>
  <si>
    <t>-749.938275717114 247.972496289927 -512.498470500132</t>
  </si>
  <si>
    <t>-715.002315283484 287.679673489958 -223.026493666428</t>
  </si>
  <si>
    <t>-478.578659194883 323.65949166147 -193.697452783137</t>
  </si>
  <si>
    <t>-790.491606228064 60.1147086930046 -523.227390632498</t>
  </si>
  <si>
    <t>-751.143285330121 200.502443544202 -69.2225629879152</t>
  </si>
  <si>
    <t>-757.596554240934 202.998194943591 334.270622806989</t>
  </si>
  <si>
    <t>-824.636529689715 196.055669507178 776.916707294051</t>
  </si>
  <si>
    <t>-684.842842020048 240.739896357212 836.484085460924</t>
  </si>
  <si>
    <t>-741.929593917936 8.19460635002406 -65.5482414935643</t>
  </si>
  <si>
    <t>-693.853880045304 -15.0629776324349 334.454828385313</t>
  </si>
  <si>
    <t>-725.802546896317 -33.2963817214268 780.960291822299</t>
  </si>
  <si>
    <t>-605.129277085184 -107.116241788769 852.205836015912</t>
  </si>
  <si>
    <t>9763-20170724T111030.616067100.bin</t>
  </si>
  <si>
    <t>-746.130141745732 104.503631281189 -66.3235486999031</t>
  </si>
  <si>
    <t>-773.73306240598 100.883007609918 -178.756600356011</t>
  </si>
  <si>
    <t>-784.105399862944 97.7666060615434 -276.783882941143</t>
  </si>
  <si>
    <t>-788.731114413385 94.5829813927007 -365.703664643611</t>
  </si>
  <si>
    <t>-788.268457837268 90.7809647142244 -454.71809541933</t>
  </si>
  <si>
    <t>-782.316449287882 84.6076396568214 -579.005139286821</t>
  </si>
  <si>
    <t>-756.651039716813 79.6763509841799 -657.884897037381</t>
  </si>
  <si>
    <t>-779.957180606676 114.559459446057 -525.427014857675</t>
  </si>
  <si>
    <t>-748.998688222465 247.856652874331 -512.478746289704</t>
  </si>
  <si>
    <t>-713.840774331852 287.168874490072 -222.979714004427</t>
  </si>
  <si>
    <t>-477.194793318445 322.144673663256 -194.236040139038</t>
  </si>
  <si>
    <t>-789.913913122554 60.088755337883 -523.198192799505</t>
  </si>
  <si>
    <t>-750.829612100678 200.622694220689 -69.1851430048308</t>
  </si>
  <si>
    <t>-757.40901467163 202.991229347819 334.306880979923</t>
  </si>
  <si>
    <t>-824.676272901609 196.018607655798 776.925415292646</t>
  </si>
  <si>
    <t>-684.873421131648 240.709558178628 836.467122603018</t>
  </si>
  <si>
    <t>-741.760565200703 8.35116968295097 -65.5484397012842</t>
  </si>
  <si>
    <t>-693.699756745185 -15.0187014711187 334.450011502403</t>
  </si>
  <si>
    <t>-725.727053272183 -33.173268992884 780.934091455015</t>
  </si>
  <si>
    <t>-605.137448705515 -107.108189350814 852.201614270794</t>
  </si>
  <si>
    <t>9763-20170724T111030.682256200.bin</t>
  </si>
  <si>
    <t>-745.597478242419 104.776177280323 -66.2843641693528</t>
  </si>
  <si>
    <t>-773.110541638474 101.279832343407 -178.743321835856</t>
  </si>
  <si>
    <t>-783.357453646283 98.1801040521214 -276.784435533572</t>
  </si>
  <si>
    <t>-787.853496420977 94.9743054366581 -365.709917510387</t>
  </si>
  <si>
    <t>-787.246489803393 91.1096551548699 -454.720776702569</t>
  </si>
  <si>
    <t>-781.080974745876 84.8046518768092 -578.990929120188</t>
  </si>
  <si>
    <t>-755.501199499043 79.6893382697085 -657.886538742417</t>
  </si>
  <si>
    <t>-778.69312760843 114.79124249179 -525.433223661747</t>
  </si>
  <si>
    <t>-747.122097012906 247.951885451302 -512.351031836471</t>
  </si>
  <si>
    <t>-711.830092302589 285.87138778904 -222.682666060977</t>
  </si>
  <si>
    <t>-474.820198583797 319.036060166442 -194.802960323436</t>
  </si>
  <si>
    <t>-788.895243091536 60.3671113257519 -523.178148364602</t>
  </si>
  <si>
    <t>-750.070554488301 200.876927025678 -69.1105365929998</t>
  </si>
  <si>
    <t>-756.950173525114 202.928984946476 334.378199720921</t>
  </si>
  <si>
    <t>-824.726769164942 195.941669980502 776.94463607317</t>
  </si>
  <si>
    <t>-684.927961578061 240.685675689665 836.455955751917</t>
  </si>
  <si>
    <t>-741.457647153113 8.70611434115517 -65.5422757086138</t>
  </si>
  <si>
    <t>-693.431357268222 -14.9902493784457 334.441038011999</t>
  </si>
  <si>
    <t>-725.603495211309 -32.9738027070412 780.898719668989</t>
  </si>
  <si>
    <t>-605.105712256714 -107.032274280967 852.193677002408</t>
  </si>
  <si>
    <t>9763-20170724T111030.715095400.bin</t>
  </si>
  <si>
    <t>-745.369238721883 104.923014094128 -66.2607358600566</t>
  </si>
  <si>
    <t>-772.863363881965 101.470889311669 -178.725833308598</t>
  </si>
  <si>
    <t>-783.058477450877 98.3853922030285 -276.772769821376</t>
  </si>
  <si>
    <t>-787.49401945366 95.1817501218961 -365.701395940047</t>
  </si>
  <si>
    <t>-786.814088199947 91.3071001489093 -454.711260293851</t>
  </si>
  <si>
    <t>-780.533289989824 84.974217459117 -578.974252812812</t>
  </si>
  <si>
    <t>-754.978034087395 79.7989956837587 -657.874018779398</t>
  </si>
  <si>
    <t>-778.136523336656 114.961983005475 -525.417620793962</t>
  </si>
  <si>
    <t>-746.280456497602 248.037469408879 -512.231758583715</t>
  </si>
  <si>
    <t>-711.275240803962 285.508590776112 -222.470216656862</t>
  </si>
  <si>
    <t>-474.04539135232 317.440807514085 -195.023845481455</t>
  </si>
  <si>
    <t>-788.457584617308 60.5600398708912 -523.166750488954</t>
  </si>
  <si>
    <t>-749.762621404516 201.028892844337 -69.0826705867173</t>
  </si>
  <si>
    <t>-756.670022248335 202.888350089223 334.406484509557</t>
  </si>
  <si>
    <t>-824.727630190932 195.852790974479 776.949111516083</t>
  </si>
  <si>
    <t>-684.83633232362 240.318655997733 836.450969452822</t>
  </si>
  <si>
    <t>-741.32163797556 8.86960583173641 -65.5298209627516</t>
  </si>
  <si>
    <t>-693.326100926913 -14.9711093725587 334.448622236242</t>
  </si>
  <si>
    <t>-725.551552139145 -32.9030897609005 780.89023768989</t>
  </si>
  <si>
    <t>-605.180199197789 -107.150468751077 852.201778679527</t>
  </si>
  <si>
    <t>9763-20170724T111030.785789500.bin</t>
  </si>
  <si>
    <t>-744.853156922547 104.80641613289 -66.2327926740904</t>
  </si>
  <si>
    <t>-772.363792758045 101.481587318778 -178.697610607259</t>
  </si>
  <si>
    <t>-782.483950381925 98.4592166652583 -276.754327655645</t>
  </si>
  <si>
    <t>-786.816794376114 95.2929862892415 -365.689288316684</t>
  </si>
  <si>
    <t>-786.000362663795 91.4330872984146 -454.698662105296</t>
  </si>
  <si>
    <t>-779.495239482185 85.0959180517234 -578.949839464672</t>
  </si>
  <si>
    <t>-753.983493998282 79.8492676730334 -657.858925999179</t>
  </si>
  <si>
    <t>-777.108723982391 115.069223613266 -525.384798832017</t>
  </si>
  <si>
    <t>-744.857894006436 248.034350728317 -512.002939445716</t>
  </si>
  <si>
    <t>-710.426881558937 284.744420517929 -222.075197358698</t>
  </si>
  <si>
    <t>-472.777913586796 314.499534676425 -195.836082446125</t>
  </si>
  <si>
    <t>-787.607096147816 60.7001087437329 -523.161400987567</t>
  </si>
  <si>
    <t>-748.980040142768 200.856003884827 -68.9981537128144</t>
  </si>
  <si>
    <t>-755.919702371893 202.628326346468 334.490773665268</t>
  </si>
  <si>
    <t>-824.753718455882 195.691994091482 776.934284980764</t>
  </si>
  <si>
    <t>-684.762548545243 239.900636854436 836.393261567894</t>
  </si>
  <si>
    <t>-741.01283084225 8.72726102161732 -65.5313939838431</t>
  </si>
  <si>
    <t>-693.08643697064 -15.199798537953 334.45010693115</t>
  </si>
  <si>
    <t>-725.504995725668 -32.9345269721312 780.878336222868</t>
  </si>
  <si>
    <t>-604.967156437002 -106.906152480259 852.195202738563</t>
  </si>
  <si>
    <t>9763-20170724T111030.820192300.bin</t>
  </si>
  <si>
    <t>-744.522438311672 104.597703712359 -66.217627606161</t>
  </si>
  <si>
    <t>-772.044967319983 101.342913104122 -178.681662669698</t>
  </si>
  <si>
    <t>-782.125866489988 98.3539549225902 -276.74325516329</t>
  </si>
  <si>
    <t>-786.404105113269 95.2071463568909 -365.681575449715</t>
  </si>
  <si>
    <t>-785.514733552573 91.3548944418844 -454.69075227146</t>
  </si>
  <si>
    <t>-778.888423859557 85.0147706899966 -578.935340119748</t>
  </si>
  <si>
    <t>-753.386857563866 79.7453931168252 -657.846204132788</t>
  </si>
  <si>
    <t>-776.527687147651 114.984460572958 -525.366866822529</t>
  </si>
  <si>
    <t>-744.211911633635 247.92193500038 -511.88836807936</t>
  </si>
  <si>
    <t>-710.124769805097 284.405550705384 -221.891399427574</t>
  </si>
  <si>
    <t>-472.319650735857 313.343119892294 -196.156930490569</t>
  </si>
  <si>
    <t>-787.080701520778 60.6253077967181 -523.155853673928</t>
  </si>
  <si>
    <t>-748.52281654203 200.600150064055 -68.9491151447733</t>
  </si>
  <si>
    <t>-755.470426997807 202.415953313638 334.539517226796</t>
  </si>
  <si>
    <t>-824.780697537232 195.616171678255 776.918377335292</t>
  </si>
  <si>
    <t>-684.808563488318 239.930546154744 836.343441747402</t>
  </si>
  <si>
    <t>-740.775150512902 8.59877177355156 -65.5433434718274</t>
  </si>
  <si>
    <t>-692.919730769755 -15.2805874410647 334.449491839482</t>
  </si>
  <si>
    <t>-725.440517182868 -32.7908447322902 780.873079579968</t>
  </si>
  <si>
    <t>-605.141223665618 -107.129511894522 852.21130047698</t>
  </si>
  <si>
    <t>9763-20170724T111030.883871800.bin</t>
  </si>
  <si>
    <t>-744.02033304063 104.058816168616 -66.1701510732773</t>
  </si>
  <si>
    <t>-771.538441902141 100.92371815068 -178.638789812139</t>
  </si>
  <si>
    <t>-781.506629852774 98.0160043991027 -276.714368027022</t>
  </si>
  <si>
    <t>-785.63893405602 94.9324461418846 -365.661775326184</t>
  </si>
  <si>
    <t>-784.560988767435 91.1323664355232 -454.670995425511</t>
  </si>
  <si>
    <t>-777.626504797827 84.8527399816112 -578.901803931899</t>
  </si>
  <si>
    <t>-752.18844415725 79.5456919273515 -657.830788802224</t>
  </si>
  <si>
    <t>-775.402438357097 114.796852736872 -525.313391084902</t>
  </si>
  <si>
    <t>-743.223603070011 247.734855488285 -511.601274897893</t>
  </si>
  <si>
    <t>-710.814700272227 284.56757283891 -221.456075287511</t>
  </si>
  <si>
    <t>-472.583261759221 311.643344198613 -197.715960765918</t>
  </si>
  <si>
    <t>-785.953216652583 60.4352884938253 -523.154568556034</t>
  </si>
  <si>
    <t>-747.911081646588 199.939703462474 -68.8414723290824</t>
  </si>
  <si>
    <t>-754.830926877447 201.832039628667 334.647314957957</t>
  </si>
  <si>
    <t>-824.800793268288 195.357425738493 776.897477693824</t>
  </si>
  <si>
    <t>-684.719972120207 239.436691262416 836.241358649402</t>
  </si>
  <si>
    <t>-740.4578054049 8.191339563984 -65.5641571442227</t>
  </si>
  <si>
    <t>-692.794895524815 -15.686269516329 334.451856670359</t>
  </si>
  <si>
    <t>-725.437209387191 -32.8595148832328 780.890951571861</t>
  </si>
  <si>
    <t>-605.207975232243 -107.322263691753 852.217849713665</t>
  </si>
  <si>
    <t>9763-20170724T111030.916460700.bin</t>
  </si>
  <si>
    <t>-743.8582961772 103.795093619402 -66.1686419069553</t>
  </si>
  <si>
    <t>-771.334669075758 100.70059730128 -178.648405043012</t>
  </si>
  <si>
    <t>-781.229990220138 97.8024014475677 -276.731771184977</t>
  </si>
  <si>
    <t>-785.281760477985 94.7177759927613 -365.682943936295</t>
  </si>
  <si>
    <t>-784.109169422138 90.906184814678 -454.690425107567</t>
  </si>
  <si>
    <t>-777.028973552008 84.6002775024072 -578.911754922881</t>
  </si>
  <si>
    <t>-751.630706085087 79.2544206527746 -657.850864391124</t>
  </si>
  <si>
    <t>-774.878829182596 114.557827733621 -525.327807057759</t>
  </si>
  <si>
    <t>-742.840952677195 247.550109243641 -511.57238160926</t>
  </si>
  <si>
    <t>-712.14946171375 284.848111224866 -221.299845332523</t>
  </si>
  <si>
    <t>-473.821716998549 311.412351845385 -197.951729140056</t>
  </si>
  <si>
    <t>-785.410315842637 60.1925379774821 -523.168223685683</t>
  </si>
  <si>
    <t>-747.724585302614 199.612749721463 -68.8073238517679</t>
  </si>
  <si>
    <t>-754.657756896785 201.501979583651 334.681271836189</t>
  </si>
  <si>
    <t>-824.817479717418 195.268766093141 776.89775096859</t>
  </si>
  <si>
    <t>-684.729709258336 239.359636158775 836.215925032364</t>
  </si>
  <si>
    <t>-740.317577143778 7.98762860827128 -65.5869319102674</t>
  </si>
  <si>
    <t>-692.824964689857 -15.8619918811169 334.450965892619</t>
  </si>
  <si>
    <t>-725.41466805596 -32.8256821028222 780.89913539085</t>
  </si>
  <si>
    <t>-605.11166592053 -107.188407129282 852.206239720872</t>
  </si>
  <si>
    <t>9763-20170724T111030.984651200.bin</t>
  </si>
  <si>
    <t>-743.549426324118 103.289668914116 -66.1647135209453</t>
  </si>
  <si>
    <t>-770.883407302798 100.226619448539 -178.680093163725</t>
  </si>
  <si>
    <t>-780.630868807423 97.3017692832836 -276.777383146484</t>
  </si>
  <si>
    <t>-784.541535720757 94.1714128915301 -365.733225273305</t>
  </si>
  <si>
    <t>-783.221010733191 90.2933119716959 -454.735821473211</t>
  </si>
  <si>
    <t>-775.927264424996 83.872941068591 -578.93884890335</t>
  </si>
  <si>
    <t>-750.599682984842 78.4617718896684 -657.896253160893</t>
  </si>
  <si>
    <t>-773.905657777069 113.886872157672 -525.381476014494</t>
  </si>
  <si>
    <t>-742.297771392759 246.97524478882 -511.736774412689</t>
  </si>
  <si>
    <t>-716.17815070812 284.195054625265 -221.007264960374</t>
  </si>
  <si>
    <t>-477.731721176877 310.285196377845 -198.345955455981</t>
  </si>
  <si>
    <t>-784.368167537356 59.5095361773501 -523.185033001565</t>
  </si>
  <si>
    <t>-747.314867679011 199.030069483921 -68.7565885293085</t>
  </si>
  <si>
    <t>-754.682744910523 201.035644616027 334.723707990012</t>
  </si>
  <si>
    <t>-824.852509179647 195.181700707425 776.925429766016</t>
  </si>
  <si>
    <t>-684.836505818665 239.520255588184 836.228822441965</t>
  </si>
  <si>
    <t>-740.052119577626 7.56430397659778 -65.6222222625667</t>
  </si>
  <si>
    <t>-692.821822466953 -16.2579993836744 334.448305395708</t>
  </si>
  <si>
    <t>-725.400240381315 -32.9038823676874 780.918287106333</t>
  </si>
  <si>
    <t>-604.941903050836 -107.040472140552 852.198454629792</t>
  </si>
  <si>
    <t>9763-20170724T111031.017738400.bin</t>
  </si>
  <si>
    <t>-743.452479340448 103.173867214045 -66.1498792879094</t>
  </si>
  <si>
    <t>-770.72390712539 100.090489142947 -178.679777449837</t>
  </si>
  <si>
    <t>-780.417192427771 97.1467754723603 -276.781921056</t>
  </si>
  <si>
    <t>-784.278687586997 93.9980169806936 -365.739398673361</t>
  </si>
  <si>
    <t>-782.908450153084 90.1009387677855 -454.740336323909</t>
  </si>
  <si>
    <t>-775.546483287199 83.6539746948097 -578.9380118442</t>
  </si>
  <si>
    <t>-750.243915402971 78.2230086883251 -657.901878376115</t>
  </si>
  <si>
    <t>-773.582855735 113.684597529834 -525.38793972904</t>
  </si>
  <si>
    <t>-742.232814091698 246.829330726118 -511.775435336753</t>
  </si>
  <si>
    <t>-718.297974157963 283.918273604454 -220.841275975754</t>
  </si>
  <si>
    <t>-479.829258521748 310.033153237992 -198.446237861826</t>
  </si>
  <si>
    <t>-783.989578214589 59.2972432708239 -523.181472102359</t>
  </si>
  <si>
    <t>-747.309888342855 198.918750952569 -68.7528231773349</t>
  </si>
  <si>
    <t>-754.790497325773 200.865225454487 334.725768738048</t>
  </si>
  <si>
    <t>-824.870428915283 195.156910216994 776.94106322059</t>
  </si>
  <si>
    <t>-684.828132293816 239.411889271191 836.244878691535</t>
  </si>
  <si>
    <t>-739.902096320846 7.48024457381325 -65.6276116323105</t>
  </si>
  <si>
    <t>-692.830904358542 -16.315829906026 334.463352256341</t>
  </si>
  <si>
    <t>-725.396302977143 -32.9249538205663 780.93790745682</t>
  </si>
  <si>
    <t>-605.115804061685 -107.354076490614 852.213284656649</t>
  </si>
  <si>
    <t>9763-20170724T111031.080905900.bin</t>
  </si>
  <si>
    <t>-743.419700164306 102.931574172168 -66.1503024655465</t>
  </si>
  <si>
    <t>-770.57694168787 99.7980219727633 -178.706363409147</t>
  </si>
  <si>
    <t>-780.1974633814 96.8279165733161 -276.815048159799</t>
  </si>
  <si>
    <t>-784.003396098863 93.6633139283363 -365.774202656953</t>
  </si>
  <si>
    <t>-782.587282768671 89.760745181653 -454.774287846898</t>
  </si>
  <si>
    <t>-775.170512047386 83.3182733475214 -578.968734225261</t>
  </si>
  <si>
    <t>-749.866033418252 77.8287081321223 -657.928182458507</t>
  </si>
  <si>
    <t>-773.331280980575 113.365952757033 -525.423773183119</t>
  </si>
  <si>
    <t>-742.599115920039 246.660014057065 -511.831444602332</t>
  </si>
  <si>
    <t>-720.67325238814 283.566944452165 -220.715734789739</t>
  </si>
  <si>
    <t>-482.147363463744 309.522137229923 -198.749118185716</t>
  </si>
  <si>
    <t>-783.537540291922 58.9408327514479 -523.210070544632</t>
  </si>
  <si>
    <t>-747.431028559092 198.671343267158 -68.760327829798</t>
  </si>
  <si>
    <t>-755.283680736958 200.628604857684 334.711024240255</t>
  </si>
  <si>
    <t>-824.92072883686 195.167515345448 776.984767883965</t>
  </si>
  <si>
    <t>-684.831683098854 239.250264296705 836.306669439536</t>
  </si>
  <si>
    <t>-739.698827258811 7.21358598735833 -65.6249057416597</t>
  </si>
  <si>
    <t>-692.882588564599 -16.4787416756585 334.502063088244</t>
  </si>
  <si>
    <t>-725.375322021403 -32.9399994494388 780.987597720771</t>
  </si>
  <si>
    <t>-604.936619170472 -107.165515644561 852.20837663833</t>
  </si>
  <si>
    <t>9763-20170724T111031.118941300.bin</t>
  </si>
  <si>
    <t>-743.458528136533 102.838964553342 -66.1545045092637</t>
  </si>
  <si>
    <t>-770.577633446082 99.6522181738769 -178.718419033627</t>
  </si>
  <si>
    <t>-780.192255171595 96.6400761051336 -276.826283736019</t>
  </si>
  <si>
    <t>-784.003517788666 93.438739462033 -365.783866510778</t>
  </si>
  <si>
    <t>-782.603720921646 89.502599826495 -454.782684204848</t>
  </si>
  <si>
    <t>-775.221268702361 83.0162766116746 -578.977060161746</t>
  </si>
  <si>
    <t>-749.893857603203 77.4623166108613 -657.924619208181</t>
  </si>
  <si>
    <t>-773.409285792929 113.090677847667 -525.446094535772</t>
  </si>
  <si>
    <t>-742.892995806701 246.440471415392 -511.891812872209</t>
  </si>
  <si>
    <t>-720.896936434736 283.523760221402 -220.803876333023</t>
  </si>
  <si>
    <t>-482.373348583546 309.563975626233 -198.912074884259</t>
  </si>
  <si>
    <t>-783.53045148113 58.6506854856129 -523.204579103675</t>
  </si>
  <si>
    <t>-747.550816907685 198.550012489342 -68.7655815640906</t>
  </si>
  <si>
    <t>-755.549117054522 200.643050329076 334.702230328821</t>
  </si>
  <si>
    <t>-824.960589604047 195.232053886592 777.010495231871</t>
  </si>
  <si>
    <t>-684.987800136395 239.670112500085 836.340661926148</t>
  </si>
  <si>
    <t>-739.655181108335 7.12168428289669 -65.6239429607696</t>
  </si>
  <si>
    <t>-692.902012147386 -16.5462504078628 334.511842883991</t>
  </si>
  <si>
    <t>-725.362011593023 -32.9709167182814 781.008589450231</t>
  </si>
  <si>
    <t>-604.948086253997 -107.248817752237 852.216849336662</t>
  </si>
  <si>
    <t>9763-20170724T111031.181108100.bin</t>
  </si>
  <si>
    <t>-743.718575981838 102.557811503495 -66.1480843581434</t>
  </si>
  <si>
    <t>-770.832046020356 99.2669878625584 -178.710265943266</t>
  </si>
  <si>
    <t>-780.445003348792 96.157329898705 -276.815197320071</t>
  </si>
  <si>
    <t>-784.255808541711 92.8635130470147 -365.769560983351</t>
  </si>
  <si>
    <t>-782.857384931963 88.8309335865501 -454.764021485165</t>
  </si>
  <si>
    <t>-775.478188214918 82.2062216792156 -578.951239878957</t>
  </si>
  <si>
    <t>-750.064813748537 76.4897531149704 -657.859592803385</t>
  </si>
  <si>
    <t>-773.702508967495 112.346886537604 -525.456544614918</t>
  </si>
  <si>
    <t>-743.312176572485 245.741182883566 -512.077332584072</t>
  </si>
  <si>
    <t>-720.723901622055 283.121218214703 -221.072804007017</t>
  </si>
  <si>
    <t>-482.236680452665 309.406034337715 -199.075251291333</t>
  </si>
  <si>
    <t>-783.748244148414 57.8957703911678 -523.148605363011</t>
  </si>
  <si>
    <t>-747.999591629779 198.300319402034 -68.8013520309167</t>
  </si>
  <si>
    <t>-755.751933389781 200.608692331063 334.670141658858</t>
  </si>
  <si>
    <t>-825.023424241821 195.283420592222 777.019325176317</t>
  </si>
  <si>
    <t>-685.088003054289 239.809270876249 836.373020018473</t>
  </si>
  <si>
    <t>-739.773250050919 6.75711961860043 -65.5929568820588</t>
  </si>
  <si>
    <t>-693.105743568864 -16.7218678685704 334.563935299732</t>
  </si>
  <si>
    <t>-725.386096472253 -33.2047830129218 781.060515255214</t>
  </si>
  <si>
    <t>-604.676210029812 -107.048730325108 852.218821735479</t>
  </si>
  <si>
    <t>9763-20170724T111031.219215800.bin</t>
  </si>
  <si>
    <t>-743.854449637023 102.482207698295 -66.1767402048949</t>
  </si>
  <si>
    <t>-770.985322229633 99.1530008643722 -178.733650157978</t>
  </si>
  <si>
    <t>-780.581855819485 96.0112730807568 -276.839105612854</t>
  </si>
  <si>
    <t>-784.366022911902 92.6891776913053 -365.79346537359</t>
  </si>
  <si>
    <t>-782.927847647594 88.6287902172553 -454.786192418592</t>
  </si>
  <si>
    <t>-775.480072252918 81.9660586000932 -578.967303744471</t>
  </si>
  <si>
    <t>-749.998017785276 76.1608969365575 -657.84693438954</t>
  </si>
  <si>
    <t>-773.745296702735 112.125360899749 -525.481653039989</t>
  </si>
  <si>
    <t>-743.267631255683 245.49780521739 -512.127807062841</t>
  </si>
  <si>
    <t>-720.028410978671 283.431763473589 -221.246050867958</t>
  </si>
  <si>
    <t>-481.535011224825 309.529062591022 -199.094953148831</t>
  </si>
  <si>
    <t>-783.769610953528 57.6707629796147 -523.161059544345</t>
  </si>
  <si>
    <t>-748.141528285757 198.234192339876 -68.8416956702671</t>
  </si>
  <si>
    <t>-755.828338826975 200.581521233261 334.63077244543</t>
  </si>
  <si>
    <t>-825.05243936529 195.305016019466 777.004455200207</t>
  </si>
  <si>
    <t>-685.144163194545 239.902768146667 836.367331583748</t>
  </si>
  <si>
    <t>-739.901191963433 6.71951827957901 -65.5772440352324</t>
  </si>
  <si>
    <t>-693.177645410129 -16.7059533063048 334.576261345389</t>
  </si>
  <si>
    <t>-725.338081450553 -33.1199849001741 781.076782183674</t>
  </si>
  <si>
    <t>-604.67771057949 -107.051894047637 852.227673991141</t>
  </si>
  <si>
    <t>9763-20170724T111031.284390400.bin</t>
  </si>
  <si>
    <t>-744.228430155449 102.275776230028 -66.2267489481859</t>
  </si>
  <si>
    <t>-771.369993359622 98.83490054597 -178.77756582365</t>
  </si>
  <si>
    <t>-780.913068680514 95.6346594432002 -276.886515332733</t>
  </si>
  <si>
    <t>-784.622162914116 92.2733146040623 -365.842662340685</t>
  </si>
  <si>
    <t>-783.081937870227 88.1866091817983 -454.832325901842</t>
  </si>
  <si>
    <t>-775.462408648953 81.4995066259303 -579.001616240107</t>
  </si>
  <si>
    <t>-749.773277739731 75.4840298442405 -657.798310306731</t>
  </si>
  <si>
    <t>-773.817304743906 111.671953502922 -525.520728306192</t>
  </si>
  <si>
    <t>-743.046848969433 244.987267324896 -512.122080938214</t>
  </si>
  <si>
    <t>-716.42418006887 284.698580619351 -221.768116906382</t>
  </si>
  <si>
    <t>-477.955249698822 310.620550676046 -199.152360658813</t>
  </si>
  <si>
    <t>-783.813673365753 57.2123584941255 -523.201111491254</t>
  </si>
  <si>
    <t>-748.458818428938 198.071814305999 -68.9593334996188</t>
  </si>
  <si>
    <t>-756.295712629693 200.5695866131 334.509391375137</t>
  </si>
  <si>
    <t>-825.083304107503 195.357587695545 776.958501092562</t>
  </si>
  <si>
    <t>-685.152939096676 239.788786811003 836.394108643338</t>
  </si>
  <si>
    <t>-740.255956589597 6.46436265211923 -65.5285622040728</t>
  </si>
  <si>
    <t>-693.23741870431 -16.7514658433452 334.60261436331</t>
  </si>
  <si>
    <t>-725.291348242646 -33.1392986762553 781.108647796002</t>
  </si>
  <si>
    <t>-604.533651470291 -106.933572710227 852.237406901848</t>
  </si>
  <si>
    <t>9763-20170724T111031.317485300.bin</t>
  </si>
  <si>
    <t>-744.490161549289 102.149443067731 -66.2410326455157</t>
  </si>
  <si>
    <t>-771.618735129888 98.662196155829 -178.793737191055</t>
  </si>
  <si>
    <t>-781.127943434085 95.4255470041735 -276.904569651928</t>
  </si>
  <si>
    <t>-784.797138195161 92.031167780141 -365.86106004181</t>
  </si>
  <si>
    <t>-783.208384828015 87.9108979281282 -454.84830102978</t>
  </si>
  <si>
    <t>-775.511183227577 81.1757024460944 -579.010456516743</t>
  </si>
  <si>
    <t>-749.688816384557 75.0313653769858 -657.753556710583</t>
  </si>
  <si>
    <t>-773.901141086656 111.3692359707 -525.540098876113</t>
  </si>
  <si>
    <t>-743.014299786928 244.6577953412 -512.186895490206</t>
  </si>
  <si>
    <t>-713.759390988222 285.259647681848 -222.209460134277</t>
  </si>
  <si>
    <t>-475.283301744195 311.227186804815 -199.720913070544</t>
  </si>
  <si>
    <t>-783.895516683624 56.9099833436076 -523.205531778145</t>
  </si>
  <si>
    <t>-748.723648664589 198.041235782213 -69.0228251531395</t>
  </si>
  <si>
    <t>-756.77663416875 200.566859435774 334.441407726467</t>
  </si>
  <si>
    <t>-825.088883236312 195.446329043629 776.952673326399</t>
  </si>
  <si>
    <t>-685.270341457725 240.117197475898 836.472274665158</t>
  </si>
  <si>
    <t>-740.490316923217 6.25365620967568 -65.5143739966967</t>
  </si>
  <si>
    <t>-693.354744982672 -16.7481083211123 334.615368022432</t>
  </si>
  <si>
    <t>-725.292408848211 -33.2288660803511 781.131749099482</t>
  </si>
  <si>
    <t>-604.482644118481 -106.955408558662 852.24235833364</t>
  </si>
  <si>
    <t>9763-20170724T111031.383660200.bin</t>
  </si>
  <si>
    <t>-745.428056488534 101.945819849886 -66.3313352361905</t>
  </si>
  <si>
    <t>-772.527281104757 98.4075424321654 -178.889439873421</t>
  </si>
  <si>
    <t>-781.965317681548 95.0709878192652 -277.003985772982</t>
  </si>
  <si>
    <t>-785.553356770192 91.561986743232 -365.959291959427</t>
  </si>
  <si>
    <t>-783.868021856016 87.3022096456625 -454.938193747699</t>
  </si>
  <si>
    <t>-776.021168322351 80.3448364579644 -579.078650712391</t>
  </si>
  <si>
    <t>-749.920362627111 73.955578719992 -657.710406544307</t>
  </si>
  <si>
    <t>-774.475688546946 110.634218805738 -525.660670519859</t>
  </si>
  <si>
    <t>-743.461074690126 243.911873827082 -512.496770080158</t>
  </si>
  <si>
    <t>-708.400417935981 286.102044659647 -223.391431073834</t>
  </si>
  <si>
    <t>-469.795614953289 311.922908793895 -202.134409559873</t>
  </si>
  <si>
    <t>-784.472545676771 56.178821436064 -523.240584015069</t>
  </si>
  <si>
    <t>-749.848188018232 198.030124497634 -69.1548020588774</t>
  </si>
  <si>
    <t>-757.832504035471 200.739664893573 334.309689123484</t>
  </si>
  <si>
    <t>-825.096025168112 195.642799840733 776.976121355999</t>
  </si>
  <si>
    <t>-685.419761574524 240.503609596204 836.686453787802</t>
  </si>
  <si>
    <t>-741.387480963031 5.87999523486405 -65.5292510398733</t>
  </si>
  <si>
    <t>-693.882085183814 -16.5323942621421 334.590285836847</t>
  </si>
  <si>
    <t>-725.234823221984 -33.1846713238201 781.151635717842</t>
  </si>
  <si>
    <t>-604.393889429168 -106.887343869295 852.234130434552</t>
  </si>
  <si>
    <t>9763-20170724T111031.417729100.bin</t>
  </si>
  <si>
    <t>-746.06123622766 101.878849354711 -66.377829636726</t>
  </si>
  <si>
    <t>-773.125916673522 98.3052989885605 -178.943122387312</t>
  </si>
  <si>
    <t>-782.500365871609 94.8886229432992 -277.060866594431</t>
  </si>
  <si>
    <t>-786.018183072083 91.2859491875183 -366.015362301724</t>
  </si>
  <si>
    <t>-784.251070036349 86.9109191132711 -454.987099352541</t>
  </si>
  <si>
    <t>-776.280058598375 79.7697484165328 -579.109202806933</t>
  </si>
  <si>
    <t>-750.004249151998 73.2645889995993 -657.673134853436</t>
  </si>
  <si>
    <t>-774.782958214646 110.136953940738 -525.734195359524</t>
  </si>
  <si>
    <t>-743.66140972152 243.401812175956 -512.707629633315</t>
  </si>
  <si>
    <t>-706.01371564901 286.301429583992 -224.032321170807</t>
  </si>
  <si>
    <t>-467.354643491605 311.847559421306 -203.053460650538</t>
  </si>
  <si>
    <t>-784.792204718867 55.687180304275 -523.2442921476</t>
  </si>
  <si>
    <t>-750.496585132385 197.977897181298 -69.2237892451104</t>
  </si>
  <si>
    <t>-758.327224071202 200.916000232987 334.242153748877</t>
  </si>
  <si>
    <t>-825.09376677956 195.697899530947 776.997415396656</t>
  </si>
  <si>
    <t>-685.37434212684 240.321471670654 836.784641139127</t>
  </si>
  <si>
    <t>-741.992900262322 5.76518097061444 -65.5340669836201</t>
  </si>
  <si>
    <t>-694.166632025935 -16.4025143550275 334.560831239879</t>
  </si>
  <si>
    <t>-725.227918788296 -33.236940160582 781.154327539314</t>
  </si>
  <si>
    <t>-604.351248356322 -106.894205626854 852.222745196588</t>
  </si>
  <si>
    <t>9763-20170724T111031.480895900.bin</t>
  </si>
  <si>
    <t>-747.372062036512 101.87029867798 -66.3958403225228</t>
  </si>
  <si>
    <t>-774.362474049432 98.2617012504093 -178.977900902642</t>
  </si>
  <si>
    <t>-783.541306398979 94.6939068300467 -277.108810169377</t>
  </si>
  <si>
    <t>-786.832962612458 90.9051649891444 -366.06422254647</t>
  </si>
  <si>
    <t>-784.792624722251 86.2929416998227 -455.018090276127</t>
  </si>
  <si>
    <t>-776.393776032092 78.7654888905622 -579.089143549434</t>
  </si>
  <si>
    <t>-749.6648148241 72.0165714035561 -657.479443068424</t>
  </si>
  <si>
    <t>-775.048722871626 109.293151813257 -525.801443835595</t>
  </si>
  <si>
    <t>-743.59517630458 242.504376557127 -513.060077240271</t>
  </si>
  <si>
    <t>-702.999250926273 286.417693596661 -224.937113451927</t>
  </si>
  <si>
    <t>-464.384714810192 311.890599999971 -203.370638884648</t>
  </si>
  <si>
    <t>-785.130860710276 54.8627852519735 -523.181788078302</t>
  </si>
  <si>
    <t>-751.719071102325 198.019016417343 -69.3347417265487</t>
  </si>
  <si>
    <t>-759.278499855627 201.290676275643 334.133741546117</t>
  </si>
  <si>
    <t>-825.152586870463 195.826135717717 777.022341866228</t>
  </si>
  <si>
    <t>-685.473693514345 240.486516572375 836.877065383869</t>
  </si>
  <si>
    <t>-743.356844270977 5.71200324477923 -65.5011760384285</t>
  </si>
  <si>
    <t>-694.709273940613 -16.0908960700444 334.514698967983</t>
  </si>
  <si>
    <t>-725.143719116608 -33.1338292809955 781.132579954625</t>
  </si>
  <si>
    <t>-604.230230260857 -106.740797576803 852.190096629065</t>
  </si>
  <si>
    <t>9763-20170724T111031.519003200.bin</t>
  </si>
  <si>
    <t>-748.028832857612 101.957155889275 -66.4089778614072</t>
  </si>
  <si>
    <t>-774.968038203755 98.3291873740823 -179.002618055702</t>
  </si>
  <si>
    <t>-784.031987895073 94.6976545664697 -277.141972489334</t>
  </si>
  <si>
    <t>-787.193011684988 90.8309321262986 -366.098701815813</t>
  </si>
  <si>
    <t>-784.99610482563 86.119308143258 -455.043640109454</t>
  </si>
  <si>
    <t>-776.35280655309 78.4300281208575 -579.088006120996</t>
  </si>
  <si>
    <t>-749.393244149542 71.5212717092159 -657.385327375126</t>
  </si>
  <si>
    <t>-775.084704955253 109.022114578756 -525.835355872495</t>
  </si>
  <si>
    <t>-743.403792799895 242.195596610757 -513.210731291925</t>
  </si>
  <si>
    <t>-702.219435586658 286.448754738939 -225.223411372378</t>
  </si>
  <si>
    <t>-463.730425254607 312.152347146744 -202.569914594584</t>
  </si>
  <si>
    <t>-785.228023817179 54.6054768849176 -523.168934784138</t>
  </si>
  <si>
    <t>-752.370137604031 198.116350014993 -69.4008722385038</t>
  </si>
  <si>
    <t>-759.766959592248 201.462081667464 334.070017569126</t>
  </si>
  <si>
    <t>-825.178347945884 195.876845973962 777.033374556982</t>
  </si>
  <si>
    <t>-685.549921371686 240.670102363372 836.906561889409</t>
  </si>
  <si>
    <t>-744.00662778953 5.76985768380428 -65.4822658797884</t>
  </si>
  <si>
    <t>-694.990582001381 -15.9120956538341 334.495238699713</t>
  </si>
  <si>
    <t>-725.140529435355 -33.2075079349197 781.124423937993</t>
  </si>
  <si>
    <t>-604.264341562186 -106.87594738062 852.18206429825</t>
  </si>
  <si>
    <t>9763-20170724T111031.587190900.bin</t>
  </si>
  <si>
    <t>-749.228576111037 102.161483737948 -66.4568376778947</t>
  </si>
  <si>
    <t>-776.052599024592 98.470987434152 -179.076068429577</t>
  </si>
  <si>
    <t>-784.897519216969 94.7319670848979 -277.231204230593</t>
  </si>
  <si>
    <t>-787.813706328704 90.7440311193523 -366.190841682221</t>
  </si>
  <si>
    <t>-785.327487550373 85.8835033538867 -455.120383753927</t>
  </si>
  <si>
    <t>-776.235101759814 77.9558139696483 -579.117441115305</t>
  </si>
  <si>
    <t>-748.799511691366 70.6773164143551 -657.215761419085</t>
  </si>
  <si>
    <t>-775.104052953705 108.639807662938 -525.914905640486</t>
  </si>
  <si>
    <t>-743.057901885935 241.732679573901 -513.421668345318</t>
  </si>
  <si>
    <t>-700.437935923826 286.592200089982 -225.737201510277</t>
  </si>
  <si>
    <t>-462.275146171431 313.04966608643 -200.649285575747</t>
  </si>
  <si>
    <t>-785.368115210011 54.2487541082601 -523.190030703727</t>
  </si>
  <si>
    <t>-753.518638282933 198.261892378101 -69.5271001841651</t>
  </si>
  <si>
    <t>-760.790473770551 201.822058275019 333.944206328008</t>
  </si>
  <si>
    <t>-825.163869520724 196.011251809699 777.081613766967</t>
  </si>
  <si>
    <t>-685.546470608037 240.647351566783 837.097593588956</t>
  </si>
  <si>
    <t>-745.221615674323 6.05696776098785 -65.4449874660869</t>
  </si>
  <si>
    <t>-695.61639459808 -15.4381658364673 334.469981753205</t>
  </si>
  <si>
    <t>-725.051282219628 -33.001983075188 781.109957593065</t>
  </si>
  <si>
    <t>-604.304610957458 -106.885210756786 852.164837742768</t>
  </si>
  <si>
    <t>9763-20170724T111031.616883800.bin</t>
  </si>
  <si>
    <t>-749.839635534969 102.26282647736 -66.4750417294446</t>
  </si>
  <si>
    <t>-776.5971215345 98.5477909748861 -179.109255045525</t>
  </si>
  <si>
    <t>-785.352484971233 94.7511646653629 -277.270268052347</t>
  </si>
  <si>
    <t>-788.175783084114 90.6952722377446 -366.229903953579</t>
  </si>
  <si>
    <t>-785.586299689983 85.7501487633576 -455.15170341094</t>
  </si>
  <si>
    <t>-776.33917738688 77.6862481445046 -579.128605461937</t>
  </si>
  <si>
    <t>-748.649945057859 70.2080281815643 -657.118384142983</t>
  </si>
  <si>
    <t>-775.257618254985 108.425567415287 -525.956847510142</t>
  </si>
  <si>
    <t>-743.042466647028 241.497490442609 -513.554530915276</t>
  </si>
  <si>
    <t>-699.439680794613 286.759618949957 -226.080401166251</t>
  </si>
  <si>
    <t>-461.477424810224 313.887157947348 -199.833906345933</t>
  </si>
  <si>
    <t>-785.559092110612 54.0438494555501 -523.188129816261</t>
  </si>
  <si>
    <t>-754.151005276499 198.37939319482 -69.5782485165449</t>
  </si>
  <si>
    <t>-761.315763689916 202.008534786195 333.894413663011</t>
  </si>
  <si>
    <t>-825.186362640052 196.128845992752 777.108852477199</t>
  </si>
  <si>
    <t>-685.684962748478 241.050633708882 837.180869455928</t>
  </si>
  <si>
    <t>-745.857857314134 6.16698219335649 -65.4262354795773</t>
  </si>
  <si>
    <t>-696.046036603639 -15.253084923349 334.467036348548</t>
  </si>
  <si>
    <t>-725.057611295721 -33.046940955086 781.121119487223</t>
  </si>
  <si>
    <t>-604.230954392987 -106.81646712847 852.158268192608</t>
  </si>
  <si>
    <t>9763-20170724T111031.686573600.bin</t>
  </si>
  <si>
    <t>-750.986581881962 102.557343804453 -66.4591375813816</t>
  </si>
  <si>
    <t>-777.672602458627 98.8282853341379 -179.109800940393</t>
  </si>
  <si>
    <t>-786.326933016721 94.8913847401172 -277.274218773057</t>
  </si>
  <si>
    <t>-789.047092689626 90.6569589632359 -366.228823853702</t>
  </si>
  <si>
    <t>-786.344757648211 85.4817354664351 -455.134165458174</t>
  </si>
  <si>
    <t>-776.93332897605 77.0421125068947 -579.073792389144</t>
  </si>
  <si>
    <t>-748.65907290685 69.1781281460453 -656.815327470236</t>
  </si>
  <si>
    <t>-775.911527258588 107.940521844248 -525.993022350486</t>
  </si>
  <si>
    <t>-743.582814604413 241.007182373799 -513.90977278072</t>
  </si>
  <si>
    <t>-697.453860873322 287.150943848579 -226.970626631702</t>
  </si>
  <si>
    <t>-460.080508964064 316.583200334256 -198.0140400938</t>
  </si>
  <si>
    <t>-786.237840572047 53.5711879797045 -523.074922375912</t>
  </si>
  <si>
    <t>-755.25226787589 198.53648271048 -69.6158116398134</t>
  </si>
  <si>
    <t>-762.273185751297 202.359796313458 333.857530717341</t>
  </si>
  <si>
    <t>-825.205621306251 196.228350232049 777.185353337179</t>
  </si>
  <si>
    <t>-685.669567221101 240.947689632404 837.328339441202</t>
  </si>
  <si>
    <t>-747.077012219682 6.62261738938378 -65.3846172106628</t>
  </si>
  <si>
    <t>-696.767953935212 -14.8523212984774 334.443441524528</t>
  </si>
  <si>
    <t>-725.0567719894 -33.0328690434662 781.149085025949</t>
  </si>
  <si>
    <t>-604.215016108837 -106.809856886706 852.152546198636</t>
  </si>
  <si>
    <t>9763-20170724T111031.719165700.bin</t>
  </si>
  <si>
    <t>-751.579308772778 102.776904683866 -66.4194721500655</t>
  </si>
  <si>
    <t>-778.250788242947 99.0445979125525 -179.073496660982</t>
  </si>
  <si>
    <t>-786.884911695617 95.031741002027 -277.23664413769</t>
  </si>
  <si>
    <t>-789.585923641829 90.6999465787244 -366.187097680873</t>
  </si>
  <si>
    <t>-786.865322142662 85.4000585965791 -455.084536073594</t>
  </si>
  <si>
    <t>-777.429111811886 76.7581651882488 -579.008239497176</t>
  </si>
  <si>
    <t>-748.808792695634 68.7285197003434 -656.606073725659</t>
  </si>
  <si>
    <t>-776.427665113827 107.744895272053 -525.978764220665</t>
  </si>
  <si>
    <t>-744.077888131117 240.827543197931 -514.097018078937</t>
  </si>
  <si>
    <t>-696.703136444891 287.568769637221 -227.457785146508</t>
  </si>
  <si>
    <t>-459.632461017864 318.176161106205 -197.265120381445</t>
  </si>
  <si>
    <t>-786.735005172488 53.377008251045 -522.972292474392</t>
  </si>
  <si>
    <t>-755.874982018525 198.71072748472 -69.604476312779</t>
  </si>
  <si>
    <t>-762.726952845886 202.565770042224 333.871473810403</t>
  </si>
  <si>
    <t>-825.220348152959 196.273815300956 777.24985003955</t>
  </si>
  <si>
    <t>-685.665468272264 240.910306518033 837.410510106054</t>
  </si>
  <si>
    <t>-747.635511255696 6.89216810914786 -65.336432933843</t>
  </si>
  <si>
    <t>-697.097423610141 -14.6824338416882 334.45740446634</t>
  </si>
  <si>
    <t>-725.075405967421 -33.0767958355295 781.171235655624</t>
  </si>
  <si>
    <t>-604.116303398945 -106.68733874493 852.147701985534</t>
  </si>
  <si>
    <t>9763-20170724T111031.782332500.bin</t>
  </si>
  <si>
    <t>-752.659998975671 103.307563235276 -66.3432264345896</t>
  </si>
  <si>
    <t>-779.35721702081 99.521328360815 -178.989292557606</t>
  </si>
  <si>
    <t>-787.967309226935 95.3541761961974 -277.148169065588</t>
  </si>
  <si>
    <t>-790.630808682501 90.8396141000662 -366.090706561155</t>
  </si>
  <si>
    <t>-787.858623100552 85.3134425347162 -454.972693957193</t>
  </si>
  <si>
    <t>-778.338534425048 76.3107441319426 -578.864373484677</t>
  </si>
  <si>
    <t>-748.941754216074 68.01472201059 -656.143294905559</t>
  </si>
  <si>
    <t>-777.398842227034 107.456606755248 -525.927039186633</t>
  </si>
  <si>
    <t>-745.115081952178 240.580757483649 -514.406144387561</t>
  </si>
  <si>
    <t>-695.574462965013 288.842099222305 -228.385531586489</t>
  </si>
  <si>
    <t>-459.014910935055 321.218528278232 -196.102504062816</t>
  </si>
  <si>
    <t>-787.65648935533 53.0881572540143 -522.764554226877</t>
  </si>
  <si>
    <t>-757.117568612216 199.13710848663 -69.5596145870551</t>
  </si>
  <si>
    <t>-763.4249715868 203.019823128223 333.924977478785</t>
  </si>
  <si>
    <t>-825.223897298294 196.303993161148 777.395472921983</t>
  </si>
  <si>
    <t>-685.590378956015 240.64701630752 837.590453206982</t>
  </si>
  <si>
    <t>-748.528035342566 7.44989128924317 -65.2335176441802</t>
  </si>
  <si>
    <t>-697.630675947738 -14.2164650974596 334.509869328505</t>
  </si>
  <si>
    <t>-725.11560679063 -33.214486706217 781.217764757006</t>
  </si>
  <si>
    <t>-604.296325918948 -107.075407986685 852.17241390469</t>
  </si>
  <si>
    <t>9763-20170724T111031.819434900.bin</t>
  </si>
  <si>
    <t>-753.065870016913 103.514108815246 -66.3150873577556</t>
  </si>
  <si>
    <t>-779.781298550816 99.6786709852868 -178.955100758606</t>
  </si>
  <si>
    <t>-788.403855004343 95.4293128890513 -277.109335646058</t>
  </si>
  <si>
    <t>-791.077943126686 90.8241485540038 -366.04684772384</t>
  </si>
  <si>
    <t>-788.316873106271 85.1918738905806 -454.922679793993</t>
  </si>
  <si>
    <t>-778.813333506642 76.0245923129323 -578.80353197859</t>
  </si>
  <si>
    <t>-749.052014314762 67.6226498616129 -655.93120423481</t>
  </si>
  <si>
    <t>-777.875201824738 107.242444898226 -525.908464730666</t>
  </si>
  <si>
    <t>-745.608223601159 240.391421017136 -514.564630066942</t>
  </si>
  <si>
    <t>-695.149526371712 289.375341378248 -228.827591668787</t>
  </si>
  <si>
    <t>-458.857305090455 322.541955995149 -195.407842941368</t>
  </si>
  <si>
    <t>-788.115573988179 52.8749988764284 -522.670733398423</t>
  </si>
  <si>
    <t>-757.574377513508 199.318282553735 -69.5480754108794</t>
  </si>
  <si>
    <t>-763.652851112113 203.280306737942 333.939288015293</t>
  </si>
  <si>
    <t>-825.247107371606 196.369308854652 777.45528365789</t>
  </si>
  <si>
    <t>-685.680090304721 240.905747639946 837.661865248191</t>
  </si>
  <si>
    <t>-748.841412833737 7.67619129992045 -65.1769591254873</t>
  </si>
  <si>
    <t>-697.760715731908 -14.0809790250078 334.538046672537</t>
  </si>
  <si>
    <t>-725.132937500361 -33.313318768669 781.229419724096</t>
  </si>
  <si>
    <t>-604.130608782777 -106.88918007994 852.168144161957</t>
  </si>
  <si>
    <t>9763-20170724T111031.882606300.bin</t>
  </si>
  <si>
    <t>-753.507437248007 103.985087212517 -66.2553798267373</t>
  </si>
  <si>
    <t>-780.317467551808 100.0691349381 -178.870267634035</t>
  </si>
  <si>
    <t>-789.033458124282 95.6855867264462 -277.010264412423</t>
  </si>
  <si>
    <t>-791.799671001056 90.9310287847279 -365.93724496109</t>
  </si>
  <si>
    <t>-789.138746447931 85.1212609075665 -454.804511613022</t>
  </si>
  <si>
    <t>-779.785387216552 75.6756774012697 -578.675887964377</t>
  </si>
  <si>
    <t>-749.370857075331 67.0979402153885 -655.528980891911</t>
  </si>
  <si>
    <t>-778.776722716669 107.010981043237 -525.851641648189</t>
  </si>
  <si>
    <t>-746.460330362321 240.16535059638 -514.786405627176</t>
  </si>
  <si>
    <t>-693.978376405469 289.985104351078 -229.558573291948</t>
  </si>
  <si>
    <t>-458.105649490278 324.610194389688 -194.687243664805</t>
  </si>
  <si>
    <t>-789.026271601686 52.6533088070751 -522.480650794985</t>
  </si>
  <si>
    <t>-758.160025837979 199.800691908491 -69.5229547176197</t>
  </si>
  <si>
    <t>-763.816820632805 203.807108731165 333.970033277905</t>
  </si>
  <si>
    <t>-825.285854619329 196.499226785786 777.541276071287</t>
  </si>
  <si>
    <t>-685.905936669261 241.576545702041 837.779054087642</t>
  </si>
  <si>
    <t>-749.127068733543 8.13960891219722 -65.0779799147131</t>
  </si>
  <si>
    <t>-697.66849737343 -13.7306582102119 334.582414473918</t>
  </si>
  <si>
    <t>-725.096125500939 -33.3167581092675 781.232111907981</t>
  </si>
  <si>
    <t>-604.102802174838 -106.892142309419 852.186854920758</t>
  </si>
  <si>
    <t>9763-20170724T111031.917474100.bin</t>
  </si>
  <si>
    <t>-753.576234139502 104.213593069727 -66.225687492847</t>
  </si>
  <si>
    <t>-780.450341123009 100.292502172911 -178.825015291978</t>
  </si>
  <si>
    <t>-789.237828136245 95.8687547486988 -276.956889572205</t>
  </si>
  <si>
    <t>-792.075871902629 91.0642514375954 -365.878796902362</t>
  </si>
  <si>
    <t>-789.494910170105 85.1905247221812 -454.744273883393</t>
  </si>
  <si>
    <t>-780.261915901539 75.6410861186309 -578.616728647135</t>
  </si>
  <si>
    <t>-749.550777311 67.011356744928 -655.345983463753</t>
  </si>
  <si>
    <t>-779.190259448262 107.0185139635 -525.818926190666</t>
  </si>
  <si>
    <t>-746.789290289229 240.165724552273 -514.856048371127</t>
  </si>
  <si>
    <t>-693.219376686688 290.247304907109 -229.87642197827</t>
  </si>
  <si>
    <t>-457.46674285083 325.330908276675 -194.653609802262</t>
  </si>
  <si>
    <t>-789.459694505144 52.6679799295021 -522.394388101636</t>
  </si>
  <si>
    <t>-758.280323453855 200.033440476923 -69.4971867280981</t>
  </si>
  <si>
    <t>-763.826787724071 203.939201450471 333.998313073846</t>
  </si>
  <si>
    <t>-825.268161634571 196.470724660517 777.576404354245</t>
  </si>
  <si>
    <t>-685.79150748852 241.22528984345 837.830523325371</t>
  </si>
  <si>
    <t>-749.153477482498 8.3915682231268 -65.0471645678867</t>
  </si>
  <si>
    <t>-697.513919335967 -13.5043894443252 334.588411505591</t>
  </si>
  <si>
    <t>-725.013639678931 -33.0934584568695 781.219433344861</t>
  </si>
  <si>
    <t>-604.204961941813 -106.947104885388 852.199391261641</t>
  </si>
  <si>
    <t>9763-20170724T111031.982648000.bin</t>
  </si>
  <si>
    <t>-753.806327766958 104.647244319472 -66.2140608200152</t>
  </si>
  <si>
    <t>-780.810967896839 100.743946705178 -178.782992891765</t>
  </si>
  <si>
    <t>-789.763017105132 96.2743491822166 -276.897856623118</t>
  </si>
  <si>
    <t>-792.772915993322 91.4051094854867 -365.810590196709</t>
  </si>
  <si>
    <t>-790.387333362917 85.4428349131813 -454.675631180725</t>
  </si>
  <si>
    <t>-781.453191247388 75.7455607333077 -578.558470549499</t>
  </si>
  <si>
    <t>-750.350198754174 67.0656024439309 -655.12400628236</t>
  </si>
  <si>
    <t>-780.205239998596 107.176968795321 -525.796614255975</t>
  </si>
  <si>
    <t>-747.544164538811 240.270883177252 -514.983009899005</t>
  </si>
  <si>
    <t>-691.958236397886 290.742367456547 -230.458809163309</t>
  </si>
  <si>
    <t>-456.263714203064 326.155385898586 -195.175785982515</t>
  </si>
  <si>
    <t>-790.564324559533 52.8487202515371 -522.290925143964</t>
  </si>
  <si>
    <t>-758.594792472172 200.510357634284 -69.4650964501324</t>
  </si>
  <si>
    <t>-763.819013297058 204.164566887202 334.037074781467</t>
  </si>
  <si>
    <t>-825.273978188146 196.4991890822 777.634880401585</t>
  </si>
  <si>
    <t>-685.814972011467 241.282062058837 837.908710692257</t>
  </si>
  <si>
    <t>-749.354496925286 8.78391347100251 -65.0188066297557</t>
  </si>
  <si>
    <t>-697.396953285558 -13.0652699092661 334.578003068016</t>
  </si>
  <si>
    <t>-724.925588967596 -32.9309056043444 781.186692136487</t>
  </si>
  <si>
    <t>-604.261550772565 -106.985564366853 852.20390348766</t>
  </si>
  <si>
    <t>9763-20170724T111032.019749700.bin</t>
  </si>
  <si>
    <t>-753.933964214801 104.884330920914 -66.2083632762768</t>
  </si>
  <si>
    <t>-780.984994268708 100.98236955705 -178.766115769018</t>
  </si>
  <si>
    <t>-790.01891557094 96.5114995242561 -276.873444737807</t>
  </si>
  <si>
    <t>-793.11970959436 91.6405314101326 -365.782960015751</t>
  </si>
  <si>
    <t>-790.842512804453 85.6753908221117 -454.650741546854</t>
  </si>
  <si>
    <t>-782.077141326499 75.9732396257127 -578.545158679677</t>
  </si>
  <si>
    <t>-750.892091349305 67.3134017853554 -655.079719983133</t>
  </si>
  <si>
    <t>-780.724528871135 107.400680768355 -525.783563775415</t>
  </si>
  <si>
    <t>-747.879314136587 240.447397829076 -514.997967205725</t>
  </si>
  <si>
    <t>-691.337228744277 291.121498976669 -230.698327383323</t>
  </si>
  <si>
    <t>-455.662983571951 326.468739387211 -195.214323321983</t>
  </si>
  <si>
    <t>-791.143906591482 53.0846976263292 -522.267270253121</t>
  </si>
  <si>
    <t>-758.708768078379 200.743225828653 -69.4566576498705</t>
  </si>
  <si>
    <t>-763.887400066164 204.295294354999 334.047024980913</t>
  </si>
  <si>
    <t>-825.276484946576 196.52311738439 777.665608773762</t>
  </si>
  <si>
    <t>-685.817305428172 241.291802320269 837.950531310779</t>
  </si>
  <si>
    <t>-749.484025489037 9.02063142642965 -65.002220938774</t>
  </si>
  <si>
    <t>-697.282887043517 -12.8636151606947 334.561091608165</t>
  </si>
  <si>
    <t>-724.897283962398 -32.8962450266881 781.165750869668</t>
  </si>
  <si>
    <t>-604.347533500351 -107.115712835935 852.2046461775</t>
  </si>
  <si>
    <t>9763-20170724T111032.081916800.bin</t>
  </si>
  <si>
    <t>-754.149464129444 105.360556881868 -66.180447437261</t>
  </si>
  <si>
    <t>-781.225468499709 101.459756984415 -178.732224010809</t>
  </si>
  <si>
    <t>-790.375530143236 97.0375346097576 -276.831062011654</t>
  </si>
  <si>
    <t>-793.618739045266 92.2296473605115 -365.738851440167</t>
  </si>
  <si>
    <t>-791.520280438804 86.3461942530248 -454.61643242115</t>
  </si>
  <si>
    <t>-783.04199069716 76.7758669915679 -578.541179392156</t>
  </si>
  <si>
    <t>-751.819631424179 68.2258117256429 -655.07276008339</t>
  </si>
  <si>
    <t>-781.495561097312 108.133751851001 -525.743361685088</t>
  </si>
  <si>
    <t>-748.212524364191 241.068141593056 -514.926336325834</t>
  </si>
  <si>
    <t>-689.926000267966 291.940716086075 -231.014566219413</t>
  </si>
  <si>
    <t>-454.348891535808 327.453646362534 -195.054828486445</t>
  </si>
  <si>
    <t>-792.050133689336 53.8406551857679 -522.272630560136</t>
  </si>
  <si>
    <t>-758.887999777592 201.281687345752 -69.4403254626867</t>
  </si>
  <si>
    <t>-764.073740124433 204.527749017226 334.065883154355</t>
  </si>
  <si>
    <t>-825.268225327058 196.569165664013 777.718039731665</t>
  </si>
  <si>
    <t>-685.859229334713 241.449250339148 838.035598019982</t>
  </si>
  <si>
    <t>-749.693784507814 9.42998354118936 -64.9626099455382</t>
  </si>
  <si>
    <t>-697.094020697235 -12.5309337615104 334.544110312509</t>
  </si>
  <si>
    <t>-724.869176753313 -32.8964782061403 781.124928096132</t>
  </si>
  <si>
    <t>-604.296596524043 -107.058832890035 852.184989019309</t>
  </si>
  <si>
    <t>9763-20170724T111032.120023100.bin</t>
  </si>
  <si>
    <t>-754.267374699093 105.5726690486 -66.1689819066448</t>
  </si>
  <si>
    <t>-781.347578219996 101.691191322539 -178.720411451889</t>
  </si>
  <si>
    <t>-790.543262002132 97.3129291441492 -276.817017931272</t>
  </si>
  <si>
    <t>-793.843752149372 92.5560883224716 -365.725395959758</t>
  </si>
  <si>
    <t>-791.818134941054 86.73427712987 -454.608778641781</t>
  </si>
  <si>
    <t>-783.457484022385 77.2620204834802 -578.54903668422</t>
  </si>
  <si>
    <t>-752.290487515362 68.7744131132881 -655.110019556843</t>
  </si>
  <si>
    <t>-781.82833467829 108.571962532254 -525.725203897147</t>
  </si>
  <si>
    <t>-748.337034675834 241.45961251769 -514.882669831735</t>
  </si>
  <si>
    <t>-689.267053035902 292.311237113542 -231.129108985155</t>
  </si>
  <si>
    <t>-453.712085241455 327.926697153027 -195.126626628648</t>
  </si>
  <si>
    <t>-792.445045554643 54.2885986397109 -522.292858887507</t>
  </si>
  <si>
    <t>-758.999107434739 201.513974698955 -69.4249472794172</t>
  </si>
  <si>
    <t>-764.153314414791 204.649951797389 334.082541437865</t>
  </si>
  <si>
    <t>-825.246100142808 196.577771851366 777.753038878224</t>
  </si>
  <si>
    <t>-685.797456541711 241.297624142734 838.097727637444</t>
  </si>
  <si>
    <t>-749.843562700274 9.6333712247515 -64.9456637379778</t>
  </si>
  <si>
    <t>-697.009040293369 -12.3313607857281 334.529915450196</t>
  </si>
  <si>
    <t>-724.831920287193 -32.8087294126594 781.103248583485</t>
  </si>
  <si>
    <t>-604.272110401185 -106.981925584414 852.173741437161</t>
  </si>
  <si>
    <t>9763-20170724T111032.183192400.bin</t>
  </si>
  <si>
    <t>-754.564091675155 105.934204163976 -66.1279752352908</t>
  </si>
  <si>
    <t>-781.625472674917 102.095735248104 -178.685388766467</t>
  </si>
  <si>
    <t>-790.870168826287 97.7717110010262 -276.779651801182</t>
  </si>
  <si>
    <t>-794.240871323743 93.0716137469381 -365.688550026866</t>
  </si>
  <si>
    <t>-792.311459794247 87.313617401318 -454.578192861741</t>
  </si>
  <si>
    <t>-784.112169673088 77.9375436619898 -578.536542297816</t>
  </si>
  <si>
    <t>-753.078410343684 69.5378868931984 -655.161605333091</t>
  </si>
  <si>
    <t>-782.352903584487 109.194517245836 -525.68578428885</t>
  </si>
  <si>
    <t>-748.457489720456 241.979985069418 -514.875525086786</t>
  </si>
  <si>
    <t>-688.051684067899 292.933509184594 -231.421722388814</t>
  </si>
  <si>
    <t>-452.455809637128 328.485030914756 -195.622295803733</t>
  </si>
  <si>
    <t>-793.087563167854 54.9321803294106 -522.291372768104</t>
  </si>
  <si>
    <t>-759.288334885789 201.926026535381 -69.3764552199492</t>
  </si>
  <si>
    <t>-764.282718176858 204.891198472829 334.134383657438</t>
  </si>
  <si>
    <t>-825.229186405825 196.629251173179 777.828486002307</t>
  </si>
  <si>
    <t>-685.803676029567 241.360982892599 838.218014306079</t>
  </si>
  <si>
    <t>-750.162535865574 9.92270575246539 -64.914762554701</t>
  </si>
  <si>
    <t>-696.816895744957 -12.0320658395713 334.493413661145</t>
  </si>
  <si>
    <t>-724.805365646684 -32.8160711895057 781.044020970336</t>
  </si>
  <si>
    <t>-604.214689918596 -106.912651992873 852.141833418058</t>
  </si>
  <si>
    <t>9763-20170724T111032.216293600.bin</t>
  </si>
  <si>
    <t>-754.695269251802 106.135337986419 -66.0907309794255</t>
  </si>
  <si>
    <t>-781.755467686537 102.321387562326 -178.649212016838</t>
  </si>
  <si>
    <t>-791.03268738617 98.0126645513315 -276.74124596121</t>
  </si>
  <si>
    <t>-794.447000361391 93.3253735254375 -365.649055138197</t>
  </si>
  <si>
    <t>-792.574594813944 87.5798227981345 -454.540797483762</t>
  </si>
  <si>
    <t>-784.470099952566 78.2205179863709 -578.506507122491</t>
  </si>
  <si>
    <t>-753.502713485085 69.8647012969168 -655.16318789029</t>
  </si>
  <si>
    <t>-782.639540863405 109.46446267493 -525.650346971648</t>
  </si>
  <si>
    <t>-748.513770065764 242.197335788726 -514.902323304782</t>
  </si>
  <si>
    <t>-687.418206338938 293.285303378494 -231.620444834994</t>
  </si>
  <si>
    <t>-451.845736100371 328.832947043621 -195.664446980878</t>
  </si>
  <si>
    <t>-793.433337849679 55.2136155967805 -522.260258593789</t>
  </si>
  <si>
    <t>-759.396966097107 202.140631026244 -69.3439319828317</t>
  </si>
  <si>
    <t>-764.301419421653 205.012539418788 334.168607091817</t>
  </si>
  <si>
    <t>-825.219437988964 196.64533063884 777.867606800053</t>
  </si>
  <si>
    <t>-685.781374711706 241.318774109903 838.270812895959</t>
  </si>
  <si>
    <t>-750.316774457964 10.1370449378069 -64.8949344016235</t>
  </si>
  <si>
    <t>-696.737284997492 -11.8352259107219 334.481000412114</t>
  </si>
  <si>
    <t>-724.785232831875 -32.7724541711345 781.016067742735</t>
  </si>
  <si>
    <t>-604.302855388838 -107.025025456885 852.134183130992</t>
  </si>
  <si>
    <t>9763-20170724T111032.284469000.bin</t>
  </si>
  <si>
    <t>-754.95449849292 106.453271681369 -66.0238841381744</t>
  </si>
  <si>
    <t>-782.015217760269 102.681303597155 -178.583677310758</t>
  </si>
  <si>
    <t>-791.377284030146 98.4232210046275 -276.669706409482</t>
  </si>
  <si>
    <t>-794.901755511809 93.7902899877222 -365.576215234628</t>
  </si>
  <si>
    <t>-793.173034388966 88.1077085532202 -454.474737327083</t>
  </si>
  <si>
    <t>-785.302001260331 78.8467957812932 -578.463159411198</t>
  </si>
  <si>
    <t>-754.475788284558 70.5583666457633 -655.183751943656</t>
  </si>
  <si>
    <t>-783.3182270058 110.038514227287 -525.581632360739</t>
  </si>
  <si>
    <t>-748.804990169179 242.675923914911 -514.877561794945</t>
  </si>
  <si>
    <t>-686.312342087159 293.963134872467 -231.936857149779</t>
  </si>
  <si>
    <t>-450.676804615114 329.111276472459 -196.002145048514</t>
  </si>
  <si>
    <t>-794.212867818672 55.8056054165031 -522.222424524622</t>
  </si>
  <si>
    <t>-759.554910578094 202.491920753617 -69.2842487429085</t>
  </si>
  <si>
    <t>-764.383025981755 205.225282903935 334.230165835871</t>
  </si>
  <si>
    <t>-825.199438410843 196.697318003029 777.945804952004</t>
  </si>
  <si>
    <t>-685.800612489128 241.435961655663 838.391886003803</t>
  </si>
  <si>
    <t>-750.674378154771 10.4138358229729 -64.8434390742924</t>
  </si>
  <si>
    <t>-696.672857737686 -11.6231667678817 334.47210615906</t>
  </si>
  <si>
    <t>-724.797466198059 -32.8129120012991 780.982829240464</t>
  </si>
  <si>
    <t>-604.128383538984 -106.760539369135 852.102558248731</t>
  </si>
  <si>
    <t>9763-20170724T111032.316558200.bin</t>
  </si>
  <si>
    <t>-755.07816748257 106.616851609966 -65.995393426848</t>
  </si>
  <si>
    <t>-782.131208719676 102.828750296174 -178.556466124459</t>
  </si>
  <si>
    <t>-791.526270752905 98.5885946216149 -276.640191549999</t>
  </si>
  <si>
    <t>-795.095866340137 93.9855332655611 -365.546341536022</t>
  </si>
  <si>
    <t>-793.426540465305 88.3462553530508 -454.448976954492</t>
  </si>
  <si>
    <t>-785.654211540268 79.160300212227 -578.448975515411</t>
  </si>
  <si>
    <t>-754.909551610987 70.9054151244554 -655.206146512788</t>
  </si>
  <si>
    <t>-783.60884302935 110.316146025254 -525.54868728073</t>
  </si>
  <si>
    <t>-748.941110729375 242.914190964191 -514.8419676816</t>
  </si>
  <si>
    <t>-685.77243225418 294.302936026381 -232.069827115475</t>
  </si>
  <si>
    <t>-450.096732265136 329.185387824011 -196.138707180598</t>
  </si>
  <si>
    <t>-794.539865513423 56.0891411195607 -522.216698335113</t>
  </si>
  <si>
    <t>-759.671267662727 202.653162452473 -69.2653033049704</t>
  </si>
  <si>
    <t>-764.444599177787 205.354632366922 334.250052628522</t>
  </si>
  <si>
    <t>-825.193070982673 196.742787451321 777.979561350413</t>
  </si>
  <si>
    <t>-685.834263972314 241.571505889881 838.451246331921</t>
  </si>
  <si>
    <t>-750.802203195806 10.584235437238 -64.805134040502</t>
  </si>
  <si>
    <t>-696.639741136625 -11.528909843908 334.484348242633</t>
  </si>
  <si>
    <t>-724.799434489111 -32.8196164513843 780.973050469124</t>
  </si>
  <si>
    <t>-604.15487075628 -106.79730582321 852.102812063637</t>
  </si>
  <si>
    <t>9763-20170724T111032.381731100.bin</t>
  </si>
  <si>
    <t>-755.342315309072 106.902795844358 -65.9666306650727</t>
  </si>
  <si>
    <t>-782.357443498588 103.076493473885 -178.535548617172</t>
  </si>
  <si>
    <t>-791.776472036967 98.8789665560448 -276.618866349778</t>
  </si>
  <si>
    <t>-795.388362075146 94.3447031943592 -365.526806328681</t>
  </si>
  <si>
    <t>-793.78137593621 88.8039088825153 -454.436631970198</t>
  </si>
  <si>
    <t>-786.114639097403 79.7862781488329 -578.455621588041</t>
  </si>
  <si>
    <t>-755.582430904791 71.6047781375846 -655.305394138758</t>
  </si>
  <si>
    <t>-783.999681419958 110.865500391324 -525.51300883417</t>
  </si>
  <si>
    <t>-749.049217951757 243.380622380368 -514.727517788702</t>
  </si>
  <si>
    <t>-684.533890868433 295.007771428942 -232.303075563826</t>
  </si>
  <si>
    <t>-448.768237870639 329.540281097136 -196.624358196482</t>
  </si>
  <si>
    <t>-794.977080028522 56.6436362209274 -522.249045968001</t>
  </si>
  <si>
    <t>-759.972333361417 202.871572066806 -69.2588933722568</t>
  </si>
  <si>
    <t>-764.600946215178 205.605904255293 334.257873271159</t>
  </si>
  <si>
    <t>-825.140156514181 196.777453410431 778.028457109699</t>
  </si>
  <si>
    <t>-685.766687728828 241.47351499896 838.565148155272</t>
  </si>
  <si>
    <t>-750.999370404292 10.941447480935 -64.7468517330398</t>
  </si>
  <si>
    <t>-696.573475389905 -11.2336681503793 334.503415643972</t>
  </si>
  <si>
    <t>-724.759491635382 -32.6708972398033 780.960273335841</t>
  </si>
  <si>
    <t>-604.307434738093 -106.93430997676 852.11907428677</t>
  </si>
  <si>
    <t>9763-20170724T111032.419594000.bin</t>
  </si>
  <si>
    <t>-755.465254976589 106.92565056958 -65.9522630219674</t>
  </si>
  <si>
    <t>-782.459508795965 103.093594979131 -178.525924086886</t>
  </si>
  <si>
    <t>-791.874206882177 98.9252885435458 -276.610961740711</t>
  </si>
  <si>
    <t>-795.486351797344 94.43099683524 -365.520968240177</t>
  </si>
  <si>
    <t>-793.883680947858 88.9440375331005 -454.434156586905</t>
  </si>
  <si>
    <t>-786.226142129242 80.0162058340029 -578.460270785346</t>
  </si>
  <si>
    <t>-755.820011743061 71.8883148861364 -655.365715718066</t>
  </si>
  <si>
    <t>-784.115126494349 111.058629952563 -525.495851166409</t>
  </si>
  <si>
    <t>-749.110815466322 243.553948597551 -514.662030513097</t>
  </si>
  <si>
    <t>-683.783222297781 295.131721591405 -232.415414867806</t>
  </si>
  <si>
    <t>-447.960276947112 329.465351449336 -196.924202588242</t>
  </si>
  <si>
    <t>-795.076613528145 56.8312121395916 -522.269085242255</t>
  </si>
  <si>
    <t>-760.109329972857 202.903245908595 -69.2509087119488</t>
  </si>
  <si>
    <t>-764.721677354267 205.643092578442 334.266010223041</t>
  </si>
  <si>
    <t>-825.108652168251 196.786634968287 778.055707246296</t>
  </si>
  <si>
    <t>-685.708125879947 241.351849785589 838.625392836994</t>
  </si>
  <si>
    <t>-751.104774257706 10.9274050422687 -64.7217496045257</t>
  </si>
  <si>
    <t>-696.530769046364 -11.2065200892566 334.510546402613</t>
  </si>
  <si>
    <t>-724.776920468262 -32.6971376004485 780.965249452823</t>
  </si>
  <si>
    <t>-604.131065745803 -106.659212232118 852.109485120882</t>
  </si>
  <si>
    <t>9763-20170724T111032.486787700.bin</t>
  </si>
  <si>
    <t>-755.767478939218 106.894116597759 -65.9095932870937</t>
  </si>
  <si>
    <t>-782.70554980676 103.063737223155 -178.496926744313</t>
  </si>
  <si>
    <t>-792.091657655585 98.9448744254569 -276.586614063214</t>
  </si>
  <si>
    <t>-795.684797691658 94.514488218143 -365.500677431756</t>
  </si>
  <si>
    <t>-794.068435933686 89.1123035614146 -454.418857331874</t>
  </si>
  <si>
    <t>-786.39703600564 80.3239695862103 -578.453992927414</t>
  </si>
  <si>
    <t>-756.26132176861 72.3400430464344 -655.480693925051</t>
  </si>
  <si>
    <t>-784.320766439425 111.312456789089 -525.456619367199</t>
  </si>
  <si>
    <t>-749.288773584059 243.793195233991 -514.519433884432</t>
  </si>
  <si>
    <t>-682.467883860039 295.190307401863 -232.589508121428</t>
  </si>
  <si>
    <t>-446.603297212948 329.534609226695 -197.38677059814</t>
  </si>
  <si>
    <t>-795.22475726739 57.0700121927975 -522.287821180253</t>
  </si>
  <si>
    <t>-760.482935534134 202.936876796114 -69.2101457117203</t>
  </si>
  <si>
    <t>-765.119568554838 205.7065966663 334.306281647198</t>
  </si>
  <si>
    <t>-825.08344578305 196.894004719236 778.131760547579</t>
  </si>
  <si>
    <t>-685.82630738261 241.806755073086 838.774898760853</t>
  </si>
  <si>
    <t>-751.380754274053 10.8606631709581 -64.7001525550421</t>
  </si>
  <si>
    <t>-696.615307646073 -11.2289063023036 334.508365463599</t>
  </si>
  <si>
    <t>-724.861486012059 -32.9012336719052 780.968322479979</t>
  </si>
  <si>
    <t>-604.07251060841 -106.640326336648 852.100897591269</t>
  </si>
  <si>
    <t>9763-20170724T111032.516503500.bin</t>
  </si>
  <si>
    <t>-755.895770401623 106.991594605848 -65.8960661803083</t>
  </si>
  <si>
    <t>-782.800345040522 103.162469107541 -178.49138174293</t>
  </si>
  <si>
    <t>-792.17391451663 99.0841316059791 -276.583962669344</t>
  </si>
  <si>
    <t>-795.761384840739 94.7066086491886 -365.500858652882</t>
  </si>
  <si>
    <t>-794.144265043001 89.3724617599296 -454.423169615841</t>
  </si>
  <si>
    <t>-786.475967150278 80.6959984575046 -578.466425980447</t>
  </si>
  <si>
    <t>-756.45364340638 72.8163558268188 -655.548036147744</t>
  </si>
  <si>
    <t>-784.410224660548 111.639034409468 -525.442039150669</t>
  </si>
  <si>
    <t>-749.349978909637 244.102490411395 -514.443595325109</t>
  </si>
  <si>
    <t>-681.852732285999 295.512893329882 -232.677158487494</t>
  </si>
  <si>
    <t>-445.952412318469 329.835058053964 -197.692978165873</t>
  </si>
  <si>
    <t>-795.290448533241 57.3892551934673 -522.32007686385</t>
  </si>
  <si>
    <t>-760.637403436192 202.986516426586 -69.1830510661117</t>
  </si>
  <si>
    <t>-765.30527392388 205.780414058245 334.332839034975</t>
  </si>
  <si>
    <t>-825.044915261666 196.911291743307 778.184156616378</t>
  </si>
  <si>
    <t>-685.798789921265 241.791155639355 838.876333589618</t>
  </si>
  <si>
    <t>-751.473363247184 11.018207262794 -64.694470236995</t>
  </si>
  <si>
    <t>-696.660934996722 -11.1010165748885 334.50598245799</t>
  </si>
  <si>
    <t>-724.853588852252 -32.8251408675651 780.970312554687</t>
  </si>
  <si>
    <t>-604.275506982486 -106.897086625858 852.114873595968</t>
  </si>
  <si>
    <t>9763-20170724T111032.582679200.bin</t>
  </si>
  <si>
    <t>-756.203354498145 106.96802577998 -65.8463781792111</t>
  </si>
  <si>
    <t>-783.091561441897 103.136927789006 -178.445638589199</t>
  </si>
  <si>
    <t>-792.491195193554 99.1471549930552 -276.539348643788</t>
  </si>
  <si>
    <t>-796.115697389348 94.8870520875739 -365.460382928615</t>
  </si>
  <si>
    <t>-794.546929309477 89.7089477387403 -454.392877661644</t>
  </si>
  <si>
    <t>-786.956628601522 81.2916127051922 -578.458672583277</t>
  </si>
  <si>
    <t>-757.122421929517 73.5962339101166 -655.632165071728</t>
  </si>
  <si>
    <t>-784.873848919949 112.126826644081 -525.372380134303</t>
  </si>
  <si>
    <t>-749.769645425273 244.574215115988 -514.248622557878</t>
  </si>
  <si>
    <t>-681.036248586075 296.182988346622 -232.817592613049</t>
  </si>
  <si>
    <t>-445.103982783758 330.360794462421 -197.906878945888</t>
  </si>
  <si>
    <t>-795.719686797928 57.8643707608067 -522.354430812055</t>
  </si>
  <si>
    <t>-760.963607870983 202.942690388299 -69.1380825966952</t>
  </si>
  <si>
    <t>-765.600001380974 205.761706812138 334.377988223702</t>
  </si>
  <si>
    <t>-824.978422950808 196.904923411165 778.270646378809</t>
  </si>
  <si>
    <t>-685.739546734418 241.739800756278 839.013732698776</t>
  </si>
  <si>
    <t>-751.757799150968 10.9661670648566 -64.668477005812</t>
  </si>
  <si>
    <t>-696.852464521029 -11.0946410692518 334.522477098285</t>
  </si>
  <si>
    <t>-724.900621438595 -32.8729465956694 780.999178165091</t>
  </si>
  <si>
    <t>-604.172820429338 -106.730593411248 852.112495796812</t>
  </si>
  <si>
    <t>9763-20170724T111032.617437700.bin</t>
  </si>
  <si>
    <t>-756.357183766105 106.906076674609 -65.8273947546143</t>
  </si>
  <si>
    <t>-783.253807652332 103.088496268543 -178.424980513602</t>
  </si>
  <si>
    <t>-792.657595910609 99.1387330722232 -276.520010846593</t>
  </si>
  <si>
    <t>-796.284041481613 94.9263697341748 -365.443364464737</t>
  </si>
  <si>
    <t>-794.714446636291 89.8068709241925 -454.379151494766</t>
  </si>
  <si>
    <t>-787.119449884029 81.4829023567477 -578.450933042668</t>
  </si>
  <si>
    <t>-757.344144845788 73.8461753548067 -655.652878297515</t>
  </si>
  <si>
    <t>-785.035765531955 112.277694212826 -525.341204079738</t>
  </si>
  <si>
    <t>-749.860652573151 244.703032753683 -514.158417569904</t>
  </si>
  <si>
    <t>-680.566940696761 296.335940763102 -232.869125856629</t>
  </si>
  <si>
    <t>-444.622454860896 330.417143671846 -197.946950760092</t>
  </si>
  <si>
    <t>-795.887495679046 58.0140457299717 -522.36492789054</t>
  </si>
  <si>
    <t>-761.103227880355 202.881993277516 -69.1162662608662</t>
  </si>
  <si>
    <t>-765.719369042058 205.753980660227 334.399697562415</t>
  </si>
  <si>
    <t>-825.004880334538 196.965257520525 778.298703640563</t>
  </si>
  <si>
    <t>-685.735531734674 241.681524875412 839.059235081574</t>
  </si>
  <si>
    <t>-751.914510902382 10.9129122879253 -64.651560006368</t>
  </si>
  <si>
    <t>-696.93420555328 -11.078298925167 334.532876159992</t>
  </si>
  <si>
    <t>-724.906265154678 -32.8347684487471 781.010524019879</t>
  </si>
  <si>
    <t>-604.18854422374 -106.719708431523 852.112687862918</t>
  </si>
  <si>
    <t>9763-20170724T111032.682616600.bin</t>
  </si>
  <si>
    <t>-756.719458978423 106.64244489791 -65.810071755385</t>
  </si>
  <si>
    <t>-783.630599510317 102.843311172914 -178.404851514886</t>
  </si>
  <si>
    <t>-793.004669134751 98.9569745676731 -276.505156658948</t>
  </si>
  <si>
    <t>-796.584761528944 94.8197695518243 -365.433797469599</t>
  </si>
  <si>
    <t>-794.94921982905 89.7918117114232 -454.373634838285</t>
  </si>
  <si>
    <t>-787.241238897293 81.6121999314578 -578.448245516614</t>
  </si>
  <si>
    <t>-757.501382574627 74.035001560816 -655.669709953751</t>
  </si>
  <si>
    <t>-785.19315263798 112.342624252795 -525.29978005402</t>
  </si>
  <si>
    <t>-749.811913787098 244.695214508416 -514.001949524721</t>
  </si>
  <si>
    <t>-679.120823991883 296.449952328743 -233.082986072715</t>
  </si>
  <si>
    <t>-443.085453382404 330.336485992625 -198.588945545864</t>
  </si>
  <si>
    <t>-796.073425802881 58.0805673352584 -522.39841985439</t>
  </si>
  <si>
    <t>-761.409573065476 202.598736607139 -69.0852680447036</t>
  </si>
  <si>
    <t>-765.902812446355 205.634798963607 334.430826354129</t>
  </si>
  <si>
    <t>-824.968090520927 196.968602293672 778.355418328488</t>
  </si>
  <si>
    <t>-685.734895856503 241.745698738767 839.153812354435</t>
  </si>
  <si>
    <t>-752.316902831662 10.6503794285659 -64.6181392270247</t>
  </si>
  <si>
    <t>-697.117174563324 -11.1464696813741 334.546737353881</t>
  </si>
  <si>
    <t>-724.959277650937 -32.881679734196 781.041478192116</t>
  </si>
  <si>
    <t>-604.216631140783 -106.756332501686 852.112379375435</t>
  </si>
  <si>
    <t>9763-20170724T111032.718710800.bin</t>
  </si>
  <si>
    <t>-756.955932493481 106.438789722863 -65.8145533813517</t>
  </si>
  <si>
    <t>-783.830951567543 102.662818345256 -178.418858171029</t>
  </si>
  <si>
    <t>-793.167239066127 98.7923897262626 -276.523315488339</t>
  </si>
  <si>
    <t>-796.711775814776 94.6678095017469 -365.454117806095</t>
  </si>
  <si>
    <t>-795.03856818753 89.6507365155076 -454.393826502637</t>
  </si>
  <si>
    <t>-787.275704511078 81.4839410357354 -578.46565836663</t>
  </si>
  <si>
    <t>-757.527396108462 73.8965766235801 -655.682893624331</t>
  </si>
  <si>
    <t>-785.233239785628 112.205496936181 -525.311892729659</t>
  </si>
  <si>
    <t>-749.718423723043 244.528337570472 -513.95190345819</t>
  </si>
  <si>
    <t>-678.12950954457 296.458805434603 -233.293048960671</t>
  </si>
  <si>
    <t>-442.003933479255 330.322453630069 -199.397357082077</t>
  </si>
  <si>
    <t>-796.149854166404 57.9500990294441 -522.423720434657</t>
  </si>
  <si>
    <t>-761.56746812469 202.399044006086 -69.0784802078624</t>
  </si>
  <si>
    <t>-766.021018953973 205.557565264246 334.437147680038</t>
  </si>
  <si>
    <t>-824.905001220096 196.91195484519 778.378170048481</t>
  </si>
  <si>
    <t>-685.693150179641 241.720107433815 839.202534311675</t>
  </si>
  <si>
    <t>-752.606890878909 10.4560690429994 -64.6135259988988</t>
  </si>
  <si>
    <t>-697.266862042824 -11.1977738892915 334.539658145344</t>
  </si>
  <si>
    <t>-724.968245076044 -32.8677391006549 781.047575545159</t>
  </si>
  <si>
    <t>-604.062537158148 -106.496777007736 852.095782836395</t>
  </si>
  <si>
    <t>9763-20170724T111032.784887600.bin</t>
  </si>
  <si>
    <t>-757.637812669012 106.065331900018 -65.8074511855008</t>
  </si>
  <si>
    <t>-784.381388808344 102.318182640225 -178.443871292706</t>
  </si>
  <si>
    <t>-793.592403991652 98.4350559582131 -276.559848997993</t>
  </si>
  <si>
    <t>-797.019989103759 94.2830025756025 -365.493822852948</t>
  </si>
  <si>
    <t>-795.228008265878 89.2220603426499 -454.428546878165</t>
  </si>
  <si>
    <t>-787.297869469033 80.9748734295636 -578.48471223168</t>
  </si>
  <si>
    <t>-757.469306147062 73.3158479482986 -655.66390441954</t>
  </si>
  <si>
    <t>-785.280582547415 111.721609424102 -525.344487992437</t>
  </si>
  <si>
    <t>-749.528304774836 243.970864443998 -514.012992442856</t>
  </si>
  <si>
    <t>-676.137177088944 296.224495569454 -233.880125693822</t>
  </si>
  <si>
    <t>-439.79115165297 330.228479109167 -201.705854620018</t>
  </si>
  <si>
    <t>-796.294168813689 57.486466866013 -522.44315851992</t>
  </si>
  <si>
    <t>-762.139181931578 202.045199981936 -69.0954385710349</t>
  </si>
  <si>
    <t>-766.533877337605 205.43495133862 334.418963527626</t>
  </si>
  <si>
    <t>-824.889178919616 197.000431027145 778.41228726258</t>
  </si>
  <si>
    <t>-685.661707406405 241.647848924838 839.319099896501</t>
  </si>
  <si>
    <t>-753.431512810752 10.0643569555609 -64.5918268387628</t>
  </si>
  <si>
    <t>-697.680779912564 -11.3085017202452 334.519376046181</t>
  </si>
  <si>
    <t>-725.043004853478 -33.0161959979041 781.060814504727</t>
  </si>
  <si>
    <t>-603.926376308822 -106.332679130619 852.073287031349</t>
  </si>
  <si>
    <t>9763-20170724T111032.817572000.bin</t>
  </si>
  <si>
    <t>-758.082017851377 105.979171164244 -65.788909823983</t>
  </si>
  <si>
    <t>-784.73593210033 102.262056299296 -178.447584409926</t>
  </si>
  <si>
    <t>-793.842377479705 98.3596367539467 -276.572487576325</t>
  </si>
  <si>
    <t>-797.165011482555 94.1727295659766 -365.508789100147</t>
  </si>
  <si>
    <t>-795.25936551963 89.0584876929811 -454.438364110506</t>
  </si>
  <si>
    <t>-787.162603398944 80.7189873714024 -578.477449506033</t>
  </si>
  <si>
    <t>-757.261383550293 73.0147935370337 -655.6239892905</t>
  </si>
  <si>
    <t>-785.204355717958 111.502799177949 -525.35659382648</t>
  </si>
  <si>
    <t>-749.361597562847 243.73467767085 -514.050439200655</t>
  </si>
  <si>
    <t>-674.936975593305 296.26151265507 -234.241249294578</t>
  </si>
  <si>
    <t>-438.477773004393 330.18823934161 -202.826447904939</t>
  </si>
  <si>
    <t>-796.247132009341 57.2748855377204 -522.431450798124</t>
  </si>
  <si>
    <t>-762.533518634394 201.955820423011 -69.1036693873056</t>
  </si>
  <si>
    <t>-766.881901286268 205.480377318472 334.410038778648</t>
  </si>
  <si>
    <t>-824.914983834357 197.132088397429 778.430440247726</t>
  </si>
  <si>
    <t>-685.690344000159 241.697455588083 839.403639337464</t>
  </si>
  <si>
    <t>-753.909727806467 10.0322859489593 -64.5847192968423</t>
  </si>
  <si>
    <t>-697.965096452506 -11.2317246098878 334.505077319743</t>
  </si>
  <si>
    <t>-725.048377232929 -32.9908293683043 781.066942574599</t>
  </si>
  <si>
    <t>-604.070997720918 -106.537781176484 852.078334209064</t>
  </si>
  <si>
    <t>9763-20170724T111032.882741700.bin</t>
  </si>
  <si>
    <t>-759.28607919545 105.619759980677 -65.8565175525785</t>
  </si>
  <si>
    <t>-785.513647670848 101.999749093833 -178.618292502179</t>
  </si>
  <si>
    <t>-794.229058259627 98.0340915778324 -276.776208592658</t>
  </si>
  <si>
    <t>-797.193615114409 93.7330674520699 -365.719792749801</t>
  </si>
  <si>
    <t>-794.929021986831 88.4484027563367 -454.630870011469</t>
  </si>
  <si>
    <t>-786.332999029931 79.8127054938195 -578.616147069763</t>
  </si>
  <si>
    <t>-756.253003782412 71.9610380794275 -655.678340569173</t>
  </si>
  <si>
    <t>-784.565468591923 110.718611433116 -525.559540568611</t>
  </si>
  <si>
    <t>-748.552723909288 242.915080856027 -514.322484206935</t>
  </si>
  <si>
    <t>-672.093750486591 295.999443233589 -235.16796515861</t>
  </si>
  <si>
    <t>-435.431042498695 329.643356996378 -205.007560261207</t>
  </si>
  <si>
    <t>-795.666097445575 56.506897041002 -522.553231553324</t>
  </si>
  <si>
    <t>-763.574110216113 201.654013069335 -69.1446733909011</t>
  </si>
  <si>
    <t>-767.806531488577 205.458149453943 334.367748866611</t>
  </si>
  <si>
    <t>-824.867157988767 197.316175862988 778.468611601457</t>
  </si>
  <si>
    <t>-685.638091899867 241.624421802628 839.619013273011</t>
  </si>
  <si>
    <t>-755.183336777568 9.52615308004806 -64.56714166835</t>
  </si>
  <si>
    <t>-698.273124006412 -11.0672912809368 334.42135123725</t>
  </si>
  <si>
    <t>-725.064795164273 -32.9934465513629 781.038111580725</t>
  </si>
  <si>
    <t>-603.911948200483 -106.264347605591 852.035687945514</t>
  </si>
  <si>
    <t>9763-20170724T111032.919371900.bin</t>
  </si>
  <si>
    <t>-759.959932449425 105.197239491371 -65.912643217851</t>
  </si>
  <si>
    <t>-785.875631378315 101.622040389772 -178.748050011025</t>
  </si>
  <si>
    <t>-794.302507030809 97.5982823596128 -276.928680698523</t>
  </si>
  <si>
    <t>-797.002536031303 93.2064654658789 -365.876237133549</t>
  </si>
  <si>
    <t>-794.47110608026 87.7938762429262 -454.77250025575</t>
  </si>
  <si>
    <t>-785.502679227846 78.9403224135758 -578.71598830021</t>
  </si>
  <si>
    <t>-755.29903728529 70.9823775053978 -655.718817274064</t>
  </si>
  <si>
    <t>-783.876994456996 109.936096112604 -525.707202230003</t>
  </si>
  <si>
    <t>-747.798705313318 242.117765835938 -514.553080969226</t>
  </si>
  <si>
    <t>-670.307534943374 295.588123950383 -235.756958393715</t>
  </si>
  <si>
    <t>-433.573158123293 329.167974895686 -206.091350112625</t>
  </si>
  <si>
    <t>-795.021364498274 55.7367255439003 -522.641996622201</t>
  </si>
  <si>
    <t>-764.105085923141 201.228781815936 -69.1922243577767</t>
  </si>
  <si>
    <t>-768.374976595636 205.47113325932 334.315452261905</t>
  </si>
  <si>
    <t>-824.804681728646 197.443019902197 778.468509410195</t>
  </si>
  <si>
    <t>-685.656898302036 241.80412182581 839.765507185598</t>
  </si>
  <si>
    <t>-755.898883870168 8.95809966476645 -64.5684077552728</t>
  </si>
  <si>
    <t>-698.270078385618 -11.0360292892274 334.347417308551</t>
  </si>
  <si>
    <t>-725.118681794681 -33.0566183197684 781.02408767842</t>
  </si>
  <si>
    <t>-603.899021589507 -106.241316706404 851.996452319836</t>
  </si>
  <si>
    <t>9763-20170724T111032.981535100.bin</t>
  </si>
  <si>
    <t>-761.648039599096 104.252073866743 -65.8663820759773</t>
  </si>
  <si>
    <t>-786.851027748937 100.666153695008 -178.86266301637</t>
  </si>
  <si>
    <t>-794.568723032295 96.4419626092586 -277.093359956137</t>
  </si>
  <si>
    <t>-796.596198856726 91.7900528800851 -366.045482966228</t>
  </si>
  <si>
    <t>-793.366899249553 86.0353579315488 -454.897666697766</t>
  </si>
  <si>
    <t>-783.402679659105 76.6178183567995 -578.723384275279</t>
  </si>
  <si>
    <t>-752.90515919644 68.3993474524013 -655.582893782213</t>
  </si>
  <si>
    <t>-782.155185341863 107.845139443787 -525.840457701537</t>
  </si>
  <si>
    <t>-745.872789958004 239.988211164398 -514.9118413363</t>
  </si>
  <si>
    <t>-666.139141062881 294.699173899252 -236.990193912496</t>
  </si>
  <si>
    <t>-429.247825343739 328.374194694738 -208.716583120566</t>
  </si>
  <si>
    <t>-793.419795145333 53.6791990729253 -522.627204231264</t>
  </si>
  <si>
    <t>-765.751779215245 200.49210094921 -69.2590418617413</t>
  </si>
  <si>
    <t>-769.624611513622 205.522651364856 334.243620547115</t>
  </si>
  <si>
    <t>-824.633037204404 197.676864995246 778.53828261155</t>
  </si>
  <si>
    <t>-685.661788979289 242.150653266467 840.15307970935</t>
  </si>
  <si>
    <t>-757.725808289677 7.88861657934285 -64.446633859438</t>
  </si>
  <si>
    <t>-698.58441416522 -11.0947255939072 334.297154950934</t>
  </si>
  <si>
    <t>-725.305991924739 -33.3855965233843 781.020947573375</t>
  </si>
  <si>
    <t>-603.469258066856 -105.649919260667 851.879415111555</t>
  </si>
  <si>
    <t>9763-20170724T111033.019140400.bin</t>
  </si>
  <si>
    <t>-762.791660333406 104.209886849526 -65.8028488329243</t>
  </si>
  <si>
    <t>-787.573662276934 100.592323785182 -178.891202452505</t>
  </si>
  <si>
    <t>-794.874705376994 96.2245291462432 -277.147369949067</t>
  </si>
  <si>
    <t>-796.508160767778 91.3951847416047 -366.098177495556</t>
  </si>
  <si>
    <t>-792.87127889639 85.4146773491893 -454.919626067135</t>
  </si>
  <si>
    <t>-782.325746993547 75.6301468996735 -578.668848827268</t>
  </si>
  <si>
    <t>-751.667058496618 67.2587196636537 -655.447783661042</t>
  </si>
  <si>
    <t>-781.304473065991 107.009481492326 -525.871165145856</t>
  </si>
  <si>
    <t>-744.975923625915 239.156170728627 -515.142305487816</t>
  </si>
  <si>
    <t>-664.383672496271 294.713387006591 -237.636518151167</t>
  </si>
  <si>
    <t>-427.395294052237 328.369212454097 -210.16562823684</t>
  </si>
  <si>
    <t>-792.628197661239 52.8620727898206 -522.554765914139</t>
  </si>
  <si>
    <t>-766.908519104176 200.505690555904 -69.2793117495966</t>
  </si>
  <si>
    <t>-770.496535629728 205.874714115393 334.22156898104</t>
  </si>
  <si>
    <t>-824.658967479497 197.937767002733 778.631900770063</t>
  </si>
  <si>
    <t>-685.621896428565 242.012299229261 840.384935687866</t>
  </si>
  <si>
    <t>-758.953925828216 7.90760222185327 -64.3457812780689</t>
  </si>
  <si>
    <t>-699.058066747898 -10.6929939983847 334.303409666992</t>
  </si>
  <si>
    <t>-725.31887763846 -33.2852753726597 781.004035033997</t>
  </si>
  <si>
    <t>-603.658888060598 -105.841835088204 851.867807828917</t>
  </si>
  <si>
    <t>9763-20170724T111033.080304700.bin</t>
  </si>
  <si>
    <t>-766.388964752023 104.854063302845 -65.5600038630001</t>
  </si>
  <si>
    <t>-790.17427924257 101.272540292069 -178.863364878808</t>
  </si>
  <si>
    <t>-796.508209314707 96.5662603300766 -277.171087114071</t>
  </si>
  <si>
    <t>-797.236946580733 91.283094358067 -366.107973881174</t>
  </si>
  <si>
    <t>-792.674722026056 84.6999885952191 -454.844168927826</t>
  </si>
  <si>
    <t>-780.824800237102 73.9183564739324 -578.392259142586</t>
  </si>
  <si>
    <t>-749.856825318969 65.1572066492117 -655.003388498618</t>
  </si>
  <si>
    <t>-780.287601798392 105.707984588748 -525.833260963265</t>
  </si>
  <si>
    <t>-743.934058315801 237.909983503767 -515.796459713451</t>
  </si>
  <si>
    <t>-663.260167240852 295.139478234776 -238.65434153708</t>
  </si>
  <si>
    <t>-426.168617534531 328.488120505815 -211.704081379036</t>
  </si>
  <si>
    <t>-791.791011175522 51.6177500541839 -522.216300443062</t>
  </si>
  <si>
    <t>-770.403490999048 201.175184724773 -69.1302193822607</t>
  </si>
  <si>
    <t>-772.905681210377 206.56943004851 334.378533008949</t>
  </si>
  <si>
    <t>-824.619172388235 198.178490730521 779.027106008022</t>
  </si>
  <si>
    <t>-685.573822764913 242.013224457863 840.932099690219</t>
  </si>
  <si>
    <t>-762.733183007312 8.64585392785739 -63.9702182519385</t>
  </si>
  <si>
    <t>-700.630032687652 -9.14085426787369 334.378238586673</t>
  </si>
  <si>
    <t>-725.557063276498 -33.612674320404 781.114987304056</t>
  </si>
  <si>
    <t>-603.613258040537 -105.770653972451 851.897781535348</t>
  </si>
  <si>
    <t>9763-20170724T111033.120313000.bin</t>
  </si>
  <si>
    <t>-768.823634031958 105.192393208564 -65.3140911426052</t>
  </si>
  <si>
    <t>-791.993019307967 101.740114457275 -178.748915720957</t>
  </si>
  <si>
    <t>-797.741649958457 96.8238633985779 -277.082349308982</t>
  </si>
  <si>
    <t>-797.930366117734 91.2222579676404 -366.002596818976</t>
  </si>
  <si>
    <t>-792.825366906852 84.192545488806 -454.674768218411</t>
  </si>
  <si>
    <t>-780.222044383147 72.6530280305101 -578.079910919227</t>
  </si>
  <si>
    <t>-749.092858727467 63.5977172907055 -654.591380790784</t>
  </si>
  <si>
    <t>-779.949152417146 104.753036750311 -525.707902001178</t>
  </si>
  <si>
    <t>-743.56609134131 236.997678339425 -516.238016668572</t>
  </si>
  <si>
    <t>-663.994531639897 295.070454773515 -238.952730980856</t>
  </si>
  <si>
    <t>-426.876029513265 327.956838751583 -211.673601581956</t>
  </si>
  <si>
    <t>-791.587204572024 50.7087834303329 -521.842996913766</t>
  </si>
  <si>
    <t>-772.993490825326 201.73582836683 -68.8772196889494</t>
  </si>
  <si>
    <t>-774.044043868487 206.943702783454 334.640401240714</t>
  </si>
  <si>
    <t>-824.627034845161 198.294258015494 779.419390658529</t>
  </si>
  <si>
    <t>-685.521189615258 241.909772400992 841.343106654548</t>
  </si>
  <si>
    <t>-764.850346004648 8.67625381046673 -63.6526802335704</t>
  </si>
  <si>
    <t>-700.914721076708 -8.21888342964439 334.444669082986</t>
  </si>
  <si>
    <t>-725.69092651403 -33.6924452785893 781.168506858132</t>
  </si>
  <si>
    <t>-603.609140632017 -105.672862703681 851.894404639761</t>
  </si>
  <si>
    <t>9763-20170724T111033.186490100.bin</t>
  </si>
  <si>
    <t>-774.62314085211 104.199939472803 -64.4163172822481</t>
  </si>
  <si>
    <t>-796.672551140975 101.102942766995 -178.084542959041</t>
  </si>
  <si>
    <t>-801.033990937696 95.7518128333209 -276.466461840413</t>
  </si>
  <si>
    <t>-799.825225747969 89.4474768187397 -365.331636984864</t>
  </si>
  <si>
    <t>-793.201472366561 81.3987272347363 -453.816595091771</t>
  </si>
  <si>
    <t>-778.369797388439 68.0993367812748 -576.796138779878</t>
  </si>
  <si>
    <t>-746.822419578295 58.3614170398409 -653.052153607177</t>
  </si>
  <si>
    <t>-778.925363256544 100.920469879104 -524.87536359635</t>
  </si>
  <si>
    <t>-742.439040593065 233.208787859089 -516.682302943106</t>
  </si>
  <si>
    <t>-667.594505965087 293.250264149927 -238.501609611339</t>
  </si>
  <si>
    <t>-430.370742239807 323.937506883763 -209.621382615647</t>
  </si>
  <si>
    <t>-790.867246633932 46.9830370400068 -520.482568785612</t>
  </si>
  <si>
    <t>-779.643502767367 201.459392075678 -67.666030080317</t>
  </si>
  <si>
    <t>-774.743520357265 207.775953855637 335.807323688151</t>
  </si>
  <si>
    <t>-824.760775045923 198.38367460407 780.762529055354</t>
  </si>
  <si>
    <t>-685.33830414668 241.199834374762 842.531451800607</t>
  </si>
  <si>
    <t>-769.566422061523 6.38187667043439 -62.6240162284813</t>
  </si>
  <si>
    <t>-698.612835319132 -6.74975898316461 334.424894042465</t>
  </si>
  <si>
    <t>-725.875841981298 -33.3704758135036 781.168070454871</t>
  </si>
  <si>
    <t>-604.316497166744 -106.212746233079 851.911440652352</t>
  </si>
  <si>
    <t>9763-20170724T111033.218580700.bin</t>
  </si>
  <si>
    <t>-777.538726417054 102.655136484724 -63.5150501100405</t>
  </si>
  <si>
    <t>-798.984002920822 99.633472307079 -177.300792967768</t>
  </si>
  <si>
    <t>-802.463772125651 94.0773847458145 -275.70631687515</t>
  </si>
  <si>
    <t>-800.325146407536 87.4644728680528 -364.531694618456</t>
  </si>
  <si>
    <t>-792.649659892941 78.9767620967541 -452.890571333108</t>
  </si>
  <si>
    <t>-776.232984861242 64.9213106535713 -575.584361293032</t>
  </si>
  <si>
    <t>-744.357103730764 54.864828140484 -651.662150274944</t>
  </si>
  <si>
    <t>-777.439559604823 98.0577006518661 -523.875302593687</t>
  </si>
  <si>
    <t>-740.961952960361 230.37897915227 -516.194925438325</t>
  </si>
  <si>
    <t>-669.008736609354 291.413680904535 -237.46802909453</t>
  </si>
  <si>
    <t>-431.747601006338 320.823508312327 -207.582795611584</t>
  </si>
  <si>
    <t>-789.474496883601 44.1551150359105 -519.310519498084</t>
  </si>
  <si>
    <t>-783.294040309298 200.562635732869 -66.6225188269576</t>
  </si>
  <si>
    <t>-774.008826174218 208.459408095656 336.745898463537</t>
  </si>
  <si>
    <t>-824.874371955056 198.4310516389 781.646038901068</t>
  </si>
  <si>
    <t>-685.187893112053 240.540921568956 843.304365559404</t>
  </si>
  <si>
    <t>-771.377923114956 3.90357424773811 -61.7240612576816</t>
  </si>
  <si>
    <t>-695.502561821244 -6.3669680261246 334.498265396884</t>
  </si>
  <si>
    <t>-725.979441798111 -33.3054950407945 781.089357691782</t>
  </si>
  <si>
    <t>-604.741998501164 -106.588774455089 851.929448069634</t>
  </si>
  <si>
    <t>9763-20170724T111033.283787400.bin</t>
  </si>
  <si>
    <t>-783.784334528413 99.1395463787403 -60.8762300229421</t>
  </si>
  <si>
    <t>-803.796516496356 96.1140739926745 -174.922596104685</t>
  </si>
  <si>
    <t>-805.191753690072 90.1928855362139 -273.358568168654</t>
  </si>
  <si>
    <t>-800.848913635639 83.0686972580629 -362.063991686715</t>
  </si>
  <si>
    <t>-790.672618152377 73.873195693232 -450.09869552785</t>
  </si>
  <si>
    <t>-770.474547851598 58.6088864105282 -572.081745945362</t>
  </si>
  <si>
    <t>-737.631249252732 48.0081371696556 -647.672511605166</t>
  </si>
  <si>
    <t>-773.358517065284 92.2719397706946 -520.780834947373</t>
  </si>
  <si>
    <t>-737.337822232987 224.775866738951 -513.776220032207</t>
  </si>
  <si>
    <t>-670.955097860146 286.931440213483 -233.917053057064</t>
  </si>
  <si>
    <t>-433.325880640691 313.561678958501 -204.35326552203</t>
  </si>
  <si>
    <t>-785.367052464926 38.3799147924478 -516.025285606593</t>
  </si>
  <si>
    <t>-791.439583595839 198.394415271935 -64.0135534926553</t>
  </si>
  <si>
    <t>-770.68710591411 210.494124145231 338.823342413443</t>
  </si>
  <si>
    <t>-824.850464039623 198.466688316931 783.238736562831</t>
  </si>
  <si>
    <t>-684.898731810758 239.850756605935 844.786457034774</t>
  </si>
  <si>
    <t>-689.394999838807 -5.0567538961518 334.796206451886</t>
  </si>
  <si>
    <t>-726.065488347555 -33.317566841567 780.72975811964</t>
  </si>
  <si>
    <t>-605.105470200258 -106.629818050164 852.012593442852</t>
  </si>
  <si>
    <t>9763-20170724T111033.315850200.bin</t>
  </si>
  <si>
    <t>-787.333308278952 97.9090536014214 -59.3170366302319</t>
  </si>
  <si>
    <t>-806.32923481856 94.8510032410768 -173.536243693861</t>
  </si>
  <si>
    <t>-806.471495508769 88.7024438059548 -271.968050371508</t>
  </si>
  <si>
    <t>-800.856500358975 81.2793946487022 -360.577452823619</t>
  </si>
  <si>
    <t>-789.281514548939 71.6882340658426 -448.396990287618</t>
  </si>
  <si>
    <t>-767.009533627224 55.7649014449075 -569.933888960206</t>
  </si>
  <si>
    <t>-733.557687938607 44.8920433490493 -645.218550443542</t>
  </si>
  <si>
    <t>-770.828685015897 89.718115599313 -518.885712525227</t>
  </si>
  <si>
    <t>-735.144049950014 222.330492368568 -512.153263375959</t>
  </si>
  <si>
    <t>-671.628883002747 285.121910586283 -231.770911033914</t>
  </si>
  <si>
    <t>-433.81540977849 310.245593151053 -202.369341009377</t>
  </si>
  <si>
    <t>-782.791575006063 35.8260762371065 -514.017274051059</t>
  </si>
  <si>
    <t>-795.164741499473 197.435141841365 -62.3779118117791</t>
  </si>
  <si>
    <t>-768.256157949604 212.410323507092 339.997920280696</t>
  </si>
  <si>
    <t>-824.723762616346 198.296268539797 784.12493974962</t>
  </si>
  <si>
    <t>-684.714974392351 239.590791794882 845.603169184144</t>
  </si>
  <si>
    <t>-687.119318889635 -4.16251999355472 334.948262025714</t>
  </si>
  <si>
    <t>-726.028249406469 -33.2683021429898 780.410255222081</t>
  </si>
  <si>
    <t>-605.421965592501 -106.839961944945 852.024374584356</t>
  </si>
  <si>
    <t>9763-20170724T111033.385060100.bin</t>
  </si>
  <si>
    <t>-796.410075352674 96.7984151490682 -56.3837400155741</t>
  </si>
  <si>
    <t>-812.70805470493 93.8288093894212 -171.021326518042</t>
  </si>
  <si>
    <t>-809.889136774786 87.1155658111943 -269.376163825973</t>
  </si>
  <si>
    <t>-801.376313085695 78.9145243970838 -357.685281870559</t>
  </si>
  <si>
    <t>-786.714422339187 68.2737112564496 -444.920805246907</t>
  </si>
  <si>
    <t>-759.963691553515 50.5986968700618 -565.306987306639</t>
  </si>
  <si>
    <t>-725.098817148124 39.0641889132203 -639.848287735666</t>
  </si>
  <si>
    <t>-765.636720525567 85.2813316531606 -514.925865255061</t>
  </si>
  <si>
    <t>-729.937352374862 217.89906789829 -509.063014155175</t>
  </si>
  <si>
    <t>-674.668609186995 283.319856092769 -227.537409018114</t>
  </si>
  <si>
    <t>-436.258550131796 304.273372812945 -199.743548037432</t>
  </si>
  <si>
    <t>-777.834020751577 31.4718426120971 -509.736023751899</t>
  </si>
  <si>
    <t>-803.664729360326 196.510645702696 -59.0821824335945</t>
  </si>
  <si>
    <t>-761.986067943837 216.896861782321 341.794398413682</t>
  </si>
  <si>
    <t>-824.541038498235 197.654758419793 785.090894066799</t>
  </si>
  <si>
    <t>-684.454979340341 239.135942052651 846.266764809973</t>
  </si>
  <si>
    <t>-686.084678662594 -0.535660980576267 334.692591308083</t>
  </si>
  <si>
    <t>-725.731114839688 -33.1459620953742 779.464338318595</t>
  </si>
  <si>
    <t>-606.143595368642 -107.45260741425 852.021849554697</t>
  </si>
  <si>
    <t>9763-20170724T111033.417749200.bin</t>
  </si>
  <si>
    <t>-801.456579625067 96.0402716538856 -54.615262466108</t>
  </si>
  <si>
    <t>-816.041702158526 93.4481849825265 -169.492542490017</t>
  </si>
  <si>
    <t>-811.574935143858 86.5300585867071 -267.771912230862</t>
  </si>
  <si>
    <t>-801.527023889403 77.9403978364953 -355.882653382246</t>
  </si>
  <si>
    <t>-785.304098509191 66.7103011017593 -442.767235574125</t>
  </si>
  <si>
    <t>-756.363079349821 48.0076028663548 -562.489615202502</t>
  </si>
  <si>
    <t>-720.791202545098 36.0233490477999 -636.624948477829</t>
  </si>
  <si>
    <t>-762.810715113224 83.0910361961824 -512.480602200451</t>
  </si>
  <si>
    <t>-726.559509779657 215.577673140082 -507.238874334694</t>
  </si>
  <si>
    <t>-676.275978693359 282.795189620713 -225.202341326503</t>
  </si>
  <si>
    <t>-437.51534828906 301.281115267831 -198.696908356187</t>
  </si>
  <si>
    <t>-775.38655337518 29.3843938699465 -507.130738979493</t>
  </si>
  <si>
    <t>-807.111029429931 195.732579558428 -57.3531278950049</t>
  </si>
  <si>
    <t>-759.46140946337 218.363673626636 342.736952909438</t>
  </si>
  <si>
    <t>-824.496022416473 197.177080176752 785.441272072485</t>
  </si>
  <si>
    <t>-684.412602560473 238.988889453897 846.39783424256</t>
  </si>
  <si>
    <t>-686.465903172324 1.77234464883941 334.447725457368</t>
  </si>
  <si>
    <t>-725.457371261468 -32.9504841130665 779.016853510455</t>
  </si>
  <si>
    <t>-606.68274459013 -107.89218632899 852.253933216029</t>
  </si>
  <si>
    <t>9763-20170724T111033.485930200.bin</t>
  </si>
  <si>
    <t>-813.0389789717 94.1608223542585 -52.1337069294742</t>
  </si>
  <si>
    <t>-824.383116425246 92.5421571217039 -167.393887945155</t>
  </si>
  <si>
    <t>-816.962641010077 85.1895823984664 -265.462852458269</t>
  </si>
  <si>
    <t>-804.224612309569 75.7426795680017 -353.137048193882</t>
  </si>
  <si>
    <t>-785.329854999409 63.2040733801209 -439.299621620337</t>
  </si>
  <si>
    <t>-752.706707285192 42.2224644170747 -557.690191741412</t>
  </si>
  <si>
    <t>-715.860814433577 29.0259807559687 -630.99275620996</t>
  </si>
  <si>
    <t>-760.107785241487 78.1297476764157 -508.403261314672</t>
  </si>
  <si>
    <t>-721.419299377989 209.981269745868 -504.338643538135</t>
  </si>
  <si>
    <t>-681.421724897521 281.524590698337 -221.720728463505</t>
  </si>
  <si>
    <t>-442.19552400602 296.685135674509 -197.391919348754</t>
  </si>
  <si>
    <t>-774.017467531391 24.781015375208 -502.781550732796</t>
  </si>
  <si>
    <t>-816.012306252467 195.451652743883 -55.107890500533</t>
  </si>
  <si>
    <t>-758.636056738315 219.200342306873 343.638379711769</t>
  </si>
  <si>
    <t>-824.388814750321 195.970628713032 785.67351008714</t>
  </si>
  <si>
    <t>-684.181807328895 238.187143764348 846.064281472327</t>
  </si>
  <si>
    <t>-689.14751582416 7.53995071779173 332.717582204106</t>
  </si>
  <si>
    <t>-724.490227188852 -31.1712464601424 777.462339231757</t>
  </si>
  <si>
    <t>-607.848136311958 -107.729191725569 852.434309329581</t>
  </si>
  <si>
    <t>9763-20170724T111033.518051500.bin</t>
  </si>
  <si>
    <t>-818.082106297006 90.1509026880281 -51.5920198532159</t>
  </si>
  <si>
    <t>-828.041862912711 88.8324474091983 -166.983900031974</t>
  </si>
  <si>
    <t>-819.465475878628 81.2534253392132 -264.941353852918</t>
  </si>
  <si>
    <t>-805.711450691897 71.4348514809453 -352.420829815636</t>
  </si>
  <si>
    <t>-785.841796174487 58.3640333636436 -438.284605824896</t>
  </si>
  <si>
    <t>-751.909780773756 36.4823341182368 -556.143013564018</t>
  </si>
  <si>
    <t>-714.547700326021 22.6835915291244 -629.072594468297</t>
  </si>
  <si>
    <t>-759.482869045391 72.6768480273981 -507.093016421974</t>
  </si>
  <si>
    <t>-719.15085583253 204.027935891093 -503.300745634366</t>
  </si>
  <si>
    <t>-683.84843254814 277.387953184923 -220.52304448928</t>
  </si>
  <si>
    <t>-444.454316691644 291.480470894676 -197.226253980235</t>
  </si>
  <si>
    <t>-774.200381927411 19.5458872839436 -501.465866427723</t>
  </si>
  <si>
    <t>-820.59427357495 193.581959649288 -54.6393913010095</t>
  </si>
  <si>
    <t>-759.461296061937 217.068534673262 343.563904397592</t>
  </si>
  <si>
    <t>-824.340593588662 195.401709348161 785.737816324001</t>
  </si>
  <si>
    <t>-683.963077154869 237.494319765965 845.818399417763</t>
  </si>
  <si>
    <t>-689.612843907616 10.9782864612171 330.885303177728</t>
  </si>
  <si>
    <t>-723.494654064899 -29.3695022768202 776.094105124131</t>
  </si>
  <si>
    <t>-608.287661477556 -106.97454583994 852.200278558836</t>
  </si>
  <si>
    <t>9763-20170724T111033.586233600.bin</t>
  </si>
  <si>
    <t>-831.322768265687 88.580213765214 -51.1010332037963</t>
  </si>
  <si>
    <t>-839.768493341308 87.6905915139728 -166.617743277143</t>
  </si>
  <si>
    <t>-829.924005097055 79.8336344497566 -264.433971654042</t>
  </si>
  <si>
    <t>-815.049492386643 69.5550801353488 -351.676971061473</t>
  </si>
  <si>
    <t>-794.09777960148 55.8247777040888 -437.179786011292</t>
  </si>
  <si>
    <t>-758.703200506877 32.8322276314339 -554.394949722406</t>
  </si>
  <si>
    <t>-720.65542446449 18.1527771951564 -626.795869011503</t>
  </si>
  <si>
    <t>-766.187355849614 69.3107785766078 -505.541931260472</t>
  </si>
  <si>
    <t>-722.715868863456 199.666304304621 -501.979842269966</t>
  </si>
  <si>
    <t>-694.999017463753 275.05283465185 -218.889908807976</t>
  </si>
  <si>
    <t>-455.687321006313 290.554007554958 -195.641487739196</t>
  </si>
  <si>
    <t>-782.369983177707 16.5895003951418 -500.086793915161</t>
  </si>
  <si>
    <t>-830.771538530724 192.284200219694 -54.4098271627818</t>
  </si>
  <si>
    <t>-765.945862750139 215.118773446929 343.24691565145</t>
  </si>
  <si>
    <t>-823.968757423232 194.619408820105 786.179435868622</t>
  </si>
  <si>
    <t>-683.26885581842 235.783964398134 846.148545280486</t>
  </si>
  <si>
    <t>-692.740130180334 21.373241401287 326.36856177099</t>
  </si>
  <si>
    <t>-737.143103014408 8.35686700994211 772.525783307736</t>
  </si>
  <si>
    <t>-625.989710142937 -73.841862115311 849.827645646811</t>
  </si>
  <si>
    <t>9763-20170724T111033.618087900.bin</t>
  </si>
  <si>
    <t>-842.406759457765 96.9401471928732 -51.4256003958</t>
  </si>
  <si>
    <t>-850.766496873076 96.0286054348667 -166.948445422277</t>
  </si>
  <si>
    <t>-840.906396058367 88.0486994752455 -264.753054300594</t>
  </si>
  <si>
    <t>-826.040332146494 77.6312623315644 -351.981005202303</t>
  </si>
  <si>
    <t>-805.120457401117 63.7355334806352 -437.464984938807</t>
  </si>
  <si>
    <t>-769.792804921937 40.4878338638709 -554.649955240291</t>
  </si>
  <si>
    <t>-731.633093131786 25.5398525241121 -626.93716773695</t>
  </si>
  <si>
    <t>-776.982883775396 76.9993507048985 -505.777472019757</t>
  </si>
  <si>
    <t>-732.421717886366 206.980081106463 -502.179797877229</t>
  </si>
  <si>
    <t>-707.105999032269 282.038731355564 -218.778154715776</t>
  </si>
  <si>
    <t>-468.098980322888 299.511405163441 -193.852770112498</t>
  </si>
  <si>
    <t>-793.69459180948 24.4366259528356 -500.387990944187</t>
  </si>
  <si>
    <t>-837.497582962234 195.959861780801 -54.8671920774077</t>
  </si>
  <si>
    <t>-772.756456387326 218.542933167816 342.817705070578</t>
  </si>
  <si>
    <t>-823.890985658869 194.586325189558 786.324822998292</t>
  </si>
  <si>
    <t>-683.116874125527 235.450895627562 846.325282849948</t>
  </si>
  <si>
    <t>-849.550785432767 2.59040254220281 -50.5425961860213</t>
  </si>
  <si>
    <t>-700.159221519532 36.3953735655909 322.81245553932</t>
  </si>
  <si>
    <t>-764.235394546854 54.6062621320102 765.880648271712</t>
  </si>
  <si>
    <t>-656.906241913204 -29.7076277842129 846.248073414916</t>
  </si>
  <si>
    <t>9763-20170724T111033.664212100.bin</t>
  </si>
  <si>
    <t>-850.495570137048 102.56006663978 -52.2314544398223</t>
  </si>
  <si>
    <t>-859.156369084769 101.472288355892 -167.730435902817</t>
  </si>
  <si>
    <t>-849.627869679035 93.4001306973946 -265.560425891244</t>
  </si>
  <si>
    <t>-835.085110998965 82.9293606242754 -352.836501768963</t>
  </si>
  <si>
    <t>-814.508084833893 69.0086067974544 -438.399648662383</t>
  </si>
  <si>
    <t>-779.67639578298 45.7563459807529 -555.732121988812</t>
  </si>
  <si>
    <t>-741.540854965665 30.7177881540242 -628.013102009978</t>
  </si>
  <si>
    <t>-786.485592176906 82.2202257225122 -506.769519188223</t>
  </si>
  <si>
    <t>-741.342913807393 211.969703931068 -502.96182800511</t>
  </si>
  <si>
    <t>-717.421988566263 286.256825340946 -219.235787784319</t>
  </si>
  <si>
    <t>-478.833046093645 306.005012879511 -192.104311173904</t>
  </si>
  <si>
    <t>-803.522390798942 29.7568173905188 -501.430238855928</t>
  </si>
  <si>
    <t>-842.686591713207 198.070192979712 -55.6178916167684</t>
  </si>
  <si>
    <t>-778.697501986381 221.063095430493 342.165140058296</t>
  </si>
  <si>
    <t>-823.892345916721 194.734054936953 786.328258991653</t>
  </si>
  <si>
    <t>-683.013707101111 235.179275888441 846.367507927251</t>
  </si>
  <si>
    <t>-858.552320475561 9.50083516056111 -51.9925672644611</t>
  </si>
  <si>
    <t>-705.948178896253 45.9470870973173 319.811700237428</t>
  </si>
  <si>
    <t>-790.665180165087 97.887052235174 756.78580149598</t>
  </si>
  <si>
    <t>-687.68072064475 13.5726986593759 842.64969527709</t>
  </si>
  <si>
    <t>9763-20170724T111033.718360700.bin</t>
  </si>
  <si>
    <t>-855.26979740422 100.780551475829 -53.1057913737338</t>
  </si>
  <si>
    <t>-865.484292851691 98.9609049575615 -168.468593388503</t>
  </si>
  <si>
    <t>-857.287039059473 90.8328576223612 -266.414424720522</t>
  </si>
  <si>
    <t>-843.921098039323 80.5386759850912 -353.899519079005</t>
  </si>
  <si>
    <t>-824.475166406995 67.0160345478271 -439.790363599766</t>
  </si>
  <si>
    <t>-791.159383995706 44.5467093243392 -557.714059386055</t>
  </si>
  <si>
    <t>-753.467858710616 29.9237016038874 -630.312593701829</t>
  </si>
  <si>
    <t>-797.287442325852 80.6695897231516 -508.409919344572</t>
  </si>
  <si>
    <t>-752.115559055147 210.441166431774 -503.930203396981</t>
  </si>
  <si>
    <t>-729.398559862982 282.654603049595 -219.570697991891</t>
  </si>
  <si>
    <t>-491.967811405238 306.852021758139 -186.524644125851</t>
  </si>
  <si>
    <t>-814.352579230721 28.199048902934 -503.233319616843</t>
  </si>
  <si>
    <t>-845.86149866422 194.632430918578 -56.5479510844768</t>
  </si>
  <si>
    <t>-782.047635355946 221.255403948465 341.036879853792</t>
  </si>
  <si>
    <t>-824.052592709286 195.218008433096 786.076353001963</t>
  </si>
  <si>
    <t>-683.119955934596 235.438664166664 846.139626318673</t>
  </si>
  <si>
    <t>-863.642861999756 5.73911560702072 -52.2812271648364</t>
  </si>
  <si>
    <t>-716.590770086169 43.9208062720659 321.580397446206</t>
  </si>
  <si>
    <t>-830.610857876732 163.727812585629 738.067763822129</t>
  </si>
  <si>
    <t>-735.331563856216 84.7603573468318 836.927498496097</t>
  </si>
  <si>
    <t>9763-20170724T111033.783533900.bin</t>
  </si>
  <si>
    <t>-854.369557778776 89.7427775767947 -51.8106801982852</t>
  </si>
  <si>
    <t>-866.993253943744 86.7136544078112 -166.909245593692</t>
  </si>
  <si>
    <t>-860.571747737729 78.6937920669534 -264.99653476606</t>
  </si>
  <si>
    <t>-848.657586465932 68.9204986043073 -352.750657625034</t>
  </si>
  <si>
    <t>-830.484583323504 56.3260221338387 -439.060388864361</t>
  </si>
  <si>
    <t>-798.740252178987 35.5601158988488 -557.727426380464</t>
  </si>
  <si>
    <t>-761.801463523926 21.9505812850011 -630.907692179077</t>
  </si>
  <si>
    <t>-804.537430754387 71.0633414055437 -507.935639203734</t>
  </si>
  <si>
    <t>-760.762231578836 201.257325940544 -502.400151231249</t>
  </si>
  <si>
    <t>-735.319979826244 272.621116778694 -218.056850761826</t>
  </si>
  <si>
    <t>-499.073194497176 300.05541700091 -179.511928668475</t>
  </si>
  <si>
    <t>-820.881111839015 18.3330439559513 -503.080183884671</t>
  </si>
  <si>
    <t>-847.132229208326 184.28159444379 -55.6667137568203</t>
  </si>
  <si>
    <t>-777.869393190411 217.905600445394 340.473059051655</t>
  </si>
  <si>
    <t>-824.120220454927 195.369225601399 785.714551938064</t>
  </si>
  <si>
    <t>-683.15050023771 235.418619985774 845.80521338408</t>
  </si>
  <si>
    <t>-740.297765542637 24.3338520361976 333.915010720488</t>
  </si>
  <si>
    <t>-833.613904004811 154.470332782595 751.650560949292</t>
  </si>
  <si>
    <t>-741.617455760056 66.0371765271493 845.477458488726</t>
  </si>
  <si>
    <t>9763-20170724T111033.814626200.bin</t>
  </si>
  <si>
    <t>-854.704669043965 83.5741408053714 -50.6749632667107</t>
  </si>
  <si>
    <t>-867.746350294806 80.125320198631 -165.715077669614</t>
  </si>
  <si>
    <t>-861.762446059788 72.2345090431995 -263.84056500657</t>
  </si>
  <si>
    <t>-850.259321801391 62.7645587223724 -351.682543068236</t>
  </si>
  <si>
    <t>-832.500477721544 50.6588464204369 -438.148325519058</t>
  </si>
  <si>
    <t>-801.325270157826 30.7653076507136 -557.115505793866</t>
  </si>
  <si>
    <t>-764.746794545342 17.7213267745187 -630.578981890448</t>
  </si>
  <si>
    <t>-807.156917495834 65.9775427904356 -507.121508977707</t>
  </si>
  <si>
    <t>-764.599760496242 196.518395301925 -501.01799574194</t>
  </si>
  <si>
    <t>-735.964250225564 268.261646085072 -217.073989949559</t>
  </si>
  <si>
    <t>-499.938502715503 296.371916282851 -177.671948291104</t>
  </si>
  <si>
    <t>-822.930612859823 13.0613652217417 -502.406301772541</t>
  </si>
  <si>
    <t>-848.619558697606 178.290933659218 -54.6294184368874</t>
  </si>
  <si>
    <t>-775.052865870357 215.583004057334 340.404706815436</t>
  </si>
  <si>
    <t>-824.0769971916 195.309651077786 785.535393649278</t>
  </si>
  <si>
    <t>-683.037061183835 234.956623516061 845.727905987691</t>
  </si>
  <si>
    <t>-753.195260273709 7.80115962182299 340.039992521073</t>
  </si>
  <si>
    <t>-825.5983590543 118.716780742735 767.573974249275</t>
  </si>
  <si>
    <t>-733.171260261224 22.7570866934925 853.225844280984</t>
  </si>
  <si>
    <t>9763-20170724T111033.880805100.bin</t>
  </si>
  <si>
    <t>-856.289477449895 70.5623570441699 -47.3821766579414</t>
  </si>
  <si>
    <t>-868.867930287447 66.4537416320049 -162.45230474739</t>
  </si>
  <si>
    <t>-862.559915828987 58.6352529760725 -260.563147726911</t>
  </si>
  <si>
    <t>-850.77378707642 49.4838570966358 -348.401531761023</t>
  </si>
  <si>
    <t>-832.726059626995 37.9601632436479 -434.886851800378</t>
  </si>
  <si>
    <t>-801.125941022481 19.156197192046 -553.919059354838</t>
  </si>
  <si>
    <t>-765.009494398259 7.32127856693069 -627.814743901559</t>
  </si>
  <si>
    <t>-807.744157459772 54.0676584567755 -503.812161552236</t>
  </si>
  <si>
    <t>-767.589878895974 185.413970857571 -497.456922945639</t>
  </si>
  <si>
    <t>-730.507349152972 260.306614411323 -215.309470687955</t>
  </si>
  <si>
    <t>-494.766073870589 288.726481712977 -174.454512094199</t>
  </si>
  <si>
    <t>-822.319041966876 0.794202990907706 -499.265620732059</t>
  </si>
  <si>
    <t>-851.658683223396 166.632367461205 -51.329295933241</t>
  </si>
  <si>
    <t>-767.208584491025 215.595092137555 340.238748875998</t>
  </si>
  <si>
    <t>-823.653500884176 197.084132246554 784.247408733174</t>
  </si>
  <si>
    <t>-682.675425838141 234.553835387395 845.960339411567</t>
  </si>
  <si>
    <t>-772.485158578126 0.0439334879242779 348.159800455917</t>
  </si>
  <si>
    <t>-830.229900349724 87.9397730750084 782.876222913706</t>
  </si>
  <si>
    <t>-735.487394004232 -15.6274814722137 856.258527186986</t>
  </si>
  <si>
    <t>9763-20170724T111033.918841900.bin</t>
  </si>
  <si>
    <t>-860.231392209401 68.7068699303582 -47.7323384394778</t>
  </si>
  <si>
    <t>-872.002779242286 65.5137165556475 -162.916672237238</t>
  </si>
  <si>
    <t>-865.042733645503 58.1027322019781 -261.015162030393</t>
  </si>
  <si>
    <t>-852.69925271522 49.1635889657855 -348.798785131705</t>
  </si>
  <si>
    <t>-834.135925856477 37.6989022183188 -435.182847000029</t>
  </si>
  <si>
    <t>-801.86895789746 18.819157131597 -554.024032954033</t>
  </si>
  <si>
    <t>-765.813121727252 7.32169446914759 -628.00256743305</t>
  </si>
  <si>
    <t>-808.955822982048 53.8083481865665 -504.035590063301</t>
  </si>
  <si>
    <t>-769.472181081891 185.266261679073 -498.316732451893</t>
  </si>
  <si>
    <t>-727.23870196016 263.063363317918 -217.683280169116</t>
  </si>
  <si>
    <t>-491.521322050781 290.715457820065 -176.167536863402</t>
  </si>
  <si>
    <t>-823.180162288923 0.445974924330585 -499.420198452632</t>
  </si>
  <si>
    <t>-853.677288919244 162.668462290792 -50.8088896383324</t>
  </si>
  <si>
    <t>-762.05981761226 220.458798778575 337.934256322026</t>
  </si>
  <si>
    <t>-823.227802916661 200.5680982171 780.698751293126</t>
  </si>
  <si>
    <t>-682.745684782666 236.634849762583 844.348434267141</t>
  </si>
  <si>
    <t>-785.140506417636 -11.3833033752635 348.203967894713</t>
  </si>
  <si>
    <t>-831.887748053589 79.4411294490624 785.378767499114</t>
  </si>
  <si>
    <t>-736.887922068908 -24.8086207344918 857.450501404375</t>
  </si>
  <si>
    <t>9763-20170724T111033.984016200.bin</t>
  </si>
  <si>
    <t>-862.630893541776 71.6892882308503 -48.858441370284</t>
  </si>
  <si>
    <t>-875.625625265205 68.3348737298647 -163.906777307664</t>
  </si>
  <si>
    <t>-869.545411300243 60.917786592116 -262.063078143272</t>
  </si>
  <si>
    <t>-857.923052238784 52.0153848462701 -349.948857900559</t>
  </si>
  <si>
    <t>-840.002434086154 40.6247498398593 -436.47831389594</t>
  </si>
  <si>
    <t>-808.549771143815 21.8817324555234 -555.559150411657</t>
  </si>
  <si>
    <t>-773.256585611382 10.2073244995831 -629.876803094084</t>
  </si>
  <si>
    <t>-815.29292254135 56.8131525485037 -505.482829397895</t>
  </si>
  <si>
    <t>-775.537735633175 188.282220010299 -500.061102620441</t>
  </si>
  <si>
    <t>-724.392738740322 266.706077105893 -221.089537028956</t>
  </si>
  <si>
    <t>-488.292382561661 292.330088732858 -180.45830092185</t>
  </si>
  <si>
    <t>-829.488102785313 3.44617775032566 -500.832300901591</t>
  </si>
  <si>
    <t>-859.945189128576 166.595148815214 -53.219281264649</t>
  </si>
  <si>
    <t>-771.130337832513 241.31133753643 333.283144935663</t>
  </si>
  <si>
    <t>-846.140379754801 244.184315042966 774.886213970891</t>
  </si>
  <si>
    <t>-705.082818630397 271.97127921769 841.353878542562</t>
  </si>
  <si>
    <t>-785.620256712014 -7.52382967148696 348.702719643497</t>
  </si>
  <si>
    <t>-829.707775571134 80.879446034478 785.146651852789</t>
  </si>
  <si>
    <t>-734.876999336081 -23.9099387965789 856.656070265129</t>
  </si>
  <si>
    <t>9763-20170724T111034.018109700.bin</t>
  </si>
  <si>
    <t>-864.033258824238 73.9015776329047 -50.2050563300357</t>
  </si>
  <si>
    <t>-877.893285307932 70.1609101839204 -165.140357653409</t>
  </si>
  <si>
    <t>-872.751536640264 62.8299582358704 -263.35687171908</t>
  </si>
  <si>
    <t>-862.039500239612 54.1666364736316 -351.381990125189</t>
  </si>
  <si>
    <t>-845.078215134027 43.1707602635097 -438.15562704273</t>
  </si>
  <si>
    <t>-815.005289591312 25.1368081812116 -557.701495287216</t>
  </si>
  <si>
    <t>-780.244377948937 13.4257097971672 -632.263808972882</t>
  </si>
  <si>
    <t>-821.134970136009 59.7618312718355 -507.334288646868</t>
  </si>
  <si>
    <t>-781.286724333417 191.095861288318 -501.610973915763</t>
  </si>
  <si>
    <t>-724.697596365457 269.847904071717 -223.785410734724</t>
  </si>
  <si>
    <t>-488.556394006315 294.774877434099 -182.957757538649</t>
  </si>
  <si>
    <t>-835.343010839373 6.38359563244012 -502.856044393343</t>
  </si>
  <si>
    <t>-862.681738041302 170.408616393795 -55.0368262506765</t>
  </si>
  <si>
    <t>-779.026064112578 250.439657373657 331.552598202979</t>
  </si>
  <si>
    <t>-850.942084691154 267.257464927544 773.525560922573</t>
  </si>
  <si>
    <t>-708.454446848566 290.634185614104 838.626183432827</t>
  </si>
  <si>
    <t>-790.975107235229 -0.341645434791644 347.312958361965</t>
  </si>
  <si>
    <t>-829.149770618718 81.4062772841598 785.034424369207</t>
  </si>
  <si>
    <t>-734.66591768008 -23.7412686402267 856.477601112606</t>
  </si>
  <si>
    <t>9763-20170724T111034.081277200.bin</t>
  </si>
  <si>
    <t>-859.030114656747 92.0049623610307 -54.9924759651702</t>
  </si>
  <si>
    <t>-875.190938258606 88.4272114682053 -169.632043710241</t>
  </si>
  <si>
    <t>-872.502712996038 81.7670510206931 -267.994117748544</t>
  </si>
  <si>
    <t>-864.175255324515 73.906559957501 -356.351867613923</t>
  </si>
  <si>
    <t>-849.743573820753 63.8990152330312 -443.700737451814</t>
  </si>
  <si>
    <t>-823.336831310672 47.428784554746 -564.33340080809</t>
  </si>
  <si>
    <t>-789.748602197826 35.9712906069576 -639.470490906674</t>
  </si>
  <si>
    <t>-827.842014100078 81.3749664975117 -513.336589021132</t>
  </si>
  <si>
    <t>-787.723449819435 212.736952389637 -506.866978796849</t>
  </si>
  <si>
    <t>-722.29175724147 288.951743255535 -230.278612925812</t>
  </si>
  <si>
    <t>-486.053523035083 313.431745479963 -189.743026913801</t>
  </si>
  <si>
    <t>-842.07231439971 27.9780967257948 -509.161220966501</t>
  </si>
  <si>
    <t>-858.517993889211 187.945301535302 -59.2824594744894</t>
  </si>
  <si>
    <t>-786.624580222017 275.593856984725 328.020792894509</t>
  </si>
  <si>
    <t>-856.147411410069 319.178810715362 768.641794654645</t>
  </si>
  <si>
    <t>-712.731817705919 343.002528363214 831.504362658654</t>
  </si>
  <si>
    <t>-795.553453956582 8.67377206128276 344.644038818133</t>
  </si>
  <si>
    <t>-828.221588113951 82.0411261295603 784.575620985249</t>
  </si>
  <si>
    <t>-734.528330699635 -23.7570603609033 856.099257874634</t>
  </si>
  <si>
    <t>9763-20170724T111034.118387700.bin</t>
  </si>
  <si>
    <t>-859.449505169539 98.5979177012814 -56.9809564178684</t>
  </si>
  <si>
    <t>-876.899191157648 94.9345460074669 -171.428796524643</t>
  </si>
  <si>
    <t>-875.57515368475 88.4642447479982 -269.831287075369</t>
  </si>
  <si>
    <t>-868.571304915177 80.8755904976201 -358.327563032707</t>
  </si>
  <si>
    <t>-855.542343378141 71.2359377005596 -445.937942513592</t>
  </si>
  <si>
    <t>-831.168042160456 55.3759473129194 -567.079083782861</t>
  </si>
  <si>
    <t>-798.313354368265 44.1143528612738 -642.569320996739</t>
  </si>
  <si>
    <t>-834.733478463565 89.0440553382464 -515.824371655231</t>
  </si>
  <si>
    <t>-794.279023423796 220.25112248248 -508.998127799706</t>
  </si>
  <si>
    <t>-725.792964808153 294.092798929037 -232.505351473522</t>
  </si>
  <si>
    <t>-489.279569457576 317.833854595021 -193.151141084767</t>
  </si>
  <si>
    <t>-849.054201879663 35.6661196564814 -511.717293469143</t>
  </si>
  <si>
    <t>-859.00756116749 194.735841052261 -61.0831362685846</t>
  </si>
  <si>
    <t>-791.97036979785 283.706637461784 326.789069573075</t>
  </si>
  <si>
    <t>-865.230418388591 337.574315090396 765.766081776349</t>
  </si>
  <si>
    <t>-722.806585061615 363.618297220426 829.988598714733</t>
  </si>
  <si>
    <t>-862.441095680959 1.28323942527231 -55.1398255854884</t>
  </si>
  <si>
    <t>-798.35949760324 13.9891965220718 343.089645012902</t>
  </si>
  <si>
    <t>-827.657793258425 82.553653188284 784.217192623257</t>
  </si>
  <si>
    <t>-734.629635000335 -23.7646396057444 855.83797847197</t>
  </si>
  <si>
    <t>9763-20170724T111034.184561900.bin</t>
  </si>
  <si>
    <t>-855.56249187954 111.436303738308 -60.1919745085888</t>
  </si>
  <si>
    <t>-875.701454229676 108.111663337515 -174.207730230017</t>
  </si>
  <si>
    <t>-877.201545635768 102.32018252679 -272.649924841367</t>
  </si>
  <si>
    <t>-872.932827090182 95.5055214052891 -361.38304030604</t>
  </si>
  <si>
    <t>-862.799603974845 86.7969711440237 -449.472478407319</t>
  </si>
  <si>
    <t>-842.619420705799 72.4004569058416 -571.563814669612</t>
  </si>
  <si>
    <t>-811.415197025664 61.6139989900776 -647.819873510516</t>
  </si>
  <si>
    <t>-844.212787323231 105.399054023853 -519.776908277889</t>
  </si>
  <si>
    <t>-802.622135772513 236.197508062069 -512.184624908074</t>
  </si>
  <si>
    <t>-729.753894363024 304.168548291616 -235.306646046005</t>
  </si>
  <si>
    <t>-492.653826537978 324.264053664017 -197.484390529109</t>
  </si>
  <si>
    <t>-858.786200888243 52.0723730163586 -515.897816986084</t>
  </si>
  <si>
    <t>-854.112389246944 206.773878031642 -64.2037292978307</t>
  </si>
  <si>
    <t>-802.691773784492 295.046870199966 326.204296862693</t>
  </si>
  <si>
    <t>-880.038556091944 364.741637963193 762.209964771521</t>
  </si>
  <si>
    <t>-738.782317840257 389.559958103582 829.426143258809</t>
  </si>
  <si>
    <t>-856.91818932691 15.0712782252676 -58.4388252715352</t>
  </si>
  <si>
    <t>-799.586906449804 21.5300280542997 340.968316446588</t>
  </si>
  <si>
    <t>-827.26224821599 82.8211069686176 783.671111909202</t>
  </si>
  <si>
    <t>-734.427418986006 -23.5780185148174 855.422348482187</t>
  </si>
  <si>
    <t>9763-20170724T111034.219226700.bin</t>
  </si>
  <si>
    <t>-852.989262695773 117.608135275929 -61.4331601230953</t>
  </si>
  <si>
    <t>-874.665368021221 114.506739566682 -175.173091748042</t>
  </si>
  <si>
    <t>-877.652937686701 109.056510520787 -273.60084218936</t>
  </si>
  <si>
    <t>-874.783858430701 102.617320654732 -362.4182307477</t>
  </si>
  <si>
    <t>-866.095163740423 94.3507098649179 -450.704158344624</t>
  </si>
  <si>
    <t>-847.970448430117 80.6432040129089 -573.19671612602</t>
  </si>
  <si>
    <t>-817.60550003405 70.0162626044739 -649.813068677941</t>
  </si>
  <si>
    <t>-848.588835169059 113.322330015015 -521.187073750208</t>
  </si>
  <si>
    <t>-806.345645531822 243.934828854213 -513.370155957198</t>
  </si>
  <si>
    <t>-732.169944723203 309.050637888495 -236.153421812562</t>
  </si>
  <si>
    <t>-494.836174233831 326.53310398677 -198.498278649903</t>
  </si>
  <si>
    <t>-863.303673113604 60.0280249166708 -517.400598585457</t>
  </si>
  <si>
    <t>-851.501608108247 212.911487634868 -65.4609697355678</t>
  </si>
  <si>
    <t>-811.043790959599 298.103176200571 326.916665010578</t>
  </si>
  <si>
    <t>-879.883031901668 369.337867004215 763.657474571171</t>
  </si>
  <si>
    <t>-737.303784585278 391.707485757194 828.910956160919</t>
  </si>
  <si>
    <t>-855.114667339853 21.3359558625261 -59.4779138546675</t>
  </si>
  <si>
    <t>-799.548102133347 24.5792067448069 340.217594632787</t>
  </si>
  <si>
    <t>-827.037989695757 82.953823953404 783.411702641371</t>
  </si>
  <si>
    <t>-734.417930763693 -23.5940514236968 855.219702159863</t>
  </si>
  <si>
    <t>9763-20170724T111034.284398800.bin</t>
  </si>
  <si>
    <t>-846.205498346965 130.89985085749 -64.5139350438843</t>
  </si>
  <si>
    <t>-871.097470894798 127.396309230926 -177.581863819095</t>
  </si>
  <si>
    <t>-876.97783125108 122.205437817112 -275.893238414729</t>
  </si>
  <si>
    <t>-876.742659318099 116.248578211566 -364.790301609007</t>
  </si>
  <si>
    <t>-870.68444499339 108.70821805915 -453.360644786722</t>
  </si>
  <si>
    <t>-856.209194509433 96.2695159228533 -576.472637114294</t>
  </si>
  <si>
    <t>-827.341436123855 85.9782180721031 -653.710999616329</t>
  </si>
  <si>
    <t>-855.088387191571 128.359116393841 -524.105566138804</t>
  </si>
  <si>
    <t>-811.558067852992 258.52617106048 -515.675067248131</t>
  </si>
  <si>
    <t>-736.852782907631 316.937464841108 -237.110170398494</t>
  </si>
  <si>
    <t>-499.099360375556 329.896303778372 -200.28270440667</t>
  </si>
  <si>
    <t>-870.069589688922 75.1272683611578 -520.488593113051</t>
  </si>
  <si>
    <t>-843.546899003387 226.163967466994 -69.3122236845994</t>
  </si>
  <si>
    <t>-823.567561107914 305.736931956329 325.812686340897</t>
  </si>
  <si>
    <t>-880.526213929752 371.135790907542 765.338598654209</t>
  </si>
  <si>
    <t>-737.413584195653 398.399157682985 827.489364088383</t>
  </si>
  <si>
    <t>-848.494005062115 35.506415952108 -62.0931089999118</t>
  </si>
  <si>
    <t>-800.646141108795 32.1187972924581 338.598522214549</t>
  </si>
  <si>
    <t>-826.537058779222 83.2425913607804 782.832767689455</t>
  </si>
  <si>
    <t>-734.58040627671 -23.728678121382 854.86337105311</t>
  </si>
  <si>
    <t>9763-20170724T111034.315506400.bin</t>
  </si>
  <si>
    <t>-842.01464088496 137.421783499147 -66.6426538081893</t>
  </si>
  <si>
    <t>-868.452386971884 133.242297993807 -179.336081423705</t>
  </si>
  <si>
    <t>-875.686429200527 128.025378764731 -277.555778282231</t>
  </si>
  <si>
    <t>-876.662156100823 122.263650367343 -366.460744645964</t>
  </si>
  <si>
    <t>-871.786301142292 115.133482836176 -455.137851674412</t>
  </si>
  <si>
    <t>-858.920521829581 103.488692981301 -578.505854479387</t>
  </si>
  <si>
    <t>-830.62876201069 93.5054331824872 -655.997476254443</t>
  </si>
  <si>
    <t>-857.091210737589 135.233909843686 -525.949380146074</t>
  </si>
  <si>
    <t>-813.336417087054 265.233101670753 -517.030970058429</t>
  </si>
  <si>
    <t>-738.87087834845 319.887505286749 -237.640714553094</t>
  </si>
  <si>
    <t>-500.855873924951 331.068524424998 -201.93689922359</t>
  </si>
  <si>
    <t>-872.073004902642 81.9920704845104 -522.48609079593</t>
  </si>
  <si>
    <t>-839.185390948713 231.761427403485 -71.556720272509</t>
  </si>
  <si>
    <t>-826.239492911243 309.163771657418 324.291646896062</t>
  </si>
  <si>
    <t>-880.440857004216 371.124763862657 764.584936954549</t>
  </si>
  <si>
    <t>-737.48647117314 400.011530637601 826.365599045097</t>
  </si>
  <si>
    <t>-844.677583548505 43.5100064171202 -63.4828095993147</t>
  </si>
  <si>
    <t>-801.816844812631 36.2380361868982 337.721294575577</t>
  </si>
  <si>
    <t>-826.343694658 83.2791479276029 782.650414857111</t>
  </si>
  <si>
    <t>-734.790219087754 -23.926615856853 854.845934234019</t>
  </si>
  <si>
    <t>9763-20170724T111034.381665100.bin</t>
  </si>
  <si>
    <t>-842.817941831907 149.342980808975 -68.8131605306187</t>
  </si>
  <si>
    <t>-871.188688144787 144.924745465609 -181.026413751838</t>
  </si>
  <si>
    <t>-880.298221935198 140.244000871543 -279.116935726586</t>
  </si>
  <si>
    <t>-883.023723332212 135.276366771325 -368.033417212756</t>
  </si>
  <si>
    <t>-879.92896117263 129.253827620184 -456.87252848787</t>
  </si>
  <si>
    <t>-869.562044187823 119.487955266781 -580.638324637683</t>
  </si>
  <si>
    <t>-842.081937452852 110.430876989418 -658.53460188886</t>
  </si>
  <si>
    <t>-866.719361501808 150.445510342007 -527.658545828859</t>
  </si>
  <si>
    <t>-823.079631713965 280.391862104808 -517.398041122589</t>
  </si>
  <si>
    <t>-748.604535804329 327.47079527803 -236.634362960464</t>
  </si>
  <si>
    <t>-509.894946560056 335.443647935962 -204.932181119099</t>
  </si>
  <si>
    <t>-881.528721388678 97.1253133783844 -524.691636766976</t>
  </si>
  <si>
    <t>-844.111179093843 244.920785829962 -74.6750354130043</t>
  </si>
  <si>
    <t>-834.342756065974 313.374071144196 322.909437449589</t>
  </si>
  <si>
    <t>-880.543773695437 372.417193242783 764.432426013463</t>
  </si>
  <si>
    <t>-737.137485531442 399.414013470238 826.02083647936</t>
  </si>
  <si>
    <t>-843.134094132716 53.7683169809411 -65.1364785438988</t>
  </si>
  <si>
    <t>-805.57069606235 44.6429110335798 336.560358325171</t>
  </si>
  <si>
    <t>-826.203997734847 83.2729379707575 782.367997870378</t>
  </si>
  <si>
    <t>-735.282170918593 -24.3436640358686 854.750404432538</t>
  </si>
  <si>
    <t>9763-20170724T111034.413755800.bin</t>
  </si>
  <si>
    <t>-843.992196125284 153.619063154267 -69.6010520450313</t>
  </si>
  <si>
    <t>-873.136451689091 149.262464503064 -181.618338907893</t>
  </si>
  <si>
    <t>-882.95540521202 144.856697179454 -279.653153004327</t>
  </si>
  <si>
    <t>-886.328968688119 140.240085230453 -368.566310762669</t>
  </si>
  <si>
    <t>-883.880691520669 134.675647834096 -457.455472647387</t>
  </si>
  <si>
    <t>-874.407198396875 125.667035831649 -581.350266893233</t>
  </si>
  <si>
    <t>-847.156947422608 117.030110931892 -659.374982422026</t>
  </si>
  <si>
    <t>-871.176470416955 156.298729159344 -528.203450367049</t>
  </si>
  <si>
    <t>-827.391577991582 286.188008714718 -517.380192891729</t>
  </si>
  <si>
    <t>-753.231021791291 330.328537541281 -236.056429218084</t>
  </si>
  <si>
    <t>-514.27675137429 336.839130185502 -205.900915660981</t>
  </si>
  <si>
    <t>-885.975298928625 102.963986852242 -525.45696902431</t>
  </si>
  <si>
    <t>-845.62614438997 249.985987852384 -75.5494591827684</t>
  </si>
  <si>
    <t>-836.65486165787 313.749344884644 322.83273895981</t>
  </si>
  <si>
    <t>-880.237791052945 372.290465920449 764.862412099678</t>
  </si>
  <si>
    <t>-736.837421396825 399.313450272988 826.452807544985</t>
  </si>
  <si>
    <t>-842.731005916763 56.9361602630725 -65.8813834103165</t>
  </si>
  <si>
    <t>-807.921123460462 47.7331904915573 336.06176736433</t>
  </si>
  <si>
    <t>-826.142817879179 83.4453073193122 782.143077721943</t>
  </si>
  <si>
    <t>-735.527891446159 -24.3904023090613 854.584291813099</t>
  </si>
  <si>
    <t>9763-20170724T111034.482941700.bin</t>
  </si>
  <si>
    <t>-843.612947498685 160.861400793913 -71.0788947721452</t>
  </si>
  <si>
    <t>-874.242286741935 156.474139617726 -182.6980122755</t>
  </si>
  <si>
    <t>-885.380702910906 152.478527123578 -280.609252152511</t>
  </si>
  <si>
    <t>-889.944518388299 148.420524526686 -369.496533523027</t>
  </si>
  <si>
    <t>-888.670033778532 143.605557716496 -458.454001380773</t>
  </si>
  <si>
    <t>-880.806064816762 135.846292589635 -582.545912610659</t>
  </si>
  <si>
    <t>-853.831913256219 127.846872796383 -660.73427932309</t>
  </si>
  <si>
    <t>-876.785754414036 165.9143699674 -529.131665914555</t>
  </si>
  <si>
    <t>-832.409735388308 295.495328662034 -517.430347701811</t>
  </si>
  <si>
    <t>-758.784663030606 335.020254537248 -235.280840328219</t>
  </si>
  <si>
    <t>-519.477611392522 338.987529457455 -207.582234485609</t>
  </si>
  <si>
    <t>-891.747497313895 112.60724733591 -526.746709673502</t>
  </si>
  <si>
    <t>-845.525033031706 257.294174685542 -76.7160591734587</t>
  </si>
  <si>
    <t>-839.594662966656 315.124249677599 322.627357378561</t>
  </si>
  <si>
    <t>-879.946832951719 372.643764117759 765.661065922656</t>
  </si>
  <si>
    <t>-736.451427026327 399.183145192852 827.240676127635</t>
  </si>
  <si>
    <t>-841.293123864843 63.8960896459107 -67.0555242772641</t>
  </si>
  <si>
    <t>-811.808125571743 52.8369024198109 335.266539248546</t>
  </si>
  <si>
    <t>-826.387678784886 83.61939477238 781.90755756771</t>
  </si>
  <si>
    <t>-736.022408561131 -24.394050458638 854.395414910935</t>
  </si>
  <si>
    <t>9763-20170724T111034.562172000.bin</t>
  </si>
  <si>
    <t>-842.328415378277 165.025521032422 -71.3326488268581</t>
  </si>
  <si>
    <t>-873.592649599681 160.806097217 -182.781990898195</t>
  </si>
  <si>
    <t>-885.531768252565 157.24614509772 -280.615774546975</t>
  </si>
  <si>
    <t>-890.912117927291 153.701668269551 -369.479363073057</t>
  </si>
  <si>
    <t>-890.539959434381 149.51834511821 -458.477046749533</t>
  </si>
  <si>
    <t>-884.018584333664 142.765561497171 -582.705450363062</t>
  </si>
  <si>
    <t>-857.211128094209 135.113579387199 -660.985788474938</t>
  </si>
  <si>
    <t>-879.304168969684 172.367486507871 -529.088183498954</t>
  </si>
  <si>
    <t>-834.449854259483 301.701112983936 -516.481670230194</t>
  </si>
  <si>
    <t>-760.080958907314 338.094732177641 -234.106137450817</t>
  </si>
  <si>
    <t>-520.575426745399 340.43446327964 -207.981172954801</t>
  </si>
  <si>
    <t>-894.47259777352 119.106927922416 -526.98927702246</t>
  </si>
  <si>
    <t>-844.419641560078 262.114362484615 -76.8809694702107</t>
  </si>
  <si>
    <t>-841.537719105988 316.175943657442 323.023659403261</t>
  </si>
  <si>
    <t>-879.756308182913 372.506617046961 766.452728288171</t>
  </si>
  <si>
    <t>-736.13538783568 398.780231172602 827.852997826241</t>
  </si>
  <si>
    <t>-839.837947774681 67.8670043222482 -67.1686721557994</t>
  </si>
  <si>
    <t>-811.862380625008 54.5839719956534 335.193834862128</t>
  </si>
  <si>
    <t>-826.702619871355 83.8554226318929 781.840873908057</t>
  </si>
  <si>
    <t>-736.732175836987 -24.4949569767082 854.317147221199</t>
  </si>
  <si>
    <t>9763-20170724T111034.581223200.bin</t>
  </si>
  <si>
    <t>-841.378340285124 166.232608915195 -71.1136869085082</t>
  </si>
  <si>
    <t>-872.862849063623 162.074162477799 -182.503305285807</t>
  </si>
  <si>
    <t>-885.060333656369 158.68427692589 -280.311197529131</t>
  </si>
  <si>
    <t>-890.697878854143 155.342144874041 -369.166584529179</t>
  </si>
  <si>
    <t>-890.603822199906 151.409291836958 -458.176548716813</t>
  </si>
  <si>
    <t>-884.489949192588 145.056622363704 -582.446787525363</t>
  </si>
  <si>
    <t>-857.709792537983 137.539484784009 -660.749623465562</t>
  </si>
  <si>
    <t>-879.552828882126 174.47219770416 -528.747104325097</t>
  </si>
  <si>
    <t>-834.51157979893 303.693849072391 -515.664950579528</t>
  </si>
  <si>
    <t>-760.256859255545 338.528708535441 -233.062759757483</t>
  </si>
  <si>
    <t>-520.655355075826 340.339714872587 -207.789496413812</t>
  </si>
  <si>
    <t>-894.808086190077 121.231872293401 -526.776025078567</t>
  </si>
  <si>
    <t>-744.644128546091 0.893950221714931 -288.255839952579</t>
  </si>
  <si>
    <t>-843.429115612858 263.569542666857 -76.5637296917309</t>
  </si>
  <si>
    <t>-841.476181370013 316.351490520073 323.517372210541</t>
  </si>
  <si>
    <t>-879.705768772551 372.485782772085 767.134929420629</t>
  </si>
  <si>
    <t>-736.019678977489 398.644057820455 828.431940745213</t>
  </si>
  <si>
    <t>-839.085795414096 68.5333829068622 -67.0980822392667</t>
  </si>
  <si>
    <t>-811.443265904005 54.936821772083 335.276995904265</t>
  </si>
  <si>
    <t>-826.917684829943 83.9408079734744 781.887823051085</t>
  </si>
  <si>
    <t>-736.91228615911 -24.4059911159729 854.325879298885</t>
  </si>
  <si>
    <t>9763-20170724T111034.617343200.bin</t>
  </si>
  <si>
    <t>-840.805695497726 166.985016492133 -70.8029318016015</t>
  </si>
  <si>
    <t>-872.480211895039 162.888499943292 -182.141054937335</t>
  </si>
  <si>
    <t>-884.861649507316 159.641971533676 -279.930746425484</t>
  </si>
  <si>
    <t>-890.670375041137 156.467331439981 -368.781308460662</t>
  </si>
  <si>
    <t>-890.749660437563 152.738865847808 -457.79997968845</t>
  </si>
  <si>
    <t>-884.879308280976 146.71036924658 -582.098091259677</t>
  </si>
  <si>
    <t>-858.083050857425 139.317368202923 -660.407208232591</t>
  </si>
  <si>
    <t>-879.7904799184 175.972760079788 -528.328737927394</t>
  </si>
  <si>
    <t>-834.563265641059 305.085860973195 -514.871670717302</t>
  </si>
  <si>
    <t>-760.86796454893 338.446461585684 -231.945388298491</t>
  </si>
  <si>
    <t>-521.168407043195 339.94489875471 -207.597963660281</t>
  </si>
  <si>
    <t>-895.134720653728 122.753859883201 -526.472366328777</t>
  </si>
  <si>
    <t>-744.93205688618 2.75291403987467 -287.863037646717</t>
  </si>
  <si>
    <t>-842.902168280444 264.563554389651 -76.1645403926857</t>
  </si>
  <si>
    <t>-841.042850913987 316.459743126669 324.03290864504</t>
  </si>
  <si>
    <t>-879.719162475954 372.563287491481 767.693408165865</t>
  </si>
  <si>
    <t>-735.897462707065 398.214681681822 828.887041983727</t>
  </si>
  <si>
    <t>-838.781654315336 68.9460804210576 -66.921828510417</t>
  </si>
  <si>
    <t>-811.489966921628 55.5823880368753 335.484993404919</t>
  </si>
  <si>
    <t>-827.153818270748 83.9860735216653 781.983626810037</t>
  </si>
  <si>
    <t>-737.193652315895 -24.4149781686738 854.397316810057</t>
  </si>
  <si>
    <t>9763-20170724T111034.685523200.bin</t>
  </si>
  <si>
    <t>-840.245093450531 167.190725224136 -70.0466826425962</t>
  </si>
  <si>
    <t>-872.216721669966 163.142572009748 -181.301562828622</t>
  </si>
  <si>
    <t>-884.875640109594 160.074981910625 -279.061368314995</t>
  </si>
  <si>
    <t>-890.938546968863 157.112737875843 -367.902246804249</t>
  </si>
  <si>
    <t>-891.27339615418 153.643378355712 -456.930898009954</t>
  </si>
  <si>
    <t>-885.758670832069 148.023547452351 -581.264435688464</t>
  </si>
  <si>
    <t>-858.874131210912 140.784491617983 -659.557669906363</t>
  </si>
  <si>
    <t>-880.447093118837 177.089348043825 -527.410096134672</t>
  </si>
  <si>
    <t>-834.973148929204 306.070803440403 -513.442832031428</t>
  </si>
  <si>
    <t>-762.787415357761 337.329612098158 -229.888090675737</t>
  </si>
  <si>
    <t>-522.960545654022 338.244368910699 -206.800205777084</t>
  </si>
  <si>
    <t>-895.923591597417 123.903944916609 -525.692506272676</t>
  </si>
  <si>
    <t>-745.785443832315 3.9550880489046 -285.904979382144</t>
  </si>
  <si>
    <t>-842.774854893445 264.959565498649 -75.3732994327878</t>
  </si>
  <si>
    <t>-840.131395477447 316.218180240505 324.901873115526</t>
  </si>
  <si>
    <t>-879.666240896066 372.392305225665 768.562050879819</t>
  </si>
  <si>
    <t>-735.62597610419 397.237094520782 829.574304723379</t>
  </si>
  <si>
    <t>-838.182426743458 69.370001969191 -66.4546778276111</t>
  </si>
  <si>
    <t>-811.147088226985 55.6737334788281 335.958224163985</t>
  </si>
  <si>
    <t>-827.449209262785 84.2542176843226 782.147979101022</t>
  </si>
  <si>
    <t>-737.439905061569 -24.1132232449399 854.550498713726</t>
  </si>
  <si>
    <t>9763-20170724T111034.716629300.bin</t>
  </si>
  <si>
    <t>-840.108291320954 167.360376263466 -69.7795360750836</t>
  </si>
  <si>
    <t>-872.30208120622 163.338386606364 -180.971272030957</t>
  </si>
  <si>
    <t>-885.142523152309 160.331545947957 -278.709478845371</t>
  </si>
  <si>
    <t>-891.363924676155 157.43870701582 -367.541626223645</t>
  </si>
  <si>
    <t>-891.850881762267 154.052289952785 -456.572729725205</t>
  </si>
  <si>
    <t>-886.539726263667 148.562114303716 -580.920890876554</t>
  </si>
  <si>
    <t>-859.608862610246 141.365201441091 -659.202110834645</t>
  </si>
  <si>
    <t>-881.134301339471 177.569914275512 -527.044955871281</t>
  </si>
  <si>
    <t>-835.713610924804 306.534524340949 -512.86697866044</t>
  </si>
  <si>
    <t>-763.797712747591 337.136471228509 -229.171922854623</t>
  </si>
  <si>
    <t>-523.95129396757 337.850695734671 -206.2797139895</t>
  </si>
  <si>
    <t>-896.619491914887 124.386111221391 -525.358013180411</t>
  </si>
  <si>
    <t>-746.568008250384 4.07833294097509 -284.930562630667</t>
  </si>
  <si>
    <t>-842.829131916263 265.239785068045 -75.153735757002</t>
  </si>
  <si>
    <t>-839.798394307628 315.941003681454 325.189688686803</t>
  </si>
  <si>
    <t>-879.553721218505 372.16682005962 768.848641851991</t>
  </si>
  <si>
    <t>-735.503751123942 397.138610692652 829.785018031037</t>
  </si>
  <si>
    <t>-837.908689151938 69.5512186766828 -66.2998124347325</t>
  </si>
  <si>
    <t>-811.115149569609 55.6038080944531 336.120644125949</t>
  </si>
  <si>
    <t>-827.681247388585 84.255071546359 782.219027721689</t>
  </si>
  <si>
    <t>-737.468898535524 -23.9492148807817 854.612983749459</t>
  </si>
  <si>
    <t>9763-20170724T111034.793333800.bin</t>
  </si>
  <si>
    <t>-839.688613872612 168.009946239222 -69.5093091568688</t>
  </si>
  <si>
    <t>-872.123175124234 163.967819969078 -180.630377809876</t>
  </si>
  <si>
    <t>-885.250087906202 161.015579617128 -278.332050233307</t>
  </si>
  <si>
    <t>-891.75981244661 158.204245645799 -367.146338114256</t>
  </si>
  <si>
    <t>-892.561828878076 154.933082911419 -456.179387310303</t>
  </si>
  <si>
    <t>-887.71716947431 149.640635966483 -580.555172896976</t>
  </si>
  <si>
    <t>-860.761207238498 142.504891810598 -658.833387153674</t>
  </si>
  <si>
    <t>-882.103588862999 178.561099895034 -526.65334528731</t>
  </si>
  <si>
    <t>-836.762645263794 307.539069600627 -512.243451447008</t>
  </si>
  <si>
    <t>-765.238845269065 337.204082622992 -228.349932103033</t>
  </si>
  <si>
    <t>-525.328043173534 337.949060333659 -206.142738933065</t>
  </si>
  <si>
    <t>-897.594729302486 125.378228242437 -524.993708191775</t>
  </si>
  <si>
    <t>-747.525533002064 4.4435169841031 -283.631425441627</t>
  </si>
  <si>
    <t>-842.206775174799 265.884080412572 -75.0059233851263</t>
  </si>
  <si>
    <t>-839.321982223427 315.975079184191 325.415472497821</t>
  </si>
  <si>
    <t>-879.324981279298 372.145833564053 768.941769986607</t>
  </si>
  <si>
    <t>-735.098550578133 396.23093179137 829.817663993679</t>
  </si>
  <si>
    <t>-837.499117866789 70.1252356748664 -66.1389393655236</t>
  </si>
  <si>
    <t>-811.56036158546 56.1595179905448 336.336940585827</t>
  </si>
  <si>
    <t>-828.033039633591 84.4675578740794 782.374674698437</t>
  </si>
  <si>
    <t>-738.105215519019 -23.9815043170306 854.75627857562</t>
  </si>
  <si>
    <t>9763-20170724T111034.819413400.bin</t>
  </si>
  <si>
    <t>-839.316455689107 168.388267966024 -69.5592840759579</t>
  </si>
  <si>
    <t>-871.86383892897 164.251544472157 -180.64392237624</t>
  </si>
  <si>
    <t>-885.123447419311 161.257235759692 -278.326491174049</t>
  </si>
  <si>
    <t>-891.765729892426 158.42272857827 -367.1300832912</t>
  </si>
  <si>
    <t>-892.712606378657 155.143347116316 -456.161413334475</t>
  </si>
  <si>
    <t>-888.081559957388 149.853123882943 -580.545428228474</t>
  </si>
  <si>
    <t>-861.115452692255 142.722107767258 -658.820569145899</t>
  </si>
  <si>
    <t>-882.365073303567 178.769557739574 -526.652351817722</t>
  </si>
  <si>
    <t>-837.037131289451 307.755145738417 -512.235347504263</t>
  </si>
  <si>
    <t>-765.755135719609 337.175263482658 -228.25543577859</t>
  </si>
  <si>
    <t>-525.815806918464 337.843714580916 -206.359421898981</t>
  </si>
  <si>
    <t>-897.873985120754 125.592442622511 -524.968042406485</t>
  </si>
  <si>
    <t>-747.531319037875 4.15741328309059 -283.143333799687</t>
  </si>
  <si>
    <t>-841.741089265563 266.248171420391 -75.1028652991909</t>
  </si>
  <si>
    <t>-839.214975482598 316.153213760475 325.344156009843</t>
  </si>
  <si>
    <t>-879.230653961866 372.185102143494 768.906336219416</t>
  </si>
  <si>
    <t>-734.941836147762 395.924779093663 829.770483949025</t>
  </si>
  <si>
    <t>-837.173546582759 70.5755595867699 -66.0909326843822</t>
  </si>
  <si>
    <t>-811.687733585383 56.3884076686959 336.406118834389</t>
  </si>
  <si>
    <t>-828.215991575163 84.5435569555207 782.418829428122</t>
  </si>
  <si>
    <t>-738.243804358777 -23.8790251052378 854.785064054095</t>
  </si>
  <si>
    <t>9763-20170724T111034.881577300.bin</t>
  </si>
  <si>
    <t>-838.49089105005 168.794413856747 -69.7246259464139</t>
  </si>
  <si>
    <t>-871.123249095355 164.447106894712 -180.77622925346</t>
  </si>
  <si>
    <t>-884.58628181156 161.280189179798 -278.425361348958</t>
  </si>
  <si>
    <t>-891.465466326254 158.292778830931 -367.205946514326</t>
  </si>
  <si>
    <t>-892.70114727926 154.864004068073 -456.228303059601</t>
  </si>
  <si>
    <t>-888.528126190318 149.36972759777 -580.619555872398</t>
  </si>
  <si>
    <t>-861.541113809873 142.163162027367 -658.880753915926</t>
  </si>
  <si>
    <t>-882.621691359129 178.377133446595 -526.795695040818</t>
  </si>
  <si>
    <t>-837.500760724393 307.454085583449 -512.608275462143</t>
  </si>
  <si>
    <t>-767.068430519036 337.016162169547 -228.431330592116</t>
  </si>
  <si>
    <t>-527.099741464578 337.648753897517 -206.854970956803</t>
  </si>
  <si>
    <t>-898.107206752892 125.19782026985 -524.966387376486</t>
  </si>
  <si>
    <t>-747.108432481805 2.77246117176946 -282.635698315074</t>
  </si>
  <si>
    <t>-841.180214747647 266.453257128851 -75.3104365237999</t>
  </si>
  <si>
    <t>-839.033803254961 316.116928020063 325.168757226294</t>
  </si>
  <si>
    <t>-878.841160013116 371.855098804297 768.828588652725</t>
  </si>
  <si>
    <t>-734.593600627807 395.939191712728 829.655243902389</t>
  </si>
  <si>
    <t>-836.147065625825 71.0876878689296 -66.1398524669979</t>
  </si>
  <si>
    <t>-812.069914643274 56.6549765798709 336.435202623417</t>
  </si>
  <si>
    <t>-828.593958043574 84.65293931322 782.46311879343</t>
  </si>
  <si>
    <t>-738.662009683849 -23.818469258159 854.806039476379</t>
  </si>
  <si>
    <t>9763-20170724T111034.919182500.bin</t>
  </si>
  <si>
    <t>-838.369966479286 168.808492223315 -69.7858870921425</t>
  </si>
  <si>
    <t>-870.998979006988 164.375761185023 -180.835033185228</t>
  </si>
  <si>
    <t>-884.532259618319 161.123116489969 -278.471676085391</t>
  </si>
  <si>
    <t>-891.505672956427 158.053998567872 -367.242208935105</t>
  </si>
  <si>
    <t>-892.865504520657 154.540446772058 -456.259379567855</t>
  </si>
  <si>
    <t>-888.898189909748 148.926070573898 -580.652119797796</t>
  </si>
  <si>
    <t>-861.89796421224 141.659093962766 -658.903019012609</t>
  </si>
  <si>
    <t>-882.926991475973 177.992503796784 -526.86715112899</t>
  </si>
  <si>
    <t>-838.010750272235 307.153947230739 -512.839464196783</t>
  </si>
  <si>
    <t>-768.257463245508 336.827216826436 -228.506618343143</t>
  </si>
  <si>
    <t>-528.265625795403 337.315699659588 -207.18449653156</t>
  </si>
  <si>
    <t>-898.360818204847 124.80108522603 -524.958714510397</t>
  </si>
  <si>
    <t>-746.961624092118 1.97693256974071 -282.422985355039</t>
  </si>
  <si>
    <t>-841.18049863561 266.417721367961 -75.4065098474068</t>
  </si>
  <si>
    <t>-839.08518185141 315.962917855797 325.087624717043</t>
  </si>
  <si>
    <t>-878.634806752434 371.6840720883 768.768777240502</t>
  </si>
  <si>
    <t>-734.412105657472 395.965698311051 829.576578502643</t>
  </si>
  <si>
    <t>-836.030489241157 71.1756695689614 -66.1537711748753</t>
  </si>
  <si>
    <t>-812.383653029877 56.7835247880566 336.448219973901</t>
  </si>
  <si>
    <t>-828.771624849528 84.7315315963278 782.495769602351</t>
  </si>
  <si>
    <t>-739.020159179399 -23.8951864508826 854.83006207248</t>
  </si>
  <si>
    <t>9763-20170724T111034.981349300.bin</t>
  </si>
  <si>
    <t>-838.666771770903 168.82328209575 -69.884740446071</t>
  </si>
  <si>
    <t>-871.26689551351 164.282786080705 -180.938007718711</t>
  </si>
  <si>
    <t>-884.881786462526 160.860991558364 -278.557650776368</t>
  </si>
  <si>
    <t>-891.974832689173 157.610992298373 -367.312134593772</t>
  </si>
  <si>
    <t>-893.502080875326 153.891937246973 -456.318194125304</t>
  </si>
  <si>
    <t>-889.818843790873 147.967349815028 -580.705164434085</t>
  </si>
  <si>
    <t>-862.746419830262 140.534839506307 -658.91569178407</t>
  </si>
  <si>
    <t>-883.791826695193 177.187017334801 -527.009703269561</t>
  </si>
  <si>
    <t>-839.402464671541 306.581953101856 -513.375924833178</t>
  </si>
  <si>
    <t>-772.156435198514 336.391251134831 -228.453815214407</t>
  </si>
  <si>
    <t>-532.109640986951 336.382280456117 -207.755223462814</t>
  </si>
  <si>
    <t>-899.087578972463 123.962256307794 -524.927503765222</t>
  </si>
  <si>
    <t>-747.126293873775 1.55176724254898 -282.129378750264</t>
  </si>
  <si>
    <t>-841.480918280969 266.411284296731 -75.5665423767954</t>
  </si>
  <si>
    <t>-839.688888074669 315.762346026068 324.953008974899</t>
  </si>
  <si>
    <t>-878.357692947783 371.69651648747 768.638991776229</t>
  </si>
  <si>
    <t>-734.056413439873 395.514278920208 829.443095863257</t>
  </si>
  <si>
    <t>-836.246929799584 71.1842356300567 -66.1778178799281</t>
  </si>
  <si>
    <t>-813.052128427672 56.8263531348716 336.451716727257</t>
  </si>
  <si>
    <t>-829.212878203113 84.7917521511249 782.563912951312</t>
  </si>
  <si>
    <t>-739.117976926723 -23.6057956296372 854.814817734333</t>
  </si>
  <si>
    <t>9763-20170724T111035.021058600.bin</t>
  </si>
  <si>
    <t>-838.725573008516 168.509464581705 -69.923042003392</t>
  </si>
  <si>
    <t>-871.349605160481 163.895775582827 -180.966234004224</t>
  </si>
  <si>
    <t>-884.999462391036 160.371649187624 -278.577392041615</t>
  </si>
  <si>
    <t>-892.131382680211 157.012551011675 -367.324677447835</t>
  </si>
  <si>
    <t>-893.704689158188 153.169365893271 -456.32475330727</t>
  </si>
  <si>
    <t>-890.094827231349 147.055636968715 -580.704786707867</t>
  </si>
  <si>
    <t>-862.960301365766 139.531938528791 -658.884957021538</t>
  </si>
  <si>
    <t>-884.072072237487 176.366871210243 -527.058818250125</t>
  </si>
  <si>
    <t>-839.938466277925 305.871936091778 -513.656067368439</t>
  </si>
  <si>
    <t>-774.799467289736 335.72693275022 -228.249820165268</t>
  </si>
  <si>
    <t>-534.725980333508 335.306424298527 -207.86919354257</t>
  </si>
  <si>
    <t>-899.295075343977 123.124995402971 -524.883686030853</t>
  </si>
  <si>
    <t>-747.436734092458 1.50615897410489 -282.409552952706</t>
  </si>
  <si>
    <t>-841.484706769842 265.99948578593 -75.6055960953061</t>
  </si>
  <si>
    <t>-839.876262180041 315.527624497007 324.8928940235</t>
  </si>
  <si>
    <t>-878.124944473632 371.507813878935 768.584500798738</t>
  </si>
  <si>
    <t>-733.850584407669 395.483167751905 829.391097243281</t>
  </si>
  <si>
    <t>-836.323139063598 70.8761701485159 -66.1727049001174</t>
  </si>
  <si>
    <t>-813.190372223698 56.5933081444005 336.463030627351</t>
  </si>
  <si>
    <t>-829.452553404305 84.7797615562858 782.582904821285</t>
  </si>
  <si>
    <t>-739.314148561567 -23.5972199558109 854.810138439893</t>
  </si>
  <si>
    <t>9763-20170724T111035.081219000.bin</t>
  </si>
  <si>
    <t>-838.740325474946 167.472000435523 -69.8981771783166</t>
  </si>
  <si>
    <t>-871.350630185712 162.634753652272 -180.935902587019</t>
  </si>
  <si>
    <t>-885.034429215506 158.946412335152 -278.536245432349</t>
  </si>
  <si>
    <t>-892.214381943224 155.449724797867 -367.274339447198</t>
  </si>
  <si>
    <t>-893.853678192932 151.481699095834 -456.267717833983</t>
  </si>
  <si>
    <t>-890.352595892648 145.208526382652 -580.642990178467</t>
  </si>
  <si>
    <t>-863.024025716847 137.589509313605 -658.746241291289</t>
  </si>
  <si>
    <t>-884.411025811673 174.624849230925 -527.045378464562</t>
  </si>
  <si>
    <t>-840.975921979116 304.386076945068 -513.910744143154</t>
  </si>
  <si>
    <t>-780.024947669179 333.932944459722 -227.548759926565</t>
  </si>
  <si>
    <t>-539.885870671249 332.699918758584 -207.989607863693</t>
  </si>
  <si>
    <t>-899.375519465797 121.313624287065 -524.777764233742</t>
  </si>
  <si>
    <t>-747.638031222013 2.54608297487903 -282.442812070887</t>
  </si>
  <si>
    <t>-841.621331646722 264.921504368857 -75.6789710720559</t>
  </si>
  <si>
    <t>-840.144166664572 314.942686633214 324.758737925622</t>
  </si>
  <si>
    <t>-877.707405938915 371.196849213546 768.435100160307</t>
  </si>
  <si>
    <t>-733.498473373223 395.525836969344 829.25554789403</t>
  </si>
  <si>
    <t>-836.18755905884 69.9480688086514 -66.155518488798</t>
  </si>
  <si>
    <t>-813.48374942896 56.1991447988544 336.523285222705</t>
  </si>
  <si>
    <t>-829.711856222203 85.0341729078518 782.615780781954</t>
  </si>
  <si>
    <t>-739.74043526507 -23.4994781353198 854.815824805827</t>
  </si>
  <si>
    <t>9763-20170724T111035.116316400.bin</t>
  </si>
  <si>
    <t>-838.83293618493 166.909626693711 -69.904548949428</t>
  </si>
  <si>
    <t>-871.455094970249 161.960641347608 -180.934000754111</t>
  </si>
  <si>
    <t>-885.158596688188 158.208375499649 -278.529040071038</t>
  </si>
  <si>
    <t>-892.359898661763 154.666284441411 -367.263569154105</t>
  </si>
  <si>
    <t>-894.022554905814 150.667730286306 -456.255141655675</t>
  </si>
  <si>
    <t>-890.556307142711 144.367578149599 -580.630004341857</t>
  </si>
  <si>
    <t>-863.097528148666 136.741895401854 -658.686937368445</t>
  </si>
  <si>
    <t>-884.688859237232 173.819857559103 -527.044120321942</t>
  </si>
  <si>
    <t>-841.734373170325 303.745306486946 -513.921381621247</t>
  </si>
  <si>
    <t>-782.34036035602 332.874895912339 -227.189720281703</t>
  </si>
  <si>
    <t>-542.178023333202 331.339081319598 -207.942148975295</t>
  </si>
  <si>
    <t>-899.474825935754 120.459857379492 -524.753329706424</t>
  </si>
  <si>
    <t>-747.843738249222 3.32295578165485 -282.37126178507</t>
  </si>
  <si>
    <t>-841.780377174158 264.32671407203 -75.7190677059441</t>
  </si>
  <si>
    <t>-840.418944805414 314.616101386567 324.685470328556</t>
  </si>
  <si>
    <t>-877.50659758235 371.058255261514 768.339334572646</t>
  </si>
  <si>
    <t>-733.34040878184 395.62357748021 829.166456920591</t>
  </si>
  <si>
    <t>-836.258940398431 69.4710677952762 -66.1407076054491</t>
  </si>
  <si>
    <t>-813.869283192778 56.126234181897 336.569204107124</t>
  </si>
  <si>
    <t>-829.89772628311 85.1100557655382 782.676244591437</t>
  </si>
  <si>
    <t>-739.91087105148 -23.4327930893214 854.843137655925</t>
  </si>
  <si>
    <t>9763-20170724T111035.183494600.bin</t>
  </si>
  <si>
    <t>-839.382502890808 165.932506333787 -69.9715161992937</t>
  </si>
  <si>
    <t>-871.915573042744 160.722029409269 -181.015108210823</t>
  </si>
  <si>
    <t>-885.537606754996 156.855989677271 -278.617058895267</t>
  </si>
  <si>
    <t>-892.660639422 153.2532861551 -367.35565338458</t>
  </si>
  <si>
    <t>-894.237949212037 149.239406202547 -456.348001248772</t>
  </si>
  <si>
    <t>-890.642818138128 142.965610266107 -580.720435618162</t>
  </si>
  <si>
    <t>-862.866792689576 135.437835179958 -658.674772062526</t>
  </si>
  <si>
    <t>-885.008892592863 172.455078281919 -527.129987589905</t>
  </si>
  <si>
    <t>-842.876047622758 302.639607063634 -513.964336989731</t>
  </si>
  <si>
    <t>-785.828246491759 330.968294625301 -226.676627511439</t>
  </si>
  <si>
    <t>-545.616335636026 329.23657219012 -208.074543486864</t>
  </si>
  <si>
    <t>-899.440640630866 118.997791846817 -524.850665453737</t>
  </si>
  <si>
    <t>-747.918511515309 4.52887117615546 -282.366809698165</t>
  </si>
  <si>
    <t>-842.532321795324 263.178361111864 -75.8228004004176</t>
  </si>
  <si>
    <t>-841.279861508145 314.230514230996 324.485613032656</t>
  </si>
  <si>
    <t>-877.272606195016 371.088158420682 768.128317786127</t>
  </si>
  <si>
    <t>-733.089984796759 395.478002384429 828.987270506762</t>
  </si>
  <si>
    <t>-836.641580539629 68.687513014655 -66.1292851617111</t>
  </si>
  <si>
    <t>-814.376836661306 56.0936332274159 336.611804831968</t>
  </si>
  <si>
    <t>-830.144996392494 85.3508103500299 782.72848320449</t>
  </si>
  <si>
    <t>-740.324029546658 -23.3146567589506 854.918266671311</t>
  </si>
  <si>
    <t>9763-20170724T111035.221493300.bin</t>
  </si>
  <si>
    <t>-839.69505970541 165.175550115701 -70.0077270025498</t>
  </si>
  <si>
    <t>-872.166831810654 159.84774123091 -181.06366997189</t>
  </si>
  <si>
    <t>-885.723262292102 155.910497951554 -278.671917274643</t>
  </si>
  <si>
    <t>-892.781627096808 152.253218417489 -367.413516178197</t>
  </si>
  <si>
    <t>-894.287917096985 148.195530012005 -456.405076927998</t>
  </si>
  <si>
    <t>-890.587103933992 141.871935029526 -580.771924430378</t>
  </si>
  <si>
    <t>-862.661722862858 134.393343024269 -658.677576694881</t>
  </si>
  <si>
    <t>-885.083879499703 171.405678334811 -527.192163253408</t>
  </si>
  <si>
    <t>-843.367872946812 301.744710930609 -514.055305760605</t>
  </si>
  <si>
    <t>-786.975359635925 329.878694253079 -226.61910857693</t>
  </si>
  <si>
    <t>-546.725185083954 328.13881003725 -208.517761092473</t>
  </si>
  <si>
    <t>-899.347213273163 117.903745413344 -524.896254306841</t>
  </si>
  <si>
    <t>-747.684579940232 4.5047772974599 -282.089347018372</t>
  </si>
  <si>
    <t>-842.906529286244 262.478540394015 -75.876762225416</t>
  </si>
  <si>
    <t>-841.786822266889 313.870248874014 324.388536126506</t>
  </si>
  <si>
    <t>-877.133119635069 371.028991118259 768.032061048998</t>
  </si>
  <si>
    <t>-732.972499570616 395.493780585404 828.913163567831</t>
  </si>
  <si>
    <t>-836.855351610976 67.7964169077254 -66.1284689702679</t>
  </si>
  <si>
    <t>-814.640393211286 55.7140320539006 336.631014138972</t>
  </si>
  <si>
    <t>-830.405583092688 85.2490017946539 782.757255845976</t>
  </si>
  <si>
    <t>-740.142853722439 -23.0602654374284 854.931269184889</t>
  </si>
  <si>
    <t>9763-20170724T111035.284664300.bin</t>
  </si>
  <si>
    <t>-839.989851319125 163.381716571813 -69.9795983188073</t>
  </si>
  <si>
    <t>-872.355262466696 157.732029927914 -181.050521409236</t>
  </si>
  <si>
    <t>-885.787760428579 153.558020022688 -278.666116269412</t>
  </si>
  <si>
    <t>-892.719798797707 149.693359915884 -367.408899432016</t>
  </si>
  <si>
    <t>-894.085571730886 145.434972611516 -456.393384186464</t>
  </si>
  <si>
    <t>-890.173539102351 138.834864843073 -580.739480230733</t>
  </si>
  <si>
    <t>-862.014563961822 131.438647155825 -658.568679347619</t>
  </si>
  <si>
    <t>-884.936330375179 168.533234159026 -527.224085950432</t>
  </si>
  <si>
    <t>-844.136381219792 299.166467036038 -514.307740987607</t>
  </si>
  <si>
    <t>-788.388871968214 327.811235969376 -226.795986065926</t>
  </si>
  <si>
    <t>-548.065517292526 326.218586406593 -209.677750545451</t>
  </si>
  <si>
    <t>-898.853373193695 114.945194057008 -524.817582397638</t>
  </si>
  <si>
    <t>-747.838172994589 4.03657003093713 -282.138527951013</t>
  </si>
  <si>
    <t>-843.461671731135 260.486677630125 -75.8723947965203</t>
  </si>
  <si>
    <t>-842.553488903288 312.994760217768 324.248538980918</t>
  </si>
  <si>
    <t>-876.748156534014 370.57915270152 767.865333736484</t>
  </si>
  <si>
    <t>-732.71226774256 395.756100729232 828.75117903702</t>
  </si>
  <si>
    <t>-836.98001766361 66.2423441023052 -66.0878850230919</t>
  </si>
  <si>
    <t>-815.095805278669 54.755646739402 336.707100191515</t>
  </si>
  <si>
    <t>-830.73939189844 85.2775636051738 782.814460628057</t>
  </si>
  <si>
    <t>-740.338856268395 -22.9287643845882 854.970084488061</t>
  </si>
  <si>
    <t>9763-20170724T111035.320773100.bin</t>
  </si>
  <si>
    <t>-840.009387516435 162.631455533257 -69.9255952479439</t>
  </si>
  <si>
    <t>-872.293952998231 156.842753375454 -181.013116063897</t>
  </si>
  <si>
    <t>-885.663935925003 152.575808746715 -278.633147315675</t>
  </si>
  <si>
    <t>-892.542494783661 148.634674871399 -367.376543197381</t>
  </si>
  <si>
    <t>-893.857066074042 144.307977593324 -456.358583662684</t>
  </si>
  <si>
    <t>-889.875753986732 137.619982902927 -580.697746300979</t>
  </si>
  <si>
    <t>-861.601918847293 130.267943849698 -658.48951836526</t>
  </si>
  <si>
    <t>-884.757181874057 167.379032348403 -527.204490674488</t>
  </si>
  <si>
    <t>-844.384610273877 298.147747124267 -514.341153326147</t>
  </si>
  <si>
    <t>-788.603449750296 327.281181463875 -226.88526706859</t>
  </si>
  <si>
    <t>-548.269084804593 325.842543233883 -209.908263290649</t>
  </si>
  <si>
    <t>-898.498412041264 113.747072081239 -524.759928314067</t>
  </si>
  <si>
    <t>-747.76489662629 4.34581574904632 -282.358300647172</t>
  </si>
  <si>
    <t>-843.607414304892 259.586991053391 -75.8593896908089</t>
  </si>
  <si>
    <t>-842.720879976728 312.562782395387 324.199933193922</t>
  </si>
  <si>
    <t>-876.543470893048 370.276078892084 767.781664665713</t>
  </si>
  <si>
    <t>-732.568138460423 395.841814455836 828.647870860858</t>
  </si>
  <si>
    <t>-836.846216391657 65.7330863561801 -66.0583800205551</t>
  </si>
  <si>
    <t>-815.418295011468 54.3804914134817 336.76497567522</t>
  </si>
  <si>
    <t>-830.858822121012 85.3223792991453 782.854323931142</t>
  </si>
  <si>
    <t>-740.555419765004 -22.9745166583525 854.99558766706</t>
  </si>
  <si>
    <t>9763-20170724T111035.386948700.bin</t>
  </si>
  <si>
    <t>-839.967645940128 161.702961297281 -69.9469673449734</t>
  </si>
  <si>
    <t>-872.182313384908 155.672277951032 -181.041836309844</t>
  </si>
  <si>
    <t>-885.52278494081 151.274843680956 -278.660201946879</t>
  </si>
  <si>
    <t>-892.38501351939 147.245533125492 -367.401038412623</t>
  </si>
  <si>
    <t>-893.691816659608 142.86292275456 -456.380396999426</t>
  </si>
  <si>
    <t>-889.707685987621 136.133484713725 -580.717180228609</t>
  </si>
  <si>
    <t>-861.223075191255 128.828291712011 -658.436454823433</t>
  </si>
  <si>
    <t>-884.7522599918 165.95087346494 -527.241274128866</t>
  </si>
  <si>
    <t>-845.189157121278 296.976283936258 -514.474311988841</t>
  </si>
  <si>
    <t>-789.484921002375 326.913796668442 -227.086072308946</t>
  </si>
  <si>
    <t>-549.13299378564 325.995286675899 -210.32593348779</t>
  </si>
  <si>
    <t>-898.169285844915 112.238584124094 -524.764048941795</t>
  </si>
  <si>
    <t>-747.844702705192 6.24387089357333 -282.977809718126</t>
  </si>
  <si>
    <t>-843.915380938811 258.543245469655 -75.9546153704409</t>
  </si>
  <si>
    <t>-843.128229367434 311.954286007156 324.047032892506</t>
  </si>
  <si>
    <t>-876.402916892782 370.246791386231 767.528432586191</t>
  </si>
  <si>
    <t>-732.402794945684 395.708811042641 828.380371321455</t>
  </si>
  <si>
    <t>-836.501590162983 64.8704065895622 -66.0788689498316</t>
  </si>
  <si>
    <t>-816.488626849236 54.0090089570544 336.83081014008</t>
  </si>
  <si>
    <t>-831.148436106902 85.3015910635504 782.904576124926</t>
  </si>
  <si>
    <t>-740.661221676732 -22.8872680443415 854.97717046113</t>
  </si>
  <si>
    <t>9763-20170724T111035.417796800.bin</t>
  </si>
  <si>
    <t>-840.012271585262 161.399173880537 -70.0330488355783</t>
  </si>
  <si>
    <t>-872.184533525673 155.246587067348 -181.133510128693</t>
  </si>
  <si>
    <t>-885.512834096859 150.783685382396 -278.750580665019</t>
  </si>
  <si>
    <t>-892.3728469978 146.711993552256 -367.489604663582</t>
  </si>
  <si>
    <t>-893.686016401703 142.306977411026 -456.467705098487</t>
  </si>
  <si>
    <t>-889.717157994258 135.567146753437 -580.804434057188</t>
  </si>
  <si>
    <t>-861.108767916455 128.254818682856 -658.477398805306</t>
  </si>
  <si>
    <t>-884.825072503395 165.406203660974 -527.3347854261</t>
  </si>
  <si>
    <t>-845.565948653691 296.53025274439 -514.615935006355</t>
  </si>
  <si>
    <t>-790.043061918371 326.609452717022 -227.207345521929</t>
  </si>
  <si>
    <t>-549.673952173781 325.957633252448 -210.679986205031</t>
  </si>
  <si>
    <t>-898.102482858187 111.659725371621 -524.84523184747</t>
  </si>
  <si>
    <t>-748.040568241307 7.94693947858013 -283.352571514569</t>
  </si>
  <si>
    <t>-844.074288438112 258.147749122029 -76.0731350896396</t>
  </si>
  <si>
    <t>-843.261039124128 311.657446571369 323.915235056404</t>
  </si>
  <si>
    <t>-876.243030908341 370.061913491505 767.388080165937</t>
  </si>
  <si>
    <t>-732.27064718064 395.696069339529 828.233124302819</t>
  </si>
  <si>
    <t>-836.458249683821 64.6150115000023 -66.1068931670297</t>
  </si>
  <si>
    <t>-817.065076552465 53.8614237177098 336.835984065398</t>
  </si>
  <si>
    <t>-831.395878699686 85.1676185396059 782.953048022125</t>
  </si>
  <si>
    <t>-740.65514548187 -22.8461044414294 854.96986710057</t>
  </si>
  <si>
    <t>9763-20170724T111035.451886700.bin</t>
  </si>
  <si>
    <t>-840.058933210496 161.137570099578 -70.1450139359489</t>
  </si>
  <si>
    <t>-872.158807712986 154.886346795782 -181.260991517315</t>
  </si>
  <si>
    <t>-885.450237726469 150.360597324177 -278.88013759127</t>
  </si>
  <si>
    <t>-892.287176085961 146.24197146301 -367.618699927156</t>
  </si>
  <si>
    <t>-893.586379042981 141.801747949026 -456.595329264304</t>
  </si>
  <si>
    <t>-889.608210502239 135.026574652608 -580.92993239534</t>
  </si>
  <si>
    <t>-860.8448600505 127.680488059093 -658.542731708565</t>
  </si>
  <si>
    <t>-884.779065636038 164.895234243014 -527.471025245557</t>
  </si>
  <si>
    <t>-845.743492221673 296.086176482881 -514.773609371193</t>
  </si>
  <si>
    <t>-790.30805557134 326.243220540962 -227.356411459206</t>
  </si>
  <si>
    <t>-549.920913745699 325.86191488891 -211.088956702986</t>
  </si>
  <si>
    <t>-897.938349801515 111.120698242074 -524.961822098953</t>
  </si>
  <si>
    <t>-748.278563729952 10.2446950873709 -283.63799099602</t>
  </si>
  <si>
    <t>-844.085112074221 257.7816836307 -76.2045731145278</t>
  </si>
  <si>
    <t>-843.336580953407 311.387492759791 323.771127488163</t>
  </si>
  <si>
    <t>-876.083980083379 369.957429863082 767.232201673044</t>
  </si>
  <si>
    <t>-732.043536365843 395.191372004309 828.083354821881</t>
  </si>
  <si>
    <t>-836.500982951281 64.4254532311775 -66.1075534799629</t>
  </si>
  <si>
    <t>-817.489142811845 53.7357426057083 336.855214136616</t>
  </si>
  <si>
    <t>-831.61637374349 85.0604461949501 782.993135363121</t>
  </si>
  <si>
    <t>-740.690381163465 -22.8299682005427 854.96161908674</t>
  </si>
  <si>
    <t>9763-20170724T111035.519073000.bin</t>
  </si>
  <si>
    <t>-840.036641649936 160.534937238715 -70.2992025364913</t>
  </si>
  <si>
    <t>-871.940376360954 154.114306999107 -181.461883348497</t>
  </si>
  <si>
    <t>-885.106108241072 149.466851536785 -279.092469370109</t>
  </si>
  <si>
    <t>-891.846533409375 145.248545753037 -367.83368124555</t>
  </si>
  <si>
    <t>-893.066424837321 140.721305244163 -456.807047850238</t>
  </si>
  <si>
    <t>-888.994797525441 133.839102131439 -581.13265151694</t>
  </si>
  <si>
    <t>-859.898198846035 126.381389868011 -658.610440914811</t>
  </si>
  <si>
    <t>-884.285696866653 163.772772126144 -527.699604982503</t>
  </si>
  <si>
    <t>-845.410583968919 295.023541608955 -515.062310024705</t>
  </si>
  <si>
    <t>-789.63798550697 325.55568476998 -227.749866652484</t>
  </si>
  <si>
    <t>-549.231968558129 325.435145491176 -211.754448255495</t>
  </si>
  <si>
    <t>-897.287105542288 109.962136879336 -525.146653395466</t>
  </si>
  <si>
    <t>-748.914857569361 15.7759474921891 -283.537459073127</t>
  </si>
  <si>
    <t>-843.948119377619 256.979603333547 -76.4247337992555</t>
  </si>
  <si>
    <t>-843.439926002234 311.015202781227 323.493402424375</t>
  </si>
  <si>
    <t>-875.860555379095 369.795256828221 766.907696846434</t>
  </si>
  <si>
    <t>-731.822214808369 395.033931735986 827.762702471607</t>
  </si>
  <si>
    <t>-836.499288814103 63.9406410342704 -66.1315764225085</t>
  </si>
  <si>
    <t>-817.920939259668 53.4546095063806 336.856699908562</t>
  </si>
  <si>
    <t>-831.854099258573 85.1103327588162 783.033342970858</t>
  </si>
  <si>
    <t>-740.91848875419 -22.8067953088603 854.94919822749</t>
  </si>
  <si>
    <t>9763-20170724T111035.588260400.bin</t>
  </si>
  <si>
    <t>-839.873201950856 160.026854595047 -70.37345512493</t>
  </si>
  <si>
    <t>-871.613423239682 153.408699442245 -181.571421478637</t>
  </si>
  <si>
    <t>-884.686200581017 148.591925426821 -279.206253731653</t>
  </si>
  <si>
    <t>-891.363234825582 144.218213602099 -367.944787208542</t>
  </si>
  <si>
    <t>-892.540091517888 139.534156158317 -456.910575516611</t>
  </si>
  <si>
    <t>-888.430691823926 132.430541569771 -581.222563771338</t>
  </si>
  <si>
    <t>-859.043808522774 124.738863596957 -658.567819735076</t>
  </si>
  <si>
    <t>-883.776004543166 162.468715693218 -527.843193697803</t>
  </si>
  <si>
    <t>-844.897419006268 293.742452572988 -515.426262491153</t>
  </si>
  <si>
    <t>-788.400135689232 324.827889588148 -228.314782923246</t>
  </si>
  <si>
    <t>-547.991407734105 325.235582404476 -212.368520188367</t>
  </si>
  <si>
    <t>-896.702053339824 108.644210402005 -525.194914027261</t>
  </si>
  <si>
    <t>-750.092469669218 21.4730204791408 -282.919651269808</t>
  </si>
  <si>
    <t>-843.819184996015 256.269894861964 -76.617300065909</t>
  </si>
  <si>
    <t>-843.33689635931 310.819294837503 323.231223370121</t>
  </si>
  <si>
    <t>-875.691515813535 369.560406686838 766.582987327852</t>
  </si>
  <si>
    <t>-731.655144820444 394.862953056656 827.415594280948</t>
  </si>
  <si>
    <t>-836.350564039486 63.683108551088 -66.1356789981942</t>
  </si>
  <si>
    <t>-818.185517704305 53.1942591034026 336.871384303285</t>
  </si>
  <si>
    <t>-832.100329447543 85.0980275158227 783.070646744794</t>
  </si>
  <si>
    <t>-741.05489661905 -22.7517283956904 854.948851826312</t>
  </si>
  <si>
    <t>9763-20170724T111035.616288900.bin</t>
  </si>
  <si>
    <t>-839.815595882915 159.897189025261 -70.4011373547655</t>
  </si>
  <si>
    <t>-871.491003841214 153.229985896605 -181.614588454329</t>
  </si>
  <si>
    <t>-884.537647159116 148.330396951864 -279.248678743365</t>
  </si>
  <si>
    <t>-891.204150114793 143.866654492224 -367.983671827101</t>
  </si>
  <si>
    <t>-892.384642660844 139.077826049533 -456.943843050596</t>
  </si>
  <si>
    <t>-888.295429759276 131.813240719125 -581.247164299924</t>
  </si>
  <si>
    <t>-858.803438050387 123.976124877944 -658.537683212471</t>
  </si>
  <si>
    <t>-883.64708751571 161.924052114208 -527.908199359522</t>
  </si>
  <si>
    <t>-844.787918767756 293.220564157649 -515.667575267609</t>
  </si>
  <si>
    <t>-788.161683137207 324.437931487641 -228.595955967534</t>
  </si>
  <si>
    <t>-547.764639245294 325.119222824327 -212.481489410557</t>
  </si>
  <si>
    <t>-896.542890448856 108.095898414992 -525.186723525219</t>
  </si>
  <si>
    <t>-750.390634966806 23.746488245356 -282.255471367644</t>
  </si>
  <si>
    <t>-843.764198297516 256.052447348931 -76.713063074723</t>
  </si>
  <si>
    <t>-843.278446637692 310.728397366592 323.118138065371</t>
  </si>
  <si>
    <t>-875.620824865831 369.387294308315 766.434109169471</t>
  </si>
  <si>
    <t>-731.556055760283 394.600531792819 827.236201856346</t>
  </si>
  <si>
    <t>-836.335780808562 63.6592923740068 -66.1364694236335</t>
  </si>
  <si>
    <t>-818.343289881306 53.1534584006749 336.877893289032</t>
  </si>
  <si>
    <t>-832.216295516339 85.0824378737098 783.077637632023</t>
  </si>
  <si>
    <t>-741.09422481772 -22.7093961904802 854.945802101388</t>
  </si>
  <si>
    <t>9763-20170724T111035.686476000.bin</t>
  </si>
  <si>
    <t>-839.920575360058 160.051938538933 -70.4955707432299</t>
  </si>
  <si>
    <t>-871.527033455184 153.375916177383 -181.728199005975</t>
  </si>
  <si>
    <t>-884.548131540361 148.324946733653 -279.358142384308</t>
  </si>
  <si>
    <t>-891.210131822143 143.671805217139 -368.083537545489</t>
  </si>
  <si>
    <t>-892.407631789321 138.644024270827 -457.030316804183</t>
  </si>
  <si>
    <t>-888.366469974301 130.996400254584 -581.312222812386</t>
  </si>
  <si>
    <t>-858.805993203465 122.844673899288 -658.544061260056</t>
  </si>
  <si>
    <t>-883.708037204054 161.274001762288 -528.068707137676</t>
  </si>
  <si>
    <t>-844.878253128314 292.614555925562 -516.262974182374</t>
  </si>
  <si>
    <t>-788.710651400277 324.403209507397 -229.163861753334</t>
  </si>
  <si>
    <t>-548.403724977563 325.140140184988 -211.759692951478</t>
  </si>
  <si>
    <t>-896.581907452909 107.449701632146 -525.175205419923</t>
  </si>
  <si>
    <t>-751.310812448244 26.8219993316552 -281.973640571563</t>
  </si>
  <si>
    <t>-843.816496551467 256.130520177724 -76.915107029737</t>
  </si>
  <si>
    <t>-843.043661721613 310.787247104611 322.918261382579</t>
  </si>
  <si>
    <t>-875.484173914651 369.254858251461 766.226157507466</t>
  </si>
  <si>
    <t>-731.350545478241 394.178100700636 826.985188845263</t>
  </si>
  <si>
    <t>-836.562037070967 63.9393046570467 -66.1774295051132</t>
  </si>
  <si>
    <t>-818.550952515535 53.2402827313431 336.830980788846</t>
  </si>
  <si>
    <t>-832.375212018153 85.0990435059412 783.061655483967</t>
  </si>
  <si>
    <t>-741.220846488056 -22.6646618193085 854.930824519466</t>
  </si>
  <si>
    <t>9763-20170724T111035.717565500.bin</t>
  </si>
  <si>
    <t>-839.978413487182 160.239614895985 -70.5623375283811</t>
  </si>
  <si>
    <t>-871.555498396211 153.570510115164 -181.803675177672</t>
  </si>
  <si>
    <t>-884.573563298976 148.470462756315 -279.431426812394</t>
  </si>
  <si>
    <t>-891.243039933314 143.753376723952 -368.152922625016</t>
  </si>
  <si>
    <t>-892.459456892912 138.642565091287 -457.094692473044</t>
  </si>
  <si>
    <t>-888.457444949498 130.860955679571 -581.369515985744</t>
  </si>
  <si>
    <t>-858.873466361066 122.567807661001 -658.577341527792</t>
  </si>
  <si>
    <t>-883.771349401209 161.193053912822 -528.159575678897</t>
  </si>
  <si>
    <t>-844.867309189571 292.525780898399 -516.529987946245</t>
  </si>
  <si>
    <t>-789.051006550655 324.607838471476 -229.39497324299</t>
  </si>
  <si>
    <t>-548.793509058391 325.088278806583 -211.312529939374</t>
  </si>
  <si>
    <t>-896.66597592789 107.377044674171 -525.205071410652</t>
  </si>
  <si>
    <t>-751.531691817598 27.5751113763831 -282.046742196553</t>
  </si>
  <si>
    <t>-843.796398969403 256.302894878731 -76.9992518170056</t>
  </si>
  <si>
    <t>-842.822524947925 310.905591262662 322.84099545201</t>
  </si>
  <si>
    <t>-875.404763976904 369.227181168664 766.148611520508</t>
  </si>
  <si>
    <t>-731.295501589133 394.335638898294 826.888852836725</t>
  </si>
  <si>
    <t>-836.642819894557 64.1053670879746 -66.2116496160523</t>
  </si>
  <si>
    <t>-818.539669124728 53.2882001933503 336.789463509385</t>
  </si>
  <si>
    <t>-832.439496968339 85.1160142850927 783.033201810462</t>
  </si>
  <si>
    <t>-741.232735241457 -22.5976569116701 854.91084176025</t>
  </si>
  <si>
    <t>9763-20170724T111035.782738000.bin</t>
  </si>
  <si>
    <t>-839.666554515064 160.718394140576 -70.6911592277181</t>
  </si>
  <si>
    <t>-871.267416057681 153.997183828256 -181.922635548069</t>
  </si>
  <si>
    <t>-884.345633591889 148.799144922843 -279.537096067762</t>
  </si>
  <si>
    <t>-891.087633872273 143.973940756657 -368.247431445801</t>
  </si>
  <si>
    <t>-892.395272671921 138.735684581346 -457.180458951403</t>
  </si>
  <si>
    <t>-888.541118472553 130.756241356625 -581.447485649701</t>
  </si>
  <si>
    <t>-858.886745520776 122.1469093698 -658.593482320975</t>
  </si>
  <si>
    <t>-883.756518052691 161.16513608165 -528.289779683728</t>
  </si>
  <si>
    <t>-844.661146284928 292.467283947743 -516.903040313015</t>
  </si>
  <si>
    <t>-789.150949165765 324.700534352329 -229.725587938884</t>
  </si>
  <si>
    <t>-548.972195924088 324.913862325145 -210.622090137495</t>
  </si>
  <si>
    <t>-896.7175357145 107.370312195034 -525.237560516158</t>
  </si>
  <si>
    <t>-751.653957797251 28.0320398897961 -282.112149327696</t>
  </si>
  <si>
    <t>-843.292178568832 256.737086380813 -77.1830067136729</t>
  </si>
  <si>
    <t>-842.311513214693 311.161123429496 322.681646789922</t>
  </si>
  <si>
    <t>-875.256138617214 369.219876043729 766.008280882993</t>
  </si>
  <si>
    <t>-731.080844186065 393.980774754794 826.734635120611</t>
  </si>
  <si>
    <t>-836.371484187817 64.5769672335109 -66.2661822849292</t>
  </si>
  <si>
    <t>-818.236414912206 53.5187310873107 336.726932629553</t>
  </si>
  <si>
    <t>-832.468987574995 85.3178217669879 782.979562715512</t>
  </si>
  <si>
    <t>-741.714630852753 -22.7474990190212 854.901652159212</t>
  </si>
  <si>
    <t>9763-20170724T111035.818841100.bin</t>
  </si>
  <si>
    <t>-839.370909144433 160.901409881023 -70.7287444130421</t>
  </si>
  <si>
    <t>-870.992855450998 154.133204277724 -181.951189123076</t>
  </si>
  <si>
    <t>-884.115859261927 148.879464410834 -279.556738039291</t>
  </si>
  <si>
    <t>-890.909346095493 143.998433739707 -368.260001704506</t>
  </si>
  <si>
    <t>-892.279897460023 138.698905952182 -457.188479846036</t>
  </si>
  <si>
    <t>-888.526008564294 130.628822935561 -581.452722656974</t>
  </si>
  <si>
    <t>-858.830412221348 121.865769588594 -658.565739627514</t>
  </si>
  <si>
    <t>-883.683521297155 161.072642299857 -528.320495502657</t>
  </si>
  <si>
    <t>-844.498505703607 292.355973008199 -517.018168336283</t>
  </si>
  <si>
    <t>-788.9656165567 324.630170583716 -229.849717176886</t>
  </si>
  <si>
    <t>-548.860402654535 324.888685805314 -209.843300258608</t>
  </si>
  <si>
    <t>-896.672445373426 107.287446018664 -525.219885594931</t>
  </si>
  <si>
    <t>-751.506522440934 27.7927129968098 -282.053178174436</t>
  </si>
  <si>
    <t>-842.957840390061 256.969188815629 -77.268288174185</t>
  </si>
  <si>
    <t>-842.060947101734 311.271404699725 322.613140579183</t>
  </si>
  <si>
    <t>-875.197645463429 369.249361314673 765.935072112415</t>
  </si>
  <si>
    <t>-731.09224094236 394.443369628056 826.649156429777</t>
  </si>
  <si>
    <t>-836.143958176638 64.7357251077465 -66.2708606391841</t>
  </si>
  <si>
    <t>-818.11314157092 53.5571415388476 336.723703459001</t>
  </si>
  <si>
    <t>-832.591427746824 85.2581740877426 782.967840576641</t>
  </si>
  <si>
    <t>-741.654426174469 -22.6573686517881 854.88386815952</t>
  </si>
  <si>
    <t>9763-20170724T111035.882008900.bin</t>
  </si>
  <si>
    <t>-838.772884262839 161.2387781107 -70.8486573868934</t>
  </si>
  <si>
    <t>-870.444204593503 154.422907824508 -182.054284594136</t>
  </si>
  <si>
    <t>-883.652263996025 149.076425279922 -279.643356737492</t>
  </si>
  <si>
    <t>-890.541854916822 144.091381832287 -368.333392237174</t>
  </si>
  <si>
    <t>-892.028533734798 138.66799301984 -457.252467435182</t>
  </si>
  <si>
    <t>-888.458255173206 130.403593343187 -581.509460545345</t>
  </si>
  <si>
    <t>-858.652583736575 121.366187160666 -658.548150276881</t>
  </si>
  <si>
    <t>-883.492667954407 160.919924275658 -528.429978178173</t>
  </si>
  <si>
    <t>-844.076733199711 292.145706500814 -517.30842316541</t>
  </si>
  <si>
    <t>-788.535696575847 324.520590909012 -230.152855722753</t>
  </si>
  <si>
    <t>-548.522608988514 324.975948360608 -209.072219931218</t>
  </si>
  <si>
    <t>-896.565847812215 107.160910133235 -525.230173669433</t>
  </si>
  <si>
    <t>-751.292405651664 27.6026108864744 -281.770359584296</t>
  </si>
  <si>
    <t>-842.331870226112 257.341030815162 -77.4347375102986</t>
  </si>
  <si>
    <t>-841.521865087137 311.43982185849 322.474425636153</t>
  </si>
  <si>
    <t>-875.010023513879 369.110181112452 765.797934555205</t>
  </si>
  <si>
    <t>-730.837787773031 393.952149710018 826.498701977096</t>
  </si>
  <si>
    <t>-835.644294919443 65.0658435526866 -66.2906976060438</t>
  </si>
  <si>
    <t>-817.799353866061 53.6450258481896 336.705339699813</t>
  </si>
  <si>
    <t>-832.731924255107 85.2846090827807 782.929539674904</t>
  </si>
  <si>
    <t>-741.720995068569 -22.5623720671515 854.855445137124</t>
  </si>
  <si>
    <t>9763-20170724T111035.918069700.bin</t>
  </si>
  <si>
    <t>-838.54983730566 161.491858184154 -70.9104022756362</t>
  </si>
  <si>
    <t>-870.223328298899 154.658579859926 -182.114306854383</t>
  </si>
  <si>
    <t>-883.455427119534 149.266042235961 -279.697504897836</t>
  </si>
  <si>
    <t>-890.37653095875 144.22659055184 -368.382056504138</t>
  </si>
  <si>
    <t>-891.905101503974 138.736053134961 -457.296440300919</t>
  </si>
  <si>
    <t>-888.405205631551 130.364756121468 -581.548120103651</t>
  </si>
  <si>
    <t>-858.530222274954 121.203971349493 -658.545533496106</t>
  </si>
  <si>
    <t>-883.38335561094 160.920271541308 -528.496729596582</t>
  </si>
  <si>
    <t>-843.832627380345 292.113745127582 -517.448983499559</t>
  </si>
  <si>
    <t>-788.270351704517 324.542451117303 -230.303536061915</t>
  </si>
  <si>
    <t>-548.310720967687 325.366299458517 -208.633417431435</t>
  </si>
  <si>
    <t>-896.507306389958 107.176911652322 -525.245438905771</t>
  </si>
  <si>
    <t>-751.157105700663 27.1026212203556 -281.609910638893</t>
  </si>
  <si>
    <t>-842.107683901428 257.626431914172 -77.5303612423311</t>
  </si>
  <si>
    <t>-841.27622270166 311.504770160569 322.408603233653</t>
  </si>
  <si>
    <t>-874.93117563744 369.054074600345 765.73743632678</t>
  </si>
  <si>
    <t>-730.744300132605 393.851648109983 826.42060535178</t>
  </si>
  <si>
    <t>-835.408937084193 65.3074315928038 -66.316059954976</t>
  </si>
  <si>
    <t>-817.614929735262 53.7553961894391 336.678545903095</t>
  </si>
  <si>
    <t>-832.713914648359 85.4266812908659 782.904312374703</t>
  </si>
  <si>
    <t>-741.909164102852 -22.5830430994374 854.84683221213</t>
  </si>
  <si>
    <t>9763-20170724T111035.983240400.bin</t>
  </si>
  <si>
    <t>-838.198174898635 161.974568806387 -71.0124258408824</t>
  </si>
  <si>
    <t>-869.850218758508 155.109111644243 -182.220570619791</t>
  </si>
  <si>
    <t>-883.079102956473 149.631704541939 -279.799487697064</t>
  </si>
  <si>
    <t>-890.005307903535 144.492304845483 -368.477877853124</t>
  </si>
  <si>
    <t>-891.548518428158 138.87692313273 -457.384181665433</t>
  </si>
  <si>
    <t>-888.079807996453 130.30438186945 -581.623016810993</t>
  </si>
  <si>
    <t>-858.154487268996 120.896174284358 -658.570941950819</t>
  </si>
  <si>
    <t>-882.97170830362 160.927972454041 -528.619187532717</t>
  </si>
  <si>
    <t>-843.075355694594 292.025181510564 -517.722043254452</t>
  </si>
  <si>
    <t>-787.727166945414 324.685050223557 -230.561562715758</t>
  </si>
  <si>
    <t>-547.818729190618 326.262184986275 -208.374235174306</t>
  </si>
  <si>
    <t>-896.241054344316 107.225488931276 -525.284029956747</t>
  </si>
  <si>
    <t>-751.20811881701 25.4560602282977 -281.685592387064</t>
  </si>
  <si>
    <t>-841.66435938715 258.063342923106 -77.7003252837947</t>
  </si>
  <si>
    <t>-840.79967384625 311.669691993251 322.275029939946</t>
  </si>
  <si>
    <t>-874.787936695366 368.967262404828 765.622411085468</t>
  </si>
  <si>
    <t>-730.627563101641 393.999691185403 826.272720787588</t>
  </si>
  <si>
    <t>-835.154621293343 65.7721183452868 -66.3443543630348</t>
  </si>
  <si>
    <t>-817.435413203938 53.9319627126788 336.645114896091</t>
  </si>
  <si>
    <t>-832.892846590432 85.4235895166426 782.876734905387</t>
  </si>
  <si>
    <t>-742.079740994544 -22.5738551224467 854.827167974973</t>
  </si>
  <si>
    <t>9763-20170724T111036.015147000.bin</t>
  </si>
  <si>
    <t>-837.992858522047 162.20344274116 -71.0545108990226</t>
  </si>
  <si>
    <t>-869.595804064438 155.340107615825 -182.276641214247</t>
  </si>
  <si>
    <t>-882.767895728559 149.836054982317 -279.861779533532</t>
  </si>
  <si>
    <t>-889.637582502006 144.661064674581 -368.542497540888</t>
  </si>
  <si>
    <t>-891.120182743391 138.998027686729 -457.446823508499</t>
  </si>
  <si>
    <t>-887.562913924479 130.345913252397 -581.677524778881</t>
  </si>
  <si>
    <t>-857.611798705475 120.814003384322 -658.600361338858</t>
  </si>
  <si>
    <t>-882.454264870085 160.994452094222 -528.688008028409</t>
  </si>
  <si>
    <t>-842.355712011358 292.032594778622 -517.846092737893</t>
  </si>
  <si>
    <t>-787.173359021031 324.828577739616 -230.669333864881</t>
  </si>
  <si>
    <t>-547.296250044646 326.913530278137 -208.186633860666</t>
  </si>
  <si>
    <t>-895.802128130105 107.312468245708 -525.331547047755</t>
  </si>
  <si>
    <t>-751.304339893913 24.8507554269668 -281.8978870256</t>
  </si>
  <si>
    <t>-841.319557341669 258.29529260804 -77.7804094060359</t>
  </si>
  <si>
    <t>-840.543375349202 311.707166322716 322.221052006263</t>
  </si>
  <si>
    <t>-874.70034899226 368.857794962654 765.571554440768</t>
  </si>
  <si>
    <t>-730.465338993927 393.485429957589 826.210230536266</t>
  </si>
  <si>
    <t>-835.034589351893 66.0250343309349 -66.3500799290405</t>
  </si>
  <si>
    <t>-817.380960406858 54.0324009753563 336.637766822708</t>
  </si>
  <si>
    <t>-832.955888538937 85.4711774958519 782.868123708196</t>
  </si>
  <si>
    <t>-742.156712246413 -22.5377889897954 854.818078146179</t>
  </si>
  <si>
    <t>9763-20170724T111036.082324400.bin</t>
  </si>
  <si>
    <t>-837.661540026949 162.697299929454 -71.136913267891</t>
  </si>
  <si>
    <t>-869.065663355662 155.860073689335 -182.416966936651</t>
  </si>
  <si>
    <t>-882.064866177038 150.284169403234 -280.021176283351</t>
  </si>
  <si>
    <t>-888.7812707733 145.008710021095 -368.7077300259</t>
  </si>
  <si>
    <t>-890.115046103294 139.208804975912 -457.605606734771</t>
  </si>
  <si>
    <t>-886.35806390549 130.326874566998 -581.814339569428</t>
  </si>
  <si>
    <t>-856.337087372453 120.515053487828 -658.674625775456</t>
  </si>
  <si>
    <t>-881.246706171929 161.051467322174 -528.86904879157</t>
  </si>
  <si>
    <t>-840.711398240869 291.977892934882 -518.188972921339</t>
  </si>
  <si>
    <t>-785.800387207014 325.320677703337 -231.023167832887</t>
  </si>
  <si>
    <t>-545.984891573948 328.130287992841 -207.969047111382</t>
  </si>
  <si>
    <t>-894.775882022565 107.419269101578 -525.443322568378</t>
  </si>
  <si>
    <t>-751.443736875944 24.0053559629 -282.067623577351</t>
  </si>
  <si>
    <t>-840.748250651387 258.736063032656 -77.9217674939302</t>
  </si>
  <si>
    <t>-840.084556864123 311.879536837789 322.115773721091</t>
  </si>
  <si>
    <t>-874.521904899301 368.657325848848 765.483548431822</t>
  </si>
  <si>
    <t>-730.221205384086 392.965296355991 826.095309062605</t>
  </si>
  <si>
    <t>-834.971682843605 66.5692122540895 -66.3709996824318</t>
  </si>
  <si>
    <t>-817.459943124985 54.2941839931818 336.61452589801</t>
  </si>
  <si>
    <t>-833.143102417247 85.4972343552081 782.866392997019</t>
  </si>
  <si>
    <t>-742.316926954426 -22.4978161746458 854.803760631679</t>
  </si>
  <si>
    <t>9763-20170724T111036.119431400.bin</t>
  </si>
  <si>
    <t>-837.606317886858 163.014980324382 -71.1752496267007</t>
  </si>
  <si>
    <t>-868.920866422756 156.20595108168 -182.482152759911</t>
  </si>
  <si>
    <t>-881.839574796259 150.588237032223 -280.094751896101</t>
  </si>
  <si>
    <t>-888.483844719026 145.248913982884 -368.782878055723</t>
  </si>
  <si>
    <t>-889.7476414991 139.358913193198 -457.675746762912</t>
  </si>
  <si>
    <t>-885.896261730763 130.323611294269 -581.870594018881</t>
  </si>
  <si>
    <t>-855.839841682308 120.353886456745 -658.696741191328</t>
  </si>
  <si>
    <t>-880.770462617374 161.099893904036 -528.956759743511</t>
  </si>
  <si>
    <t>-839.991955472537 291.954156888794 -518.374689533109</t>
  </si>
  <si>
    <t>-785.265928227631 325.534348839743 -231.201251959443</t>
  </si>
  <si>
    <t>-545.475206029496 328.587290881219 -207.922505278405</t>
  </si>
  <si>
    <t>-894.41119283209 107.499391152962 -525.480503001135</t>
  </si>
  <si>
    <t>-751.663388919213 23.6537083188159 -281.89362802061</t>
  </si>
  <si>
    <t>-840.534449974281 259.064599280241 -77.9858866143913</t>
  </si>
  <si>
    <t>-839.935431287846 312.055015666213 322.07206835458</t>
  </si>
  <si>
    <t>-874.445768918454 368.612471725375 765.456141724976</t>
  </si>
  <si>
    <t>-730.17388543649 393.123415585792 826.054091921959</t>
  </si>
  <si>
    <t>-835.132555675301 66.9009815714139 -66.3792812126022</t>
  </si>
  <si>
    <t>-817.600214444938 54.4627538602258 336.600283880804</t>
  </si>
  <si>
    <t>-833.269776327704 85.4652829658844 782.873577108568</t>
  </si>
  <si>
    <t>-742.353980746208 -22.4618736344778 854.799657243433</t>
  </si>
  <si>
    <t>9763-20170724T111036.185607100.bin</t>
  </si>
  <si>
    <t>-837.583424846295 163.768135231844 -71.2103803789084</t>
  </si>
  <si>
    <t>-868.722354273169 157.049436870453 -182.572237366843</t>
  </si>
  <si>
    <t>-881.478614514729 151.372960384124 -280.202762612327</t>
  </si>
  <si>
    <t>-887.975604424317 145.929137458694 -368.895316745482</t>
  </si>
  <si>
    <t>-889.095841246869 139.880761277996 -457.779561008071</t>
  </si>
  <si>
    <t>-885.049271862482 130.56873252425 -581.947715486397</t>
  </si>
  <si>
    <t>-854.905042150888 120.290675675571 -658.698783172085</t>
  </si>
  <si>
    <t>-879.894029832802 161.434202405225 -529.088892088716</t>
  </si>
  <si>
    <t>-838.625396939051 292.151201046974 -518.700447826762</t>
  </si>
  <si>
    <t>-784.228818323848 326.091416729461 -231.506571206767</t>
  </si>
  <si>
    <t>-544.453496799292 329.204761106914 -208.078844660207</t>
  </si>
  <si>
    <t>-893.766034338282 107.898719373663 -525.526112665341</t>
  </si>
  <si>
    <t>-752.115139439663 24.2126046263379 -281.480469210641</t>
  </si>
  <si>
    <t>-840.184648934951 259.788199893109 -78.0986741314272</t>
  </si>
  <si>
    <t>-839.696996675322 312.54016734075 321.990863747977</t>
  </si>
  <si>
    <t>-874.263007238618 368.339628985927 765.428429150155</t>
  </si>
  <si>
    <t>-729.910441763669 392.48814854532 825.980148521947</t>
  </si>
  <si>
    <t>-835.430130479102 67.7308416359328 -66.3965338853799</t>
  </si>
  <si>
    <t>-817.879263965723 54.8504533411369 336.568375227963</t>
  </si>
  <si>
    <t>-833.464623172357 85.4828430043717 782.874542708095</t>
  </si>
  <si>
    <t>-742.569474294351 -22.465000991891 854.795299259289</t>
  </si>
  <si>
    <t>9763-20170724T111036.215700200.bin</t>
  </si>
  <si>
    <t>-837.602829305838 164.250525576757 -71.2479918621385</t>
  </si>
  <si>
    <t>-868.670737732902 157.579397961474 -182.632552067284</t>
  </si>
  <si>
    <t>-881.359560242759 151.882548431943 -280.270678917732</t>
  </si>
  <si>
    <t>-887.795253281992 146.39678246882 -368.965206261476</t>
  </si>
  <si>
    <t>-888.854932926839 140.282399471478 -457.845678829401</t>
  </si>
  <si>
    <t>-884.725859546617 130.853573676593 -582.002257718378</t>
  </si>
  <si>
    <t>-854.525135023397 120.429248191483 -658.711408950447</t>
  </si>
  <si>
    <t>-879.550614872233 161.754720633846 -529.166141559216</t>
  </si>
  <si>
    <t>-838.051696093381 292.402100803328 -518.865417167975</t>
  </si>
  <si>
    <t>-783.855211198999 326.403435461936 -231.640871507942</t>
  </si>
  <si>
    <t>-544.072737698951 329.5705164285 -208.293880088694</t>
  </si>
  <si>
    <t>-893.534932987787 108.250709528297 -525.567950093239</t>
  </si>
  <si>
    <t>-752.27628540931 24.8305940174191 -281.302743319069</t>
  </si>
  <si>
    <t>-840.08085288622 260.244203059947 -78.162000075584</t>
  </si>
  <si>
    <t>-839.471993310478 312.869551463165 321.944048747409</t>
  </si>
  <si>
    <t>-874.184639297496 368.191389191281 765.424315485451</t>
  </si>
  <si>
    <t>-729.757418150684 391.982997809642 825.938951964418</t>
  </si>
  <si>
    <t>-835.594482003545 68.2547925608396 -66.3990000395559</t>
  </si>
  <si>
    <t>-817.965825430669 55.0219760707369 336.551084739072</t>
  </si>
  <si>
    <t>-833.577690110229 85.4553081783356 782.863877815252</t>
  </si>
  <si>
    <t>-742.612503958145 -22.4330386303332 854.785705879019</t>
  </si>
  <si>
    <t>9763-20170724T111036.272854100.bin</t>
  </si>
  <si>
    <t>-837.457139355726 164.980015467391 -71.2918451548197</t>
  </si>
  <si>
    <t>-868.410312213465 158.390770871055 -182.713142011404</t>
  </si>
  <si>
    <t>-881.00351732327 152.659153680095 -280.36158080957</t>
  </si>
  <si>
    <t>-887.357469068419 147.102441586479 -369.057598988647</t>
  </si>
  <si>
    <t>-888.342204001061 140.878255850265 -457.931289819822</t>
  </si>
  <si>
    <t>-884.117526210053 131.255072207111 -582.069725841459</t>
  </si>
  <si>
    <t>-853.825952048245 120.617676853984 -658.71368242063</t>
  </si>
  <si>
    <t>-878.909526244592 162.219715457561 -529.274058295887</t>
  </si>
  <si>
    <t>-837.125596496203 292.790738046904 -519.108863785799</t>
  </si>
  <si>
    <t>-783.12099605911 326.790932778207 -231.8481397201</t>
  </si>
  <si>
    <t>-543.309796216288 329.914024250229 -208.788937000327</t>
  </si>
  <si>
    <t>-893.043473170983 108.759663828735 -525.610865359215</t>
  </si>
  <si>
    <t>-752.272415715256 25.8285132533069 -281.05025525668</t>
  </si>
  <si>
    <t>-839.670011560754 260.864730431025 -78.2255317828104</t>
  </si>
  <si>
    <t>-838.895170147573 313.228223648253 321.914587323481</t>
  </si>
  <si>
    <t>-874.071269799194 368.044534267499 765.435469973636</t>
  </si>
  <si>
    <t>-729.587748861303 391.641706386907 825.892119786215</t>
  </si>
  <si>
    <t>-835.640393982953 69.0249429947557 -66.4204731715245</t>
  </si>
  <si>
    <t>-817.878633609786 55.285530593872 336.506843554319</t>
  </si>
  <si>
    <t>-833.645281433345 85.561170426854 782.83863870038</t>
  </si>
  <si>
    <t>-742.794831471366 -22.4107718731816 854.77978288218</t>
  </si>
  <si>
    <t>9763-20170724T111036.315793800.bin</t>
  </si>
  <si>
    <t>-836.937271288817 165.597202942316 -71.2912333584356</t>
  </si>
  <si>
    <t>-867.830916761515 159.074892134312 -182.732860888225</t>
  </si>
  <si>
    <t>-880.370193481197 153.317180657431 -280.386701218286</t>
  </si>
  <si>
    <t>-886.676489007792 147.706672346829 -369.082826977127</t>
  </si>
  <si>
    <t>-887.616162383275 141.398421282134 -457.951152904399</t>
  </si>
  <si>
    <t>-883.333088751591 131.627744887046 -582.076055044594</t>
  </si>
  <si>
    <t>-852.960040547981 120.811365272372 -658.662652338615</t>
  </si>
  <si>
    <t>-878.091655880659 162.639997505779 -529.311674911839</t>
  </si>
  <si>
    <t>-836.087776157371 293.148459030375 -519.264190143289</t>
  </si>
  <si>
    <t>-782.288845908902 327.223061691667 -231.973659681563</t>
  </si>
  <si>
    <t>-542.437119762337 330.033265526331 -209.29823703361</t>
  </si>
  <si>
    <t>-892.34372013287 109.214744885682 -525.597920075235</t>
  </si>
  <si>
    <t>-751.871852200254 26.5947744831783 -280.887712571751</t>
  </si>
  <si>
    <t>-838.88187111705 261.381304738793 -78.2421622065127</t>
  </si>
  <si>
    <t>-838.147022152338 313.377288267858 321.945957853505</t>
  </si>
  <si>
    <t>-873.930241445524 367.831918331946 765.457068402159</t>
  </si>
  <si>
    <t>-729.389256436509 391.207236448859 825.862369972973</t>
  </si>
  <si>
    <t>-835.326305299605 69.7110031319994 -66.4217442273872</t>
  </si>
  <si>
    <t>-817.519789610699 55.5250435962871 336.488152162921</t>
  </si>
  <si>
    <t>-833.678332365421 85.7137522796465 782.811357583066</t>
  </si>
  <si>
    <t>-743.145522565696 -22.5043895289355 854.783020553793</t>
  </si>
  <si>
    <t>9763-20170724T111036.382979300.bin</t>
  </si>
  <si>
    <t>-835.978274685305 166.330468840042 -71.2927937991667</t>
  </si>
  <si>
    <t>-866.867670218794 159.89468817839 -182.740714202209</t>
  </si>
  <si>
    <t>-879.418509500658 154.123700244685 -280.392360226224</t>
  </si>
  <si>
    <t>-885.743942017039 148.470044219273 -369.084198156078</t>
  </si>
  <si>
    <t>-886.713079792412 142.088530942137 -457.947018046646</t>
  </si>
  <si>
    <t>-882.483184343021 132.185424523022 -582.06316366587</t>
  </si>
  <si>
    <t>-852.028523904719 121.178448202613 -658.5902903008</t>
  </si>
  <si>
    <t>-877.158999906901 163.237936939006 -529.330881755879</t>
  </si>
  <si>
    <t>-834.953219361872 293.695423780638 -519.410411207423</t>
  </si>
  <si>
    <t>-781.561720423591 327.865337280968 -232.055310754703</t>
  </si>
  <si>
    <t>-541.698200674538 330.138801862522 -209.443682621651</t>
  </si>
  <si>
    <t>-891.529856446189 109.848691557132 -525.560828415602</t>
  </si>
  <si>
    <t>-751.125300269629 27.5440555810328 -280.694199026636</t>
  </si>
  <si>
    <t>-837.760941450754 262.174831521197 -78.2725392462917</t>
  </si>
  <si>
    <t>-837.096610508632 313.465890504499 322.006607446903</t>
  </si>
  <si>
    <t>-873.767101177505 367.65499940832 765.490577215198</t>
  </si>
  <si>
    <t>-729.193548356286 391.022056002492 825.820560869307</t>
  </si>
  <si>
    <t>-834.560940807602 70.418167275614 -66.417184383341</t>
  </si>
  <si>
    <t>-816.789510050822 55.7378730927976 336.476560100466</t>
  </si>
  <si>
    <t>-833.802355787213 85.7659215042554 782.755335476193</t>
  </si>
  <si>
    <t>-743.396145050614 -22.5312296896113 854.767548285952</t>
  </si>
  <si>
    <t>9763-20170724T111036.415024500.bin</t>
  </si>
  <si>
    <t>-835.483823004456 166.707772201778 -71.3156165375881</t>
  </si>
  <si>
    <t>-866.388029779226 160.304929240788 -182.761379857871</t>
  </si>
  <si>
    <t>-878.966688371542 154.531888202001 -280.409193518796</t>
  </si>
  <si>
    <t>-885.324131661161 148.866500633949 -369.09828252738</t>
  </si>
  <si>
    <t>-886.332707124857 142.46293255549 -457.958819417642</t>
  </si>
  <si>
    <t>-882.165709657733 132.519560100692 -582.073983503744</t>
  </si>
  <si>
    <t>-851.6902666789 121.441713082127 -658.582634316432</t>
  </si>
  <si>
    <t>-876.795059989967 163.583967522045 -529.353390080053</t>
  </si>
  <si>
    <t>-834.529317043273 294.021350949221 -519.47496596138</t>
  </si>
  <si>
    <t>-781.519474097815 328.232031277978 -232.054131544618</t>
  </si>
  <si>
    <t>-541.666940675799 330.14694136101 -209.296156974963</t>
  </si>
  <si>
    <t>-891.203781698276 110.206454056353 -525.560796154943</t>
  </si>
  <si>
    <t>-750.678250249831 27.8886708201208 -280.640159118696</t>
  </si>
  <si>
    <t>-837.225836174316 262.617546651911 -78.2875052443595</t>
  </si>
  <si>
    <t>-836.662624809605 313.543912253288 322.038471782901</t>
  </si>
  <si>
    <t>-873.692654416025 367.621918309955 765.518572737291</t>
  </si>
  <si>
    <t>-729.138421275363 391.217476849546 825.806926339991</t>
  </si>
  <si>
    <t>-834.130738507924 70.7215564000207 -66.4227010240402</t>
  </si>
  <si>
    <t>-816.361911576618 55.8110779925451 336.462641824328</t>
  </si>
  <si>
    <t>-833.86836958439 85.7788422212857 782.716327323454</t>
  </si>
  <si>
    <t>-743.424676231428 -22.4720697758826 854.75051682894</t>
  </si>
  <si>
    <t>9763-20170724T111036.483204800.bin</t>
  </si>
  <si>
    <t>-834.459964140587 167.338986553637 -71.3498188549271</t>
  </si>
  <si>
    <t>-865.393392595952 161.0085975629 -182.791564793231</t>
  </si>
  <si>
    <t>-878.043115414555 155.253848792771 -280.431232790719</t>
  </si>
  <si>
    <t>-884.484821163969 149.590816417749 -369.114380426724</t>
  </si>
  <si>
    <t>-885.598164642792 143.177283694288 -457.972968102625</t>
  </si>
  <si>
    <t>-881.598568674976 133.208139189941 -582.091672468191</t>
  </si>
  <si>
    <t>-851.157409337263 122.040162177143 -658.600712669639</t>
  </si>
  <si>
    <t>-876.129511419957 164.276227509359 -529.383282370469</t>
  </si>
  <si>
    <t>-833.829583205402 294.713553049481 -519.570685189652</t>
  </si>
  <si>
    <t>-782.225666286371 329.003253213046 -231.903375813252</t>
  </si>
  <si>
    <t>-542.411346819918 330.331963178464 -208.704198539799</t>
  </si>
  <si>
    <t>-890.58786858794 110.913836909451 -525.563054292773</t>
  </si>
  <si>
    <t>-749.814622039575 28.6508212221952 -280.749177510156</t>
  </si>
  <si>
    <t>-836.10511035686 263.329598157444 -78.3007967969282</t>
  </si>
  <si>
    <t>-835.770375739481 313.59662537887 322.108761901402</t>
  </si>
  <si>
    <t>-873.50043199142 367.421125279638 765.591105045322</t>
  </si>
  <si>
    <t>-728.848783036187 390.573632230847 825.817494574729</t>
  </si>
  <si>
    <t>-833.191594645437 71.2774659303213 -66.4607796949956</t>
  </si>
  <si>
    <t>-815.520002532057 56.0029237874128 336.415283402472</t>
  </si>
  <si>
    <t>-833.897965618313 85.9729691153198 782.63769482109</t>
  </si>
  <si>
    <t>-743.726852254106 -22.4690251378324 854.726361013685</t>
  </si>
  <si>
    <t>9763-20170724T111036.514290800.bin</t>
  </si>
  <si>
    <t>-834.059623291566 167.628624577727 -71.3557890852894</t>
  </si>
  <si>
    <t>-864.973234133689 161.327000385242 -182.804733317266</t>
  </si>
  <si>
    <t>-877.641218184653 155.578037323523 -280.442438290052</t>
  </si>
  <si>
    <t>-884.11426855191 149.914979312442 -369.123146048889</t>
  </si>
  <si>
    <t>-885.273982967171 143.496481265366 -457.980847463031</t>
  </si>
  <si>
    <t>-881.355592575436 133.516048180449 -582.10120379069</t>
  </si>
  <si>
    <t>-850.956679172191 122.319984928412 -658.622988268927</t>
  </si>
  <si>
    <t>-875.836813305904 164.584836932939 -529.398355818356</t>
  </si>
  <si>
    <t>-833.534928570693 295.02259208244 -519.625057642944</t>
  </si>
  <si>
    <t>-783.099210906606 329.337194998738 -231.75356930681</t>
  </si>
  <si>
    <t>-543.3057568476 330.490636861784 -208.330191264511</t>
  </si>
  <si>
    <t>-890.323115744562 111.231077562892 -525.565632579772</t>
  </si>
  <si>
    <t>-749.370540412055 29.0029565559171 -280.673591396194</t>
  </si>
  <si>
    <t>-835.649836942529 263.672947564184 -78.3070653726168</t>
  </si>
  <si>
    <t>-835.393969861593 313.579906094424 322.147577951342</t>
  </si>
  <si>
    <t>-873.403823720619 367.322707112776 765.625266636951</t>
  </si>
  <si>
    <t>-728.734682721729 390.449510537449 825.819160788006</t>
  </si>
  <si>
    <t>-832.859357966758 71.5477015686279 -66.4709219585891</t>
  </si>
  <si>
    <t>-815.275462733576 56.0767924732386 336.401453115725</t>
  </si>
  <si>
    <t>-833.970718952084 86.0030823901898 782.610483846117</t>
  </si>
  <si>
    <t>-743.755063028612 -22.3946539305639 854.710287194265</t>
  </si>
  <si>
    <t>9763-20170724T111036.584477200.bin</t>
  </si>
  <si>
    <t>-833.431456698683 168.0112073298 -71.3667963978838</t>
  </si>
  <si>
    <t>-864.289844536109 161.797316026729 -182.835939924622</t>
  </si>
  <si>
    <t>-876.96461305 156.051495600489 -280.472995825492</t>
  </si>
  <si>
    <t>-883.46803351404 150.365771573383 -369.150011970808</t>
  </si>
  <si>
    <t>-884.683858457806 143.900168544878 -458.003503177244</t>
  </si>
  <si>
    <t>-880.871685519544 133.830574755657 -582.119926293202</t>
  </si>
  <si>
    <t>-850.580646154125 122.573054119014 -658.675539045989</t>
  </si>
  <si>
    <t>-875.267319101462 164.92640646001 -529.442233009869</t>
  </si>
  <si>
    <t>-832.914984712318 295.348298873622 -519.759869215471</t>
  </si>
  <si>
    <t>-785.831049114891 329.503833314599 -231.302478789902</t>
  </si>
  <si>
    <t>-546.096898483531 330.884178609932 -207.291944029632</t>
  </si>
  <si>
    <t>-889.831183223407 111.596947488841 -525.562918858405</t>
  </si>
  <si>
    <t>-748.566535269471 29.2728382497103 -280.419681837003</t>
  </si>
  <si>
    <t>-834.845819144474 264.139240660634 -78.2927221877936</t>
  </si>
  <si>
    <t>-834.874719565076 313.466216039757 322.233864208885</t>
  </si>
  <si>
    <t>-873.196412737546 367.148156351591 765.706967168068</t>
  </si>
  <si>
    <t>-728.481193049779 390.093055365124 825.860035047888</t>
  </si>
  <si>
    <t>-832.42794399981 71.7842671307244 -66.4834023086177</t>
  </si>
  <si>
    <t>-815.029874811177 56.0846762811298 336.388158501398</t>
  </si>
  <si>
    <t>-834.26148258313 85.8846210597012 782.577587997709</t>
  </si>
  <si>
    <t>-743.866262110653 -22.3556692036423 854.688979556947</t>
  </si>
  <si>
    <t>9763-20170724T111036.615167900.bin</t>
  </si>
  <si>
    <t>-833.092330939729 168.179016731742 -71.3643546248751</t>
  </si>
  <si>
    <t>-863.909926315951 162.004405946664 -182.84693986016</t>
  </si>
  <si>
    <t>-876.560945353944 156.263997704913 -280.487401373075</t>
  </si>
  <si>
    <t>-883.048665145039 150.573509665449 -369.165216382228</t>
  </si>
  <si>
    <t>-884.254057440305 144.094133487811 -458.01800281136</t>
  </si>
  <si>
    <t>-880.434265554401 133.996736996009 -582.131936347265</t>
  </si>
  <si>
    <t>-850.190467238552 122.715974746526 -658.702680726335</t>
  </si>
  <si>
    <t>-874.814916028859 165.099400051075 -529.459820625505</t>
  </si>
  <si>
    <t>-832.446371002215 295.517272106326 -519.802605719228</t>
  </si>
  <si>
    <t>-787.05089400538 329.552322798189 -231.060294478992</t>
  </si>
  <si>
    <t>-547.384454353942 331.381677306431 -206.413238514847</t>
  </si>
  <si>
    <t>-889.414948544852 111.780887718004 -525.571323754683</t>
  </si>
  <si>
    <t>-748.284598553562 29.3737645011015 -280.377993164218</t>
  </si>
  <si>
    <t>-834.380230833024 264.30480909431 -78.2746069125719</t>
  </si>
  <si>
    <t>-834.600735234246 313.438102486826 322.275682012471</t>
  </si>
  <si>
    <t>-873.101720013287 367.107510433689 765.746650399563</t>
  </si>
  <si>
    <t>-728.398052676773 390.174253548115 825.880462099558</t>
  </si>
  <si>
    <t>-832.174542756113 71.9834177390926 -66.4880770753007</t>
  </si>
  <si>
    <t>-814.893152868764 56.1842096011619 336.384616705107</t>
  </si>
  <si>
    <t>-834.252663979718 86.0524935878589 782.560513056503</t>
  </si>
  <si>
    <t>-744.146960462479 -22.4148214675929 854.693181655099</t>
  </si>
  <si>
    <t>9763-20170724T111036.682346500.bin</t>
  </si>
  <si>
    <t>-832.579996841799 168.426171028506 -71.3440608489238</t>
  </si>
  <si>
    <t>-863.328418777116 162.292478633287 -182.848022714026</t>
  </si>
  <si>
    <t>-875.913790703899 156.563490198944 -280.497654664865</t>
  </si>
  <si>
    <t>-882.339596271636 150.875096162464 -369.180250033906</t>
  </si>
  <si>
    <t>-883.482522721411 144.389542735195 -458.033235656741</t>
  </si>
  <si>
    <t>-879.574329085422 134.273834848792 -582.142969002355</t>
  </si>
  <si>
    <t>-849.38993951292 122.933860566256 -658.728519170375</t>
  </si>
  <si>
    <t>-873.95133063279 165.373119403255 -529.469065589116</t>
  </si>
  <si>
    <t>-831.508103736897 295.762370520648 -519.790302769639</t>
  </si>
  <si>
    <t>-788.610089056973 329.886154118271 -230.676864082728</t>
  </si>
  <si>
    <t>-549.18591048558 332.955199256039 -203.892176694355</t>
  </si>
  <si>
    <t>-888.636950657434 112.077468152782 -525.587666298559</t>
  </si>
  <si>
    <t>-747.985801495523 29.3119784670143 -280.443739779149</t>
  </si>
  <si>
    <t>-833.634485202702 264.535563726805 -78.235433269112</t>
  </si>
  <si>
    <t>-834.045545349581 313.329779324574 322.356121821808</t>
  </si>
  <si>
    <t>-872.890907228177 366.967054851474 765.813318346253</t>
  </si>
  <si>
    <t>-728.151489678374 389.856727727426 825.928669090809</t>
  </si>
  <si>
    <t>-831.932611865733 72.2553408325834 -66.4495925437684</t>
  </si>
  <si>
    <t>-814.809052478923 56.1332420363501 336.417071893695</t>
  </si>
  <si>
    <t>-834.500776215983 86.0441063512549 782.573213261072</t>
  </si>
  <si>
    <t>-744.328729182585 -22.3764985696266 854.692958133883</t>
  </si>
  <si>
    <t>9763-20170724T111036.718068300.bin</t>
  </si>
  <si>
    <t>-832.346365417224 168.563256090196 -71.3209937901405</t>
  </si>
  <si>
    <t>-863.059081009975 162.438999028732 -182.835352885191</t>
  </si>
  <si>
    <t>-875.608621096953 156.713945607987 -280.489754024072</t>
  </si>
  <si>
    <t>-882.000923617044 151.027569308283 -369.174913322734</t>
  </si>
  <si>
    <t>-883.108420963539 144.540469220964 -458.0282439007</t>
  </si>
  <si>
    <t>-879.149352392192 134.419790813095 -582.135968166418</t>
  </si>
  <si>
    <t>-848.964122846284 123.029029112528 -658.713587888626</t>
  </si>
  <si>
    <t>-873.518532574021 165.512974721347 -529.459501135345</t>
  </si>
  <si>
    <t>-830.991894624249 295.875664310542 -519.76883146481</t>
  </si>
  <si>
    <t>-788.935251935658 330.194583844247 -230.555126717434</t>
  </si>
  <si>
    <t>-549.651214668705 333.832210889285 -202.613814526251</t>
  </si>
  <si>
    <t>-888.264149627012 112.233364824431 -525.585071867092</t>
  </si>
  <si>
    <t>-747.828122685311 29.2985463226723 -280.362295117411</t>
  </si>
  <si>
    <t>-833.317173118466 264.652638679238 -78.219811156492</t>
  </si>
  <si>
    <t>-833.745728995326 313.323100086394 322.386800329506</t>
  </si>
  <si>
    <t>-872.801580177477 366.950213514027 765.8339218644</t>
  </si>
  <si>
    <t>-728.081819970158 390.010205299407 825.932235698388</t>
  </si>
  <si>
    <t>-831.772899781535 72.419576917267 -66.4276599054293</t>
  </si>
  <si>
    <t>-814.748650488975 56.1854280086804 336.438673370939</t>
  </si>
  <si>
    <t>-834.544879245546 86.1506603391176 782.58121742718</t>
  </si>
  <si>
    <t>-744.572123590895 -22.4314627330245 854.706693530968</t>
  </si>
  <si>
    <t>9763-20170724T111036.782238700.bin</t>
  </si>
  <si>
    <t>-831.815772305785 168.654942205532 -71.2665086939828</t>
  </si>
  <si>
    <t>-862.448981704805 162.582761277964 -182.80556584145</t>
  </si>
  <si>
    <t>-874.921654527082 156.85131786464 -280.46958342637</t>
  </si>
  <si>
    <t>-881.242332675614 151.13838399827 -369.15806330315</t>
  </si>
  <si>
    <t>-882.277872459032 144.603995991038 -458.008844057161</t>
  </si>
  <si>
    <t>-878.219122194912 134.393877541766 -582.106016447157</t>
  </si>
  <si>
    <t>-848.007729187364 122.869092845446 -658.653299103382</t>
  </si>
  <si>
    <t>-872.562511917336 165.50657712876 -529.443633859882</t>
  </si>
  <si>
    <t>-829.822056106592 295.806622251809 -519.772101790688</t>
  </si>
  <si>
    <t>-789.525156539886 330.205500905131 -230.317298036028</t>
  </si>
  <si>
    <t>-550.514327090307 334.987363767453 -200.285892345861</t>
  </si>
  <si>
    <t>-887.447833010041 112.267312398012 -525.550279618329</t>
  </si>
  <si>
    <t>-747.475873774888 28.9205495118235 -280.185036440921</t>
  </si>
  <si>
    <t>-832.508337489443 264.650287876951 -78.1754408801494</t>
  </si>
  <si>
    <t>-833.146742194051 313.190488721636 322.446692618648</t>
  </si>
  <si>
    <t>-872.599748543718 366.80348461886 765.854994483245</t>
  </si>
  <si>
    <t>-727.83607160783 389.630157594742 825.935709883615</t>
  </si>
  <si>
    <t>-831.493780281195 72.586689805174 -66.381135133578</t>
  </si>
  <si>
    <t>-814.692209701259 56.1159810250761 336.484947565513</t>
  </si>
  <si>
    <t>-834.722922511695 86.2078326322521 782.592472781695</t>
  </si>
  <si>
    <t>-744.766554877612 -22.385058589759 854.72258919544</t>
  </si>
  <si>
    <t>9763-20170724T111036.814236900.bin</t>
  </si>
  <si>
    <t>-831.539614930284 168.685583085613 -71.2398854369793</t>
  </si>
  <si>
    <t>-862.11394707558 162.653459944092 -182.797250445248</t>
  </si>
  <si>
    <t>-874.543244054941 156.920529268314 -280.466534998131</t>
  </si>
  <si>
    <t>-880.828944995446 151.192069932039 -369.156591141208</t>
  </si>
  <si>
    <t>-881.834734216131 144.628040430241 -458.00561075965</t>
  </si>
  <si>
    <t>-877.74040553239 134.361681624105 -582.096910882207</t>
  </si>
  <si>
    <t>-847.519916638391 122.760705923162 -658.629089272226</t>
  </si>
  <si>
    <t>-872.059034434254 165.487234427641 -529.444748680441</t>
  </si>
  <si>
    <t>-829.192046234902 295.747618281606 -519.814301544267</t>
  </si>
  <si>
    <t>-789.929069703732 330.070510946869 -230.208375219143</t>
  </si>
  <si>
    <t>-551.038637251573 335.431740636877 -199.32956098881</t>
  </si>
  <si>
    <t>-887.025217448593 112.271482930053 -525.535947367741</t>
  </si>
  <si>
    <t>-747.292277124005 28.653539601798 -280.08413400609</t>
  </si>
  <si>
    <t>-832.087981068082 264.6573864405 -78.1565193758544</t>
  </si>
  <si>
    <t>-832.808751566476 313.075811623551 322.48020095298</t>
  </si>
  <si>
    <t>-872.49213163645 366.684750792759 765.859684242765</t>
  </si>
  <si>
    <t>-727.683532479215 389.259717613235 825.927063657259</t>
  </si>
  <si>
    <t>-831.363923377131 72.6543118307109 -66.3696071901096</t>
  </si>
  <si>
    <t>-814.654373676265 56.1122233715219 336.497462594067</t>
  </si>
  <si>
    <t>-834.776812463231 86.2920787830026 782.601928598434</t>
  </si>
  <si>
    <t>-744.944578279042 -22.400080472371 854.736896813288</t>
  </si>
  <si>
    <t>9763-20170724T111036.881414100.bin</t>
  </si>
  <si>
    <t>-831.024454935115 168.742587127858 -71.1988594144698</t>
  </si>
  <si>
    <t>-861.498535551947 162.780679984099 -182.787405083012</t>
  </si>
  <si>
    <t>-873.828570568194 157.030256335557 -280.468283733854</t>
  </si>
  <si>
    <t>-880.021693314408 151.256476128608 -369.161812398748</t>
  </si>
  <si>
    <t>-880.933636017949 144.615323444802 -458.006119442136</t>
  </si>
  <si>
    <t>-876.70892189968 134.208665209557 -582.081322993006</t>
  </si>
  <si>
    <t>-846.460718066563 122.427478238932 -658.575004464713</t>
  </si>
  <si>
    <t>-871.006879560502 165.372461608559 -529.454275488581</t>
  </si>
  <si>
    <t>-827.843242024645 295.535643587162 -519.899876008499</t>
  </si>
  <si>
    <t>-790.792772725447 329.785340852493 -229.993948804024</t>
  </si>
  <si>
    <t>-552.151501612917 336.211149841561 -197.438008674611</t>
  </si>
  <si>
    <t>-886.129217642869 112.203814737802 -525.509644919784</t>
  </si>
  <si>
    <t>-746.932057757004 28.2146358786968 -279.792038487312</t>
  </si>
  <si>
    <t>-831.293759804694 264.633716528157 -78.1187543133414</t>
  </si>
  <si>
    <t>-832.133932336725 312.88460030063 322.537957664692</t>
  </si>
  <si>
    <t>-872.298613663022 366.520360624608 765.860417534828</t>
  </si>
  <si>
    <t>-727.470856727973 389.04507610806 825.901012422544</t>
  </si>
  <si>
    <t>-831.145865650045 72.7731870695752 -66.324230793614</t>
  </si>
  <si>
    <t>-814.598644128014 56.0364008810752 336.541412567528</t>
  </si>
  <si>
    <t>-834.992567925763 86.3035946145123 782.620114079281</t>
  </si>
  <si>
    <t>-745.170815189921 -22.3992610188639 854.752414590937</t>
  </si>
  <si>
    <t>9763-20170724T111036.919522800.bin</t>
  </si>
  <si>
    <t>-830.833164409378 168.776485297191 -71.1801021591205</t>
  </si>
  <si>
    <t>-861.245202640795 162.839598140557 -182.786943542504</t>
  </si>
  <si>
    <t>-873.505052778545 157.06926671166 -280.475408967356</t>
  </si>
  <si>
    <t>-879.629005880714 151.261335680256 -369.171620524472</t>
  </si>
  <si>
    <t>-880.467367436548 144.569313207248 -458.012858310012</t>
  </si>
  <si>
    <t>-876.13577609454 134.073750987449 -582.076797051894</t>
  </si>
  <si>
    <t>-845.862683553891 122.176142745221 -658.542725872297</t>
  </si>
  <si>
    <t>-870.4415856156 165.264767420958 -529.465167967613</t>
  </si>
  <si>
    <t>-826.995041484866 295.329902890903 -519.863278891791</t>
  </si>
  <si>
    <t>-791.217140537735 330.134979731487 -229.863641920938</t>
  </si>
  <si>
    <t>-552.719309246504 336.898926206934 -196.338626667518</t>
  </si>
  <si>
    <t>-885.641898954317 112.119744318862 -525.499695741168</t>
  </si>
  <si>
    <t>-746.7807554541 27.8708856932813 -279.595887433707</t>
  </si>
  <si>
    <t>-830.951514250789 264.619462258735 -78.1037908405177</t>
  </si>
  <si>
    <t>-831.841639125796 312.799925321669 322.56133405779</t>
  </si>
  <si>
    <t>-872.202485375824 366.448028916796 765.860214161475</t>
  </si>
  <si>
    <t>-727.358550533291 388.908395958413 825.8860074529</t>
  </si>
  <si>
    <t>-831.117010180022 72.8268698464976 -66.3035184416669</t>
  </si>
  <si>
    <t>-814.670750438326 56.0054659651182 336.562770141622</t>
  </si>
  <si>
    <t>-835.136666184992 86.2545470900513 782.634570906828</t>
  </si>
  <si>
    <t>-745.118758910755 -22.2955707562237 854.751987468383</t>
  </si>
  <si>
    <t>9763-20170724T111036.981688200.bin</t>
  </si>
  <si>
    <t>-830.4770546251 168.913843582585 -71.1885678660315</t>
  </si>
  <si>
    <t>-860.698760202831 163.040063195187 -182.850395902988</t>
  </si>
  <si>
    <t>-872.798475268759 157.191879104997 -280.554285680086</t>
  </si>
  <si>
    <t>-878.783597962675 151.262693431726 -369.252021678983</t>
  </si>
  <si>
    <t>-879.49206167807 144.39718119264 -458.080978489846</t>
  </si>
  <si>
    <t>-874.990881970835 133.605460086683 -582.113678794117</t>
  </si>
  <si>
    <t>-844.656347454019 121.443233092359 -658.513348774759</t>
  </si>
  <si>
    <t>-869.280561558658 164.896989029687 -529.563347474376</t>
  </si>
  <si>
    <t>-825.425480136596 294.850207601115 -520.160060919571</t>
  </si>
  <si>
    <t>-792.384255555272 331.34477874018 -230.043485224388</t>
  </si>
  <si>
    <t>-554.245069296532 338.735910451465 -194.183190342045</t>
  </si>
  <si>
    <t>-884.66281577712 111.81161677534 -525.502682115165</t>
  </si>
  <si>
    <t>-746.433023241373 27.2848852290176 -279.131032446663</t>
  </si>
  <si>
    <t>-830.183776346008 264.643478310461 -78.1132431589583</t>
  </si>
  <si>
    <t>-831.288324423264 312.664031560124 322.57048665655</t>
  </si>
  <si>
    <t>-871.99249198338 366.241882404719 765.838863974808</t>
  </si>
  <si>
    <t>-727.04647237492 388.0628413523 825.853847837757</t>
  </si>
  <si>
    <t>-831.141653503344 73.0930470319304 -66.2846579923598</t>
  </si>
  <si>
    <t>-814.792956427117 56.0240203340609 336.575140049649</t>
  </si>
  <si>
    <t>-835.290506637596 86.3296417335778 782.648200829456</t>
  </si>
  <si>
    <t>-745.258153221057 -22.2101921704907 854.76313765353</t>
  </si>
  <si>
    <t>9763-20170724T111037.016807800.bin</t>
  </si>
  <si>
    <t>-830.31612774735 169.096338090094 -71.1852673060358</t>
  </si>
  <si>
    <t>-860.452423841553 163.245099830154 -182.871461952519</t>
  </si>
  <si>
    <t>-872.484092127591 157.352484227187 -280.581043303211</t>
  </si>
  <si>
    <t>-878.411638424031 151.35798759591 -369.278219330332</t>
  </si>
  <si>
    <t>-879.068165344291 144.403102063806 -458.100577903275</t>
  </si>
  <si>
    <t>-874.502523989514 133.46003367527 -582.117662921971</t>
  </si>
  <si>
    <t>-844.137679625692 121.157231887956 -658.482826618387</t>
  </si>
  <si>
    <t>-868.780614804426 164.804603129116 -529.60006539281</t>
  </si>
  <si>
    <t>-824.806856224398 294.719843792506 -520.363843521535</t>
  </si>
  <si>
    <t>-792.962227836755 331.881548534839 -230.198161029539</t>
  </si>
  <si>
    <t>-554.963134848813 339.767971209032 -193.521316711974</t>
  </si>
  <si>
    <t>-884.242690402912 111.746232816 -525.487542322089</t>
  </si>
  <si>
    <t>-746.304013845925 27.0721770824584 -278.882319927152</t>
  </si>
  <si>
    <t>-829.891248856194 264.781227389745 -78.1305540780336</t>
  </si>
  <si>
    <t>-831.114010613842 312.703094339811 322.564663903315</t>
  </si>
  <si>
    <t>-871.905952359145 366.232267326602 765.827071567085</t>
  </si>
  <si>
    <t>-726.999050601048 388.355563927657 825.825789813206</t>
  </si>
  <si>
    <t>-831.128264945341 73.3551994184081 -66.2841946698045</t>
  </si>
  <si>
    <t>-814.806516949675 56.1357891603366 336.570319560144</t>
  </si>
  <si>
    <t>-835.281378878889 86.4831950054836 782.646798385652</t>
  </si>
  <si>
    <t>-745.702850407628 -22.4141739247925 854.788108094948</t>
  </si>
  <si>
    <t>9763-20170724T111037.081982800.bin</t>
  </si>
  <si>
    <t>-830.102761732317 169.356352258667 -71.1734123187125</t>
  </si>
  <si>
    <t>-860.155708063403 163.503865452658 -182.88191573688</t>
  </si>
  <si>
    <t>-872.110093568952 157.521039261891 -280.595538553663</t>
  </si>
  <si>
    <t>-877.968307319827 151.410817318496 -369.28937977389</t>
  </si>
  <si>
    <t>-878.558296211668 144.304629684152 -458.100350877503</t>
  </si>
  <si>
    <t>-873.903720798543 133.11517558929 -582.092047321056</t>
  </si>
  <si>
    <t>-843.490312951009 120.55306900105 -658.395641324063</t>
  </si>
  <si>
    <t>-868.18811798155 164.555245775573 -529.630931430881</t>
  </si>
  <si>
    <t>-824.197900667836 294.488440840938 -520.660856089927</t>
  </si>
  <si>
    <t>-793.570132595768 332.543635688363 -230.479963699484</t>
  </si>
  <si>
    <t>-555.75650861995 341.287918482893 -192.809952874039</t>
  </si>
  <si>
    <t>-883.715806374304 111.523304158514 -525.427935166795</t>
  </si>
  <si>
    <t>-746.147475420341 26.8478678701208 -278.34019608302</t>
  </si>
  <si>
    <t>-829.475366737525 265.033107778055 -78.1769541188174</t>
  </si>
  <si>
    <t>-831.021908486731 312.778665095515 322.538219075326</t>
  </si>
  <si>
    <t>-871.709443262006 366.17061502152 765.808590919211</t>
  </si>
  <si>
    <t>-726.767733565666 388.070025728259 825.805285199053</t>
  </si>
  <si>
    <t>-831.109806252155 73.6066809838358 -66.2611666788256</t>
  </si>
  <si>
    <t>-814.966389271159 56.2090287428441 336.592872763301</t>
  </si>
  <si>
    <t>-835.513959367499 86.4469762434369 782.671395237916</t>
  </si>
  <si>
    <t>-745.76134906707 -22.3186276856022 854.79481456005</t>
  </si>
  <si>
    <t>9763-20170724T111037.119115100.bin</t>
  </si>
  <si>
    <t>-830.009445340347 169.494723775761 -71.1965454347796</t>
  </si>
  <si>
    <t>-860.032556944956 163.621181576174 -182.911930763885</t>
  </si>
  <si>
    <t>-871.961929867143 157.593905529678 -280.625953369124</t>
  </si>
  <si>
    <t>-877.799116997612 151.432832012493 -369.317455195161</t>
  </si>
  <si>
    <t>-878.36950450379 144.265688559543 -458.123835537921</t>
  </si>
  <si>
    <t>-873.689816497808 132.980270409243 -582.105880645901</t>
  </si>
  <si>
    <t>-843.242338459038 120.314050396812 -658.378677848303</t>
  </si>
  <si>
    <t>-867.988048005433 164.461551135257 -529.668135266989</t>
  </si>
  <si>
    <t>-824.054639743136 294.417568103777 -520.793888212532</t>
  </si>
  <si>
    <t>-793.664981690071 332.708658433544 -230.618987078057</t>
  </si>
  <si>
    <t>-555.893031185631 341.591346167867 -192.718510283679</t>
  </si>
  <si>
    <t>-883.510655887197 111.431155679087 -525.426867208675</t>
  </si>
  <si>
    <t>-746.058446940732 26.8100010669668 -278.18122559786</t>
  </si>
  <si>
    <t>-829.34802678875 265.183776837158 -78.2106177181017</t>
  </si>
  <si>
    <t>-831.045405009826 312.872010941392 322.510797827917</t>
  </si>
  <si>
    <t>-871.614114850228 366.180898724534 765.802236875478</t>
  </si>
  <si>
    <t>-726.680767591629 388.125891174359 825.802104405418</t>
  </si>
  <si>
    <t>-831.010606354468 73.6906655796538 -66.268760297772</t>
  </si>
  <si>
    <t>-814.973223222396 56.3184866348447 336.590622721808</t>
  </si>
  <si>
    <t>-835.532467655699 86.5570173276569 782.670699610676</t>
  </si>
  <si>
    <t>-745.940161276266 -22.3363808675717 854.800785917866</t>
  </si>
  <si>
    <t>9763-20170724T111037.186294000.bin</t>
  </si>
  <si>
    <t>-829.875002006752 169.435005909196 -71.2423655069955</t>
  </si>
  <si>
    <t>-859.81067000972 163.514688231372 -182.97878579098</t>
  </si>
  <si>
    <t>-871.68222712016 157.413159652914 -280.695215216773</t>
  </si>
  <si>
    <t>-877.475591363559 151.171257801263 -369.384075864361</t>
  </si>
  <si>
    <t>-878.011805150677 143.911119910889 -458.183026702048</t>
  </si>
  <si>
    <t>-873.294051607834 132.483308597057 -582.15070766729</t>
  </si>
  <si>
    <t>-842.768142592603 119.677355940089 -658.368708007017</t>
  </si>
  <si>
    <t>-867.621865485202 164.028990523545 -529.748200231499</t>
  </si>
  <si>
    <t>-823.814702795976 294.03704534383 -521.01303107167</t>
  </si>
  <si>
    <t>-793.774617251623 332.354262729531 -230.805293305239</t>
  </si>
  <si>
    <t>-556.044892117759 341.518546040838 -192.707639059062</t>
  </si>
  <si>
    <t>-883.118091801838 110.995639048968 -525.449012710048</t>
  </si>
  <si>
    <t>-745.786524636039 26.7418651907306 -277.966816361711</t>
  </si>
  <si>
    <t>-829.138967154259 265.33658083756 -78.2742520509458</t>
  </si>
  <si>
    <t>-831.085915517494 312.967168365577 322.452831761704</t>
  </si>
  <si>
    <t>-871.414692674293 366.173608172991 765.789696398333</t>
  </si>
  <si>
    <t>-726.44823941603 387.829150984069 825.815457482148</t>
  </si>
  <si>
    <t>-830.956881363548 73.395494116543 -66.2782157162158</t>
  </si>
  <si>
    <t>-815.219016860387 56.3955551936456 336.608876066459</t>
  </si>
  <si>
    <t>-835.86354137376 86.3907300660912 782.707396198623</t>
  </si>
  <si>
    <t>-745.964360853541 -22.2720796636336 854.803064760711</t>
  </si>
  <si>
    <t>9763-20170724T111037.217893400.bin</t>
  </si>
  <si>
    <t>-829.85688934031 169.481443286699 -71.2731500724142</t>
  </si>
  <si>
    <t>-859.759750172799 163.525543843416 -183.016384782874</t>
  </si>
  <si>
    <t>-871.602322726028 157.400234243678 -280.734834808807</t>
  </si>
  <si>
    <t>-877.368499215429 151.140660916832 -369.424214064201</t>
  </si>
  <si>
    <t>-877.876910838897 143.866026259801 -458.222071944096</t>
  </si>
  <si>
    <t>-873.118950890012 132.421932889338 -582.186728361618</t>
  </si>
  <si>
    <t>-842.553114227293 119.596499611708 -658.385366234976</t>
  </si>
  <si>
    <t>-867.478447411033 163.978383711957 -529.787530907677</t>
  </si>
  <si>
    <t>-823.740530508549 294.011039630466 -521.075589833156</t>
  </si>
  <si>
    <t>-793.822252931016 332.220535590424 -230.8410505483</t>
  </si>
  <si>
    <t>-556.112582382692 341.397104896487 -192.620203408722</t>
  </si>
  <si>
    <t>-882.94710464756 110.937139669331 -525.48447115915</t>
  </si>
  <si>
    <t>-745.66670163086 26.9155633477885 -277.962536788665</t>
  </si>
  <si>
    <t>-829.150402282862 265.513094717398 -78.3216580646919</t>
  </si>
  <si>
    <t>-831.149085542553 313.121371814468 322.407778140182</t>
  </si>
  <si>
    <t>-871.334549489767 366.25271272005 765.777206377004</t>
  </si>
  <si>
    <t>-726.432117426875 388.329378601727 825.804106655279</t>
  </si>
  <si>
    <t>-830.966028457943 73.4008464340095 -66.2815089189772</t>
  </si>
  <si>
    <t>-815.352718979808 56.483391419973 336.613908387546</t>
  </si>
  <si>
    <t>-835.950997711285 86.4213624135032 782.717142114609</t>
  </si>
  <si>
    <t>-745.980043198862 -22.1899589958339 854.801254814274</t>
  </si>
  <si>
    <t>9763-20170724T111037.285072300.bin</t>
  </si>
  <si>
    <t>-829.914073921356 169.865770261227 -71.3264131952831</t>
  </si>
  <si>
    <t>-859.767075573248 163.884487353912 -183.081583475268</t>
  </si>
  <si>
    <t>-871.556503531714 157.752530101822 -280.806126742853</t>
  </si>
  <si>
    <t>-877.270027578138 151.492813121537 -369.498930653191</t>
  </si>
  <si>
    <t>-877.720351250885 144.224932210219 -458.297639151038</t>
  </si>
  <si>
    <t>-872.876775572624 132.796855101209 -582.260302215463</t>
  </si>
  <si>
    <t>-842.237470989392 120.001160062145 -658.434742455135</t>
  </si>
  <si>
    <t>-867.295685161705 164.353588767795 -529.854637104884</t>
  </si>
  <si>
    <t>-823.65233118117 294.414513520726 -521.132873183825</t>
  </si>
  <si>
    <t>-793.990650252531 332.421367554398 -230.84532286953</t>
  </si>
  <si>
    <t>-556.31004288571 341.554801784725 -192.434736908013</t>
  </si>
  <si>
    <t>-882.720572508682 111.298163929926 -525.566200527726</t>
  </si>
  <si>
    <t>-745.553946161135 27.5609045360648 -277.998725401415</t>
  </si>
  <si>
    <t>-829.227860340984 265.963043757743 -78.3993957250013</t>
  </si>
  <si>
    <t>-831.24938294387 313.60194582128 322.326425485392</t>
  </si>
  <si>
    <t>-871.150508419219 366.309778004985 765.773750413179</t>
  </si>
  <si>
    <t>-726.314313440935 388.789868967378 825.810561862388</t>
  </si>
  <si>
    <t>-831.020547201965 73.7627617069106 -66.2972971826027</t>
  </si>
  <si>
    <t>-815.436338191423 56.7149165375631 336.593706305737</t>
  </si>
  <si>
    <t>-836.079484695907 86.5305581178013 782.718920242338</t>
  </si>
  <si>
    <t>-746.266050297102 -22.2106023263987 854.803438513865</t>
  </si>
  <si>
    <t>9763-20170724T111037.315365000.bin</t>
  </si>
  <si>
    <t>-829.901120918976 169.953404912279 -71.3326705950381</t>
  </si>
  <si>
    <t>-859.735545936719 163.975536150149 -183.093216219482</t>
  </si>
  <si>
    <t>-871.515317025292 157.857300829209 -280.819531535037</t>
  </si>
  <si>
    <t>-877.222952026208 151.615360310754 -369.51407481626</t>
  </si>
  <si>
    <t>-877.669509922948 144.371105070574 -458.314713465946</t>
  </si>
  <si>
    <t>-872.822339056742 132.982700940568 -582.280914283188</t>
  </si>
  <si>
    <t>-842.158580928249 120.213824569707 -658.449899367048</t>
  </si>
  <si>
    <t>-867.247424623965 164.523508871876 -529.865358818255</t>
  </si>
  <si>
    <t>-823.567109296231 294.57462251276 -521.109214371258</t>
  </si>
  <si>
    <t>-793.9635552205 332.515714752215 -230.807153447249</t>
  </si>
  <si>
    <t>-556.302415931549 341.557836702108 -192.25473811113</t>
  </si>
  <si>
    <t>-882.663390878936 111.464527928904 -525.593641610238</t>
  </si>
  <si>
    <t>-745.542194951266 27.8085893776906 -277.981601587063</t>
  </si>
  <si>
    <t>-829.086921941654 266.042201004845 -78.4146222740414</t>
  </si>
  <si>
    <t>-831.163509122059 313.685537516984 322.310326788921</t>
  </si>
  <si>
    <t>-871.049601913617 366.248955775968 765.77196129325</t>
  </si>
  <si>
    <t>-726.175794621192 388.466356260975 825.815700227848</t>
  </si>
  <si>
    <t>-831.111955949549 73.7799095872265 -66.2922614006634</t>
  </si>
  <si>
    <t>-815.53074188719 56.6611075748306 336.59587497691</t>
  </si>
  <si>
    <t>-836.315510485975 86.3384725319625 782.730482262583</t>
  </si>
  <si>
    <t>-746.114342246717 -22.0946422661309 854.795186346058</t>
  </si>
  <si>
    <t>9763-20170724T111037.385553800.bin</t>
  </si>
  <si>
    <t>-829.594052910419 170.150245718376 -71.3180268835561</t>
  </si>
  <si>
    <t>-859.392228691522 164.214847415925 -183.090528255207</t>
  </si>
  <si>
    <t>-871.169958305649 158.15030040217 -280.820546996876</t>
  </si>
  <si>
    <t>-876.886890465573 151.966370472916 -369.518380839546</t>
  </si>
  <si>
    <t>-877.353521513589 144.790945894382 -458.324519094657</t>
  </si>
  <si>
    <t>-872.544861354263 133.509965428032 -582.30213773702</t>
  </si>
  <si>
    <t>-841.85127001322 120.80078424758 -658.468979674363</t>
  </si>
  <si>
    <t>-866.937482439963 165.000820911731 -529.859861719485</t>
  </si>
  <si>
    <t>-823.03591546446 294.971711051157 -521.013944254307</t>
  </si>
  <si>
    <t>-793.555264250389 333.251454450074 -230.743713325394</t>
  </si>
  <si>
    <t>-555.928464352845 341.736213115919 -191.855277352739</t>
  </si>
  <si>
    <t>-882.384525221962 111.94713710946 -525.63153969621</t>
  </si>
  <si>
    <t>-745.35213703525 28.1822850703365 -277.993333438741</t>
  </si>
  <si>
    <t>-828.547892356588 266.190103812572 -78.4089662698909</t>
  </si>
  <si>
    <t>-830.905800674776 313.752001709398 322.324074421208</t>
  </si>
  <si>
    <t>-870.86701474076 366.184976413621 765.770335105209</t>
  </si>
  <si>
    <t>-725.937427904204 388.019103211733 825.820885886745</t>
  </si>
  <si>
    <t>-831.008441558853 74.0044438390564 -66.2961671266347</t>
  </si>
  <si>
    <t>-815.475960811887 56.8133592560516 336.590732715947</t>
  </si>
  <si>
    <t>-836.375761869231 86.5253842184188 782.720197438395</t>
  </si>
  <si>
    <t>-746.462773698602 -22.1365348918494 854.799902050227</t>
  </si>
  <si>
    <t>9763-20170724T111037.419581700.bin</t>
  </si>
  <si>
    <t>-829.493824884464 170.206265489095 -71.3214915817997</t>
  </si>
  <si>
    <t>-859.29354779713 164.307545999242 -183.09550629988</t>
  </si>
  <si>
    <t>-871.083138962561 158.281937605427 -280.826549871744</t>
  </si>
  <si>
    <t>-876.814008075974 152.138597551448 -369.526353784971</t>
  </si>
  <si>
    <t>-877.298128236381 145.008000305799 -458.335907608996</t>
  </si>
  <si>
    <t>-872.517176748009 133.796186093154 -582.320844325056</t>
  </si>
  <si>
    <t>-841.819840938806 121.110615697331 -658.490226212073</t>
  </si>
  <si>
    <t>-866.882625125313 165.253548539914 -529.861228244673</t>
  </si>
  <si>
    <t>-822.851001169842 295.175740652194 -520.98066812591</t>
  </si>
  <si>
    <t>-793.249769105428 333.650625942645 -230.748615731276</t>
  </si>
  <si>
    <t>-555.624892488556 341.731672852318 -191.760942633409</t>
  </si>
  <si>
    <t>-882.359375332306 112.206554301195 -525.661110593202</t>
  </si>
  <si>
    <t>-745.419117215003 28.3233461435916 -277.96425785083</t>
  </si>
  <si>
    <t>-828.346777586663 266.294173023095 -78.4089430559505</t>
  </si>
  <si>
    <t>-830.829581925897 313.736502319247 322.337550893111</t>
  </si>
  <si>
    <t>-870.783424067133 366.181118465255 765.778542906961</t>
  </si>
  <si>
    <t>-725.857880181473 388.035807063391 825.83044353658</t>
  </si>
  <si>
    <t>-831.078442929866 74.0234138326441 -66.2951616539708</t>
  </si>
  <si>
    <t>-815.572522204631 56.8072209227262 336.591751946676</t>
  </si>
  <si>
    <t>-836.546120201003 86.4221573019927 782.72734145694</t>
  </si>
  <si>
    <t>-746.432389923375 -22.0830445374813 854.792704574467</t>
  </si>
  <si>
    <t>9763-20170724T111037.482749600.bin</t>
  </si>
  <si>
    <t>-829.302205723117 170.455515193163 -71.3414806529878</t>
  </si>
  <si>
    <t>-859.098877479973 164.595684940555 -183.118261894237</t>
  </si>
  <si>
    <t>-870.89689511641 158.651790232941 -280.85320509639</t>
  </si>
  <si>
    <t>-876.638716729575 152.602385680756 -369.558829271887</t>
  </si>
  <si>
    <t>-877.135808998951 145.585954711582 -458.377559013652</t>
  </si>
  <si>
    <t>-872.37395149462 134.554962995626 -582.37931619834</t>
  </si>
  <si>
    <t>-841.67585667832 121.945053942914 -658.561079246774</t>
  </si>
  <si>
    <t>-866.700717189341 165.927099595525 -529.872908939006</t>
  </si>
  <si>
    <t>-822.33734624678 295.728606620063 -520.905937751039</t>
  </si>
  <si>
    <t>-791.734909604348 334.793784501973 -230.856579911989</t>
  </si>
  <si>
    <t>-554.042877687703 341.590820817356 -192.034298081614</t>
  </si>
  <si>
    <t>-882.23806941501 112.891379274795 -525.751710670133</t>
  </si>
  <si>
    <t>-745.525122453669 28.5706476092219 -278.0041005549</t>
  </si>
  <si>
    <t>-827.929192623918 266.589492217783 -78.4229243072122</t>
  </si>
  <si>
    <t>-830.66257419652 313.840942105085 322.34443826886</t>
  </si>
  <si>
    <t>-870.626910030963 366.217342100122 765.792677873174</t>
  </si>
  <si>
    <t>-725.744932521308 388.364413556511 825.84282327082</t>
  </si>
  <si>
    <t>-831.035071786583 74.2362864463657 -66.3010796613357</t>
  </si>
  <si>
    <t>-815.607838799568 56.9182483700633 336.584471966211</t>
  </si>
  <si>
    <t>-836.676720035414 86.5053287207902 782.721291314567</t>
  </si>
  <si>
    <t>-746.698016814895 -22.1078481912687 854.792712255717</t>
  </si>
  <si>
    <t>9763-20170724T111037.515845500.bin</t>
  </si>
  <si>
    <t>-829.220997168764 170.57990643874 -71.3543803621575</t>
  </si>
  <si>
    <t>-859.016144812688 164.705701027433 -183.130802839799</t>
  </si>
  <si>
    <t>-870.807628556067 158.79127380172 -280.86840425477</t>
  </si>
  <si>
    <t>-876.539686581887 152.784251771661 -369.577359143523</t>
  </si>
  <si>
    <t>-877.022786245435 145.825948198109 -458.400684824944</t>
  </si>
  <si>
    <t>-872.236537245717 134.891969460456 -582.410305493578</t>
  </si>
  <si>
    <t>-841.532271864309 122.357011772388 -658.601933479033</t>
  </si>
  <si>
    <t>-866.559344052975 166.218808028747 -529.877272699404</t>
  </si>
  <si>
    <t>-822.010390290663 295.951419141915 -520.857557007923</t>
  </si>
  <si>
    <t>-790.3104265419 335.40187344509 -230.97838045242</t>
  </si>
  <si>
    <t>-552.551258340387 341.191863323195 -192.405102479642</t>
  </si>
  <si>
    <t>-882.126147163244 113.188389766745 -525.80233670596</t>
  </si>
  <si>
    <t>-745.546099147022 28.5836938872571 -278.002219891772</t>
  </si>
  <si>
    <t>-827.813563698433 266.745903176828 -78.4417793088569</t>
  </si>
  <si>
    <t>-830.61539333321 313.916016348871 322.334664595174</t>
  </si>
  <si>
    <t>-870.548279091338 366.233534787563 765.798255694404</t>
  </si>
  <si>
    <t>-725.692188103957 388.538370039957 825.851933688832</t>
  </si>
  <si>
    <t>-831.001455464418 74.305988574446 -66.2963195590519</t>
  </si>
  <si>
    <t>-815.599715314019 56.9443040802289 336.588317099384</t>
  </si>
  <si>
    <t>-836.74392208427 86.5479115155376 782.72088180818</t>
  </si>
  <si>
    <t>-746.681231879973 -21.9992225981246 854.78708951667</t>
  </si>
  <si>
    <t>9763-20170724T111037.582023000.bin</t>
  </si>
  <si>
    <t>-829.144449779776 170.762703984768 -71.3575467208962</t>
  </si>
  <si>
    <t>-858.930704730012 164.874812625521 -183.135595272771</t>
  </si>
  <si>
    <t>-870.707092207904 159.025000871256 -280.878844848346</t>
  </si>
  <si>
    <t>-876.420594463967 153.105521555209 -369.59510593515</t>
  </si>
  <si>
    <t>-876.878746862247 146.262545991185 -458.427616898888</t>
  </si>
  <si>
    <t>-872.050096867479 135.517360387438 -582.452002882141</t>
  </si>
  <si>
    <t>-841.351414305754 123.173582767493 -658.676815489266</t>
  </si>
  <si>
    <t>-866.359479282352 166.755220328924 -529.867417092236</t>
  </si>
  <si>
    <t>-821.510397556464 296.381884198078 -520.767265231543</t>
  </si>
  <si>
    <t>-786.668383223296 336.403007715867 -231.327160570777</t>
  </si>
  <si>
    <t>-548.744695411891 340.303649984135 -193.538475366015</t>
  </si>
  <si>
    <t>-881.990627811603 113.736626738453 -525.882523789441</t>
  </si>
  <si>
    <t>-745.715642255881 28.5228819904864 -277.971718844117</t>
  </si>
  <si>
    <t>-827.627837251283 266.955312475042 -78.4679818420054</t>
  </si>
  <si>
    <t>-830.546622225479 314.132272234494 322.306822388256</t>
  </si>
  <si>
    <t>-870.386693299484 366.238932917975 765.798655491183</t>
  </si>
  <si>
    <t>-725.539334245476 388.567805771429 825.864911357142</t>
  </si>
  <si>
    <t>-831.043392644902 74.4966480896414 -66.283319585557</t>
  </si>
  <si>
    <t>-815.670788259047 57.0188256699957 336.597411827824</t>
  </si>
  <si>
    <t>-836.942996182368 86.5289263709328 782.734105024541</t>
  </si>
  <si>
    <t>-746.895853167322 -22.0329430331153 854.797678184884</t>
  </si>
  <si>
    <t>9763-20170724T111037.616651700.bin</t>
  </si>
  <si>
    <t>-829.119227424229 170.883812180827 -71.3608958458552</t>
  </si>
  <si>
    <t>-858.875885433149 165.007484477287 -183.147469570871</t>
  </si>
  <si>
    <t>-870.626683299481 159.196961509968 -280.896115690359</t>
  </si>
  <si>
    <t>-876.316226354369 153.324805577649 -369.617057224603</t>
  </si>
  <si>
    <t>-876.74910390382 146.539827126596 -458.454066452391</t>
  </si>
  <si>
    <t>-871.883756344802 135.886554423973 -582.484788702607</t>
  </si>
  <si>
    <t>-841.194116125879 123.648495651319 -658.730559895285</t>
  </si>
  <si>
    <t>-866.191056194355 167.080260628101 -529.874395017377</t>
  </si>
  <si>
    <t>-821.16656022599 296.642812878505 -520.709164198289</t>
  </si>
  <si>
    <t>-784.784956535819 336.555307901907 -231.44360771267</t>
  </si>
  <si>
    <t>-546.765134658429 339.681209649712 -194.192604834092</t>
  </si>
  <si>
    <t>-881.858581355382 114.068882523758 -525.93569087939</t>
  </si>
  <si>
    <t>-745.699809053192 28.4133144216771 -277.941495643016</t>
  </si>
  <si>
    <t>-827.528641231291 267.100245625056 -78.4814006451506</t>
  </si>
  <si>
    <t>-830.58766739121 314.199988603432 322.30147189351</t>
  </si>
  <si>
    <t>-870.282604156924 366.14428622505 765.809730280747</t>
  </si>
  <si>
    <t>-725.38246247242 388.089633323336 825.889548649129</t>
  </si>
  <si>
    <t>-831.086588661172 74.6165781631007 -66.2808892606957</t>
  </si>
  <si>
    <t>-815.733009577337 57.0547772411273 336.596875620323</t>
  </si>
  <si>
    <t>-837.006095751524 86.5766356854328 782.738451717866</t>
  </si>
  <si>
    <t>-746.957980854891 -21.9866544538263 854.798522438621</t>
  </si>
  <si>
    <t>9763-20170724T111037.650742400.bin</t>
  </si>
  <si>
    <t>-829.101206051585 171.049213828173 -71.3591488652065</t>
  </si>
  <si>
    <t>-858.826228583381 165.212909249957 -183.156174474249</t>
  </si>
  <si>
    <t>-870.546826705861 159.456394111693 -280.911715000624</t>
  </si>
  <si>
    <t>-876.206806432409 153.641289969565 -369.638259020874</t>
  </si>
  <si>
    <t>-876.608332003706 146.921298855811 -458.480393871766</t>
  </si>
  <si>
    <t>-871.696112941806 136.366043893243 -582.517712561818</t>
  </si>
  <si>
    <t>-841.028714188722 124.238535559073 -658.789963775415</t>
  </si>
  <si>
    <t>-866.001652914419 167.511527212715 -529.878956745697</t>
  </si>
  <si>
    <t>-820.796902816281 297.010796612983 -520.645781788961</t>
  </si>
  <si>
    <t>-783.024012710662 336.787275722522 -231.539759232174</t>
  </si>
  <si>
    <t>-544.912385611758 339.267587565439 -194.830906444345</t>
  </si>
  <si>
    <t>-881.714015264762 114.51016016811 -525.990979450993</t>
  </si>
  <si>
    <t>-745.716019908911 28.5017683822448 -277.933680602478</t>
  </si>
  <si>
    <t>-827.446801384569 267.287127426735 -78.4777651339369</t>
  </si>
  <si>
    <t>-830.650226529134 314.320089692902 322.311844417882</t>
  </si>
  <si>
    <t>-870.212935151662 366.178735573749 765.830990392577</t>
  </si>
  <si>
    <t>-725.326799781483 388.22040730093 825.909439222557</t>
  </si>
  <si>
    <t>-831.147177758448 74.7905760079639 -66.2846081535528</t>
  </si>
  <si>
    <t>-815.802247437905 57.1431454257563 336.589745740384</t>
  </si>
  <si>
    <t>-837.035911516908 86.6736107797988 782.739600347219</t>
  </si>
  <si>
    <t>-747.076928955856 -21.9637089351786 854.799474552568</t>
  </si>
  <si>
    <t>9763-20170724T111037.718438900.bin</t>
  </si>
  <si>
    <t>-828.990860159967 171.367701740861 -71.3580116848458</t>
  </si>
  <si>
    <t>-858.609468195675 165.617158401189 -183.187790246379</t>
  </si>
  <si>
    <t>-870.219968407295 159.981730164249 -280.963573792115</t>
  </si>
  <si>
    <t>-875.771399202711 154.295126110152 -369.705233888931</t>
  </si>
  <si>
    <t>-876.055134247727 147.721233775222 -458.558716660568</t>
  </si>
  <si>
    <t>-870.968011211143 137.387661648864 -582.607680876558</t>
  </si>
  <si>
    <t>-840.357856538247 125.511456962433 -658.942347128986</t>
  </si>
  <si>
    <t>-865.295047057114 168.423748760093 -529.901969136157</t>
  </si>
  <si>
    <t>-819.656596823335 297.753321620854 -520.482483498167</t>
  </si>
  <si>
    <t>-779.283131548521 337.466511400972 -231.719556714346</t>
  </si>
  <si>
    <t>-540.99597116142 338.726166657178 -196.102919100967</t>
  </si>
  <si>
    <t>-881.11829577392 115.446209143071 -526.137767282461</t>
  </si>
  <si>
    <t>-745.619518670921 28.9158220389886 -277.881304912536</t>
  </si>
  <si>
    <t>-827.068764828233 267.59629762068 -78.4519711719624</t>
  </si>
  <si>
    <t>-830.633941116482 314.423844613947 322.358653482323</t>
  </si>
  <si>
    <t>-870.049454731422 366.106643864209 765.893252451114</t>
  </si>
  <si>
    <t>-725.171928467711 388.201735593344 825.973450898837</t>
  </si>
  <si>
    <t>-831.262940026875 75.0755083648787 -66.2944832861069</t>
  </si>
  <si>
    <t>-815.979475052026 57.2880182367808 336.576090662837</t>
  </si>
  <si>
    <t>-837.173065370026 86.7658676749043 782.745714447303</t>
  </si>
  <si>
    <t>-747.357986438657 -21.9935731261285 854.800965860425</t>
  </si>
  <si>
    <t>9763-20170724T111037.784614300.bin</t>
  </si>
  <si>
    <t>-828.693380808865 171.538303420711 -71.3237597402766</t>
  </si>
  <si>
    <t>-858.150398901681 165.882633580719 -183.20090414967</t>
  </si>
  <si>
    <t>-869.608750689165 160.363036833798 -281.001204115497</t>
  </si>
  <si>
    <t>-875.016672268455 154.794079171219 -369.759303468653</t>
  </si>
  <si>
    <t>-875.150861785915 148.349446277181 -458.622633413219</t>
  </si>
  <si>
    <t>-869.847695429678 138.207859642363 -582.678335354805</t>
  </si>
  <si>
    <t>-839.351208688464 126.588268498256 -659.098133096108</t>
  </si>
  <si>
    <t>-864.204793043424 169.143845720652 -529.910726900949</t>
  </si>
  <si>
    <t>-818.1274677245 298.309274329833 -520.351553610079</t>
  </si>
  <si>
    <t>-774.502964016994 338.618868041965 -232.144541933761</t>
  </si>
  <si>
    <t>-536.087468880897 338.906853794727 -197.377742643462</t>
  </si>
  <si>
    <t>-880.158154793678 116.197231428812 -526.264303784067</t>
  </si>
  <si>
    <t>-745.331738654321 29.0650498587029 -277.732502697774</t>
  </si>
  <si>
    <t>-826.476405866901 267.793400893885 -78.3763764776664</t>
  </si>
  <si>
    <t>-830.552445882964 314.468815642899 322.447138041788</t>
  </si>
  <si>
    <t>-869.90619509832 366.114100549039 765.973011021316</t>
  </si>
  <si>
    <t>-725.069758718625 388.456921228654 826.060708849008</t>
  </si>
  <si>
    <t>-831.282720589446 75.1918638605266 -66.2932726165088</t>
  </si>
  <si>
    <t>-816.111131282027 57.2652971138973 336.575381034684</t>
  </si>
  <si>
    <t>-837.400392902721 86.7223679845592 782.765448790718</t>
  </si>
  <si>
    <t>-747.274765719249 -21.8019154611052 854.78712307914</t>
  </si>
  <si>
    <t>9763-20170724T111037.821723700.bin</t>
  </si>
  <si>
    <t>-828.572859661968 171.658337358519 -71.2919866415617</t>
  </si>
  <si>
    <t>-857.93822781968 166.046623117915 -183.195582460115</t>
  </si>
  <si>
    <t>-869.298776683285 160.559452398533 -281.009132898923</t>
  </si>
  <si>
    <t>-874.611965826333 155.017255396236 -369.774494616045</t>
  </si>
  <si>
    <t>-874.644031467639 148.595372492613 -458.639504776033</t>
  </si>
  <si>
    <t>-869.19291659173 138.48124884679 -582.691150163581</t>
  </si>
  <si>
    <t>-838.761562077586 126.957770731027 -659.151460318023</t>
  </si>
  <si>
    <t>-863.580352043841 169.395883538718 -529.907787381667</t>
  </si>
  <si>
    <t>-817.260550845801 298.470169095765 -520.320040165517</t>
  </si>
  <si>
    <t>-771.877143624206 339.056268046945 -232.42364645638</t>
  </si>
  <si>
    <t>-533.379814951258 338.974458638692 -198.218943687725</t>
  </si>
  <si>
    <t>-879.602962131513 116.467892873953 -526.296542272452</t>
  </si>
  <si>
    <t>-745.182357889503 29.0317711760713 -277.626458258039</t>
  </si>
  <si>
    <t>-826.222674470432 267.95469991543 -78.3378640590482</t>
  </si>
  <si>
    <t>-830.503997668536 314.497132025104 322.498941219851</t>
  </si>
  <si>
    <t>-869.848112508129 366.159256296245 766.02033993906</t>
  </si>
  <si>
    <t>-725.036206851644 388.659851012396 826.107937485181</t>
  </si>
  <si>
    <t>-831.325509464324 75.2736244104963 -66.2896192630758</t>
  </si>
  <si>
    <t>-816.215214548151 57.3203797291912 336.580116896935</t>
  </si>
  <si>
    <t>-837.470622263391 86.7630947718658 782.77577431823</t>
  </si>
  <si>
    <t>-747.418636097982 -21.8258516361652 854.791980514487</t>
  </si>
  <si>
    <t>9763-20170724T111037.882885200.bin</t>
  </si>
  <si>
    <t>-828.345957981911 172.023738779436 -71.2549535113181</t>
  </si>
  <si>
    <t>-857.526987828794 166.535384228812 -183.212720353163</t>
  </si>
  <si>
    <t>-868.665575930909 161.079760280139 -281.053612675448</t>
  </si>
  <si>
    <t>-873.754694726734 155.536409538463 -369.832151771184</t>
  </si>
  <si>
    <t>-873.541515226217 149.081779174104 -458.69454656768</t>
  </si>
  <si>
    <t>-867.727116217259 138.888474995995 -582.723108850325</t>
  </si>
  <si>
    <t>-837.408929613907 127.450281962153 -659.241171040048</t>
  </si>
  <si>
    <t>-862.195076979745 169.814793662679 -529.9380728143</t>
  </si>
  <si>
    <t>-815.323434204889 298.693498267661 -520.392202327181</t>
  </si>
  <si>
    <t>-766.830469664627 339.931448828715 -233.096028639318</t>
  </si>
  <si>
    <t>-528.241083217926 339.432913751239 -199.542437127128</t>
  </si>
  <si>
    <t>-878.37656622491 116.933377355831 -526.350514723077</t>
  </si>
  <si>
    <t>-744.804795088754 29.1791732068118 -277.383370320946</t>
  </si>
  <si>
    <t>-825.685223081535 268.388104238844 -78.2823083912255</t>
  </si>
  <si>
    <t>-830.393951161443 314.530196802139 322.596065643608</t>
  </si>
  <si>
    <t>-869.68108835674 366.018449456209 766.130523408466</t>
  </si>
  <si>
    <t>-724.80438603828 388.061446302138 826.231888290615</t>
  </si>
  <si>
    <t>-831.431004057187 75.6168604480049 -66.2757406327896</t>
  </si>
  <si>
    <t>-816.376458774968 57.439432300117 336.586082634649</t>
  </si>
  <si>
    <t>-837.698674724434 86.6973826739932 782.788478105445</t>
  </si>
  <si>
    <t>-747.481280795584 -21.7624656805265 854.792442630917</t>
  </si>
  <si>
    <t>9763-20170724T111037.913975400.bin</t>
  </si>
  <si>
    <t>-828.14239413547 172.335499856323 -71.2351611340171</t>
  </si>
  <si>
    <t>-857.216876082119 166.903993765698 -183.223513591263</t>
  </si>
  <si>
    <t>-868.250973372056 161.441409058908 -281.075828929225</t>
  </si>
  <si>
    <t>-873.242302216355 155.8706222653 -369.858092722857</t>
  </si>
  <si>
    <t>-872.929403952973 149.366000636751 -458.716520303868</t>
  </si>
  <si>
    <t>-866.975053304802 139.079745194846 -582.730964879433</t>
  </si>
  <si>
    <t>-836.707764582978 127.624251424619 -659.26649738858</t>
  </si>
  <si>
    <t>-861.45442928564 170.031360281273 -529.959343073933</t>
  </si>
  <si>
    <t>-814.286367851066 298.811765195444 -520.485697766465</t>
  </si>
  <si>
    <t>-764.591171142301 340.361544440755 -233.440011299244</t>
  </si>
  <si>
    <t>-526.003137294762 339.592741936814 -199.884417584314</t>
  </si>
  <si>
    <t>-877.736142050113 117.181478288389 -526.357323355552</t>
  </si>
  <si>
    <t>-744.550896518112 29.3887499732205 -277.223494607572</t>
  </si>
  <si>
    <t>-825.276693376832 268.707946021481 -78.249837586478</t>
  </si>
  <si>
    <t>-830.24996324872 314.626956460497 322.650862442638</t>
  </si>
  <si>
    <t>-869.614138766859 366.01679326558 766.193973191376</t>
  </si>
  <si>
    <t>-724.735923448487 388.047862037188 826.295400760731</t>
  </si>
  <si>
    <t>-831.392318089996 75.9355238029093 -66.2669721514277</t>
  </si>
  <si>
    <t>-816.353337724634 57.5094913374692 336.584053156988</t>
  </si>
  <si>
    <t>-837.79851688018 86.677195374969 782.78452551513</t>
  </si>
  <si>
    <t>-747.567030799758 -21.7682233619967 854.792610885811</t>
  </si>
  <si>
    <t>9763-20170724T111037.982155800.bin</t>
  </si>
  <si>
    <t>-827.420517092954 173.182804955963 -71.1556509314456</t>
  </si>
  <si>
    <t>-856.283210322816 167.831330002829 -183.202535463988</t>
  </si>
  <si>
    <t>-867.147315107962 162.318611630908 -281.071051916798</t>
  </si>
  <si>
    <t>-871.99280921298 156.657755199992 -369.855846195587</t>
  </si>
  <si>
    <t>-871.545928367804 150.018705863587 -458.70370002964</t>
  </si>
  <si>
    <t>-865.418417511323 139.49770268987 -582.68987415103</t>
  </si>
  <si>
    <t>-835.236646976233 127.918198935617 -659.240528426345</t>
  </si>
  <si>
    <t>-859.87026144015 170.518032315618 -529.961700364072</t>
  </si>
  <si>
    <t>-812.128953364258 299.096422839734 -520.720147835861</t>
  </si>
  <si>
    <t>-760.743261106303 341.346644548829 -234.074655248361</t>
  </si>
  <si>
    <t>-522.244507444885 339.994057325405 -199.908012139559</t>
  </si>
  <si>
    <t>-876.359130204573 117.73685321529 -526.297671595559</t>
  </si>
  <si>
    <t>-743.898964355427 29.846480296354 -276.703723926022</t>
  </si>
  <si>
    <t>-824.140531075468 269.468119269623 -78.2077235940408</t>
  </si>
  <si>
    <t>-829.731329954214 314.871824743881 322.743567524086</t>
  </si>
  <si>
    <t>-869.481959354821 365.968673652875 766.2921304911</t>
  </si>
  <si>
    <t>-724.5899708508 387.936750653291 826.383686981815</t>
  </si>
  <si>
    <t>-831.044983674743 76.8530152165995 -66.2121313462524</t>
  </si>
  <si>
    <t>-816.021922746282 57.7553638350992 336.608256363469</t>
  </si>
  <si>
    <t>-837.873708170006 86.8057540766954 782.780593411309</t>
  </si>
  <si>
    <t>-747.627874096653 -21.6201466050165 854.800165336117</t>
  </si>
  <si>
    <t>9763-20170724T111038.014248200.bin</t>
  </si>
  <si>
    <t>-826.976826301642 173.631245895578 -71.1307248411739</t>
  </si>
  <si>
    <t>-855.755607482907 168.30152557615 -183.200316079633</t>
  </si>
  <si>
    <t>-866.556206750736 162.750247952494 -281.073653509798</t>
  </si>
  <si>
    <t>-871.349847416403 157.03300352305 -369.857416946952</t>
  </si>
  <si>
    <t>-870.857375543762 150.31500687256 -458.699316233166</t>
  </si>
  <si>
    <t>-864.674931726896 139.660856271863 -582.671452585548</t>
  </si>
  <si>
    <t>-834.524668687764 127.99918564089 -659.221932384149</t>
  </si>
  <si>
    <t>-859.097117961753 170.721442540345 -529.969978459366</t>
  </si>
  <si>
    <t>-811.07679615279 299.210145441107 -520.879182207774</t>
  </si>
  <si>
    <t>-759.145387565643 341.745146043503 -234.37419412695</t>
  </si>
  <si>
    <t>-520.722748103778 340.091911204197 -199.693676829068</t>
  </si>
  <si>
    <t>-875.693921487659 117.976861122271 -526.264828910287</t>
  </si>
  <si>
    <t>-743.53938874404 29.9739384399113 -276.416635010948</t>
  </si>
  <si>
    <t>-823.53445566455 269.906139812407 -78.1923713991447</t>
  </si>
  <si>
    <t>-829.392921229284 315.018784174273 322.7879016681</t>
  </si>
  <si>
    <t>-869.426752179628 365.995218438757 766.330743722122</t>
  </si>
  <si>
    <t>-724.546693001838 388.071180818055 826.41160701524</t>
  </si>
  <si>
    <t>-830.76487935701 77.2767338408421 -66.1747765552394</t>
  </si>
  <si>
    <t>-815.813460457167 57.8367866419453 336.631912286876</t>
  </si>
  <si>
    <t>-837.986587258985 86.764461291255 782.787699177112</t>
  </si>
  <si>
    <t>-747.747324882863 -21.664495202373 854.810822678518</t>
  </si>
  <si>
    <t>9763-20170724T111038.086440200.bin</t>
  </si>
  <si>
    <t>-826.134885465897 174.498875824089 -71.1203567001373</t>
  </si>
  <si>
    <t>-854.779909270424 169.157700250821 -183.223665582796</t>
  </si>
  <si>
    <t>-865.480551730223 163.522746502945 -281.103218097986</t>
  </si>
  <si>
    <t>-870.192523389116 157.700557509037 -369.884585338889</t>
  </si>
  <si>
    <t>-869.629453718631 150.847531432001 -458.715636266055</t>
  </si>
  <si>
    <t>-863.361192085595 139.97301697484 -582.664376578694</t>
  </si>
  <si>
    <t>-833.244424638143 128.133311575132 -659.200787056094</t>
  </si>
  <si>
    <t>-857.725387778597 171.097816121197 -530.007060508338</t>
  </si>
  <si>
    <t>-809.211286213676 299.415888231554 -521.166995024894</t>
  </si>
  <si>
    <t>-756.71074673861 342.163550615484 -234.79741491636</t>
  </si>
  <si>
    <t>-518.466119656954 339.970407135801 -198.941663301542</t>
  </si>
  <si>
    <t>-874.513766676289 118.418834008424 -526.234383692674</t>
  </si>
  <si>
    <t>-742.917736338903 30.157573399661 -275.844152341191</t>
  </si>
  <si>
    <t>-822.494698148953 270.808575886792 -78.2220209835831</t>
  </si>
  <si>
    <t>-828.57579057267 315.28638172703 322.825819695311</t>
  </si>
  <si>
    <t>-869.295840692359 365.949216815593 766.36829940298</t>
  </si>
  <si>
    <t>-724.379102217754 387.813130335666 826.438193509059</t>
  </si>
  <si>
    <t>-830.143377836685 78.0908656181864 -66.1135526637796</t>
  </si>
  <si>
    <t>-815.344879576332 58.1257827604445 336.67311771105</t>
  </si>
  <si>
    <t>-838.032991729863 86.9070540507932 782.77294954843</t>
  </si>
  <si>
    <t>-748.010000022664 -21.6818105580051 854.825803693689</t>
  </si>
  <si>
    <t>9763-20170724T111038.130582200.bin</t>
  </si>
  <si>
    <t>-825.620157487867 174.846735769544 -71.1238645408035</t>
  </si>
  <si>
    <t>-854.219984121768 169.49465352657 -183.238138780262</t>
  </si>
  <si>
    <t>-864.871292942694 163.833852386981 -281.121716490999</t>
  </si>
  <si>
    <t>-869.534753167171 157.981333363378 -369.903549694067</t>
  </si>
  <si>
    <t>-868.920126199653 151.090414522544 -458.731445136762</t>
  </si>
  <si>
    <t>-862.576945113042 140.154272246303 -582.670913451266</t>
  </si>
  <si>
    <t>-832.45482012149 128.253740015138 -659.195763000144</t>
  </si>
  <si>
    <t>-856.944402648909 171.296302627872 -530.023312005711</t>
  </si>
  <si>
    <t>-808.238775493498 299.546722038226 -521.223353341881</t>
  </si>
  <si>
    <t>-755.574632211767 342.264498390978 -234.879408987552</t>
  </si>
  <si>
    <t>-517.394175947428 339.674200779589 -198.627948657463</t>
  </si>
  <si>
    <t>-873.792292498191 118.637141506298 -526.239142930205</t>
  </si>
  <si>
    <t>-742.444196190575 30.2546644791396 -275.560182121194</t>
  </si>
  <si>
    <t>-821.927095729689 271.133287647851 -78.2346308841595</t>
  </si>
  <si>
    <t>-828.113338265169 315.416619249276 322.833177664447</t>
  </si>
  <si>
    <t>-869.218813555864 365.902045985571 766.375411381291</t>
  </si>
  <si>
    <t>-724.294562172607 387.715649934245 826.445602957052</t>
  </si>
  <si>
    <t>-829.659314835924 78.4479766938657 -66.0919618746178</t>
  </si>
  <si>
    <t>-814.956717498517 58.2306175621293 336.68564659977</t>
  </si>
  <si>
    <t>-837.986753085777 87.0748835979298 782.759302627485</t>
  </si>
  <si>
    <t>-748.233485700435 -21.7208988076272 854.836919054476</t>
  </si>
  <si>
    <t>9763-20170724T111038.182720900.bin</t>
  </si>
  <si>
    <t>-824.51982338285 175.40755758946 -71.0967082645747</t>
  </si>
  <si>
    <t>-852.985205085671 170.041011859132 -183.244528554314</t>
  </si>
  <si>
    <t>-863.491266369018 164.34192870197 -281.141410612274</t>
  </si>
  <si>
    <t>-868.012260970555 158.445017855789 -369.927871301801</t>
  </si>
  <si>
    <t>-867.245110617241 151.498934619289 -458.7502194745</t>
  </si>
  <si>
    <t>-860.67878452857 140.475266592571 -582.670301194018</t>
  </si>
  <si>
    <t>-830.493841970906 128.529654600716 -659.163378516177</t>
  </si>
  <si>
    <t>-855.119878284271 171.647843454437 -530.033090539357</t>
  </si>
  <si>
    <t>-806.265593255164 299.843143964442 -521.248465804939</t>
  </si>
  <si>
    <t>-752.89300193951 342.372944133386 -235.007770654786</t>
  </si>
  <si>
    <t>-514.751873680464 339.228516652242 -198.542131105013</t>
  </si>
  <si>
    <t>-872.016402961962 119.004390910167 -526.2451619003</t>
  </si>
  <si>
    <t>-741.168357466574 30.581523159221 -274.997071567427</t>
  </si>
  <si>
    <t>-820.606496510614 271.790139025132 -78.2431124625643</t>
  </si>
  <si>
    <t>-827.280559320307 315.659357458575 322.862358729634</t>
  </si>
  <si>
    <t>-869.095366275574 365.891174094373 766.370110877494</t>
  </si>
  <si>
    <t>-724.196164504782 387.903017584263 826.428499599616</t>
  </si>
  <si>
    <t>-828.74393420814 78.9553275003786 -66.0324791075291</t>
  </si>
  <si>
    <t>-814.260930710644 58.1867745830987 336.7249611431</t>
  </si>
  <si>
    <t>-838.167424824291 87.0418130589287 782.755052586193</t>
  </si>
  <si>
    <t>-748.108455249997 -21.5032684544867 854.828884880779</t>
  </si>
  <si>
    <t>9763-20170724T111038.213815100.bin</t>
  </si>
  <si>
    <t>-823.957891223092 175.661414460292 -71.0739737612209</t>
  </si>
  <si>
    <t>-852.325601472253 170.297776981121 -183.246720723692</t>
  </si>
  <si>
    <t>-862.735603434324 164.582807700882 -281.152924937254</t>
  </si>
  <si>
    <t>-867.166586373341 158.663913243188 -369.942360732287</t>
  </si>
  <si>
    <t>-866.305468855277 151.689242035072 -458.761674121762</t>
  </si>
  <si>
    <t>-859.605081627768 140.617799177468 -582.670245698057</t>
  </si>
  <si>
    <t>-829.372451149155 128.676812768785 -659.145308927229</t>
  </si>
  <si>
    <t>-854.104682915944 171.811204635826 -530.039074349096</t>
  </si>
  <si>
    <t>-805.250749069243 300.007745734298 -521.246403672504</t>
  </si>
  <si>
    <t>-751.411281037078 342.450809009823 -235.080262405009</t>
  </si>
  <si>
    <t>-513.234845584891 339.074024768363 -198.866031582122</t>
  </si>
  <si>
    <t>-871.002779083568 119.168576357513 -526.249156021894</t>
  </si>
  <si>
    <t>-740.319284107935 30.7283734986431 -274.731347938278</t>
  </si>
  <si>
    <t>-819.976793605121 272.047984047292 -78.2244928421418</t>
  </si>
  <si>
    <t>-826.912181242239 315.730928940609 322.896917385962</t>
  </si>
  <si>
    <t>-869.029924378713 365.867565944224 766.371447395156</t>
  </si>
  <si>
    <t>-724.134567141673 387.913320753592 826.426550073286</t>
  </si>
  <si>
    <t>-828.271374169842 79.2395283005144 -66.0127384540734</t>
  </si>
  <si>
    <t>-813.903296305845 58.1908433823737 336.734235610242</t>
  </si>
  <si>
    <t>-838.181325995002 87.1187499173493 782.740869289154</t>
  </si>
  <si>
    <t>-748.198804382601 -21.4793241193229 854.830567737698</t>
  </si>
  <si>
    <t>9763-20170724T111038.285006700.bin</t>
  </si>
  <si>
    <t>-822.850379564484 176.192849396333 -71.0454956197692</t>
  </si>
  <si>
    <t>-851.055230535753 170.81886446164 -183.258746677219</t>
  </si>
  <si>
    <t>-861.284618881553 165.074520166564 -281.182396441459</t>
  </si>
  <si>
    <t>-865.536689656131 159.120346460321 -369.978200075724</t>
  </si>
  <si>
    <t>-864.482234043536 152.100962528923 -458.791814793198</t>
  </si>
  <si>
    <t>-857.496695692942 140.957298515648 -582.678164069864</t>
  </si>
  <si>
    <t>-827.151995744188 129.085448054538 -659.119610892771</t>
  </si>
  <si>
    <t>-852.136509292922 172.187173200306 -530.05446867857</t>
  </si>
  <si>
    <t>-803.375765280331 300.413039509461 -521.182772205892</t>
  </si>
  <si>
    <t>-748.543377700255 342.798633456541 -235.196662625702</t>
  </si>
  <si>
    <t>-510.279013600058 339.104471217003 -199.597092645659</t>
  </si>
  <si>
    <t>-869.00481202416 119.534717472236 -526.269383476365</t>
  </si>
  <si>
    <t>-738.522777250582 31.1908089643157 -274.463059799459</t>
  </si>
  <si>
    <t>-818.844704991812 272.573231798882 -78.1987995172545</t>
  </si>
  <si>
    <t>-826.261490500208 315.835276435384 322.959664812358</t>
  </si>
  <si>
    <t>-868.919942072059 365.863019694694 766.378070178131</t>
  </si>
  <si>
    <t>-724.093984354751 388.427371022457 826.407878935417</t>
  </si>
  <si>
    <t>-827.201969173423 79.7544085702452 -65.9956591101461</t>
  </si>
  <si>
    <t>-813.125385541647 58.2027298748262 336.735109334683</t>
  </si>
  <si>
    <t>-838.157428308935 87.3383701330313 782.696674490823</t>
  </si>
  <si>
    <t>-748.563570500993 -21.5507628013006 854.831197619862</t>
  </si>
  <si>
    <t>9763-20170724T111038.317089600.bin</t>
  </si>
  <si>
    <t>-822.393951965381 176.313904569477 -71.0367255217456</t>
  </si>
  <si>
    <t>-850.522589307138 170.939953076832 -183.269196035616</t>
  </si>
  <si>
    <t>-860.664591609396 165.186003508394 -281.201285132084</t>
  </si>
  <si>
    <t>-864.828733118193 159.218631004171 -370.000449926736</t>
  </si>
  <si>
    <t>-863.678482392409 152.181755252992 -458.811486796715</t>
  </si>
  <si>
    <t>-856.550849325672 141.009623061166 -582.687200142347</t>
  </si>
  <si>
    <t>-826.144243694293 129.191993989456 -659.112340419028</t>
  </si>
  <si>
    <t>-851.268981331997 172.257471337745 -530.066094133298</t>
  </si>
  <si>
    <t>-802.611171157205 300.519390984878 -521.111041473924</t>
  </si>
  <si>
    <t>-747.277592841809 342.83636876082 -235.211390377327</t>
  </si>
  <si>
    <t>-508.965957658551 339.065916505686 -199.93612291668</t>
  </si>
  <si>
    <t>-868.105813384752 119.594550826759 -526.285152017424</t>
  </si>
  <si>
    <t>-737.631599083992 31.3134474884173 -274.45895094596</t>
  </si>
  <si>
    <t>-818.358212891855 272.762864896306 -78.1853621255378</t>
  </si>
  <si>
    <t>-825.991183944782 315.754172765977 322.998017485714</t>
  </si>
  <si>
    <t>-868.85825338269 365.807719553935 766.391361272067</t>
  </si>
  <si>
    <t>-723.966943632942 387.94913181014 826.421231385519</t>
  </si>
  <si>
    <t>-826.784364716968 79.7771564510526 -65.9885695992285</t>
  </si>
  <si>
    <t>-812.894110447859 58.0902293433783 336.741381606098</t>
  </si>
  <si>
    <t>-838.282753877162 87.2641906104695 782.686072289227</t>
  </si>
  <si>
    <t>-748.342429829002 -21.346835057846 854.808709962268</t>
  </si>
  <si>
    <t>9763-20170724T111038.384273400.bin</t>
  </si>
  <si>
    <t>-821.315287713865 176.414940059017 -71.0286216637234</t>
  </si>
  <si>
    <t>-849.318748990575 171.046150007397 -183.292594177637</t>
  </si>
  <si>
    <t>-859.298169144492 165.285987848172 -281.241086757186</t>
  </si>
  <si>
    <t>-863.293777525428 159.307418293968 -370.047088983691</t>
  </si>
  <si>
    <t>-861.953856884294 152.25363030346 -458.854199489085</t>
  </si>
  <si>
    <t>-854.539966867169 141.050812724211 -582.710453691315</t>
  </si>
  <si>
    <t>-824.010589542259 129.390352479971 -659.110731839674</t>
  </si>
  <si>
    <t>-849.426913063988 172.326393427348 -530.089013152324</t>
  </si>
  <si>
    <t>-801.017301369506 300.66434915687 -520.914670996272</t>
  </si>
  <si>
    <t>-745.070150599111 342.61480651285 -235.080294330348</t>
  </si>
  <si>
    <t>-506.592526178468 338.669676432462 -200.96691714038</t>
  </si>
  <si>
    <t>-866.17807827649 119.634756077718 -526.325880413895</t>
  </si>
  <si>
    <t>-735.610888879472 31.4123588382809 -274.485301007073</t>
  </si>
  <si>
    <t>-817.229500379704 272.945758267279 -78.1271846085225</t>
  </si>
  <si>
    <t>-825.501626930911 315.661507586251 323.072976464145</t>
  </si>
  <si>
    <t>-868.747057072031 365.725724662588 766.423680561755</t>
  </si>
  <si>
    <t>-723.876393138191 388.041772020602 826.438176381772</t>
  </si>
  <si>
    <t>-825.719811480716 79.7991962443521 -65.9985706430095</t>
  </si>
  <si>
    <t>-812.236603988608 57.9816145646132 336.738163590212</t>
  </si>
  <si>
    <t>-838.318681359434 87.4279257852859 782.656916508624</t>
  </si>
  <si>
    <t>-748.47417133745 -21.2543994773869 854.791985065345</t>
  </si>
  <si>
    <t>9763-20170724T111038.414348500.bin</t>
  </si>
  <si>
    <t>-820.841921475188 176.444916581198 -71.0047800856113</t>
  </si>
  <si>
    <t>-848.785276702323 171.06071030643 -183.283000078579</t>
  </si>
  <si>
    <t>-858.688931768161 165.3021741049 -281.239189198699</t>
  </si>
  <si>
    <t>-862.606706192549 159.330034832441 -370.049289925378</t>
  </si>
  <si>
    <t>-861.178945983617 152.287953807192 -458.855845758586</t>
  </si>
  <si>
    <t>-853.631835095144 141.106996045734 -582.705925826599</t>
  </si>
  <si>
    <t>-823.045915512963 129.569170558855 -659.102254261622</t>
  </si>
  <si>
    <t>-848.602080409125 172.38147033873 -530.076049448064</t>
  </si>
  <si>
    <t>-800.344029884209 300.765024005184 -520.780352784077</t>
  </si>
  <si>
    <t>-744.017780072767 342.527252836562 -234.992992588374</t>
  </si>
  <si>
    <t>-505.455500191692 338.533170239391 -201.481898827166</t>
  </si>
  <si>
    <t>-865.303885681031 119.672676578237 -526.335237801751</t>
  </si>
  <si>
    <t>-734.706316386136 31.5042515988289 -274.484575047435</t>
  </si>
  <si>
    <t>-816.78505257962 273.038387377324 -78.0976918877818</t>
  </si>
  <si>
    <t>-825.27656269374 315.631493274092 323.110929725387</t>
  </si>
  <si>
    <t>-868.692753469423 365.682870167778 766.443470211589</t>
  </si>
  <si>
    <t>-723.838423726118 388.122589852471 826.452134783746</t>
  </si>
  <si>
    <t>-825.25654041258 79.8058582238136 -65.9796718508834</t>
  </si>
  <si>
    <t>-811.970432891847 57.821893442801 336.754510303734</t>
  </si>
  <si>
    <t>-838.456634661896 87.3370287180596 782.648950562905</t>
  </si>
  <si>
    <t>-748.386485340135 -21.1661827935495 854.772138251001</t>
  </si>
  <si>
    <t>9763-20170724T111038.484537300.bin</t>
  </si>
  <si>
    <t>-819.951989114291 176.592687222813 -70.9575003760649</t>
  </si>
  <si>
    <t>-847.79977348094 171.184662921449 -183.258393929997</t>
  </si>
  <si>
    <t>-857.566860902326 165.446577147188 -281.229506613449</t>
  </si>
  <si>
    <t>-861.338512067942 159.507376736254 -370.048083163281</t>
  </si>
  <si>
    <t>-859.740594465998 152.512760623132 -458.855512201297</t>
  </si>
  <si>
    <t>-851.931811538168 141.412469888595 -582.696545107229</t>
  </si>
  <si>
    <t>-821.237590549704 130.191478174524 -659.096695059404</t>
  </si>
  <si>
    <t>-847.069087800058 172.670055397322 -530.040748794608</t>
  </si>
  <si>
    <t>-799.083616426661 301.136583573103 -520.451282675205</t>
  </si>
  <si>
    <t>-741.985824647725 342.661717826149 -234.782472449313</t>
  </si>
  <si>
    <t>-503.167289827515 338.531064490929 -203.167752312044</t>
  </si>
  <si>
    <t>-863.667292720605 119.924204300068 -526.359711151129</t>
  </si>
  <si>
    <t>-732.993341786471 31.873957187529 -274.436162038674</t>
  </si>
  <si>
    <t>-815.978173907167 273.245463783158 -78.0309361401283</t>
  </si>
  <si>
    <t>-824.93351276669 315.560241531432 323.197083057705</t>
  </si>
  <si>
    <t>-868.581735844038 365.595291779199 766.494969402284</t>
  </si>
  <si>
    <t>-723.71037624032 387.931140764121 826.500336104484</t>
  </si>
  <si>
    <t>-824.255688294166 79.8910147220176 -65.945369163977</t>
  </si>
  <si>
    <t>-811.316260535652 57.6512585402297 336.786095022246</t>
  </si>
  <si>
    <t>-838.438659870059 87.5630259027716 782.614436451887</t>
  </si>
  <si>
    <t>-748.538611712862 -21.0706883906619 854.753273266846</t>
  </si>
  <si>
    <t>9763-20170724T111038.518278900.bin</t>
  </si>
  <si>
    <t>-819.538039700792 176.65209524865 -70.9336451075352</t>
  </si>
  <si>
    <t>-847.328548192279 171.224546105238 -183.247731678661</t>
  </si>
  <si>
    <t>-857.023889727693 165.499523587814 -281.226679671489</t>
  </si>
  <si>
    <t>-860.720311777106 159.582699408766 -370.05001952119</t>
  </si>
  <si>
    <t>-859.037604361814 152.621401065502 -458.858414518852</t>
  </si>
  <si>
    <t>-851.098714331725 141.579265320429 -582.696494156084</t>
  </si>
  <si>
    <t>-820.354967803714 130.557566442453 -659.10568345388</t>
  </si>
  <si>
    <t>-846.316908958634 172.819803503311 -530.023403359281</t>
  </si>
  <si>
    <t>-798.447074456288 301.315903065479 -520.275937156701</t>
  </si>
  <si>
    <t>-740.921185073979 342.583379925794 -234.655626794362</t>
  </si>
  <si>
    <t>-501.908585297274 338.286512817469 -204.565763000691</t>
  </si>
  <si>
    <t>-862.867715232113 120.056814932657 -526.379769201477</t>
  </si>
  <si>
    <t>-732.118203368226 31.9606344401877 -274.365858808503</t>
  </si>
  <si>
    <t>-815.578540566831 273.368582544214 -78.0085635860788</t>
  </si>
  <si>
    <t>-824.795471559768 315.52054408449 323.230738273987</t>
  </si>
  <si>
    <t>-868.538243672627 365.577929433596 766.51931775756</t>
  </si>
  <si>
    <t>-723.68229930113 388.034862534402 826.517303566408</t>
  </si>
  <si>
    <t>-823.808265110654 79.858828895919 -65.9323602070591</t>
  </si>
  <si>
    <t>-811.068419263641 57.6000396868262 336.804404333375</t>
  </si>
  <si>
    <t>-838.498296772969 87.583808604963 782.611553349121</t>
  </si>
  <si>
    <t>-748.588673525594 -21.0406175924336 854.752150285834</t>
  </si>
  <si>
    <t>9763-20170724T111038.583445100.bin</t>
  </si>
  <si>
    <t>-818.780488377787 176.655494957598 -70.891166466775</t>
  </si>
  <si>
    <t>-846.504638003415 171.211631965814 -183.220735632684</t>
  </si>
  <si>
    <t>-856.113327301238 165.534665060348 -281.211215482277</t>
  </si>
  <si>
    <t>-859.717274746904 159.68627506443 -370.042756144234</t>
  </si>
  <si>
    <t>-857.927021073995 152.818021051874 -458.856325223616</t>
  </si>
  <si>
    <t>-849.820534364342 141.931286889034 -582.697334835385</t>
  </si>
  <si>
    <t>-819.019409048844 131.386175711631 -659.150586754998</t>
  </si>
  <si>
    <t>-845.161227486657 173.121504157641 -529.983302657205</t>
  </si>
  <si>
    <t>-797.506294486868 301.678200933102 -519.941703402623</t>
  </si>
  <si>
    <t>-738.905513969446 342.314631829191 -234.449356059665</t>
  </si>
  <si>
    <t>-499.444017588452 337.881365497722 -208.191353228747</t>
  </si>
  <si>
    <t>-861.614373075156 120.32236452182 -526.418806065095</t>
  </si>
  <si>
    <t>-730.643932878591 32.1818632638983 -274.265282640481</t>
  </si>
  <si>
    <t>-814.869754337748 273.352198525748 -77.9329861745455</t>
  </si>
  <si>
    <t>-824.425878853389 315.489634422166 323.299828833038</t>
  </si>
  <si>
    <t>-868.4465409387 365.509613006124 766.559444966668</t>
  </si>
  <si>
    <t>-723.616414112172 388.159242679872 826.546557521818</t>
  </si>
  <si>
    <t>-823.068672813506 79.8861521950435 -65.8964969341829</t>
  </si>
  <si>
    <t>-810.653696962004 57.4103037040154 336.838407818527</t>
  </si>
  <si>
    <t>-838.605829204713 87.6361266970862 782.601731483249</t>
  </si>
  <si>
    <t>-748.66415763311 -20.9604882857116 854.744275255234</t>
  </si>
  <si>
    <t>9763-20170724T111038.615533600.bin</t>
  </si>
  <si>
    <t>-818.424744127014 176.645533383652 -70.8592464697083</t>
  </si>
  <si>
    <t>-846.126403871536 171.197578509154 -183.194266661091</t>
  </si>
  <si>
    <t>-855.702398249945 165.547194771127 -281.18934807252</t>
  </si>
  <si>
    <t>-859.27153028523 159.73403978214 -370.024553790404</t>
  </si>
  <si>
    <t>-857.439144334779 152.912591498437 -458.840982069253</t>
  </si>
  <si>
    <t>-849.267574263064 142.10329352848 -582.684445706832</t>
  </si>
  <si>
    <t>-818.452793783934 131.815659524191 -659.16755259606</t>
  </si>
  <si>
    <t>-844.656416942841 173.266921580577 -529.950365694422</t>
  </si>
  <si>
    <t>-797.107551712767 301.850441480445 -519.780234930616</t>
  </si>
  <si>
    <t>-737.961881465378 342.214760487372 -234.361741656414</t>
  </si>
  <si>
    <t>-498.392602809429 337.714066177054 -209.119718196334</t>
  </si>
  <si>
    <t>-861.070774609618 120.45307677706 -526.423764172811</t>
  </si>
  <si>
    <t>-729.987181654565 32.2493091372794 -274.17099538979</t>
  </si>
  <si>
    <t>-814.500008853611 273.342520006354 -77.894109274544</t>
  </si>
  <si>
    <t>-824.183691022249 315.420739200816 323.341920538115</t>
  </si>
  <si>
    <t>-868.39685819355 365.457393873441 766.579082513266</t>
  </si>
  <si>
    <t>-723.541367362571 387.947925789539 826.565783096263</t>
  </si>
  <si>
    <t>-822.699324809454 79.8987418161405 -65.8701846037907</t>
  </si>
  <si>
    <t>-810.377625636422 57.2697233807148 336.858950751965</t>
  </si>
  <si>
    <t>-838.639617517491 87.6841371315236 782.593103409387</t>
  </si>
  <si>
    <t>-748.709544495462 -20.917768858872 854.742447231137</t>
  </si>
  <si>
    <t>9763-20170724T111038.682712100.bin</t>
  </si>
  <si>
    <t>-817.695494922062 176.619151974324 -70.7880498239758</t>
  </si>
  <si>
    <t>-845.346120702582 171.177578186021 -183.135883167994</t>
  </si>
  <si>
    <t>-854.833375208443 165.589014741935 -281.143149771869</t>
  </si>
  <si>
    <t>-858.301976427186 159.854023109222 -369.987564041237</t>
  </si>
  <si>
    <t>-856.348699572985 153.133874030345 -458.809101129516</t>
  </si>
  <si>
    <t>-847.984643097784 142.490320763232 -582.654051144271</t>
  </si>
  <si>
    <t>-817.143081223165 132.723893307864 -659.194558497413</t>
  </si>
  <si>
    <t>-843.494012576613 173.594959593641 -529.874855055702</t>
  </si>
  <si>
    <t>-796.098668431013 302.214989450231 -519.449657616502</t>
  </si>
  <si>
    <t>-736.431683955687 342.078837909181 -234.069418589418</t>
  </si>
  <si>
    <t>-496.607953735605 337.228093754817 -211.442173247672</t>
  </si>
  <si>
    <t>-859.836492731009 120.753005433038 -526.437194067359</t>
  </si>
  <si>
    <t>-728.554126564685 32.398483362635 -274.120491027332</t>
  </si>
  <si>
    <t>-813.687346733316 273.275721425653 -77.8062079837048</t>
  </si>
  <si>
    <t>-823.680575051945 315.325980926636 323.425070601777</t>
  </si>
  <si>
    <t>-868.335417407704 365.432218610059 766.598069002071</t>
  </si>
  <si>
    <t>-723.551578978182 388.451563197843 826.557006453619</t>
  </si>
  <si>
    <t>-822.042201340614 79.8609373369413 -65.83052174953</t>
  </si>
  <si>
    <t>-809.988215868578 57.0901344605795 336.898722616254</t>
  </si>
  <si>
    <t>-838.710862109427 87.7571659135992 782.578842886386</t>
  </si>
  <si>
    <t>-748.745851614921 -20.8065772524283 854.741950272678</t>
  </si>
  <si>
    <t>9763-20170724T111038.714299200.bin</t>
  </si>
  <si>
    <t>-817.366318317727 176.55358482809 -70.7760810038728</t>
  </si>
  <si>
    <t>-845.010957575176 171.118485762468 -183.125747767995</t>
  </si>
  <si>
    <t>-854.469917217645 165.551558759039 -281.136974880869</t>
  </si>
  <si>
    <t>-857.903140946181 159.842439939967 -369.984356570214</t>
  </si>
  <si>
    <t>-855.904053921126 153.153803234801 -458.807286216564</t>
  </si>
  <si>
    <t>-847.465437929516 142.561067607183 -582.651561393217</t>
  </si>
  <si>
    <t>-816.603937888393 133.01839110491 -659.212156341366</t>
  </si>
  <si>
    <t>-843.018347709641 173.647827707507 -529.858067142411</t>
  </si>
  <si>
    <t>-795.681477117483 302.282864185777 -519.321840699892</t>
  </si>
  <si>
    <t>-735.753708391947 341.761371973531 -233.942651098042</t>
  </si>
  <si>
    <t>-495.848696610825 336.916876804504 -212.194559577536</t>
  </si>
  <si>
    <t>-859.339557175012 120.797312284009 -526.449652977679</t>
  </si>
  <si>
    <t>-727.975045930074 32.4417826253693 -274.102440236331</t>
  </si>
  <si>
    <t>-813.328763183421 273.205402741416 -77.7812220674855</t>
  </si>
  <si>
    <t>-823.4118365353 315.200337621026 323.453630163264</t>
  </si>
  <si>
    <t>-868.288543018541 365.342507134357 766.601003682275</t>
  </si>
  <si>
    <t>-723.467502519192 388.143740203278 826.553442931988</t>
  </si>
  <si>
    <t>-821.746260920028 79.8167630323192 -65.8116214915764</t>
  </si>
  <si>
    <t>-809.753017455429 56.9862691712428 336.916132020818</t>
  </si>
  <si>
    <t>-838.710035519421 87.8400129176875 782.569155202867</t>
  </si>
  <si>
    <t>-748.803253450149 -20.76467537089 854.743045753448</t>
  </si>
  <si>
    <t>9763-20170724T111038.780547500.bin</t>
  </si>
  <si>
    <t>-816.806991472766 176.383420494617 -70.7336184040468</t>
  </si>
  <si>
    <t>-844.415671303852 170.912421959312 -183.090324167571</t>
  </si>
  <si>
    <t>-853.826916173648 165.380598643591 -281.108229670587</t>
  </si>
  <si>
    <t>-857.208187172602 159.729020874816 -369.96115286288</t>
  </si>
  <si>
    <t>-855.147721608002 153.12327551036 -458.788861693567</t>
  </si>
  <si>
    <t>-846.611451508594 142.6721673626 -582.638540411689</t>
  </si>
  <si>
    <t>-815.683013046714 133.534814349059 -659.221388048884</t>
  </si>
  <si>
    <t>-842.217441969579 173.701664692545 -529.807094030834</t>
  </si>
  <si>
    <t>-794.901083301054 302.32134209358 -519.031644823218</t>
  </si>
  <si>
    <t>-734.220175493434 341.184161672511 -233.727153481566</t>
  </si>
  <si>
    <t>-494.161096367279 336.163763845551 -213.79087605939</t>
  </si>
  <si>
    <t>-858.518687900226 120.840689579455 -526.469864988394</t>
  </si>
  <si>
    <t>-726.926018892638 32.3001477122061 -274.065384052598</t>
  </si>
  <si>
    <t>-812.792618583223 273.032386433767 -77.7559626111511</t>
  </si>
  <si>
    <t>-823.064072019438 314.971844346736 323.479923165915</t>
  </si>
  <si>
    <t>-868.190222516917 365.170218000073 766.597253375067</t>
  </si>
  <si>
    <t>-723.305948213255 387.569772119865 826.54775881718</t>
  </si>
  <si>
    <t>-821.125711893953 79.6103367823689 -65.7833030253582</t>
  </si>
  <si>
    <t>-809.489184301142 56.8317791115019 336.957785316562</t>
  </si>
  <si>
    <t>-838.810989152873 87.8818417350808 782.567339480746</t>
  </si>
  <si>
    <t>-748.860164605508 -20.6804399038024 854.750213412261</t>
  </si>
  <si>
    <t>9763-20170724T111038.817666100.bin</t>
  </si>
  <si>
    <t>-816.547408949935 176.286977185171 -70.7289105282405</t>
  </si>
  <si>
    <t>-844.140438384815 170.786631028427 -183.088073610162</t>
  </si>
  <si>
    <t>-853.527267454521 165.269244973073 -281.109017424442</t>
  </si>
  <si>
    <t>-856.881086203433 159.645304442778 -369.964918545008</t>
  </si>
  <si>
    <t>-854.786781885009 153.081799482 -458.794963148092</t>
  </si>
  <si>
    <t>-846.196943501546 142.703379291038 -582.646944155243</t>
  </si>
  <si>
    <t>-815.218556299831 133.767875780708 -659.233654549772</t>
  </si>
  <si>
    <t>-841.826940752488 173.702187219064 -529.795338185579</t>
  </si>
  <si>
    <t>-794.499793657684 302.310763263708 -518.895614523934</t>
  </si>
  <si>
    <t>-733.232358457792 341.008462441689 -233.693969028576</t>
  </si>
  <si>
    <t>-493.122209199653 335.828861637507 -214.428196907604</t>
  </si>
  <si>
    <t>-858.127001362712 120.838438262362 -526.496203367118</t>
  </si>
  <si>
    <t>-726.454360908135 32.2056876195693 -274.105094833993</t>
  </si>
  <si>
    <t>-812.535618625559 272.959527536611 -77.7595598357819</t>
  </si>
  <si>
    <t>-822.97133874331 314.928020678383 323.46907780561</t>
  </si>
  <si>
    <t>-868.149955848653 365.132740269435 766.584077340393</t>
  </si>
  <si>
    <t>-723.282095786025 387.646737442269 826.531942531826</t>
  </si>
  <si>
    <t>-820.869900469172 79.5182203579857 -65.7643959924118</t>
  </si>
  <si>
    <t>-809.450443178891 56.8047028162255 336.986599347722</t>
  </si>
  <si>
    <t>-838.865290844269 87.909048106219 782.580500684498</t>
  </si>
  <si>
    <t>-748.959140159119 -20.6934971071182 854.758601048045</t>
  </si>
  <si>
    <t>9763-20170724T111038.882839300.bin</t>
  </si>
  <si>
    <t>-816.30844918543 176.122219606233 -70.7563916082535</t>
  </si>
  <si>
    <t>-843.849633069648 170.594098227974 -183.127012555683</t>
  </si>
  <si>
    <t>-853.162060278182 165.131909418576 -281.15801269967</t>
  </si>
  <si>
    <t>-856.434342254833 159.587303922354 -370.021998551368</t>
  </si>
  <si>
    <t>-854.243205198409 153.132616707361 -458.857594486566</t>
  </si>
  <si>
    <t>-845.50036612647 142.93603219173 -582.7139847554</t>
  </si>
  <si>
    <t>-814.410154422913 134.41866317192 -659.302958587174</t>
  </si>
  <si>
    <t>-841.210389204282 173.862148689749 -529.813089622923</t>
  </si>
  <si>
    <t>-793.927532691832 302.460075660627 -518.642271096987</t>
  </si>
  <si>
    <t>-731.289879497079 341.014148750916 -233.718975102291</t>
  </si>
  <si>
    <t>-491.085868157429 335.237516194552 -215.843692330228</t>
  </si>
  <si>
    <t>-857.484976612322 120.984407526913 -526.608704994181</t>
  </si>
  <si>
    <t>-725.767487964181 32.0673721892035 -274.246556457648</t>
  </si>
  <si>
    <t>-812.356494309454 272.885474049685 -77.7915018349798</t>
  </si>
  <si>
    <t>-822.938779625211 314.829634566081 323.435825753847</t>
  </si>
  <si>
    <t>-868.071039843405 365.075647936025 766.558903516057</t>
  </si>
  <si>
    <t>-723.222331502378 387.715677793883 826.505193539578</t>
  </si>
  <si>
    <t>-820.602704803617 79.2825977125081 -65.755579015021</t>
  </si>
  <si>
    <t>-809.527154039036 56.7546760577357 337.015487125631</t>
  </si>
  <si>
    <t>-838.990949244087 87.9472525027331 782.607631446249</t>
  </si>
  <si>
    <t>-748.910986742188 -20.5285129974041 854.759723422098</t>
  </si>
  <si>
    <t>9763-20170724T111038.918868700.bin</t>
  </si>
  <si>
    <t>-816.304444799652 175.996298483212 -70.7604829358762</t>
  </si>
  <si>
    <t>-843.833060268491 170.46219432109 -183.133901715687</t>
  </si>
  <si>
    <t>-853.098578829757 165.039358941548 -281.171655827371</t>
  </si>
  <si>
    <t>-856.312480563632 159.54773972514 -370.040930039784</t>
  </si>
  <si>
    <t>-854.046166624392 153.161129967812 -458.879592950689</t>
  </si>
  <si>
    <t>-845.180744509227 143.076361472343 -582.736398467625</t>
  </si>
  <si>
    <t>-814.017273636294 134.77476563413 -659.319393184256</t>
  </si>
  <si>
    <t>-840.95579281059 173.958223007995 -529.804660070833</t>
  </si>
  <si>
    <t>-793.69378453014 302.548436878609 -518.473722712171</t>
  </si>
  <si>
    <t>-730.353921256912 340.940571494722 -233.683783611541</t>
  </si>
  <si>
    <t>-490.100421087347 335.029213262738 -216.530986698865</t>
  </si>
  <si>
    <t>-857.208117026872 121.070191071068 -526.661648369823</t>
  </si>
  <si>
    <t>-725.507269008447 31.9237941041974 -274.319343732385</t>
  </si>
  <si>
    <t>-812.375545156125 272.768773321075 -77.7930577472827</t>
  </si>
  <si>
    <t>-822.969191005958 314.755646246261 323.429531033873</t>
  </si>
  <si>
    <t>-868.027937584514 365.009432923926 766.554966619879</t>
  </si>
  <si>
    <t>-723.16432683942 387.549629564174 826.503195974354</t>
  </si>
  <si>
    <t>-820.60781298167 79.1568849799291 -65.753675590472</t>
  </si>
  <si>
    <t>-809.583537878765 56.6602535561333 337.020495464999</t>
  </si>
  <si>
    <t>-839.050128311016 87.9812753555525 782.62353047567</t>
  </si>
  <si>
    <t>-749.010357948916 -20.5347404292988 854.765197622647</t>
  </si>
  <si>
    <t>9763-20170724T111038.985052200.bin</t>
  </si>
  <si>
    <t>-816.382672706341 175.851604753827 -70.7522011770534</t>
  </si>
  <si>
    <t>-843.904754273431 170.304557356534 -183.126570834525</t>
  </si>
  <si>
    <t>-853.043791350685 164.976492840717 -281.181321305581</t>
  </si>
  <si>
    <t>-856.091064050665 159.609398180635 -370.064100752111</t>
  </si>
  <si>
    <t>-853.604507983438 153.385179910297 -458.908559107016</t>
  </si>
  <si>
    <t>-844.373778339828 143.564869276382 -582.759904779071</t>
  </si>
  <si>
    <t>-813.00788847518 135.716196252842 -659.308002737938</t>
  </si>
  <si>
    <t>-840.344553108815 174.34542428116 -529.753975903584</t>
  </si>
  <si>
    <t>-793.203302096495 302.949683080872 -518.06532521829</t>
  </si>
  <si>
    <t>-728.327183789507 341.14871889495 -233.595472698033</t>
  </si>
  <si>
    <t>-487.975406139238 334.665408003114 -218.106517820741</t>
  </si>
  <si>
    <t>-856.526811506752 121.427064323364 -526.763932376727</t>
  </si>
  <si>
    <t>-724.883985087489 31.9304100523104 -274.478982492415</t>
  </si>
  <si>
    <t>-812.42402976322 272.661392229701 -77.7847101876381</t>
  </si>
  <si>
    <t>-823.070050144806 314.780389397162 323.422615683861</t>
  </si>
  <si>
    <t>-867.960149873276 364.971183796254 766.567651255036</t>
  </si>
  <si>
    <t>-723.164026765045 387.94842904585 826.512567447826</t>
  </si>
  <si>
    <t>-820.659045730951 78.9803021757862 -65.745986260765</t>
  </si>
  <si>
    <t>-809.683489573917 56.5571064212099 337.033531490366</t>
  </si>
  <si>
    <t>-839.150443262431 88.0658480546376 782.638632503377</t>
  </si>
  <si>
    <t>-749.174797885889 -20.5125769968804 854.76614525336</t>
  </si>
  <si>
    <t>9763-20170724T111039.017077600.bin</t>
  </si>
  <si>
    <t>-816.422262848754 175.788744757587 -70.7351713244919</t>
  </si>
  <si>
    <t>-843.927858660735 170.230892356538 -183.112968880676</t>
  </si>
  <si>
    <t>-852.995348000961 164.946309090163 -281.176779032177</t>
  </si>
  <si>
    <t>-855.953467387789 159.638448775628 -370.066196836941</t>
  </si>
  <si>
    <t>-853.352079947922 153.493144389583 -458.912684349213</t>
  </si>
  <si>
    <t>-843.933576073715 143.801888337222 -582.760179716155</t>
  </si>
  <si>
    <t>-812.46260782692 136.195896833846 -659.289527735932</t>
  </si>
  <si>
    <t>-840.008117352907 174.534546860495 -529.71842170872</t>
  </si>
  <si>
    <t>-792.943910742427 303.150208652198 -517.867299955166</t>
  </si>
  <si>
    <t>-727.17275893923 341.288199931394 -233.594864440615</t>
  </si>
  <si>
    <t>-486.789531743742 334.554912800718 -218.712667080079</t>
  </si>
  <si>
    <t>-856.147920592085 121.598729499187 -526.803599460038</t>
  </si>
  <si>
    <t>-724.568375264352 31.8771700329817 -274.442648678244</t>
  </si>
  <si>
    <t>-812.489158482758 272.617129469807 -77.7721291998231</t>
  </si>
  <si>
    <t>-823.144639331468 314.826614462568 323.425437551807</t>
  </si>
  <si>
    <t>-867.930676415418 364.968287528437 766.577024027948</t>
  </si>
  <si>
    <t>-723.146412532598 388.015481650786 826.524041350601</t>
  </si>
  <si>
    <t>-820.679853242315 78.9011676095452 -65.7355688419933</t>
  </si>
  <si>
    <t>-809.762017108157 56.4940532486144 337.046489566132</t>
  </si>
  <si>
    <t>-839.222643434637 88.0788409879669 782.650742480284</t>
  </si>
  <si>
    <t>-749.008434756422 -20.3174190139166 854.754357519898</t>
  </si>
  <si>
    <t>9763-20170724T111039.086262500.bin</t>
  </si>
  <si>
    <t>-816.451989116314 175.688199498522 -70.7144505402645</t>
  </si>
  <si>
    <t>-843.930521266195 170.120631772634 -183.098332566336</t>
  </si>
  <si>
    <t>-852.874668593584 164.931146006114 -281.178548625581</t>
  </si>
  <si>
    <t>-855.677374578546 159.748213167884 -370.08035651171</t>
  </si>
  <si>
    <t>-852.87531370516 153.765779864009 -458.931967397302</t>
  </si>
  <si>
    <t>-843.127665668598 144.340822985742 -582.7744947685</t>
  </si>
  <si>
    <t>-811.463826022318 137.256281463713 -659.274439472584</t>
  </si>
  <si>
    <t>-839.387934976829 174.972343107983 -529.661099017859</t>
  </si>
  <si>
    <t>-792.472805163829 303.614569867796 -517.508516444982</t>
  </si>
  <si>
    <t>-724.900067441411 341.423137132068 -233.614770909711</t>
  </si>
  <si>
    <t>-484.438009236234 334.273441435981 -220.282361519484</t>
  </si>
  <si>
    <t>-855.446168058031 122.004106910708 -526.893853377578</t>
  </si>
  <si>
    <t>-723.97755544854 31.9073842782223 -274.147948324225</t>
  </si>
  <si>
    <t>-812.540153965518 272.541070603726 -77.7407554036927</t>
  </si>
  <si>
    <t>-823.213931407102 314.805445822582 323.450551442071</t>
  </si>
  <si>
    <t>-867.857243284476 364.881040886206 766.60404819078</t>
  </si>
  <si>
    <t>-723.068024444418 387.890997096883 826.553405062171</t>
  </si>
  <si>
    <t>-820.701626450975 78.7879274661336 -65.7106618878304</t>
  </si>
  <si>
    <t>-809.861057895111 56.4000698112404 337.07454270092</t>
  </si>
  <si>
    <t>-839.402002207304 88.0348979522105 782.674920557392</t>
  </si>
  <si>
    <t>-749.038271922554 -20.2541484474468 854.752505810406</t>
  </si>
  <si>
    <t>9763-20170724T111039.113337100.bin</t>
  </si>
  <si>
    <t>-816.397941447384 175.694198656878 -70.6862457155352</t>
  </si>
  <si>
    <t>-843.85465349878 170.123104849448 -183.075263722773</t>
  </si>
  <si>
    <t>-852.740676592423 164.979934106106 -281.163284322561</t>
  </si>
  <si>
    <t>-855.473494374399 159.857185659374 -370.070714045494</t>
  </si>
  <si>
    <t>-852.583379138518 153.953600846216 -458.92476082974</t>
  </si>
  <si>
    <t>-842.693245748027 144.657203563313 -582.765630922518</t>
  </si>
  <si>
    <t>-810.941356724384 137.825962875187 -659.251988044914</t>
  </si>
  <si>
    <t>-839.035108583586 175.239808664142 -529.618377765658</t>
  </si>
  <si>
    <t>-792.182752287728 303.892908376137 -517.315783598716</t>
  </si>
  <si>
    <t>-723.576458803996 341.460077076043 -233.637975352325</t>
  </si>
  <si>
    <t>-483.08183362466 334.04664945995 -221.058521927643</t>
  </si>
  <si>
    <t>-855.05586004407 122.256487661529 -526.920495021696</t>
  </si>
  <si>
    <t>-723.642737826919 32.0274656516058 -273.931534560734</t>
  </si>
  <si>
    <t>-812.499302189573 272.521799383094 -77.7238128731753</t>
  </si>
  <si>
    <t>-823.271461973074 314.777440053161 323.4657689539</t>
  </si>
  <si>
    <t>-867.831832633963 364.883479000703 766.623107924735</t>
  </si>
  <si>
    <t>-723.063492925117 388.020942327127 826.573640161189</t>
  </si>
  <si>
    <t>-820.609047936581 78.8057223216356 -65.703823642415</t>
  </si>
  <si>
    <t>-809.828673431414 56.4216557221425 337.083269546387</t>
  </si>
  <si>
    <t>-839.379736426758 88.1599328624689 782.674297413524</t>
  </si>
  <si>
    <t>-749.248035619215 -20.3169058721037 854.759939528316</t>
  </si>
  <si>
    <t>9763-20170724T111039.183527700.bin</t>
  </si>
  <si>
    <t>-816.183265309199 175.603212665382 -70.644913750808</t>
  </si>
  <si>
    <t>-843.615706750616 170.028818543594 -183.039891964582</t>
  </si>
  <si>
    <t>-852.401498888984 164.951973465966 -281.140242726289</t>
  </si>
  <si>
    <t>-855.009994584082 159.914380206601 -370.056294657565</t>
  </si>
  <si>
    <t>-851.960787491766 154.119945451767 -458.912211678589</t>
  </si>
  <si>
    <t>-841.811196653067 145.000603893779 -582.745332837296</t>
  </si>
  <si>
    <t>-809.894221362074 138.601087719514 -659.20034717781</t>
  </si>
  <si>
    <t>-838.293942103998 175.516009844243 -529.549852638318</t>
  </si>
  <si>
    <t>-791.519113678638 304.169677721829 -516.990915239791</t>
  </si>
  <si>
    <t>-720.900358520079 341.506680600563 -233.776974380266</t>
  </si>
  <si>
    <t>-480.340822765108 333.572544474574 -222.866946203462</t>
  </si>
  <si>
    <t>-854.261265028538 122.511283733071 -526.955091179245</t>
  </si>
  <si>
    <t>-723.047687547597 32.1719264512594 -273.656998583216</t>
  </si>
  <si>
    <t>-812.275528077031 272.398471966035 -77.6658813757429</t>
  </si>
  <si>
    <t>-823.258019585931 314.633562932935 323.52012768799</t>
  </si>
  <si>
    <t>-867.77311833492 364.856011851874 766.655868832939</t>
  </si>
  <si>
    <t>-723.053257885127 388.297898558403 826.605371201834</t>
  </si>
  <si>
    <t>-820.407900476929 78.7019598963179 -65.6845549279575</t>
  </si>
  <si>
    <t>-809.745545922789 56.353745213014 337.107558572767</t>
  </si>
  <si>
    <t>-839.410273051658 88.288446701506 782.677358741425</t>
  </si>
  <si>
    <t>-749.263809843763 -20.1791792330564 854.758432410007</t>
  </si>
  <si>
    <t>9763-20170724T111039.213610200.bin</t>
  </si>
  <si>
    <t>-816.080463041739 175.50501853529 -70.6247881692777</t>
  </si>
  <si>
    <t>-843.484845078538 169.92864611638 -183.026502158607</t>
  </si>
  <si>
    <t>-852.217336216746 164.8787583881 -281.133038912369</t>
  </si>
  <si>
    <t>-854.764547337191 159.875992101171 -370.052815568599</t>
  </si>
  <si>
    <t>-851.641243879841 154.125526756873 -458.908851836773</t>
  </si>
  <si>
    <t>-841.374259388981 145.076681789288 -582.737532780278</t>
  </si>
  <si>
    <t>-809.383091864505 138.847013062079 -659.175582786936</t>
  </si>
  <si>
    <t>-837.914200512271 175.563443793747 -529.522127217568</t>
  </si>
  <si>
    <t>-791.136471208347 304.20809168237 -516.853841029031</t>
  </si>
  <si>
    <t>-719.472620866489 341.514635930404 -233.898655436588</t>
  </si>
  <si>
    <t>-478.874982528309 333.445119599346 -223.968745884653</t>
  </si>
  <si>
    <t>-853.870451883948 122.553578728756 -526.971245846522</t>
  </si>
  <si>
    <t>-722.765168159661 32.1370637582022 -273.664186717851</t>
  </si>
  <si>
    <t>-812.165676590811 272.30869001027 -77.6359442537447</t>
  </si>
  <si>
    <t>-823.19947265054 314.541700598937 323.548914866298</t>
  </si>
  <si>
    <t>-867.741501424179 364.813784744994 766.670578836752</t>
  </si>
  <si>
    <t>-722.997654474013 388.104365034992 826.621359880471</t>
  </si>
  <si>
    <t>-820.318314406217 78.6048062335776 -65.6739507043309</t>
  </si>
  <si>
    <t>-809.717019213239 56.273619041388 337.120797041815</t>
  </si>
  <si>
    <t>-839.495211965681 88.2565429568945 782.684503721682</t>
  </si>
  <si>
    <t>-749.233951015631 -20.1207904936773 854.757819297113</t>
  </si>
  <si>
    <t>9763-20170724T111039.281553600.bin</t>
  </si>
  <si>
    <t>-815.874256465013 175.482182045208 -70.6074885416227</t>
  </si>
  <si>
    <t>-843.256073061882 169.939949859148 -183.016322613805</t>
  </si>
  <si>
    <t>-851.914246986223 164.949205534577 -281.132520349261</t>
  </si>
  <si>
    <t>-854.371779584779 160.010788630292 -370.058467679355</t>
  </si>
  <si>
    <t>-851.135595412615 154.33406323238 -458.915361187579</t>
  </si>
  <si>
    <t>-840.686812902607 145.397533733763 -582.73676419705</t>
  </si>
  <si>
    <t>-808.59003119301 139.37613303667 -659.147301102424</t>
  </si>
  <si>
    <t>-837.304376724819 175.836183863753 -529.48863703456</t>
  </si>
  <si>
    <t>-790.487356103859 304.447099120976 -516.640927446976</t>
  </si>
  <si>
    <t>-716.852158033821 341.793961304201 -234.197539128595</t>
  </si>
  <si>
    <t>-476.20388371524 333.484666387204 -225.814390849678</t>
  </si>
  <si>
    <t>-853.265383430355 122.824175895057 -527.009501889975</t>
  </si>
  <si>
    <t>-722.304402641107 32.1379538381198 -273.715985633582</t>
  </si>
  <si>
    <t>-811.910330235471 272.245174173333 -77.5831419055258</t>
  </si>
  <si>
    <t>-823.067722071622 314.439855940392 323.602328764068</t>
  </si>
  <si>
    <t>-867.68281580497 364.698601318559 766.699647944445</t>
  </si>
  <si>
    <t>-722.898507116096 387.743371895824 826.647925586325</t>
  </si>
  <si>
    <t>-820.211960445981 78.6556246250734 -65.6618022018379</t>
  </si>
  <si>
    <t>-809.649869397575 56.2377667944961 337.129161476596</t>
  </si>
  <si>
    <t>-839.565322136909 88.3149406125817 782.68205340252</t>
  </si>
  <si>
    <t>-749.378752672963 -20.1229282244508 854.757786240168</t>
  </si>
  <si>
    <t>9763-20170724T111039.318661600.bin</t>
  </si>
  <si>
    <t>-815.795966967458 175.50382126764 -70.583811486161</t>
  </si>
  <si>
    <t>-843.159137380565 169.990504701665 -182.998584789673</t>
  </si>
  <si>
    <t>-851.780429261971 165.023970808889 -281.119228109407</t>
  </si>
  <si>
    <t>-854.19621179669 160.106155264029 -370.047381577056</t>
  </si>
  <si>
    <t>-850.909696700516 154.44901545206 -458.903701733101</t>
  </si>
  <si>
    <t>-840.382317581737 145.538474049484 -582.720421572982</t>
  </si>
  <si>
    <t>-808.241686100158 139.568115057834 -659.116631376291</t>
  </si>
  <si>
    <t>-837.025950350439 175.96376103255 -529.462993316568</t>
  </si>
  <si>
    <t>-790.155097698811 304.551583642713 -516.55734314898</t>
  </si>
  <si>
    <t>-715.697795036072 341.958980392254 -234.337571758158</t>
  </si>
  <si>
    <t>-475.028410439995 333.530830266205 -226.718824198092</t>
  </si>
  <si>
    <t>-853.003759013759 122.955602370247 -527.006579460211</t>
  </si>
  <si>
    <t>-722.135879391048 32.1572095511224 -273.695708835116</t>
  </si>
  <si>
    <t>-811.735551733004 272.222415332589 -77.5511838900611</t>
  </si>
  <si>
    <t>-822.94994746199 314.378864508278 323.636662163358</t>
  </si>
  <si>
    <t>-867.645209455468 364.615950497554 766.720534374358</t>
  </si>
  <si>
    <t>-722.82422756201 387.427866416593 826.668610356679</t>
  </si>
  <si>
    <t>-820.217999035685 78.7130203800061 -65.6535844062108</t>
  </si>
  <si>
    <t>-809.613614597954 56.1559968158344 337.128424655608</t>
  </si>
  <si>
    <t>-839.667310462371 88.2443188570501 782.683706270473</t>
  </si>
  <si>
    <t>-749.216145337036 -19.9807340688476 854.747604069864</t>
  </si>
  <si>
    <t>9763-20170724T111039.383832000.bin</t>
  </si>
  <si>
    <t>-815.527530338471 175.743222749787 -70.5439319420842</t>
  </si>
  <si>
    <t>-842.869338666041 170.299221112503 -182.96725287792</t>
  </si>
  <si>
    <t>-851.446832900159 165.362567783322 -281.093332756489</t>
  </si>
  <si>
    <t>-853.813256331089 160.460428959669 -370.023715837963</t>
  </si>
  <si>
    <t>-850.469110015782 154.806978345041 -458.87798567359</t>
  </si>
  <si>
    <t>-839.852136197288 145.888794351072 -582.686531116236</t>
  </si>
  <si>
    <t>-807.651674029406 139.949727549518 -659.059937419884</t>
  </si>
  <si>
    <t>-836.505532781086 176.308521378522 -529.425449247035</t>
  </si>
  <si>
    <t>-789.489852365576 304.834803237707 -516.497332788014</t>
  </si>
  <si>
    <t>-713.939189861899 342.379822963307 -234.586580335324</t>
  </si>
  <si>
    <t>-473.239711637473 333.727457874968 -228.284311248873</t>
  </si>
  <si>
    <t>-852.542706295985 123.317846897966 -526.983637957272</t>
  </si>
  <si>
    <t>-721.895223803404 32.618575286634 -273.341140002214</t>
  </si>
  <si>
    <t>-811.286789992793 272.36463530473 -77.4882309010338</t>
  </si>
  <si>
    <t>-822.601068141978 314.356614534358 323.714084691525</t>
  </si>
  <si>
    <t>-867.607342511285 364.545045425021 766.758719045721</t>
  </si>
  <si>
    <t>-722.813665988612 387.587540918681 826.684988100285</t>
  </si>
  <si>
    <t>-820.106690611222 79.0400134697061 -65.656476105177</t>
  </si>
  <si>
    <t>-809.39430092952 56.222727399434 337.108074857285</t>
  </si>
  <si>
    <t>-839.640876332666 88.3878662212037 782.648809362426</t>
  </si>
  <si>
    <t>-749.365909325263 -19.9628229781065 854.744866713286</t>
  </si>
  <si>
    <t>9763-20170724T111039.415918400.bin</t>
  </si>
  <si>
    <t>-815.302734227707 175.828237396112 -70.5272267772671</t>
  </si>
  <si>
    <t>-842.639858009605 170.41732122899 -182.953229628212</t>
  </si>
  <si>
    <t>-851.217710981937 165.489526109312 -281.079757582316</t>
  </si>
  <si>
    <t>-853.587242939759 160.588187741208 -370.010051585046</t>
  </si>
  <si>
    <t>-850.248729177265 154.927443709207 -458.864190919249</t>
  </si>
  <si>
    <t>-839.643452379445 145.990301322843 -582.672353547508</t>
  </si>
  <si>
    <t>-807.436084636213 140.037904905753 -659.041643765522</t>
  </si>
  <si>
    <t>-836.268322072696 176.411315960765 -529.41364390468</t>
  </si>
  <si>
    <t>-789.156093355223 304.911167932336 -516.492776573542</t>
  </si>
  <si>
    <t>-713.280148887668 342.424431677451 -234.665190653299</t>
  </si>
  <si>
    <t>-472.568061471553 333.62627855018 -229.075906928322</t>
  </si>
  <si>
    <t>-852.352767968782 123.435008341178 -526.96735481744</t>
  </si>
  <si>
    <t>-721.708663404634 32.4058006190676 -273.300312086177</t>
  </si>
  <si>
    <t>-810.971148471813 272.378699660832 -77.4496925361181</t>
  </si>
  <si>
    <t>-822.238347552527 314.359471714053 323.75516138614</t>
  </si>
  <si>
    <t>-867.585013626767 364.447912262618 766.76938964116</t>
  </si>
  <si>
    <t>-722.779483269716 387.465611297799 826.675724301826</t>
  </si>
  <si>
    <t>-819.931554637552 79.1638905548893 -65.6630540982671</t>
  </si>
  <si>
    <t>-809.18279531485 56.2965208716446 337.097722144894</t>
  </si>
  <si>
    <t>-839.529847848872 88.5868500263459 782.622157306471</t>
  </si>
  <si>
    <t>-749.427244048824 -19.8906568547709 854.743592993421</t>
  </si>
  <si>
    <t>9763-20170724T111039.483104300.bin</t>
  </si>
  <si>
    <t>-814.863254492784 175.710898383888 -70.5200476172565</t>
  </si>
  <si>
    <t>-842.25912763033 170.341960437246 -182.933781734466</t>
  </si>
  <si>
    <t>-850.905673193347 165.397582069554 -281.053472587422</t>
  </si>
  <si>
    <t>-853.346319207389 160.458717945078 -369.979632515499</t>
  </si>
  <si>
    <t>-850.088553375095 154.736276851585 -458.832865228196</t>
  </si>
  <si>
    <t>-839.607928365726 145.687197803609 -582.643469723961</t>
  </si>
  <si>
    <t>-807.407365139342 139.658244362247 -659.009920162636</t>
  </si>
  <si>
    <t>-836.113887074506 176.136776520902 -529.408917060717</t>
  </si>
  <si>
    <t>-788.764558424512 304.554520860645 -516.577046804822</t>
  </si>
  <si>
    <t>-712.720480504047 342.072716882336 -234.795409530593</t>
  </si>
  <si>
    <t>-472.00578114151 332.505975908171 -230.823459868024</t>
  </si>
  <si>
    <t>-852.32562781263 123.201810270579 -526.912393826474</t>
  </si>
  <si>
    <t>-721.096830989649 30.4644441355613 -273.097013373655</t>
  </si>
  <si>
    <t>-810.4548208969 272.10653600052 -77.3976781641589</t>
  </si>
  <si>
    <t>-821.311422077316 314.22532038579 323.803998823106</t>
  </si>
  <si>
    <t>-867.566251732423 364.246928039564 766.739666523498</t>
  </si>
  <si>
    <t>-722.719839022022 387.193081952868 826.575022703207</t>
  </si>
  <si>
    <t>-819.608690857649 79.1632957766951 -65.6669903690728</t>
  </si>
  <si>
    <t>-808.836115689171 56.1560155962502 337.085067455879</t>
  </si>
  <si>
    <t>-839.604753892942 88.5309288141825 782.573617243549</t>
  </si>
  <si>
    <t>-749.348741012764 -19.7906042261402 854.737219949549</t>
  </si>
  <si>
    <t>9763-20170724T111039.519214400.bin</t>
  </si>
  <si>
    <t>-814.744624394513 175.588196446167 -70.5042142408761</t>
  </si>
  <si>
    <t>-842.153748989007 170.25325335397 -182.916360310144</t>
  </si>
  <si>
    <t>-850.832276685272 165.284663110543 -281.031898939712</t>
  </si>
  <si>
    <t>-853.311469231786 160.302822110134 -369.954807528081</t>
  </si>
  <si>
    <t>-850.104034702664 154.515477393767 -458.805552367992</t>
  </si>
  <si>
    <t>-839.705437499959 145.352320123859 -582.614782048723</t>
  </si>
  <si>
    <t>-807.510790796247 139.253114807128 -658.977966753562</t>
  </si>
  <si>
    <t>-836.138306349778 175.839350968738 -529.406423310739</t>
  </si>
  <si>
    <t>-788.680427871784 304.232135266489 -516.662652630517</t>
  </si>
  <si>
    <t>-712.939654503671 341.780253794064 -234.80333707508</t>
  </si>
  <si>
    <t>-472.235665317037 331.669578513812 -231.603115026641</t>
  </si>
  <si>
    <t>-852.424388364385 122.929852423233 -526.858440761602</t>
  </si>
  <si>
    <t>-720.618783950888 29.0974459101972 -272.321967627959</t>
  </si>
  <si>
    <t>-810.408734456291 271.920373673774 -77.3798988949959</t>
  </si>
  <si>
    <t>-820.948460039768 314.120009739488 323.821805290296</t>
  </si>
  <si>
    <t>-867.568563094454 364.203387281078 766.719046695168</t>
  </si>
  <si>
    <t>-722.737265287396 387.34822720509 826.514579400575</t>
  </si>
  <si>
    <t>-819.441741976996 79.1566932754008 -65.668691907212</t>
  </si>
  <si>
    <t>-808.622103719204 56.0886778413046 337.078744485942</t>
  </si>
  <si>
    <t>-839.499901901464 88.6965601991465 782.534776741496</t>
  </si>
  <si>
    <t>-749.437578487685 -19.7589501160314 854.739102770425</t>
  </si>
  <si>
    <t>9763-20170724T111039.580377300.bin</t>
  </si>
  <si>
    <t>-814.737313465571 175.395106203259 -70.5026272016304</t>
  </si>
  <si>
    <t>-842.178541181861 170.108155557627 -182.909263866981</t>
  </si>
  <si>
    <t>-850.903321252926 165.102091492818 -281.018728251818</t>
  </si>
  <si>
    <t>-853.434441037303 160.050679110021 -369.936169084536</t>
  </si>
  <si>
    <t>-850.29054334088 154.156357412323 -458.782204427377</t>
  </si>
  <si>
    <t>-839.995946762543 144.802629556765 -582.585835806125</t>
  </si>
  <si>
    <t>-807.804643584394 138.606254272788 -658.942621749727</t>
  </si>
  <si>
    <t>-836.336628509569 175.357344442176 -529.422426050605</t>
  </si>
  <si>
    <t>-788.814076205817 303.723690408598 -516.737572779641</t>
  </si>
  <si>
    <t>-714.82057221165 340.723352316862 -234.342213850945</t>
  </si>
  <si>
    <t>-474.184215256571 329.163656304602 -230.960447550699</t>
  </si>
  <si>
    <t>-852.715403598022 122.480231366909 -526.789522894309</t>
  </si>
  <si>
    <t>-721.057328103043 27.800358976785 -270.442750398635</t>
  </si>
  <si>
    <t>-810.566671423348 271.770330299173 -77.3530010286146</t>
  </si>
  <si>
    <t>-820.796055390064 313.978035378396 323.85586706216</t>
  </si>
  <si>
    <t>-867.510054745044 364.087433960585 766.737472849479</t>
  </si>
  <si>
    <t>-722.632151559186 387.026221210677 826.499382538156</t>
  </si>
  <si>
    <t>-819.164879073903 79.0711404928929 -65.7095109260501</t>
  </si>
  <si>
    <t>-808.145111943889 55.9595700166497 337.029979754061</t>
  </si>
  <si>
    <t>-839.328146328385 88.9594716110641 782.42820107366</t>
  </si>
  <si>
    <t>-749.750358909842 -19.8307236257451 854.731486897669</t>
  </si>
  <si>
    <t>9763-20170724T111039.620489300.bin</t>
  </si>
  <si>
    <t>-814.85222953599 175.27918140233 -70.4727506211138</t>
  </si>
  <si>
    <t>-842.336104851024 169.949425736864 -182.866894344389</t>
  </si>
  <si>
    <t>-851.082501920742 164.952649899181 -280.975097036894</t>
  </si>
  <si>
    <t>-853.626032246096 159.924772890909 -369.893411851892</t>
  </si>
  <si>
    <t>-850.487193478474 154.066712065186 -458.741988348426</t>
  </si>
  <si>
    <t>-840.190441330542 144.775473374884 -582.550152894195</t>
  </si>
  <si>
    <t>-808.000343204167 138.609814104653 -658.909845836765</t>
  </si>
  <si>
    <t>-836.540705151044 175.305762535927 -529.372494285198</t>
  </si>
  <si>
    <t>-789.15283455025 303.703365048126 -516.554308095809</t>
  </si>
  <si>
    <t>-716.1852049178 339.961650593473 -233.796007793758</t>
  </si>
  <si>
    <t>-475.564004158039 328.234584013066 -229.948025595589</t>
  </si>
  <si>
    <t>-852.90227072728 122.42220977441 -526.764349315577</t>
  </si>
  <si>
    <t>-722.029928985317 27.7046389708389 -270.157056833019</t>
  </si>
  <si>
    <t>-810.928845761981 271.63532551337 -77.3344231008131</t>
  </si>
  <si>
    <t>-821.023882374554 313.921654154587 323.869541722408</t>
  </si>
  <si>
    <t>-867.476533847068 364.062105718157 766.766472432317</t>
  </si>
  <si>
    <t>-722.574674039112 386.855153675085 826.526769221688</t>
  </si>
  <si>
    <t>-819.080089862804 78.8860571322989 -65.7051452116491</t>
  </si>
  <si>
    <t>-807.976992820089 55.7304098592808 337.02951628828</t>
  </si>
  <si>
    <t>-839.370566297574 88.9448138319744 782.399121691621</t>
  </si>
  <si>
    <t>-749.591713906509 -19.676761830553 854.706799620886</t>
  </si>
  <si>
    <t>9763-20170724T111039.683657800.bin</t>
  </si>
  <si>
    <t>-815.073569153582 174.801705810113 -70.4782241007921</t>
  </si>
  <si>
    <t>-842.671896069442 169.322014217843 -182.837156483838</t>
  </si>
  <si>
    <t>-851.493005554999 164.412205374112 -280.942916696949</t>
  </si>
  <si>
    <t>-854.088491705849 159.540195369874 -369.868474893684</t>
  </si>
  <si>
    <t>-850.981323869475 153.911344587171 -458.733025280756</t>
  </si>
  <si>
    <t>-840.706064665467 145.012824512544 -582.571896364329</t>
  </si>
  <si>
    <t>-808.444004510886 139.062290863345 -658.918218188515</t>
  </si>
  <si>
    <t>-837.0983419467 175.390025475368 -529.30338348818</t>
  </si>
  <si>
    <t>-790.135873045456 303.908213632535 -516.008865886024</t>
  </si>
  <si>
    <t>-718.918376945558 338.112351586584 -232.549130315195</t>
  </si>
  <si>
    <t>-478.284633670938 326.795189634154 -228.285058633248</t>
  </si>
  <si>
    <t>-853.356890997876 122.467327389386 -526.849631546843</t>
  </si>
  <si>
    <t>-723.854932996325 28.2350996462333 -270.771757159448</t>
  </si>
  <si>
    <t>-811.404098141019 271.22540370962 -77.3307795685945</t>
  </si>
  <si>
    <t>-821.565584999733 313.701759563386 323.851441403427</t>
  </si>
  <si>
    <t>-867.429051189995 364.097112068713 766.790708725969</t>
  </si>
  <si>
    <t>-722.63500922373 387.558381152271 826.553828286064</t>
  </si>
  <si>
    <t>-819.025096882696 78.2808616530215 -65.6988293389462</t>
  </si>
  <si>
    <t>-808.048404724389 55.7576328925761 337.075087877746</t>
  </si>
  <si>
    <t>-839.368981124247 89.1310038351512 782.428059721479</t>
  </si>
  <si>
    <t>-749.789923151951 -19.6734530977405 854.708453979241</t>
  </si>
  <si>
    <t>9763-20170724T111039.715747400.bin</t>
  </si>
  <si>
    <t>-815.212346736926 174.289452630988 -70.4878105845964</t>
  </si>
  <si>
    <t>-842.85705212713 168.768581515079 -182.833181892206</t>
  </si>
  <si>
    <t>-851.735916726862 163.921471667943 -280.936988445375</t>
  </si>
  <si>
    <t>-854.38711667283 159.141752575682 -369.865907417673</t>
  </si>
  <si>
    <t>-851.338652915571 153.641380302416 -458.740462207028</t>
  </si>
  <si>
    <t>-841.14551680249 144.957987982325 -582.601386615658</t>
  </si>
  <si>
    <t>-808.832526009427 139.150459676905 -658.937217788663</t>
  </si>
  <si>
    <t>-837.529695534296 175.250791630665 -529.285522826128</t>
  </si>
  <si>
    <t>-790.808551052762 303.833117602095 -515.795612968196</t>
  </si>
  <si>
    <t>-720.56287982512 337.33540728944 -232.009755977191</t>
  </si>
  <si>
    <t>-479.919007603423 326.393388125508 -227.361406412897</t>
  </si>
  <si>
    <t>-853.732367823796 122.307461889378 -526.907261475374</t>
  </si>
  <si>
    <t>-724.396129173482 28.3640287137359 -271.696910972121</t>
  </si>
  <si>
    <t>-811.600602308707 270.682876149206 -77.3015664362932</t>
  </si>
  <si>
    <t>-821.82536971737 313.514849647345 323.841195391411</t>
  </si>
  <si>
    <t>-867.397097228335 364.094979231299 766.783428276203</t>
  </si>
  <si>
    <t>-722.617658014728 387.609616507291 826.560416996503</t>
  </si>
  <si>
    <t>-819.126081843701 77.781277594137 -65.7098623999981</t>
  </si>
  <si>
    <t>-808.128325299769 55.6059750733384 337.082865704436</t>
  </si>
  <si>
    <t>-839.421527760806 89.1328526521975 782.44461170868</t>
  </si>
  <si>
    <t>-749.7627374498 -19.6157040075796 854.710637872734</t>
  </si>
  <si>
    <t>9763-20170724T111039.782439300.bin</t>
  </si>
  <si>
    <t>-815.913855715604 173.053812038608 -70.418532764277</t>
  </si>
  <si>
    <t>-843.680097429991 167.602868915524 -182.737477971552</t>
  </si>
  <si>
    <t>-852.699143240595 162.9314658252 -280.836888019298</t>
  </si>
  <si>
    <t>-855.487421336406 158.35727015176 -369.772510022605</t>
  </si>
  <si>
    <t>-852.583697495203 153.110656477479 -458.667384489477</t>
  </si>
  <si>
    <t>-842.598568408444 144.832380665712 -582.572838541837</t>
  </si>
  <si>
    <t>-810.196513468489 139.334774382182 -658.894056216542</t>
  </si>
  <si>
    <t>-838.965273185877 174.972204364051 -529.171500656655</t>
  </si>
  <si>
    <t>-792.762051259442 303.710107595452 -515.334469808708</t>
  </si>
  <si>
    <t>-725.305655491885 336.086494905963 -230.742502904435</t>
  </si>
  <si>
    <t>-484.636714093976 326.371684382661 -224.839398033009</t>
  </si>
  <si>
    <t>-855.019678530446 121.978165562223 -526.924739330183</t>
  </si>
  <si>
    <t>-724.915820681535 27.9515441310418 -273.792434910158</t>
  </si>
  <si>
    <t>-812.340490532693 269.376661986174 -77.1619028750901</t>
  </si>
  <si>
    <t>-822.231919026572 312.953167931984 323.909127449579</t>
  </si>
  <si>
    <t>-867.35801878125 364.069850324136 766.786440937439</t>
  </si>
  <si>
    <t>-722.617091072111 387.7932540775 826.573412821108</t>
  </si>
  <si>
    <t>-819.869602642566 76.7172995329493 -65.7150886742611</t>
  </si>
  <si>
    <t>-808.602355203688 55.0059781299192 337.095444104619</t>
  </si>
  <si>
    <t>-839.630792058923 88.9891920629489 782.496560225863</t>
  </si>
  <si>
    <t>-749.720557565561 -19.5780706204132 854.722273213477</t>
  </si>
  <si>
    <t>9763-20170724T111039.815531400.bin</t>
  </si>
  <si>
    <t>-816.386324562839 172.372345267754 -70.3647999011997</t>
  </si>
  <si>
    <t>-844.203989124564 166.991043514548 -182.674423688663</t>
  </si>
  <si>
    <t>-853.292933708308 162.418141645794 -280.771963214695</t>
  </si>
  <si>
    <t>-856.154374140332 157.950729980411 -369.710690106742</t>
  </si>
  <si>
    <t>-853.330737168696 152.829804682425 -458.615364600729</t>
  </si>
  <si>
    <t>-843.464912223664 144.748471338456 -582.543450279221</t>
  </si>
  <si>
    <t>-811.048094688067 139.405366246013 -658.869322053693</t>
  </si>
  <si>
    <t>-839.826124797774 174.817193926283 -529.10244804881</t>
  </si>
  <si>
    <t>-793.948230470191 303.648839149767 -515.071722166258</t>
  </si>
  <si>
    <t>-728.444447592423 335.239090970929 -229.935866021211</t>
  </si>
  <si>
    <t>-487.772616843904 326.192439906385 -223.146376772718</t>
  </si>
  <si>
    <t>-855.786866678591 121.7922389581 -526.915263425213</t>
  </si>
  <si>
    <t>-725.281133685286 27.1045827278826 -274.828078914793</t>
  </si>
  <si>
    <t>-812.778289155371 268.662949955848 -77.0679079717528</t>
  </si>
  <si>
    <t>-822.413964986488 312.489701071292 323.982028717834</t>
  </si>
  <si>
    <t>-867.338046764656 363.99665310091 766.802222255634</t>
  </si>
  <si>
    <t>-722.567948526779 387.545109561872 826.588360265307</t>
  </si>
  <si>
    <t>-820.364960423286 76.049610229863 -65.7280919909198</t>
  </si>
  <si>
    <t>-808.968603546555 54.7240830177866 337.099423131027</t>
  </si>
  <si>
    <t>-839.676957942444 89.002393828222 782.515994994094</t>
  </si>
  <si>
    <t>-749.749681908533 -19.5629953555613 854.724041590952</t>
  </si>
  <si>
    <t>9763-20170724T111039.886223400.bin</t>
  </si>
  <si>
    <t>-817.093660374482 171.108603320358 -70.2677526059217</t>
  </si>
  <si>
    <t>-845.062503550382 165.792772666749 -182.542963570529</t>
  </si>
  <si>
    <t>-854.36722386978 161.410608651717 -280.628944827048</t>
  </si>
  <si>
    <t>-857.453615418073 157.172456230373 -369.571394970177</t>
  </si>
  <si>
    <t>-854.881828497 152.340072672191 -458.499849001676</t>
  </si>
  <si>
    <t>-845.391360112063 144.725880841807 -582.486946782244</t>
  </si>
  <si>
    <t>-813.012395090197 139.702308890234 -658.850452599949</t>
  </si>
  <si>
    <t>-841.667661574969 174.615823628655 -528.951445104261</t>
  </si>
  <si>
    <t>-796.384574355041 303.607647798251 -514.513721068755</t>
  </si>
  <si>
    <t>-735.561207032949 334.173103533371 -228.231401793688</t>
  </si>
  <si>
    <t>-495.073399485637 324.895133359286 -216.814442030938</t>
  </si>
  <si>
    <t>-857.467833398638 121.53731845968 -526.90125265634</t>
  </si>
  <si>
    <t>-726.13613575077 24.4798051341095 -276.722502598488</t>
  </si>
  <si>
    <t>-813.45092108907 267.23310042038 -76.8814529124649</t>
  </si>
  <si>
    <t>-822.954921276731 311.688012763382 324.102485606887</t>
  </si>
  <si>
    <t>-867.310542972097 363.881299416117 766.84673373982</t>
  </si>
  <si>
    <t>-722.505847168994 387.204108051566 826.637331748441</t>
  </si>
  <si>
    <t>-821.062351256631 74.9312866791638 -65.7409343367858</t>
  </si>
  <si>
    <t>-809.546748742716 54.3495160495299 337.121865726071</t>
  </si>
  <si>
    <t>-839.699205851312 89.0905880944274 782.550334454716</t>
  </si>
  <si>
    <t>-749.947614948214 -19.634269606951 854.736409075913</t>
  </si>
  <si>
    <t>9763-20170724T111039.917308700.bin</t>
  </si>
  <si>
    <t>-817.43978512541 170.522263629226 -70.23633487798</t>
  </si>
  <si>
    <t>-845.534596041819 165.190576181538 -182.479144176505</t>
  </si>
  <si>
    <t>-854.989616900791 160.868004006249 -280.553630915034</t>
  </si>
  <si>
    <t>-858.225766441496 156.712917269406 -369.494586495645</t>
  </si>
  <si>
    <t>-855.815839993487 151.993906900876 -458.433714519397</t>
  </si>
  <si>
    <t>-846.562873665645 144.570232753066 -582.450153259297</t>
  </si>
  <si>
    <t>-814.207467953766 139.685894345863 -658.832729310533</t>
  </si>
  <si>
    <t>-842.774436745023 174.388981886882 -528.879620989543</t>
  </si>
  <si>
    <t>-797.758405830349 303.457688719693 -514.276706344348</t>
  </si>
  <si>
    <t>-739.44229352666 334.04431317997 -227.475628109343</t>
  </si>
  <si>
    <t>-499.253506015997 323.605937457592 -211.624424596233</t>
  </si>
  <si>
    <t>-858.494868879325 121.285161997497 -526.873871536743</t>
  </si>
  <si>
    <t>-726.40340363183 22.1772688141937 -277.625117113135</t>
  </si>
  <si>
    <t>-813.874146779079 266.660965804618 -76.8338203023992</t>
  </si>
  <si>
    <t>-823.30625605725 311.370392928507 324.123554454489</t>
  </si>
  <si>
    <t>-867.295636829826 363.847685207404 766.864673384035</t>
  </si>
  <si>
    <t>-722.506620009171 387.249790606888 826.662226128598</t>
  </si>
  <si>
    <t>-821.338410676561 74.3364222912192 -65.7405915119243</t>
  </si>
  <si>
    <t>-809.804011152184 54.1655470416708 337.142432708096</t>
  </si>
  <si>
    <t>-839.716271017095 89.1055428775608 782.568518668698</t>
  </si>
  <si>
    <t>-749.885754370589 -19.5657383310722 854.737643123617</t>
  </si>
  <si>
    <t>9763-20170724T111039.981481900.bin</t>
  </si>
  <si>
    <t>-818.191664819803 169.269528688943 -70.2369054625622</t>
  </si>
  <si>
    <t>-846.690132379196 163.890791248293 -182.375880063884</t>
  </si>
  <si>
    <t>-856.512573821254 159.626810026196 -280.416721580549</t>
  </si>
  <si>
    <t>-860.085157390021 155.561162858416 -369.348960008028</t>
  </si>
  <si>
    <t>-858.013504219973 150.967679094434 -458.303157632659</t>
  </si>
  <si>
    <t>-849.232134482349 143.755936356178 -582.366449564079</t>
  </si>
  <si>
    <t>-816.901269340152 139.081239785836 -658.772590549474</t>
  </si>
  <si>
    <t>-845.311588846581 173.503808739217 -528.766058691751</t>
  </si>
  <si>
    <t>-800.791335145981 302.717040783624 -513.984403977112</t>
  </si>
  <si>
    <t>-747.763380311926 333.041396958664 -226.13088688539</t>
  </si>
  <si>
    <t>-508.531539282761 321.291291223262 -200.036288170035</t>
  </si>
  <si>
    <t>-860.880987944151 120.354862468738 -526.778535906201</t>
  </si>
  <si>
    <t>-727.00693554778 14.7274110488825 -280.197505788757</t>
  </si>
  <si>
    <t>-814.8941198097 265.483839414318 -76.7802567009934</t>
  </si>
  <si>
    <t>-824.06743026741 310.749006697024 324.12072505137</t>
  </si>
  <si>
    <t>-867.275147528169 363.893877112268 766.877544984197</t>
  </si>
  <si>
    <t>-722.525159424659 387.452674555682 826.708068826718</t>
  </si>
  <si>
    <t>-821.822046319803 72.9610575223155 -65.7823631739533</t>
  </si>
  <si>
    <t>-810.449930790884 53.9130102118188 337.159927054231</t>
  </si>
  <si>
    <t>-839.769190759929 89.0975217668333 782.603865630715</t>
  </si>
  <si>
    <t>-749.677851303565 -19.3859955746202 854.729486085201</t>
  </si>
  <si>
    <t>9763-20170724T111040.021363300.bin</t>
  </si>
  <si>
    <t>-818.663689227165 168.650582884673 -70.2630936173719</t>
  </si>
  <si>
    <t>-847.354460036702 163.244637183008 -182.35167668524</t>
  </si>
  <si>
    <t>-857.362957396384 159.026999013292 -280.375541073254</t>
  </si>
  <si>
    <t>-861.109755799212 155.029725496126 -369.303727697909</t>
  </si>
  <si>
    <t>-859.215863831864 150.53233937703 -458.266766701675</t>
  </si>
  <si>
    <t>-850.684954701357 143.483748757029 -582.356934742098</t>
  </si>
  <si>
    <t>-818.390844752812 138.937938294644 -658.786319506789</t>
  </si>
  <si>
    <t>-846.706748002279 173.175865862896 -528.729829001332</t>
  </si>
  <si>
    <t>-802.493158753413 302.48382674485 -513.855466211228</t>
  </si>
  <si>
    <t>-751.91207107068 332.117601418629 -225.490039659091</t>
  </si>
  <si>
    <t>-513.292525724192 319.952002269245 -194.449532131538</t>
  </si>
  <si>
    <t>-862.171309296416 119.994990439318 -526.772192083428</t>
  </si>
  <si>
    <t>-727.096136935072 9.70462349501258 -281.894714446898</t>
  </si>
  <si>
    <t>-815.485329597366 264.90700556612 -76.7658597438605</t>
  </si>
  <si>
    <t>-824.481805799207 310.445269814509 324.108225249413</t>
  </si>
  <si>
    <t>-867.271581753264 363.925405900574 766.867876565494</t>
  </si>
  <si>
    <t>-722.547211707295 387.595254226307 826.717542456498</t>
  </si>
  <si>
    <t>-822.212628834928 72.3368336603667 -65.8016770402076</t>
  </si>
  <si>
    <t>-810.799793790811 53.7738779404704 337.162108731985</t>
  </si>
  <si>
    <t>-839.83689950482 89.0271507210628 782.617158859169</t>
  </si>
  <si>
    <t>-749.634891139261 -19.3752243633144 854.726693007192</t>
  </si>
  <si>
    <t>9763-20170724T111040.085535700.bin</t>
  </si>
  <si>
    <t>-819.982945900884 167.658160751478 -70.3318715590862</t>
  </si>
  <si>
    <t>-848.994095503146 162.199602619173 -182.335460895149</t>
  </si>
  <si>
    <t>-859.333094759639 158.08711117057 -280.329572794464</t>
  </si>
  <si>
    <t>-863.3953574522 154.244894283505 -369.250765951887</t>
  </si>
  <si>
    <t>-861.830261863546 149.963829511933 -458.23093347804</t>
  </si>
  <si>
    <t>-853.768344225633 143.28287007153 -582.372701981245</t>
  </si>
  <si>
    <t>-821.520284502209 139.055679712798 -658.839900776214</t>
  </si>
  <si>
    <t>-849.718978195908 172.85359353094 -528.683784295479</t>
  </si>
  <si>
    <t>-806.167284457471 302.360824892809 -513.637820513959</t>
  </si>
  <si>
    <t>-759.201234995043 331.102706767765 -224.571432758821</t>
  </si>
  <si>
    <t>-521.992217818702 318.381102164362 -184.312175058026</t>
  </si>
  <si>
    <t>-864.913268150196 119.592299751863 -526.804248848179</t>
  </si>
  <si>
    <t>-817.157875105249 263.8948967127 -76.7680525924671</t>
  </si>
  <si>
    <t>-825.488653565186 310.0160581533 324.053696456686</t>
  </si>
  <si>
    <t>-867.249628725275 363.947070136463 766.842426912713</t>
  </si>
  <si>
    <t>-722.581057651015 387.8542445944 826.732104303721</t>
  </si>
  <si>
    <t>-823.190533393781 71.4124971687002 -65.8938803742086</t>
  </si>
  <si>
    <t>-811.624457598809 53.6765079499273 337.102826396</t>
  </si>
  <si>
    <t>-839.840526957927 89.0426731615503 782.624092453788</t>
  </si>
  <si>
    <t>-749.586749064108 -19.3292599419415 854.714950395591</t>
  </si>
  <si>
    <t>9763-20170724T111040.117127100.bin</t>
  </si>
  <si>
    <t>-820.693504760103 167.209372889888 -70.3642640582681</t>
  </si>
  <si>
    <t>-849.845220193332 161.707125570946 -182.329130576083</t>
  </si>
  <si>
    <t>-860.330672554988 157.640407656638 -280.309590162459</t>
  </si>
  <si>
    <t>-864.533000105891 153.87200568442 -369.227446729256</t>
  </si>
  <si>
    <t>-863.112781626236 149.698798699346 -458.215081610554</t>
  </si>
  <si>
    <t>-855.256864233175 143.204680949925 -582.379993397005</t>
  </si>
  <si>
    <t>-823.006413831643 139.169411084348 -658.856359452187</t>
  </si>
  <si>
    <t>-851.197364855177 172.716621413678 -528.659693845618</t>
  </si>
  <si>
    <t>-807.953749724994 302.321792768639 -513.551718436775</t>
  </si>
  <si>
    <t>-761.775608330026 330.675884665983 -224.320408740619</t>
  </si>
  <si>
    <t>-525.284523065451 318.053450798136 -180.009073256562</t>
  </si>
  <si>
    <t>-866.230813697282 119.408185198989 -526.822748255992</t>
  </si>
  <si>
    <t>-818.051974658787 263.381737994642 -76.7667411567188</t>
  </si>
  <si>
    <t>-826.086739453863 309.838179234128 324.022367598989</t>
  </si>
  <si>
    <t>-867.250434770521 363.987528868357 766.82946309224</t>
  </si>
  <si>
    <t>-722.594532859695 387.912793202104 826.742115437495</t>
  </si>
  <si>
    <t>-823.69513334661 70.9925581773459 -65.9618478847392</t>
  </si>
  <si>
    <t>-812.039141342549 53.726635122584 337.052680736899</t>
  </si>
  <si>
    <t>-839.7494370826 89.1837048930456 782.622476080001</t>
  </si>
  <si>
    <t>-749.664616630979 -19.3306587038728 854.710134014421</t>
  </si>
  <si>
    <t>9763-20170724T111040.183484700.bin</t>
  </si>
  <si>
    <t>-822.212901590961 166.132845799246 -70.426561224093</t>
  </si>
  <si>
    <t>-851.545558093767 160.499533851686 -182.337492785002</t>
  </si>
  <si>
    <t>-862.323398557429 156.447106484515 -280.286947130124</t>
  </si>
  <si>
    <t>-866.841590721815 152.741683160514 -369.192005161277</t>
  </si>
  <si>
    <t>-865.785368243788 148.685629623481 -458.190063166959</t>
  </si>
  <si>
    <t>-858.484492126646 142.412958968025 -582.400244310185</t>
  </si>
  <si>
    <t>-826.255123720265 138.711358516211 -658.902346487954</t>
  </si>
  <si>
    <t>-854.312863526692 171.864680715682 -528.655512904992</t>
  </si>
  <si>
    <t>-811.519752549478 301.628232112 -513.627053677961</t>
  </si>
  <si>
    <t>-764.833238534821 329.496006055368 -224.429981716004</t>
  </si>
  <si>
    <t>-529.735721836255 319.220211406712 -172.715118124078</t>
  </si>
  <si>
    <t>-869.081516822603 118.48209584985 -526.827598150686</t>
  </si>
  <si>
    <t>-819.896261235314 262.238368348806 -76.786302983786</t>
  </si>
  <si>
    <t>-827.398074015267 309.505410376984 323.91839335007</t>
  </si>
  <si>
    <t>-867.266512920816 364.071649981267 766.779137038888</t>
  </si>
  <si>
    <t>-722.69962572406 388.441828354875 826.727072941399</t>
  </si>
  <si>
    <t>-824.867053652715 69.9464197176926 -66.0531565074663</t>
  </si>
  <si>
    <t>-813.097731032312 53.6402344824123 336.998005673333</t>
  </si>
  <si>
    <t>-839.828114179282 89.0880366962201 782.640252292082</t>
  </si>
  <si>
    <t>-749.473203480541 -19.2198802960056 854.700746946947</t>
  </si>
  <si>
    <t>9763-20170724T111040.215572500.bin</t>
  </si>
  <si>
    <t>-822.897629728327 165.58785246689 -70.4642276888176</t>
  </si>
  <si>
    <t>-852.3102116329 159.886053563795 -182.350779011766</t>
  </si>
  <si>
    <t>-863.258200286019 155.832067023934 -280.281298692011</t>
  </si>
  <si>
    <t>-867.969321950089 152.14841774717 -369.177092312083</t>
  </si>
  <si>
    <t>-867.143569020549 148.138565084009 -458.179832216147</t>
  </si>
  <si>
    <t>-860.203209256999 141.95627843301 -582.415177215021</t>
  </si>
  <si>
    <t>-827.990013242158 138.407307735707 -658.931436622414</t>
  </si>
  <si>
    <t>-855.911545828004 171.378659161811 -528.66366062778</t>
  </si>
  <si>
    <t>-813.227759194749 301.194762049265 -513.783924509866</t>
  </si>
  <si>
    <t>-765.79197049964 328.603713741802 -224.665000857828</t>
  </si>
  <si>
    <t>-531.055359090362 320.347101962127 -170.985613843691</t>
  </si>
  <si>
    <t>-870.603217618204 117.974970517577 -526.826924303911</t>
  </si>
  <si>
    <t>-820.734216726218 261.616455009062 -76.8160655219365</t>
  </si>
  <si>
    <t>-828.019664412791 309.333918293446 323.839162870722</t>
  </si>
  <si>
    <t>-867.262362304175 364.084174357376 766.732478871393</t>
  </si>
  <si>
    <t>-722.662036796955 388.190168196486 826.707001022912</t>
  </si>
  <si>
    <t>-825.432834752694 69.4781922515394 -66.0804810250115</t>
  </si>
  <si>
    <t>-813.509743218506 53.5632998709252 336.981780354827</t>
  </si>
  <si>
    <t>-839.825738542924 89.0871604470599 782.648056084743</t>
  </si>
  <si>
    <t>-749.466300705937 -19.217158430909 854.708403984475</t>
  </si>
  <si>
    <t>9763-20170724T111040.281752100.bin</t>
  </si>
  <si>
    <t>-824.196218008341 164.585673538388 -70.5016003680431</t>
  </si>
  <si>
    <t>-853.742390501012 158.784073836408 -182.347875162812</t>
  </si>
  <si>
    <t>-864.963757616467 154.748126758191 -280.248023183806</t>
  </si>
  <si>
    <t>-869.983178291023 151.124051591996 -369.129488980649</t>
  </si>
  <si>
    <t>-869.524008222099 147.2191770561 -458.139576405923</t>
  </si>
  <si>
    <t>-863.153420754834 141.23196268374 -582.41487799645</t>
  </si>
  <si>
    <t>-830.936366530296 137.936598090543 -658.940884375707</t>
  </si>
  <si>
    <t>-858.665078138837 170.583507574055 -528.640891666293</t>
  </si>
  <si>
    <t>-815.97414030252 300.438002352228 -514.066695926691</t>
  </si>
  <si>
    <t>-766.746693074983 326.677273134512 -225.138825561572</t>
  </si>
  <si>
    <t>-531.469602696702 321.647459560682 -173.463612282082</t>
  </si>
  <si>
    <t>-873.248593175638 117.150078871103 -526.814172912959</t>
  </si>
  <si>
    <t>-822.208192074582 260.533893812845 -76.8898213760808</t>
  </si>
  <si>
    <t>-829.10491537827 308.990871645528 323.683554387277</t>
  </si>
  <si>
    <t>-867.282973704591 364.180665408537 766.625584457114</t>
  </si>
  <si>
    <t>-722.737030792824 388.505271301601 826.642919455925</t>
  </si>
  <si>
    <t>-826.549478142662 68.5598290811404 -66.1243636288059</t>
  </si>
  <si>
    <t>-814.35145886673 53.3258348663812 336.956020630352</t>
  </si>
  <si>
    <t>-839.865539163794 89.0036910098574 782.668964032018</t>
  </si>
  <si>
    <t>-749.310318521945 -19.1434176511075 854.719480579468</t>
  </si>
  <si>
    <t>9763-20170724T111040.317849900.bin</t>
  </si>
  <si>
    <t>-824.783889551761 164.162639462723 -70.4951747062113</t>
  </si>
  <si>
    <t>-854.385386103653 158.305149299494 -182.323856736366</t>
  </si>
  <si>
    <t>-865.690995192314 154.273122174403 -280.214681227427</t>
  </si>
  <si>
    <t>-870.800140699321 150.673492013178 -369.091898036609</t>
  </si>
  <si>
    <t>-870.441945424498 146.815341207756 -458.104362846916</t>
  </si>
  <si>
    <t>-864.224659494201 140.917050952065 -582.391873361744</t>
  </si>
  <si>
    <t>-832.00232956072 137.717072757981 -658.919781773801</t>
  </si>
  <si>
    <t>-859.693422200376 170.236280819557 -528.603813076712</t>
  </si>
  <si>
    <t>-816.975020658188 300.094808053972 -514.201484688342</t>
  </si>
  <si>
    <t>-766.870225895787 325.826755071042 -225.378756931864</t>
  </si>
  <si>
    <t>-531.337050531158 322.319669962883 -174.755338173537</t>
  </si>
  <si>
    <t>-874.227843055977 116.788804776171 -526.794472600947</t>
  </si>
  <si>
    <t>-822.847372455989 260.024170307555 -76.9182721057625</t>
  </si>
  <si>
    <t>-829.412510926867 308.837558621432 323.617344591031</t>
  </si>
  <si>
    <t>-867.29537990467 364.191121617064 766.551690373777</t>
  </si>
  <si>
    <t>-722.774344274681 388.636318978915 826.580769716584</t>
  </si>
  <si>
    <t>-827.07182210022 68.2479298079315 -66.1256217056297</t>
  </si>
  <si>
    <t>-814.780708873564 53.3413529070108 336.964165257822</t>
  </si>
  <si>
    <t>-839.764447265138 89.1498193591879 782.687545267912</t>
  </si>
  <si>
    <t>-749.387433952792 -19.1469718895273 854.736860689838</t>
  </si>
  <si>
    <t>9763-20170724T111040.380018000.bin</t>
  </si>
  <si>
    <t>-826.079393600577 163.248857219221 -70.5728725450482</t>
  </si>
  <si>
    <t>-855.761079547873 157.327573106308 -182.377035316951</t>
  </si>
  <si>
    <t>-867.183996991761 153.378601674549 -280.257357836096</t>
  </si>
  <si>
    <t>-872.413988083265 149.913175568522 -369.133017312237</t>
  </si>
  <si>
    <t>-872.188760497462 146.25075734154 -458.154289028101</t>
  </si>
  <si>
    <t>-866.165855488282 140.693455647937 -582.467034819325</t>
  </si>
  <si>
    <t>-833.950615643601 137.744152407006 -659.007779340331</t>
  </si>
  <si>
    <t>-861.623547274226 169.884659034607 -528.61025814525</t>
  </si>
  <si>
    <t>-818.835456487296 299.742667131239 -514.358191400712</t>
  </si>
  <si>
    <t>-767.289302781898 324.367730489288 -225.692595194949</t>
  </si>
  <si>
    <t>-531.174873276231 322.61339093636 -177.75807056501</t>
  </si>
  <si>
    <t>-876.009226161275 116.393265945175 -526.915983462701</t>
  </si>
  <si>
    <t>-824.195730073478 258.966007349466 -77.0009838570102</t>
  </si>
  <si>
    <t>-829.924775409094 308.45711512716 323.464314635762</t>
  </si>
  <si>
    <t>-867.345561627472 364.216827746669 766.371484191691</t>
  </si>
  <si>
    <t>-722.941255267211 389.328737803769 826.405731415042</t>
  </si>
  <si>
    <t>-828.367935608385 67.4946278693087 -66.1403828324939</t>
  </si>
  <si>
    <t>-815.845652931002 53.3026152283137 336.96805089805</t>
  </si>
  <si>
    <t>-839.860191857499 88.9988344026838 782.742632073789</t>
  </si>
  <si>
    <t>-749.396605992314 -19.2383287094608 854.772675225483</t>
  </si>
  <si>
    <t>9763-20170724T111040.417624300.bin</t>
  </si>
  <si>
    <t>-826.746176144437 162.710777948795 -70.6158555636325</t>
  </si>
  <si>
    <t>-856.449090485061 156.751313192181 -182.412235431272</t>
  </si>
  <si>
    <t>-867.928264381074 152.839697922537 -280.287594359808</t>
  </si>
  <si>
    <t>-873.222791080152 149.43811357399 -369.161946414198</t>
  </si>
  <si>
    <t>-873.073746977166 145.872197117365 -458.187310433118</t>
  </si>
  <si>
    <t>-867.168147662374 140.484421633032 -582.513046984111</t>
  </si>
  <si>
    <t>-834.971169080733 137.668846803724 -659.066681234001</t>
  </si>
  <si>
    <t>-862.614597503632 169.61260975436 -528.623113326262</t>
  </si>
  <si>
    <t>-819.884625625514 299.506252561565 -514.478504735211</t>
  </si>
  <si>
    <t>-767.296227342545 323.651923023347 -225.960416164004</t>
  </si>
  <si>
    <t>-531.026781354953 322.739109568516 -178.772109632763</t>
  </si>
  <si>
    <t>-876.919205602196 116.097816780863 -526.983515932302</t>
  </si>
  <si>
    <t>-824.842680177192 258.266032700397 -77.0322771471622</t>
  </si>
  <si>
    <t>-830.135983916094 308.224835590085 323.380903214677</t>
  </si>
  <si>
    <t>-867.350093311462 364.13988726296 766.271736285049</t>
  </si>
  <si>
    <t>-722.860409407157 388.711058927753 826.324348777645</t>
  </si>
  <si>
    <t>-829.036554840999 67.1118593208198 -66.1649783599225</t>
  </si>
  <si>
    <t>-816.390729839064 53.1967914464058 336.949360844679</t>
  </si>
  <si>
    <t>-839.858709043262 88.9827831803946 782.761963640194</t>
  </si>
  <si>
    <t>-749.315966017029 -19.193842466952 854.783479014772</t>
  </si>
  <si>
    <t>9763-20170724T111040.483297900.bin</t>
  </si>
  <si>
    <t>-828.021121571139 161.579889282438 -70.6261095190447</t>
  </si>
  <si>
    <t>-857.732764878697 155.492941900872 -182.413268638032</t>
  </si>
  <si>
    <t>-869.255349535417 151.642384160496 -280.285913250441</t>
  </si>
  <si>
    <t>-874.598109424913 148.365771227943 -369.162119470053</t>
  </si>
  <si>
    <t>-874.503115105729 144.99641154039 -458.195158304838</t>
  </si>
  <si>
    <t>-868.675277078186 139.959889023479 -582.539337202394</t>
  </si>
  <si>
    <t>-836.481383859989 137.452051388394 -659.104774707002</t>
  </si>
  <si>
    <t>-864.164359557678 168.956197799419 -528.574684584986</t>
  </si>
  <si>
    <t>-821.383014652399 298.845410960259 -514.565429145187</t>
  </si>
  <si>
    <t>-766.974461529896 321.886718594308 -226.294621679592</t>
  </si>
  <si>
    <t>-530.368145316099 323.372813120769 -180.839900976524</t>
  </si>
  <si>
    <t>-878.315530860395 115.396390114951 -527.068495229396</t>
  </si>
  <si>
    <t>-826.142128440595 256.879069023023 -77.1241270786784</t>
  </si>
  <si>
    <t>-830.79611072503 307.72699950776 323.185139475654</t>
  </si>
  <si>
    <t>-867.391662523309 364.124449691846 766.037129866248</t>
  </si>
  <si>
    <t>-722.912674711151 388.689862594858 826.118186540163</t>
  </si>
  <si>
    <t>-830.231450733253 66.2276985598091 -66.1836860728876</t>
  </si>
  <si>
    <t>-817.52233289012 52.9923053093253 336.951558043984</t>
  </si>
  <si>
    <t>-839.810667143552 89.0140781810451 782.822337345606</t>
  </si>
  <si>
    <t>-749.360430836896 -19.2523226581029 854.825905779613</t>
  </si>
  <si>
    <t>9763-20170724T111040.516893100.bin</t>
  </si>
  <si>
    <t>-828.617954061358 160.945185992687 -70.6298356272974</t>
  </si>
  <si>
    <t>-858.332399574541 154.794328770302 -182.412893027014</t>
  </si>
  <si>
    <t>-869.870758432034 150.967444159048 -280.284586913768</t>
  </si>
  <si>
    <t>-875.230144425078 147.745951548257 -369.161679965851</t>
  </si>
  <si>
    <t>-875.153794335622 144.466446983252 -458.198093604057</t>
  </si>
  <si>
    <t>-869.351407809002 139.593224745903 -582.549890385785</t>
  </si>
  <si>
    <t>-837.169736248069 137.239452020037 -659.125626225505</t>
  </si>
  <si>
    <t>-864.879268579118 168.531730468235 -528.551193282216</t>
  </si>
  <si>
    <t>-822.178734276783 298.46831371895 -514.643391426228</t>
  </si>
  <si>
    <t>-766.637409074868 321.264845798408 -226.569302159245</t>
  </si>
  <si>
    <t>-529.86174289298 323.788689895168 -182.051928192592</t>
  </si>
  <si>
    <t>-878.929932304545 114.943832804126 -527.106599309452</t>
  </si>
  <si>
    <t>-826.7280201255 256.154427037851 -77.1724076337795</t>
  </si>
  <si>
    <t>-831.30275277361 307.415213889738 323.085096308887</t>
  </si>
  <si>
    <t>-867.428620632762 364.174379893747 765.910004145084</t>
  </si>
  <si>
    <t>-723.007205981308 389.055920496426 825.999096756089</t>
  </si>
  <si>
    <t>-830.843681018291 65.6878636195274 -66.1667087563304</t>
  </si>
  <si>
    <t>-818.202033421303 52.8492846443269 336.983442797852</t>
  </si>
  <si>
    <t>-839.842680976938 88.953845357199 782.868033444373</t>
  </si>
  <si>
    <t>-749.297841984856 -19.2477869392701 854.849491358085</t>
  </si>
  <si>
    <t>9763-20170724T111040.582487000.bin</t>
  </si>
  <si>
    <t>-829.677925422 159.44056555049 -70.6511845331436</t>
  </si>
  <si>
    <t>-859.414084459671 153.123665973904 -182.419227621897</t>
  </si>
  <si>
    <t>-871.034460112943 149.280872513918 -280.280702942532</t>
  </si>
  <si>
    <t>-876.491417166063 146.098597076883 -369.153266918051</t>
  </si>
  <si>
    <t>-876.531312768078 142.917361040777 -458.193149203934</t>
  </si>
  <si>
    <t>-870.909432810427 138.245589264237 -582.561150575716</t>
  </si>
  <si>
    <t>-838.75003725611 136.111761316577 -659.152595858897</t>
  </si>
  <si>
    <t>-866.495920492253 167.131905603092 -528.529440823128</t>
  </si>
  <si>
    <t>-824.164035720343 297.206261025363 -514.815796753741</t>
  </si>
  <si>
    <t>-765.691315276785 320.370348486325 -227.351731844047</t>
  </si>
  <si>
    <t>-528.464786697042 323.986824369789 -185.383943057845</t>
  </si>
  <si>
    <t>-880.270794524882 113.470900298774 -527.136439761599</t>
  </si>
  <si>
    <t>-827.863300725663 254.449300637181 -77.2492146432764</t>
  </si>
  <si>
    <t>-832.465832631234 306.632298009129 322.888819283855</t>
  </si>
  <si>
    <t>-867.487912677224 364.261941192834 765.644950366921</t>
  </si>
  <si>
    <t>-723.125967051751 389.365259723042 825.784359686345</t>
  </si>
  <si>
    <t>-831.85257740485 64.4126085223652 -66.1208500644053</t>
  </si>
  <si>
    <t>-819.417147653127 52.3566824374898 337.059858922602</t>
  </si>
  <si>
    <t>-839.876210022404 88.8881778836767 782.981954793058</t>
  </si>
  <si>
    <t>-749.324258937813 -19.3462143444908 854.905105070553</t>
  </si>
  <si>
    <t>9763-20170724T111040.618089000.bin</t>
  </si>
  <si>
    <t>-830.183023515049 158.564274884192 -70.6411609931941</t>
  </si>
  <si>
    <t>-859.937642437167 152.159899582887 -182.399153793647</t>
  </si>
  <si>
    <t>-871.592714468921 148.279951628527 -280.254966460162</t>
  </si>
  <si>
    <t>-877.087146881127 145.080351281672 -369.124698384143</t>
  </si>
  <si>
    <t>-877.170387021356 141.900204432662 -458.164681049023</t>
  </si>
  <si>
    <t>-871.613202932275 137.250430026519 -582.5363347622</t>
  </si>
  <si>
    <t>-839.437619092181 135.191218335178 -659.122958563096</t>
  </si>
  <si>
    <t>-867.263460043272 166.150346653783 -528.506882920224</t>
  </si>
  <si>
    <t>-825.246436180432 296.336638389157 -514.869518804893</t>
  </si>
  <si>
    <t>-765.033100823191 319.729055202658 -227.783533450913</t>
  </si>
  <si>
    <t>-527.485203733572 323.619114269221 -187.699603504126</t>
  </si>
  <si>
    <t>-880.853710581345 112.442724710516 -527.106121661983</t>
  </si>
  <si>
    <t>-828.453668998925 253.510867327042 -77.2703103209338</t>
  </si>
  <si>
    <t>-833.078319627069 306.223488292885 322.798080974532</t>
  </si>
  <si>
    <t>-867.511894098794 364.279654969113 765.517432231471</t>
  </si>
  <si>
    <t>-723.177251998949 389.459997481403 825.690744545145</t>
  </si>
  <si>
    <t>-832.255934743199 63.5484318252547 -66.099221410518</t>
  </si>
  <si>
    <t>-819.994832745872 51.9732635686046 337.100950889896</t>
  </si>
  <si>
    <t>-839.986246495109 88.7077171218893 783.042720174314</t>
  </si>
  <si>
    <t>-749.218630144699 -19.3737953984692 854.923971244219</t>
  </si>
  <si>
    <t>9763-20170724T111040.683420500.bin</t>
  </si>
  <si>
    <t>-830.927714392089 156.67516765354 -70.5982236748239</t>
  </si>
  <si>
    <t>-860.795642733188 150.051012760064 -182.313292040519</t>
  </si>
  <si>
    <t>-872.531402285738 146.021423098749 -280.153346433207</t>
  </si>
  <si>
    <t>-878.091129551043 142.70089142435 -369.01454570173</t>
  </si>
  <si>
    <t>-878.23057302582 139.418663690641 -458.050683369276</t>
  </si>
  <si>
    <t>-872.741339317497 134.64826725809 -582.42092787538</t>
  </si>
  <si>
    <t>-840.47031523636 132.701907557157 -658.970145067961</t>
  </si>
  <si>
    <t>-868.59702438755 163.658581969521 -528.434399221922</t>
  </si>
  <si>
    <t>-827.587505691735 294.178304845472 -514.937969263141</t>
  </si>
  <si>
    <t>-763.340922366581 318.403449279851 -228.797036434591</t>
  </si>
  <si>
    <t>-525.251082540264 322.36348148931 -192.075161842364</t>
  </si>
  <si>
    <t>-881.716541222004 109.836248619128 -526.949052555194</t>
  </si>
  <si>
    <t>-829.504401360961 251.541466215467 -77.2658518194179</t>
  </si>
  <si>
    <t>-834.01053746157 305.336666350415 322.659624565486</t>
  </si>
  <si>
    <t>-867.591673053096 364.350645806225 765.254445742166</t>
  </si>
  <si>
    <t>-723.301350612041 389.654914368746 825.48153399741</t>
  </si>
  <si>
    <t>-832.678492824352 61.6990311756035 -66.047738738091</t>
  </si>
  <si>
    <t>-820.77650687745 51.1918512248967 337.192425365597</t>
  </si>
  <si>
    <t>-839.949192598716 88.6571752206337 783.121809740627</t>
  </si>
  <si>
    <t>-749.173915672617 -19.4499955404581 854.954946039532</t>
  </si>
  <si>
    <t>9763-20170724T111040.716510100.bin</t>
  </si>
  <si>
    <t>-831.149906388266 155.658160733662 -70.5835318952594</t>
  </si>
  <si>
    <t>-861.117710761401 148.894896478594 -182.263551621727</t>
  </si>
  <si>
    <t>-872.916833672255 144.780092466922 -280.092347345545</t>
  </si>
  <si>
    <t>-878.524114802115 141.3944652948 -368.948096578805</t>
  </si>
  <si>
    <t>-878.699321916142 138.060722879278 -457.982460076231</t>
  </si>
  <si>
    <t>-873.248388826492 133.233389790788 -582.351931213119</t>
  </si>
  <si>
    <t>-840.92104557294 131.362317908296 -658.879662778786</t>
  </si>
  <si>
    <t>-869.225207731005 162.301445283535 -528.387382198451</t>
  </si>
  <si>
    <t>-828.82125642333 293.009488558104 -514.939023364272</t>
  </si>
  <si>
    <t>-762.6245209758 317.652922404232 -229.278665423048</t>
  </si>
  <si>
    <t>-524.255623548668 321.224797406981 -194.373288949039</t>
  </si>
  <si>
    <t>-882.068976420094 108.414051004883 -526.858766487518</t>
  </si>
  <si>
    <t>-829.965070325347 250.513676919649 -77.2594248422565</t>
  </si>
  <si>
    <t>-834.406368742552 304.89103241501 322.588056044312</t>
  </si>
  <si>
    <t>-867.654935190902 364.41744345963 765.119732875457</t>
  </si>
  <si>
    <t>-723.464173339918 390.252705718955 825.360028629857</t>
  </si>
  <si>
    <t>-832.669673851687 60.6692774242497 -66.0237025134779</t>
  </si>
  <si>
    <t>-821.024142871887 50.6878205746862 337.237269296371</t>
  </si>
  <si>
    <t>-840.003955689893 88.5092645823029 783.159498313478</t>
  </si>
  <si>
    <t>-748.957957480638 -19.3942489388483 854.955681794114</t>
  </si>
  <si>
    <t>9763-20170724T111040.787288500.bin</t>
  </si>
  <si>
    <t>-831.28631962197 153.8692936159 -70.5994845603014</t>
  </si>
  <si>
    <t>-861.47740191724 146.775460361835 -182.198632108653</t>
  </si>
  <si>
    <t>-873.421052201236 142.513244431579 -280.003872936813</t>
  </si>
  <si>
    <t>-879.13476478686 139.044169683656 -368.849589711557</t>
  </si>
  <si>
    <t>-879.389626608337 135.681649072318 -457.882422235552</t>
  </si>
  <si>
    <t>-874.019453092131 130.870519889581 -582.256186969705</t>
  </si>
  <si>
    <t>-841.591354402427 129.254356102341 -658.746866664493</t>
  </si>
  <si>
    <t>-870.261067595557 160.000659568221 -528.306015742516</t>
  </si>
  <si>
    <t>-831.158466095018 291.096268487453 -514.802341231259</t>
  </si>
  <si>
    <t>-761.59525827309 316.084131765543 -229.972887560873</t>
  </si>
  <si>
    <t>-522.522565143447 319.04019116763 -200.201225659972</t>
  </si>
  <si>
    <t>-882.504155719913 105.974569154387 -526.744909144834</t>
  </si>
  <si>
    <t>-830.76697568656 248.667748611208 -77.296609599707</t>
  </si>
  <si>
    <t>-835.00621463841 304.150409014951 322.401183432555</t>
  </si>
  <si>
    <t>-867.782936063149 364.490767932713 764.831166193381</t>
  </si>
  <si>
    <t>-723.604382339355 390.315662286373 825.105287090936</t>
  </si>
  <si>
    <t>-832.2007775256 59.0164827604312 -65.9901473306691</t>
  </si>
  <si>
    <t>-821.156563432128 49.8344074017646 337.306715312638</t>
  </si>
  <si>
    <t>-839.964995788614 88.3707102021549 783.20470277921</t>
  </si>
  <si>
    <t>-748.875403242825 -19.5213632686405 854.962690885266</t>
  </si>
  <si>
    <t>9763-20170724T111040.813576800.bin</t>
  </si>
  <si>
    <t>-831.340817975155 153.153205547621 -70.623290004355</t>
  </si>
  <si>
    <t>-861.64449086188 145.874107342956 -182.180197542304</t>
  </si>
  <si>
    <t>-873.673084026875 141.550833612042 -279.9720604757</t>
  </si>
  <si>
    <t>-879.455975900364 138.063333683988 -368.812710894652</t>
  </si>
  <si>
    <t>-879.770364054368 134.722012174095 -457.846302379958</t>
  </si>
  <si>
    <t>-874.470992123115 129.983123028895 -582.225832271334</t>
  </si>
  <si>
    <t>-842.014440557084 128.556055712003 -658.708193789635</t>
  </si>
  <si>
    <t>-870.851680757546 159.119809093504 -528.269617268491</t>
  </si>
  <si>
    <t>-832.510391698864 290.43653005632 -514.691467461858</t>
  </si>
  <si>
    <t>-761.303439752442 315.289769136254 -230.256682699163</t>
  </si>
  <si>
    <t>-521.82527827083 318.153583688284 -203.93438169192</t>
  </si>
  <si>
    <t>-882.75428723949 105.017184044882 -526.715362853483</t>
  </si>
  <si>
    <t>-831.264978732061 247.919995542466 -77.3342014439086</t>
  </si>
  <si>
    <t>-835.292315031975 303.9028363646 322.296081663993</t>
  </si>
  <si>
    <t>-867.861261802955 364.574273540201 764.687767128485</t>
  </si>
  <si>
    <t>-723.771266246609 390.869788952089 824.97012548063</t>
  </si>
  <si>
    <t>-831.869103388633 58.3045801996686 -65.96535856563</t>
  </si>
  <si>
    <t>-821.072967897785 49.4610660739754 337.345836184682</t>
  </si>
  <si>
    <t>-839.893307144865 88.3555351250043 783.213755469875</t>
  </si>
  <si>
    <t>-748.747528603731 -19.5014773230864 854.953936189381</t>
  </si>
  <si>
    <t>9763-20170724T111040.884768900.bin</t>
  </si>
  <si>
    <t>-831.363687774038 151.931287282266 -70.6674971185183</t>
  </si>
  <si>
    <t>-861.904168628189 144.271551796127 -182.134323286644</t>
  </si>
  <si>
    <t>-874.148063875112 139.821847786546 -279.893828343931</t>
  </si>
  <si>
    <t>-880.124075632415 136.295909779078 -368.720072353807</t>
  </si>
  <si>
    <t>-880.625720636129 132.997120744868 -457.754390171547</t>
  </si>
  <si>
    <t>-875.57723523401 128.403692399779 -582.149841825417</t>
  </si>
  <si>
    <t>-843.109565816917 127.426182452766 -658.634525109542</t>
  </si>
  <si>
    <t>-872.185778928891 157.548821134501 -528.183305302225</t>
  </si>
  <si>
    <t>-835.339237725482 289.27969087794 -514.448918385291</t>
  </si>
  <si>
    <t>-761.012946417213 314.016268424939 -230.803153598423</t>
  </si>
  <si>
    <t>-520.899084205749 317.393472526655 -211.185590166772</t>
  </si>
  <si>
    <t>-883.411736907138 103.301725204795 -526.635727881824</t>
  </si>
  <si>
    <t>-832.161785662129 246.742394636915 -77.4246441424017</t>
  </si>
  <si>
    <t>-835.911086651612 303.461405682612 322.104521308705</t>
  </si>
  <si>
    <t>-868.002613284465 364.711531059472 764.426734775986</t>
  </si>
  <si>
    <t>-723.968167473983 391.20862839805 824.753133770061</t>
  </si>
  <si>
    <t>-830.965227135599 57.0108869644582 -65.9687814097368</t>
  </si>
  <si>
    <t>-820.727512488589 48.7670420834334 337.369706942626</t>
  </si>
  <si>
    <t>-839.792449769444 88.2344378635948 783.206543913921</t>
  </si>
  <si>
    <t>-748.371243520151 -19.4136112716446 854.909901643971</t>
  </si>
  <si>
    <t>9763-20170724T111040.916857000.bin</t>
  </si>
  <si>
    <t>-831.26990849802 151.381526396717 -70.687715141681</t>
  </si>
  <si>
    <t>-861.930301263979 143.52314332483 -182.107686796469</t>
  </si>
  <si>
    <t>-874.29893568383 138.997941465403 -279.848161067464</t>
  </si>
  <si>
    <t>-880.393423978407 135.440286568773 -368.66497023161</t>
  </si>
  <si>
    <t>-881.017105247507 132.148412946551 -457.698858055177</t>
  </si>
  <si>
    <t>-876.141097390089 127.605530390456 -582.102956778023</t>
  </si>
  <si>
    <t>-843.694321045798 126.848188265408 -658.599249114329</t>
  </si>
  <si>
    <t>-872.835526319497 156.760973453876 -528.136847717634</t>
  </si>
  <si>
    <t>-836.715013065407 288.682043215345 -514.325775816713</t>
  </si>
  <si>
    <t>-760.874366210728 313.489819658965 -231.087401491449</t>
  </si>
  <si>
    <t>-520.544286485045 317.159148389616 -214.39109223111</t>
  </si>
  <si>
    <t>-883.738084398062 102.448167745349 -526.580883758712</t>
  </si>
  <si>
    <t>-832.588213127051 246.220027150236 -77.4695671771659</t>
  </si>
  <si>
    <t>-836.200731222931 303.305740052106 322.008723667912</t>
  </si>
  <si>
    <t>-868.080620078379 364.793192338497 764.306354920977</t>
  </si>
  <si>
    <t>-724.05119255314 391.270246768558 824.653127906144</t>
  </si>
  <si>
    <t>-830.378861340252 56.4051059433591 -65.9709998699848</t>
  </si>
  <si>
    <t>-820.490205091746 48.4447632466813 337.381867030535</t>
  </si>
  <si>
    <t>-839.761349876276 88.1402169361145 783.198693032418</t>
  </si>
  <si>
    <t>-748.244847699626 -19.4346172798505 854.890461765898</t>
  </si>
  <si>
    <t>9763-20170724T111040.982033000.bin</t>
  </si>
  <si>
    <t>-830.911975355865 150.647846848866 -70.7700375493913</t>
  </si>
  <si>
    <t>-861.809273402728 142.401813909381 -182.096515440586</t>
  </si>
  <si>
    <t>-874.426994384631 137.734304316733 -279.79842083435</t>
  </si>
  <si>
    <t>-880.758389214084 134.118610053506 -368.596371441572</t>
  </si>
  <si>
    <t>-881.627007553426 130.843984836122 -457.62871941137</t>
  </si>
  <si>
    <t>-877.097043805543 126.403419705448 -582.049615420109</t>
  </si>
  <si>
    <t>-844.712869050417 126.022405865867 -658.57514427572</t>
  </si>
  <si>
    <t>-873.942233903179 155.572815023081 -528.082122249963</t>
  </si>
  <si>
    <t>-839.209030954875 287.851288451624 -514.132088200924</t>
  </si>
  <si>
    <t>-760.665760291105 313.100783477217 -231.67031903836</t>
  </si>
  <si>
    <t>-520.012634103267 317.037964446488 -220.651145785445</t>
  </si>
  <si>
    <t>-884.238275914938 101.142249891658 -526.514297951388</t>
  </si>
  <si>
    <t>-833.241967303307 245.658391304724 -77.5983237259881</t>
  </si>
  <si>
    <t>-836.778862873677 303.131461386207 321.825043941949</t>
  </si>
  <si>
    <t>-868.262169292106 364.986128917559 764.095408749133</t>
  </si>
  <si>
    <t>-724.369040864212 392.164936569447 824.455253427575</t>
  </si>
  <si>
    <t>-828.989907118126 55.5871135060147 -66.013493024549</t>
  </si>
  <si>
    <t>-819.862265233553 47.9510005688021 337.363487501307</t>
  </si>
  <si>
    <t>-839.571279820428 88.1115680445241 783.152759475884</t>
  </si>
  <si>
    <t>-747.987733993036 -19.4095422420155 854.839180664106</t>
  </si>
  <si>
    <t>9763-20170724T111041.021141800.bin</t>
  </si>
  <si>
    <t>-830.681826389993 150.412786050822 -70.8151656683197</t>
  </si>
  <si>
    <t>-861.694743509102 142.004551225181 -182.097172761235</t>
  </si>
  <si>
    <t>-874.452060521171 137.266881031461 -279.777703628779</t>
  </si>
  <si>
    <t>-880.923889485972 133.612741354048 -368.56406606769</t>
  </si>
  <si>
    <t>-881.944610445744 130.326082292659 -457.594348676132</t>
  </si>
  <si>
    <t>-877.638888383877 125.896887300168 -582.023570245721</t>
  </si>
  <si>
    <t>-845.327939516512 125.648501867495 -658.580567811243</t>
  </si>
  <si>
    <t>-874.519235765923 155.085719829351 -528.064486685072</t>
  </si>
  <si>
    <t>-840.426635789068 287.524328420075 -514.073985025147</t>
  </si>
  <si>
    <t>-760.637129132174 312.951459612473 -231.977769938643</t>
  </si>
  <si>
    <t>-519.863299904001 316.921506472919 -224.036839368254</t>
  </si>
  <si>
    <t>-884.548131766041 100.606001329867 -526.472296999517</t>
  </si>
  <si>
    <t>-833.573690859414 245.46874844823 -77.6534566799419</t>
  </si>
  <si>
    <t>-836.987957170968 303.053957447067 321.754824503302</t>
  </si>
  <si>
    <t>-868.325548654504 365.01508561126 764.02029362503</t>
  </si>
  <si>
    <t>-724.356382950856 391.737654219352 824.40325800354</t>
  </si>
  <si>
    <t>-828.224322297021 55.2656077241054 -66.0337397824511</t>
  </si>
  <si>
    <t>-819.463558935908 47.7821360552266 337.354288976479</t>
  </si>
  <si>
    <t>-839.451054713613 88.1348966547234 783.117122994789</t>
  </si>
  <si>
    <t>-747.864684322367 -19.3829002835723 854.804756319383</t>
  </si>
  <si>
    <t>9763-20170724T111041.082304700.bin</t>
  </si>
  <si>
    <t>-830.214179624087 150.010880614072 -70.8885891915639</t>
  </si>
  <si>
    <t>-861.475155855991 141.267559083364 -182.075491247273</t>
  </si>
  <si>
    <t>-874.498485660268 136.358962444159 -279.712375531405</t>
  </si>
  <si>
    <t>-881.227887393709 132.590438676521 -368.47460507496</t>
  </si>
  <si>
    <t>-882.520181581713 129.232121239169 -457.498780511898</t>
  </si>
  <si>
    <t>-878.605959573486 124.745341463074 -581.938940915239</t>
  </si>
  <si>
    <t>-846.373572177781 124.675213065831 -658.529434277985</t>
  </si>
  <si>
    <t>-875.501856775848 153.992533031959 -528.010428699768</t>
  </si>
  <si>
    <t>-842.287269151333 286.644452214607 -514.022678342906</t>
  </si>
  <si>
    <t>-760.394885396883 312.503648567382 -232.568980731309</t>
  </si>
  <si>
    <t>-519.502262342712 316.41196159901 -230.068733074104</t>
  </si>
  <si>
    <t>-885.155003766309 99.4471049360486 -526.347536579277</t>
  </si>
  <si>
    <t>-833.896004266174 245.195074691827 -77.7579387927625</t>
  </si>
  <si>
    <t>-837.346132095425 303.038511944932 321.612791371579</t>
  </si>
  <si>
    <t>-868.479694191222 365.124576417737 763.888836754818</t>
  </si>
  <si>
    <t>-724.550806712675 392.009101394317 824.295497064375</t>
  </si>
  <si>
    <t>-826.957192957525 54.5895337675593 -66.0302946785773</t>
  </si>
  <si>
    <t>-818.626377804183 47.3858931092823 337.371913120698</t>
  </si>
  <si>
    <t>-839.338508565819 87.998383826714 783.056127258531</t>
  </si>
  <si>
    <t>-747.482609691694 -19.295092759914 854.735111038753</t>
  </si>
  <si>
    <t>9763-20170724T111041.114893200.bin</t>
  </si>
  <si>
    <t>-829.999386216292 149.85808799471 -70.9334785606137</t>
  </si>
  <si>
    <t>-861.392246826039 140.965219348322 -182.071374058256</t>
  </si>
  <si>
    <t>-874.526437313349 136.005111547649 -279.69078679748</t>
  </si>
  <si>
    <t>-881.351954822814 132.21784048405 -368.444923814366</t>
  </si>
  <si>
    <t>-882.734690147445 128.867995713174 -457.46810074898</t>
  </si>
  <si>
    <t>-878.93956181164 124.421921993111 -581.913401767778</t>
  </si>
  <si>
    <t>-846.699222104573 124.41074099265 -658.500480431195</t>
  </si>
  <si>
    <t>-875.844369995224 153.662017445256 -527.980495151614</t>
  </si>
  <si>
    <t>-842.824929487098 286.355512823929 -513.923650997401</t>
  </si>
  <si>
    <t>-759.722828454403 312.338995075531 -232.836227901163</t>
  </si>
  <si>
    <t>-518.813890520434 316.047861469192 -232.952711615497</t>
  </si>
  <si>
    <t>-885.375102337431 99.0949345589315 -526.3215962233</t>
  </si>
  <si>
    <t>-834.087547196641 245.162130364639 -77.8402447164963</t>
  </si>
  <si>
    <t>-837.431615353679 303.041596622244 321.526083184515</t>
  </si>
  <si>
    <t>-868.549210847311 365.147792946542 763.823766706204</t>
  </si>
  <si>
    <t>-724.633160095435 392.074645370526 824.241869464328</t>
  </si>
  <si>
    <t>-826.380657492959 54.3725692710286 -66.0474040255979</t>
  </si>
  <si>
    <t>-818.279658764696 47.3529764979321 337.362739635972</t>
  </si>
  <si>
    <t>-839.151732842867 88.127790516708 783.020630979767</t>
  </si>
  <si>
    <t>-747.440317915622 -19.2816553620687 854.711131251578</t>
  </si>
  <si>
    <t>9763-20170724T111041.182575300.bin</t>
  </si>
  <si>
    <t>-829.709681524441 149.897932022621 -71.0393868200056</t>
  </si>
  <si>
    <t>-861.318922898249 140.750663923839 -182.095211718556</t>
  </si>
  <si>
    <t>-874.632262676891 135.748002990813 -279.688265461247</t>
  </si>
  <si>
    <t>-881.610165705599 131.987374353575 -368.431741274206</t>
  </si>
  <si>
    <t>-883.131860216664 128.728783873994 -457.455955783815</t>
  </si>
  <si>
    <t>-879.513562828663 124.475325816288 -581.913219991666</t>
  </si>
  <si>
    <t>-847.243689302201 124.54709736198 -658.488083049519</t>
  </si>
  <si>
    <t>-876.421151036156 153.645696859223 -527.942592847338</t>
  </si>
  <si>
    <t>-843.601093620094 286.366731696032 -513.63961243793</t>
  </si>
  <si>
    <t>-757.678156492458 312.656437711076 -233.430050319919</t>
  </si>
  <si>
    <t>-516.795609666103 315.904554903285 -237.404207806648</t>
  </si>
  <si>
    <t>-885.790090211604 99.0484158989298 -526.348967663985</t>
  </si>
  <si>
    <t>-834.260173747505 245.33969021385 -78.0165042025016</t>
  </si>
  <si>
    <t>-837.510157496373 303.198919356905 321.353505790243</t>
  </si>
  <si>
    <t>-868.731890473433 365.310482232345 763.685922046632</t>
  </si>
  <si>
    <t>-724.935240564844 392.843135824403 824.115667904018</t>
  </si>
  <si>
    <t>-825.580051899654 54.4153916522423 -66.0624959046881</t>
  </si>
  <si>
    <t>-817.738960753913 47.1743707386718 337.34887846484</t>
  </si>
  <si>
    <t>-839.068607696589 87.9822595454652 782.980867694738</t>
  </si>
  <si>
    <t>-747.008852140358 -19.132394727324 854.665968312065</t>
  </si>
  <si>
    <t>9763-20170724T111041.214706100.bin</t>
  </si>
  <si>
    <t>-829.543502258048 150.172889268713 -71.0901485503844</t>
  </si>
  <si>
    <t>-861.208379449566 140.957965501936 -182.124539322469</t>
  </si>
  <si>
    <t>-874.567422391609 135.975305720609 -279.712330196222</t>
  </si>
  <si>
    <t>-881.583121493703 132.263715911854 -368.454949379701</t>
  </si>
  <si>
    <t>-883.137650922933 129.085246487673 -457.481438661414</t>
  </si>
  <si>
    <t>-879.558151368007 124.97644801335 -581.944788433258</t>
  </si>
  <si>
    <t>-847.256558839319 125.093566172257 -658.506105472898</t>
  </si>
  <si>
    <t>-876.481950366458 154.089548893744 -527.942262368899</t>
  </si>
  <si>
    <t>-843.700770747917 286.805523449856 -513.48311859314</t>
  </si>
  <si>
    <t>-756.124258405409 313.293287637413 -233.804736270005</t>
  </si>
  <si>
    <t>-515.268757787335 316.184316628003 -239.380800871354</t>
  </si>
  <si>
    <t>-885.784607076488 99.4793081801804 -526.406962397187</t>
  </si>
  <si>
    <t>-834.236414623746 245.605903965608 -78.1021513924871</t>
  </si>
  <si>
    <t>-837.492586723581 303.345723692658 321.285162898055</t>
  </si>
  <si>
    <t>-868.804887019349 365.315440872919 763.622664029841</t>
  </si>
  <si>
    <t>-725.056052515856 393.097489037149 824.051799111418</t>
  </si>
  <si>
    <t>-825.244270863747 54.736973748426 -66.0757871239235</t>
  </si>
  <si>
    <t>-817.430669135835 47.2559613722606 337.331776753727</t>
  </si>
  <si>
    <t>-838.92965470235 88.0636153784085 782.958234342938</t>
  </si>
  <si>
    <t>-747.045673647459 -19.1933210831166 854.656516541154</t>
  </si>
  <si>
    <t>9763-20170724T111041.284895300.bin</t>
  </si>
  <si>
    <t>-829.282615402309 150.652889027258 -71.1973645148299</t>
  </si>
  <si>
    <t>-861.036048333449 141.397204488775 -182.202985275637</t>
  </si>
  <si>
    <t>-874.443953310166 136.487315158499 -279.78779074701</t>
  </si>
  <si>
    <t>-881.489016200296 132.885694114608 -368.532557191586</t>
  </si>
  <si>
    <t>-883.056491812747 129.862237101017 -457.56433319476</t>
  </si>
  <si>
    <t>-879.475688986182 126.017889747658 -582.036017058303</t>
  </si>
  <si>
    <t>-847.080507608234 126.221113875409 -658.557499331846</t>
  </si>
  <si>
    <t>-876.45253523493 155.025009683275 -527.973457735843</t>
  </si>
  <si>
    <t>-843.816760196676 287.751218148841 -513.231032134983</t>
  </si>
  <si>
    <t>-752.665305856993 315.003347866636 -234.771176823861</t>
  </si>
  <si>
    <t>-511.86271952353 317.486497117766 -242.445626021352</t>
  </si>
  <si>
    <t>-885.650199299522 100.394139638929 -526.550797178186</t>
  </si>
  <si>
    <t>-834.229033668529 246.140046090392 -78.222113039731</t>
  </si>
  <si>
    <t>-837.462310889691 303.663486557016 321.196563396704</t>
  </si>
  <si>
    <t>-868.964813697648 365.3733475004 763.539547833964</t>
  </si>
  <si>
    <t>-725.183346235415 392.993784365579 823.965493414062</t>
  </si>
  <si>
    <t>-824.774496907771 55.0938909830388 -66.1382416700332</t>
  </si>
  <si>
    <t>-816.963010107737 47.4963303756017 337.267231880146</t>
  </si>
  <si>
    <t>-838.734245035929 88.1093213459285 782.908909230495</t>
  </si>
  <si>
    <t>-747.011345250533 -19.2724153408017 854.626070691696</t>
  </si>
  <si>
    <t>9763-20170724T111041.316506000.bin</t>
  </si>
  <si>
    <t>-829.24105239391 150.862447536078 -71.2185332629022</t>
  </si>
  <si>
    <t>-860.996371988288 141.635242549652 -182.226066249833</t>
  </si>
  <si>
    <t>-874.403216935856 136.768746588949 -279.81318990064</t>
  </si>
  <si>
    <t>-881.446070665256 133.214583910577 -368.560047370188</t>
  </si>
  <si>
    <t>-883.009508999741 130.247000583638 -457.593694989182</t>
  </si>
  <si>
    <t>-879.420625476095 126.489404209769 -582.067778994926</t>
  </si>
  <si>
    <t>-846.962756700791 126.719326539406 -658.562657824062</t>
  </si>
  <si>
    <t>-876.408304600761 155.460113393684 -527.985136379766</t>
  </si>
  <si>
    <t>-843.776960101463 288.180482327599 -513.142102677583</t>
  </si>
  <si>
    <t>-751.229202577476 315.817005188169 -235.181128982454</t>
  </si>
  <si>
    <t>-510.462631901726 317.982412672847 -243.993233103281</t>
  </si>
  <si>
    <t>-885.59159888414 100.8257782712 -526.600647325771</t>
  </si>
  <si>
    <t>-834.239665102724 246.393706217693 -78.2548748994651</t>
  </si>
  <si>
    <t>-837.442144652893 303.768433625808 321.185416064411</t>
  </si>
  <si>
    <t>-869.029802339478 365.369461342721 763.530764537006</t>
  </si>
  <si>
    <t>-725.165492064202 392.546681452689 823.960454395438</t>
  </si>
  <si>
    <t>-824.675478598139 55.2743759150735 -66.1755533093597</t>
  </si>
  <si>
    <t>-816.804074372348 47.513459692484 337.225644299666</t>
  </si>
  <si>
    <t>-838.708242221169 88.0366700562281 782.881993264851</t>
  </si>
  <si>
    <t>-746.762593694035 -19.1610756421378 854.589115241084</t>
  </si>
  <si>
    <t>9763-20170724T111041.382174700.bin</t>
  </si>
  <si>
    <t>-829.150399441956 151.369963874561 -71.2325021390308</t>
  </si>
  <si>
    <t>-860.922212980237 142.279918193727 -182.246839125933</t>
  </si>
  <si>
    <t>-874.29682132207 137.553254275873 -279.845100594564</t>
  </si>
  <si>
    <t>-881.291885421962 134.1367051686 -368.601141562147</t>
  </si>
  <si>
    <t>-882.788005643451 131.319374113044 -457.64080943189</t>
  </si>
  <si>
    <t>-879.08511098356 127.785536165263 -582.118230647586</t>
  </si>
  <si>
    <t>-846.466088357233 128.080359967799 -658.544206117448</t>
  </si>
  <si>
    <t>-876.13766444345 156.661577725471 -527.981404566574</t>
  </si>
  <si>
    <t>-843.558458447321 289.356254953795 -512.888871521433</t>
  </si>
  <si>
    <t>-749.18332852473 317.33774436732 -235.577478114098</t>
  </si>
  <si>
    <t>-508.522879234344 319.207270112108 -246.97304569404</t>
  </si>
  <si>
    <t>-885.291266950346 102.019653035079 -526.702354810753</t>
  </si>
  <si>
    <t>-834.154065763976 246.923048979883 -78.2345005718091</t>
  </si>
  <si>
    <t>-837.308320305508 304.07670505123 321.23784815831</t>
  </si>
  <si>
    <t>-869.15338495777 365.340703071859 763.593042018181</t>
  </si>
  <si>
    <t>-725.277863896634 392.498168698264 824.005308488974</t>
  </si>
  <si>
    <t>-824.558942131202 55.7420718095177 -66.2452913044306</t>
  </si>
  <si>
    <t>-816.356462193857 47.6058111837228 337.141893473309</t>
  </si>
  <si>
    <t>-838.575889236871 88.0205352381854 782.81187622027</t>
  </si>
  <si>
    <t>-746.561471339549 -19.1146420070381 854.52450628504</t>
  </si>
  <si>
    <t>9763-20170724T111041.419285500.bin</t>
  </si>
  <si>
    <t>-829.037013524052 151.623777416699 -71.2339854095997</t>
  </si>
  <si>
    <t>-860.826999209642 142.585010504796 -182.247228708218</t>
  </si>
  <si>
    <t>-874.184860849851 137.917170200515 -279.850565891128</t>
  </si>
  <si>
    <t>-881.151189380884 134.561342260512 -368.611170367902</t>
  </si>
  <si>
    <t>-882.605380803093 131.813414457502 -457.653753257805</t>
  </si>
  <si>
    <t>-878.829246619736 128.386563540949 -582.131946911398</t>
  </si>
  <si>
    <t>-846.108019703778 128.712268933445 -658.514108163359</t>
  </si>
  <si>
    <t>-875.924439016019 157.217852026567 -527.968835254305</t>
  </si>
  <si>
    <t>-843.428099755739 289.922966384912 -512.716292100809</t>
  </si>
  <si>
    <t>-748.195542777647 317.913884223143 -235.699122971669</t>
  </si>
  <si>
    <t>-507.610532705769 319.75839075157 -248.594760723666</t>
  </si>
  <si>
    <t>-885.057588931959 102.571478113922 -526.741707634099</t>
  </si>
  <si>
    <t>-834.012174796779 247.207044089984 -78.2143800766523</t>
  </si>
  <si>
    <t>-837.109857033091 304.284254838304 321.269343104774</t>
  </si>
  <si>
    <t>-869.229116062711 365.383579055183 763.638970405031</t>
  </si>
  <si>
    <t>-725.341876990185 392.51075918006 824.036408655301</t>
  </si>
  <si>
    <t>-824.415767449578 55.9540122715871 -66.2742840147647</t>
  </si>
  <si>
    <t>-816.108465373405 47.6937548942901 337.108171983003</t>
  </si>
  <si>
    <t>-838.466151275909 88.0776899110137 782.772764069917</t>
  </si>
  <si>
    <t>-746.565712845583 -19.1446887813663 854.501291586321</t>
  </si>
  <si>
    <t>9763-20170724T111041.483280300.bin</t>
  </si>
  <si>
    <t>-828.886048411389 152.094251076835 -71.2272870211365</t>
  </si>
  <si>
    <t>-860.76372306713 143.122373052292 -182.220771981277</t>
  </si>
  <si>
    <t>-874.15430234994 138.562417369681 -279.824866543179</t>
  </si>
  <si>
    <t>-881.131692486189 135.325756286258 -368.588971074981</t>
  </si>
  <si>
    <t>-882.576725563169 132.717917585273 -457.636026950875</t>
  </si>
  <si>
    <t>-878.766671275646 129.509693043917 -582.118910291266</t>
  </si>
  <si>
    <t>-845.831428993086 129.908248404872 -658.408673474324</t>
  </si>
  <si>
    <t>-875.885259041346 158.247280924198 -527.904798689402</t>
  </si>
  <si>
    <t>-843.522995442032 290.945799781171 -512.369080909452</t>
  </si>
  <si>
    <t>-746.273992211052 318.583458100145 -236.017933394385</t>
  </si>
  <si>
    <t>-505.887078045376 320.921640577883 -252.130354846388</t>
  </si>
  <si>
    <t>-885.001230122798 103.595753633765 -526.77527955626</t>
  </si>
  <si>
    <t>-833.932418848895 247.727718870338 -78.1734911612592</t>
  </si>
  <si>
    <t>-836.769120130562 304.549026018341 321.348657101848</t>
  </si>
  <si>
    <t>-869.339715524501 365.341181991691 763.742241135529</t>
  </si>
  <si>
    <t>-725.419952156695 392.340428986274 824.120467604993</t>
  </si>
  <si>
    <t>-824.234179412561 56.352881270016 -66.3066165161548</t>
  </si>
  <si>
    <t>-815.650327267129 47.9026832470572 337.066170122988</t>
  </si>
  <si>
    <t>-838.273738455757 88.1665234903835 782.710410172548</t>
  </si>
  <si>
    <t>-746.475158572023 -19.1290186962378 854.459929785698</t>
  </si>
  <si>
    <t>9763-20170724T111041.514870200.bin</t>
  </si>
  <si>
    <t>-828.802881232411 152.231897245727 -71.1979375269319</t>
  </si>
  <si>
    <t>-860.716565374238 143.29777331489 -182.184060470443</t>
  </si>
  <si>
    <t>-874.136656628808 138.780917509017 -279.786098894244</t>
  </si>
  <si>
    <t>-881.139135595829 135.587974711083 -368.549905295234</t>
  </si>
  <si>
    <t>-882.608302077176 133.02888220823 -457.597796616982</t>
  </si>
  <si>
    <t>-878.829825675171 129.893888411733 -582.083563532597</t>
  </si>
  <si>
    <t>-845.791503770267 130.334305262239 -658.328711497169</t>
  </si>
  <si>
    <t>-875.93461889844 158.599637406297 -527.853395319332</t>
  </si>
  <si>
    <t>-843.612439490402 291.294546404917 -512.21062425254</t>
  </si>
  <si>
    <t>-745.267009004974 318.776677399362 -236.232189304638</t>
  </si>
  <si>
    <t>-504.992158764951 321.439980226191 -253.889336283928</t>
  </si>
  <si>
    <t>-885.050153214891 103.947478282646 -526.753810407336</t>
  </si>
  <si>
    <t>-833.867485056217 247.847655456209 -78.1221181486605</t>
  </si>
  <si>
    <t>-836.681293373343 304.679913676312 321.398596294275</t>
  </si>
  <si>
    <t>-869.409180709588 365.382911149765 763.795653076197</t>
  </si>
  <si>
    <t>-725.503641409691 392.473420945177 824.166234311968</t>
  </si>
  <si>
    <t>-824.11672820361 56.4807354442919 -66.3177515516177</t>
  </si>
  <si>
    <t>-815.433043736654 47.9571267155848 337.051261736372</t>
  </si>
  <si>
    <t>-838.201772817875 88.1813874853251 782.688709117227</t>
  </si>
  <si>
    <t>-746.454779679186 -19.1519951190508 854.447463122828</t>
  </si>
  <si>
    <t>9763-20170724T111041.583555800.bin</t>
  </si>
  <si>
    <t>-828.754780762587 152.468406691342 -71.153526091417</t>
  </si>
  <si>
    <t>-860.732577911964 143.570625080149 -182.124061858755</t>
  </si>
  <si>
    <t>-874.24466020865 139.112711250156 -279.716138653592</t>
  </si>
  <si>
    <t>-881.344507694606 135.985371364947 -368.474601015448</t>
  </si>
  <si>
    <t>-882.924385216885 133.505189023888 -457.522871632206</t>
  </si>
  <si>
    <t>-879.313952002681 130.494560511754 -582.016676856471</t>
  </si>
  <si>
    <t>-846.078246349535 130.990768000028 -658.17563783471</t>
  </si>
  <si>
    <t>-876.33877841865 159.144758942711 -527.761433458336</t>
  </si>
  <si>
    <t>-844.058501668562 291.834271558734 -511.941247783595</t>
  </si>
  <si>
    <t>-744.123045864728 318.443850026531 -236.448897253954</t>
  </si>
  <si>
    <t>-504.176100010445 321.711261348315 -258.030005270552</t>
  </si>
  <si>
    <t>-885.466866308281 104.493876802184 -526.704571016472</t>
  </si>
  <si>
    <t>-833.944358640716 248.219813760559 -78.0565524971339</t>
  </si>
  <si>
    <t>-836.605991648485 304.873340767912 321.490637456611</t>
  </si>
  <si>
    <t>-869.517788728397 365.418199213837 763.910695499601</t>
  </si>
  <si>
    <t>-725.645460275568 392.696887650209 824.275819723768</t>
  </si>
  <si>
    <t>-823.98599605055 56.6261834677011 -66.3065657406063</t>
  </si>
  <si>
    <t>-815.147809632702 48.0067852645766 337.057126947298</t>
  </si>
  <si>
    <t>-838.107598719389 88.178412938269 782.664857712998</t>
  </si>
  <si>
    <t>-746.35072388759 -19.1467594577175 854.423006816982</t>
  </si>
  <si>
    <t>9763-20170724T111041.616155300.bin</t>
  </si>
  <si>
    <t>-828.78483777947 152.494119717422 -71.1300112974045</t>
  </si>
  <si>
    <t>-860.818400061909 143.618323236421 -182.086183995508</t>
  </si>
  <si>
    <t>-874.390206760433 139.186880567279 -279.671077576726</t>
  </si>
  <si>
    <t>-881.548078332522 136.086973331692 -368.425860682716</t>
  </si>
  <si>
    <t>-883.190186145705 133.637487446004 -457.473927998696</t>
  </si>
  <si>
    <t>-879.67086523059 130.674414915052 -581.971330813186</t>
  </si>
  <si>
    <t>-846.349747137068 131.182863067252 -658.09276662816</t>
  </si>
  <si>
    <t>-876.659097241652 159.304790988868 -527.70759643869</t>
  </si>
  <si>
    <t>-844.458571788474 291.993511603864 -511.793457577046</t>
  </si>
  <si>
    <t>-743.934987396205 318.100318615979 -236.466875471444</t>
  </si>
  <si>
    <t>-504.202303869326 321.724955305769 -260.256175563936</t>
  </si>
  <si>
    <t>-885.779956787705 104.652190540025 -526.664751096321</t>
  </si>
  <si>
    <t>-834.001550963448 248.232097258572 -78.0034767456488</t>
  </si>
  <si>
    <t>-836.567918998071 304.963048955338 321.533362697961</t>
  </si>
  <si>
    <t>-869.57167056053 365.430501656947 763.9673816372</t>
  </si>
  <si>
    <t>-725.713836043544 392.794191901201 824.328211066784</t>
  </si>
  <si>
    <t>-823.986708617766 56.6130562799963 -66.2957738890673</t>
  </si>
  <si>
    <t>-815.045235925851 48.0451438655014 337.066718273767</t>
  </si>
  <si>
    <t>-838.074240122694 88.1621283660879 782.6611267302</t>
  </si>
  <si>
    <t>-746.229226108768 -19.0919207720076 854.412938220101</t>
  </si>
  <si>
    <t>9763-20170724T111041.686400500.bin</t>
  </si>
  <si>
    <t>-828.963104607674 152.568836788389 -71.0888296924286</t>
  </si>
  <si>
    <t>-861.093818069118 143.742451015948 -182.021065665719</t>
  </si>
  <si>
    <t>-874.787796410003 139.391070971033 -279.592404105652</t>
  </si>
  <si>
    <t>-882.072378963834 136.3819288654 -368.339965965458</t>
  </si>
  <si>
    <t>-883.854373438451 134.04368957059 -457.388304692671</t>
  </si>
  <si>
    <t>-880.545414066264 131.258808427451 -581.895658201195</t>
  </si>
  <si>
    <t>-847.042055921124 131.811000130165 -657.936925920512</t>
  </si>
  <si>
    <t>-877.458482995715 159.814144588252 -527.59667487938</t>
  </si>
  <si>
    <t>-845.396573302718 292.518906449089 -511.457424868879</t>
  </si>
  <si>
    <t>-744.410695046448 317.132377874919 -236.162712197496</t>
  </si>
  <si>
    <t>-505.161001425235 321.563853590859 -264.28456587431</t>
  </si>
  <si>
    <t>-886.544490724009 105.154538844258 -526.61560036714</t>
  </si>
  <si>
    <t>-834.275176646133 248.30733023505 -77.9295910917668</t>
  </si>
  <si>
    <t>-836.514672466597 305.0364816712 321.609493774584</t>
  </si>
  <si>
    <t>-869.651410459447 365.405815181585 764.06701116968</t>
  </si>
  <si>
    <t>-725.803915150067 392.814578584605 824.432175877887</t>
  </si>
  <si>
    <t>-824.09739952975 56.7472307203329 -66.2989080936151</t>
  </si>
  <si>
    <t>-814.976576132904 48.1845596685907 337.059693871885</t>
  </si>
  <si>
    <t>-837.868192594423 88.3319184507386 782.641519468096</t>
  </si>
  <si>
    <t>-746.140099876364 -19.0134057095306 854.406740754787</t>
  </si>
  <si>
    <t>9763-20170724T111041.716983300.bin</t>
  </si>
  <si>
    <t>-829.151644681912 152.641029498867 -71.0689757358748</t>
  </si>
  <si>
    <t>-861.340225641999 143.829879277977 -181.985510775547</t>
  </si>
  <si>
    <t>-875.098218438369 139.506140717196 -279.549300304614</t>
  </si>
  <si>
    <t>-882.445511099657 136.528958836596 -368.292640970821</t>
  </si>
  <si>
    <t>-884.295702419406 134.23047566665 -457.340666896415</t>
  </si>
  <si>
    <t>-881.085960810973 131.510503304488 -581.852124933721</t>
  </si>
  <si>
    <t>-847.478579466713 132.081442297369 -657.847024325316</t>
  </si>
  <si>
    <t>-877.961841558528 160.038453607363 -527.540943488252</t>
  </si>
  <si>
    <t>-845.984453244837 292.750396868146 -511.320352920015</t>
  </si>
  <si>
    <t>-745.008559827054 316.772737572794 -235.969563318027</t>
  </si>
  <si>
    <t>-505.972390404218 321.470933979715 -265.810533525809</t>
  </si>
  <si>
    <t>-887.035497271583 105.376557598117 -526.580648929137</t>
  </si>
  <si>
    <t>-834.511326933915 248.352955098949 -77.8958177266287</t>
  </si>
  <si>
    <t>-836.484326830336 305.052250827114 321.648856970115</t>
  </si>
  <si>
    <t>-869.671551316298 365.325499156023 764.116661924256</t>
  </si>
  <si>
    <t>-725.759085666521 392.371006921193 824.490974810356</t>
  </si>
  <si>
    <t>-824.219296626907 56.8596079950958 -66.3005077036431</t>
  </si>
  <si>
    <t>-815.001021053875 48.2316185771665 337.054450889349</t>
  </si>
  <si>
    <t>-837.826327476407 88.3334136051008 782.641043364367</t>
  </si>
  <si>
    <t>-746.138402402668 -19.0440523392322 854.409479945208</t>
  </si>
  <si>
    <t>9763-20170724T111041.783161100.bin</t>
  </si>
  <si>
    <t>-829.432633652885 152.729078149451 -71.072119779439</t>
  </si>
  <si>
    <t>-861.714245041053 143.848265851459 -181.956029468171</t>
  </si>
  <si>
    <t>-875.573633299982 139.512137846915 -279.504855049531</t>
  </si>
  <si>
    <t>-883.019480725388 136.543559536643 -368.2404412974</t>
  </si>
  <si>
    <t>-884.97402256301 134.273841083744 -457.286744979165</t>
  </si>
  <si>
    <t>-881.915252168864 131.614655498773 -581.803453053276</t>
  </si>
  <si>
    <t>-848.037437328391 132.226773282193 -657.678073486073</t>
  </si>
  <si>
    <t>-878.738032703214 160.118000394293 -527.48240790309</t>
  </si>
  <si>
    <t>-846.829639140132 292.829106618438 -511.131340198906</t>
  </si>
  <si>
    <t>-745.692753091735 316.131249612469 -235.777880232677</t>
  </si>
  <si>
    <t>-506.948423879581 321.217565757411 -267.812501293255</t>
  </si>
  <si>
    <t>-887.784650761596 105.451538941837 -526.537241849663</t>
  </si>
  <si>
    <t>-834.851394287659 248.371799466746 -77.8880603982817</t>
  </si>
  <si>
    <t>-836.696670544117 305.156817402208 321.645171403727</t>
  </si>
  <si>
    <t>-869.747888143668 365.34689206014 764.164541009193</t>
  </si>
  <si>
    <t>-725.830317941475 392.315924343894 824.560423630113</t>
  </si>
  <si>
    <t>-824.330616351108 56.9446501331295 -66.2855595082042</t>
  </si>
  <si>
    <t>-815.13331540295 48.4792280889801 337.07337205058</t>
  </si>
  <si>
    <t>-837.670673315835 88.4515324315139 782.649390973404</t>
  </si>
  <si>
    <t>-746.171759506618 -19.0762821542216 854.433684569439</t>
  </si>
  <si>
    <t>9763-20170724T111041.815760600.bin</t>
  </si>
  <si>
    <t>-829.544627504726 152.705022194719 -71.0906503264298</t>
  </si>
  <si>
    <t>-861.862902834223 143.759065463338 -181.958676273599</t>
  </si>
  <si>
    <t>-875.762257466756 139.416502225361 -279.501427529757</t>
  </si>
  <si>
    <t>-883.245278423279 136.46075250975 -368.234317480419</t>
  </si>
  <si>
    <t>-885.237691208504 134.22238443609 -457.280674095126</t>
  </si>
  <si>
    <t>-882.231168489817 131.625965410534 -581.799898942765</t>
  </si>
  <si>
    <t>-848.204758468048 132.283553629085 -657.607635178612</t>
  </si>
  <si>
    <t>-879.04497972951 160.104356574989 -527.46621772932</t>
  </si>
  <si>
    <t>-847.197729994534 292.81978595073 -511.053494640435</t>
  </si>
  <si>
    <t>-745.677633474833 316.176952847204 -235.845624273222</t>
  </si>
  <si>
    <t>-507.009351062591 321.42226785085 -268.415401247368</t>
  </si>
  <si>
    <t>-888.063169203332 105.432605367191 -526.544030696231</t>
  </si>
  <si>
    <t>-835.059549104617 248.334843251816 -77.9178220205675</t>
  </si>
  <si>
    <t>-836.96985472661 305.187363281531 321.605404432809</t>
  </si>
  <si>
    <t>-869.796562524656 365.404563781515 764.159198312832</t>
  </si>
  <si>
    <t>-725.954296838625 392.749724739311 824.566120398786</t>
  </si>
  <si>
    <t>-824.355029637272 56.9174881867043 -66.2811721072965</t>
  </si>
  <si>
    <t>-815.202514149239 48.6047209675226 337.081951145894</t>
  </si>
  <si>
    <t>-837.603640862621 88.47987644881 782.653580714535</t>
  </si>
  <si>
    <t>-746.082425827449 -19.0221221036923 854.448157942946</t>
  </si>
  <si>
    <t>9763-20170724T111041.884437000.bin</t>
  </si>
  <si>
    <t>-829.821452155409 152.490932002807 -71.1414844374651</t>
  </si>
  <si>
    <t>-862.108175574667 143.496307117399 -182.014800760607</t>
  </si>
  <si>
    <t>-875.954006501454 139.1663860842 -279.565839949651</t>
  </si>
  <si>
    <t>-883.376318612623 136.24288090676 -368.304692906967</t>
  </si>
  <si>
    <t>-885.295278082458 134.05778786819 -457.354183636538</t>
  </si>
  <si>
    <t>-882.171793943465 131.558195385969 -581.872406104568</t>
  </si>
  <si>
    <t>-847.795612668149 132.326040601478 -657.521069860398</t>
  </si>
  <si>
    <t>-879.102652922236 160.004866393004 -527.515533420397</t>
  </si>
  <si>
    <t>-847.557263738277 292.78562692394 -511.044007540828</t>
  </si>
  <si>
    <t>-745.062319784417 316.535633114324 -236.23155038724</t>
  </si>
  <si>
    <t>-506.640054002184 322.372076898502 -270.461005854712</t>
  </si>
  <si>
    <t>-887.990031232648 105.311268453665 -526.6405138756</t>
  </si>
  <si>
    <t>-835.488739512665 248.22509229412 -77.9616029047713</t>
  </si>
  <si>
    <t>-837.751724499156 305.244273195233 321.536034298917</t>
  </si>
  <si>
    <t>-869.876078328077 365.476741226415 764.142307605329</t>
  </si>
  <si>
    <t>-726.089337523466 393.022629335609 824.589105626643</t>
  </si>
  <si>
    <t>-824.597159856125 56.673898818206 -66.329627130558</t>
  </si>
  <si>
    <t>-815.25018544836 48.8203810176547 337.038215651267</t>
  </si>
  <si>
    <t>-837.518983571575 88.4918478900777 782.661150998712</t>
  </si>
  <si>
    <t>-745.997072892218 -18.9870702805993 854.489400837192</t>
  </si>
  <si>
    <t>9763-20170724T111041.917030500.bin</t>
  </si>
  <si>
    <t>-830.161623749848 152.425043369837 -71.1715470957588</t>
  </si>
  <si>
    <t>-862.461272319872 143.42494378928 -182.040551607394</t>
  </si>
  <si>
    <t>-876.273433121578 139.119509209874 -279.597519241723</t>
  </si>
  <si>
    <t>-883.646081983295 136.228011188131 -368.341576906707</t>
  </si>
  <si>
    <t>-885.495851912599 134.085220675594 -457.393540538837</t>
  </si>
  <si>
    <t>-882.254706495871 131.654793564739 -581.91010981183</t>
  </si>
  <si>
    <t>-847.695526463413 132.49242978628 -657.474747155977</t>
  </si>
  <si>
    <t>-879.288549259066 160.079842140755 -527.536159565097</t>
  </si>
  <si>
    <t>-848.003432497729 292.921065930323 -511.033067656668</t>
  </si>
  <si>
    <t>-745.053392306006 316.917976163401 -236.412249794549</t>
  </si>
  <si>
    <t>-506.741263497184 322.49069350274 -271.442457192484</t>
  </si>
  <si>
    <t>-888.073257405531 105.368967455779 -526.696928176127</t>
  </si>
  <si>
    <t>-835.973745144604 248.201747607604 -77.9560594649754</t>
  </si>
  <si>
    <t>-838.140724457236 305.290698498291 321.532182392289</t>
  </si>
  <si>
    <t>-869.897549660127 365.467784527673 764.158701890928</t>
  </si>
  <si>
    <t>-726.118085442901 393.010754439333 824.624702402917</t>
  </si>
  <si>
    <t>-824.946362458451 56.5914307656626 -66.3525549720463</t>
  </si>
  <si>
    <t>-815.284792951838 48.829752855851 337.009628295472</t>
  </si>
  <si>
    <t>-837.495441538256 88.4758936581361 782.656487337096</t>
  </si>
  <si>
    <t>-745.895998343008 -18.9319450335274 854.492066090779</t>
  </si>
  <si>
    <t>9763-20170724T111041.984230900.bin</t>
  </si>
  <si>
    <t>-830.703836658234 152.682648453791 -71.1067792773451</t>
  </si>
  <si>
    <t>-862.980722660848 143.744766814776 -181.987444905222</t>
  </si>
  <si>
    <t>-876.757436306138 139.516950841044 -279.552921963244</t>
  </si>
  <si>
    <t>-884.091715982866 136.70690506646 -368.302874575821</t>
  </si>
  <si>
    <t>-885.896263878202 134.659203680932 -457.357884444908</t>
  </si>
  <si>
    <t>-882.584807896841 132.377888936423 -581.875541277211</t>
  </si>
  <si>
    <t>-847.68008933157 133.346744370388 -657.279270712619</t>
  </si>
  <si>
    <t>-879.748954024596 160.753286076455 -527.468701589888</t>
  </si>
  <si>
    <t>-849.066798765942 293.721438893155 -510.873597548073</t>
  </si>
  <si>
    <t>-745.673091120671 317.879070769713 -236.433485225093</t>
  </si>
  <si>
    <t>-507.699798365406 322.780600124094 -273.790876055646</t>
  </si>
  <si>
    <t>-888.335247489925 106.009965243577 -526.694013813318</t>
  </si>
  <si>
    <t>-836.585825121743 248.369886476147 -77.8707216093591</t>
  </si>
  <si>
    <t>-838.534312306683 305.499945083041 321.612730768312</t>
  </si>
  <si>
    <t>-869.949719068581 365.43066817767 764.253509687093</t>
  </si>
  <si>
    <t>-726.027971632712 392.135750925353 824.756813934923</t>
  </si>
  <si>
    <t>-825.261747163071 57.0030096646665 -66.4049753638684</t>
  </si>
  <si>
    <t>-815.225136892013 48.8817079817186 336.941030686966</t>
  </si>
  <si>
    <t>-837.397200918697 88.4925880075871 782.621887913883</t>
  </si>
  <si>
    <t>-745.862418839443 -18.9506109154431 854.487331709471</t>
  </si>
  <si>
    <t>9763-20170724T111042.015139600.bin</t>
  </si>
  <si>
    <t>-830.79886193062 152.92736405762 -71.0727785585785</t>
  </si>
  <si>
    <t>-863.119772809616 144.012173962125 -181.942563124949</t>
  </si>
  <si>
    <t>-876.928251263456 139.824269306658 -279.505094398478</t>
  </si>
  <si>
    <t>-884.288660800529 137.059653393625 -368.254265562799</t>
  </si>
  <si>
    <t>-886.116517737555 135.068961547497 -457.310097047072</t>
  </si>
  <si>
    <t>-882.834053480732 132.879286424806 -581.830199773462</t>
  </si>
  <si>
    <t>-847.78139294946 133.906011711029 -657.164759079725</t>
  </si>
  <si>
    <t>-880.03154993571 161.221812438014 -527.404531286505</t>
  </si>
  <si>
    <t>-849.654286841476 294.263870263436 -510.779562582094</t>
  </si>
  <si>
    <t>-746.158870408614 317.925892362565 -236.334692904897</t>
  </si>
  <si>
    <t>-508.355745149627 323.154857023425 -274.716787379425</t>
  </si>
  <si>
    <t>-888.525466579405 106.463828542755 -526.665580158973</t>
  </si>
  <si>
    <t>-836.776676063962 248.601839307069 -77.8154057594492</t>
  </si>
  <si>
    <t>-838.533947401673 305.7082164049 321.672328579232</t>
  </si>
  <si>
    <t>-870.019451061452 365.519919044733 764.311536264456</t>
  </si>
  <si>
    <t>-726.245660502984 393.051464761714 824.796623635678</t>
  </si>
  <si>
    <t>-825.293158253143 57.1853069234285 -66.4125433104737</t>
  </si>
  <si>
    <t>-815.120541089241 48.9160200003857 336.927069178714</t>
  </si>
  <si>
    <t>-837.365265846155 88.4828513281036 782.614694478503</t>
  </si>
  <si>
    <t>-745.71629411856 -18.8685418104851 854.471686762628</t>
  </si>
  <si>
    <t>9763-20170724T111042.085372800.bin</t>
  </si>
  <si>
    <t>-830.575073984994 153.143073735359 -71.0197642054411</t>
  </si>
  <si>
    <t>-862.956680917361 144.231421058712 -181.872119431532</t>
  </si>
  <si>
    <t>-876.830982606754 140.102485850474 -279.427803375572</t>
  </si>
  <si>
    <t>-884.255463071441 137.415699436679 -368.174069928276</t>
  </si>
  <si>
    <t>-886.149850410763 135.528623195981 -457.230717066617</t>
  </si>
  <si>
    <t>-882.963087164227 133.513422087291 -581.756255760805</t>
  </si>
  <si>
    <t>-847.653174936905 134.635799821394 -656.96920606471</t>
  </si>
  <si>
    <t>-880.179815917186 161.789267595036 -527.294809794055</t>
  </si>
  <si>
    <t>-850.225410395602 294.90788371347 -510.531454305126</t>
  </si>
  <si>
    <t>-747.056713386916 317.910910599101 -235.907453898007</t>
  </si>
  <si>
    <t>-509.397856583928 323.78515149063 -275.080875314851</t>
  </si>
  <si>
    <t>-888.551006877741 107.011040901722 -526.622576131405</t>
  </si>
  <si>
    <t>-836.657225033915 248.911118491776 -77.7249253214959</t>
  </si>
  <si>
    <t>-838.195280184371 305.952678535918 321.772920391325</t>
  </si>
  <si>
    <t>-870.121859754391 365.546907567925 764.423746875168</t>
  </si>
  <si>
    <t>-726.373593300543 393.257820786866 824.887459280437</t>
  </si>
  <si>
    <t>-824.853016889789 57.2169646050543 -66.3889258064775</t>
  </si>
  <si>
    <t>-814.717157122211 48.9529317181127 336.951659542843</t>
  </si>
  <si>
    <t>-837.288510936222 88.4959085768869 782.602385038562</t>
  </si>
  <si>
    <t>-745.61465599749 -18.8529467691737 854.431701578305</t>
  </si>
  <si>
    <t>9763-20170724T111042.116958500.bin</t>
  </si>
  <si>
    <t>-830.301472824932 153.202420979263 -70.9936913229758</t>
  </si>
  <si>
    <t>-862.737684630617 144.289370670698 -181.829992476408</t>
  </si>
  <si>
    <t>-876.65730358086 140.196711117134 -279.380702151233</t>
  </si>
  <si>
    <t>-884.121175109119 137.557429581319 -368.125163626324</t>
  </si>
  <si>
    <t>-886.05249850382 135.733381468248 -457.182303145243</t>
  </si>
  <si>
    <t>-882.913885901707 133.822133261247 -581.710651954658</t>
  </si>
  <si>
    <t>-847.529040109353 134.992473097744 -656.887560425762</t>
  </si>
  <si>
    <t>-880.1340816259 162.056102110276 -527.227413925942</t>
  </si>
  <si>
    <t>-850.355371806098 295.197063335242 -510.364385194934</t>
  </si>
  <si>
    <t>-747.476125654788 317.895203143986 -235.606633410173</t>
  </si>
  <si>
    <t>-509.83430509045 324.055356271848 -274.840687721111</t>
  </si>
  <si>
    <t>-888.455588595539 107.270102460919 -526.596313285501</t>
  </si>
  <si>
    <t>-836.522839981886 249.038639577409 -77.6747591789559</t>
  </si>
  <si>
    <t>-838.000158083908 305.977915690196 321.837939674505</t>
  </si>
  <si>
    <t>-870.181635097397 365.578479255405 764.481680533748</t>
  </si>
  <si>
    <t>-726.451809437483 393.419862309403 824.929423776775</t>
  </si>
  <si>
    <t>-824.484235576085 57.2502022435124 -66.3678628033359</t>
  </si>
  <si>
    <t>-814.368357789549 48.8823199260919 336.971068713047</t>
  </si>
  <si>
    <t>-837.266441359763 88.4906994472885 782.594982893878</t>
  </si>
  <si>
    <t>-745.585233616026 -18.8661020929139 854.403007516153</t>
  </si>
  <si>
    <t>9763-20170724T111042.185674800.bin</t>
  </si>
  <si>
    <t>-829.740746210251 153.419226993763 -70.9397092744051</t>
  </si>
  <si>
    <t>-862.161102060945 144.445964047452 -181.775644366183</t>
  </si>
  <si>
    <t>-876.065427520474 140.40970801289 -279.330953353178</t>
  </si>
  <si>
    <t>-883.511266375045 137.863999370579 -368.07955106673</t>
  </si>
  <si>
    <t>-885.419146272183 136.177679231172 -457.140016734833</t>
  </si>
  <si>
    <t>-882.240120860479 134.505096658519 -581.67071677577</t>
  </si>
  <si>
    <t>-846.830267325865 135.835462514239 -656.833467587563</t>
  </si>
  <si>
    <t>-879.542427178909 162.644229402692 -527.134399426847</t>
  </si>
  <si>
    <t>-850.066136553337 295.805590699463 -509.933367200275</t>
  </si>
  <si>
    <t>-747.230882219835 318.017080556313 -235.119312447632</t>
  </si>
  <si>
    <t>-509.575273753924 324.735685227637 -274.177123329533</t>
  </si>
  <si>
    <t>-887.735322810365 107.837833980964 -526.607483429684</t>
  </si>
  <si>
    <t>-836.136732516744 249.286585028247 -77.5980248719101</t>
  </si>
  <si>
    <t>-837.79230588404 305.964950363712 321.951097395225</t>
  </si>
  <si>
    <t>-870.250308316755 365.487812527511 764.59551584057</t>
  </si>
  <si>
    <t>-726.452037724919 392.974406991228 825.042705565574</t>
  </si>
  <si>
    <t>-823.753172316457 57.4346381118908 -66.3211195921388</t>
  </si>
  <si>
    <t>-813.921642339174 48.8142546402223 337.01949447401</t>
  </si>
  <si>
    <t>-837.250886296724 88.4582006144069 782.6068093944</t>
  </si>
  <si>
    <t>-745.415058975488 -18.8041547145795 854.358245485561</t>
  </si>
  <si>
    <t>9763-20170724T111042.216729500.bin</t>
  </si>
  <si>
    <t>-829.442371911045 153.64468636531 -70.932913476144</t>
  </si>
  <si>
    <t>-861.777400991696 144.623137102721 -181.789955944313</t>
  </si>
  <si>
    <t>-875.616961308904 140.614432721931 -279.355531451935</t>
  </si>
  <si>
    <t>-883.005975117234 138.121221661512 -368.110450884021</t>
  </si>
  <si>
    <t>-884.857222765033 136.513783285581 -457.173477108163</t>
  </si>
  <si>
    <t>-881.59903510913 134.980151572448 -581.703859769332</t>
  </si>
  <si>
    <t>-846.20823821129 136.412213364056 -656.873681106825</t>
  </si>
  <si>
    <t>-878.954188249173 163.061231987349 -527.135077339261</t>
  </si>
  <si>
    <t>-849.548271771694 296.215947995974 -509.752672804001</t>
  </si>
  <si>
    <t>-746.528664746947 318.440403921545 -235.008666161664</t>
  </si>
  <si>
    <t>-508.83285562262 325.355246219509 -273.78664625412</t>
  </si>
  <si>
    <t>-887.111284169549 108.24862252422 -526.673405682666</t>
  </si>
  <si>
    <t>-835.904537513923 249.49149938555 -77.5855437987916</t>
  </si>
  <si>
    <t>-837.851192078914 306.090911619499 321.973416634184</t>
  </si>
  <si>
    <t>-870.310878112419 365.551614354223 764.635875268554</t>
  </si>
  <si>
    <t>-726.580782126705 393.384723476613 825.087106123766</t>
  </si>
  <si>
    <t>-823.345891924925 57.7107926922399 -66.3063545308642</t>
  </si>
  <si>
    <t>-813.800926542492 48.9528035169051 337.03822412134</t>
  </si>
  <si>
    <t>-837.180864781608 88.520787686864 782.613021634952</t>
  </si>
  <si>
    <t>-745.388321337206 -18.7856893377184 854.353865078226</t>
  </si>
  <si>
    <t>9763-20170724T111042.282878000.bin</t>
  </si>
  <si>
    <t>-829.10079003442 154.128399408009 -70.955435882998</t>
  </si>
  <si>
    <t>-861.257813875684 145.06631819535 -181.86083877</t>
  </si>
  <si>
    <t>-874.953875181841 141.123168264334 -279.44952327358</t>
  </si>
  <si>
    <t>-882.214187548207 138.728539701975 -368.217699889176</t>
  </si>
  <si>
    <t>-883.936981447004 137.25883689119 -457.285766867574</t>
  </si>
  <si>
    <t>-880.497017616974 135.957146909277 -581.813990432997</t>
  </si>
  <si>
    <t>-845.180487941912 137.548323054467 -657.015279768122</t>
  </si>
  <si>
    <t>-877.940149798285 163.937790340155 -527.189343271659</t>
  </si>
  <si>
    <t>-848.590517016199 297.081361578654 -509.578542651093</t>
  </si>
  <si>
    <t>-744.970005740678 319.682277179456 -235.091491533136</t>
  </si>
  <si>
    <t>-507.222575754637 327.357099557118 -273.408067865641</t>
  </si>
  <si>
    <t>-886.081364169163 109.122044500029 -526.841167561873</t>
  </si>
  <si>
    <t>-835.705096131434 249.973544397646 -77.6258455305413</t>
  </si>
  <si>
    <t>-837.993115718671 306.33197288061 321.965404453737</t>
  </si>
  <si>
    <t>-870.373995994915 365.539829581807 764.693762338908</t>
  </si>
  <si>
    <t>-726.649235025001 393.357551957421 825.163996955867</t>
  </si>
  <si>
    <t>-822.93233976837 58.1910911066884 -66.3019238302418</t>
  </si>
  <si>
    <t>-813.600797131792 49.1298137998879 337.040960726115</t>
  </si>
  <si>
    <t>-837.13600133071 88.4622629385012 782.609469276836</t>
  </si>
  <si>
    <t>-745.236925470695 -18.7464835948645 854.359988675389</t>
  </si>
  <si>
    <t>9763-20170724T111042.313963000.bin</t>
  </si>
  <si>
    <t>-829.071001434316 154.355025374335 -70.9607263076779</t>
  </si>
  <si>
    <t>-861.152135169004 145.333579599084 -181.891460139286</t>
  </si>
  <si>
    <t>-874.770500779773 141.427691187233 -279.492444021011</t>
  </si>
  <si>
    <t>-881.955945298149 139.067315397722 -368.267616143956</t>
  </si>
  <si>
    <t>-883.598656217743 137.63332769355 -457.337764949421</t>
  </si>
  <si>
    <t>-880.043056518777 136.382624378452 -581.863332040122</t>
  </si>
  <si>
    <t>-844.78539478885 138.019862460732 -657.091179617605</t>
  </si>
  <si>
    <t>-877.53364927504 164.340615956135 -527.224621934655</t>
  </si>
  <si>
    <t>-848.189764495684 297.482207590214 -509.573130174524</t>
  </si>
  <si>
    <t>-744.325496970432 320.242880541892 -235.19110985125</t>
  </si>
  <si>
    <t>-506.549456689565 328.453335354088 -273.21704205635</t>
  </si>
  <si>
    <t>-885.681891285363 109.52582392404 -526.906769236028</t>
  </si>
  <si>
    <t>-835.712367510546 250.194796105046 -77.6295265185067</t>
  </si>
  <si>
    <t>-838.055850078741 306.401239629183 321.982827684166</t>
  </si>
  <si>
    <t>-870.392620962756 365.48692958325 764.72860946035</t>
  </si>
  <si>
    <t>-726.608132746413 392.972134376174 825.209173796049</t>
  </si>
  <si>
    <t>-822.878151410892 58.4174785439382 -66.3261438313821</t>
  </si>
  <si>
    <t>-813.54893142595 49.271953906858 337.014907659545</t>
  </si>
  <si>
    <t>-837.025518391788 88.5790482893772 782.599161033585</t>
  </si>
  <si>
    <t>-745.268211611108 -18.7415586795155 854.364146009045</t>
  </si>
  <si>
    <t>9763-20170724T111042.384839700.bin</t>
  </si>
  <si>
    <t>-829.091689594829 154.673498036735 -70.9579424484918</t>
  </si>
  <si>
    <t>-861.076751628554 145.750777277724 -181.924438833073</t>
  </si>
  <si>
    <t>-874.54683086436 141.934120375605 -279.549399183492</t>
  </si>
  <si>
    <t>-881.572068832142 139.656524458245 -368.339643209979</t>
  </si>
  <si>
    <t>-883.028863342029 138.306138690903 -457.414297324617</t>
  </si>
  <si>
    <t>-879.186635708862 137.172735988648 -581.93246139944</t>
  </si>
  <si>
    <t>-844.130453992506 138.855750236422 -657.253597364342</t>
  </si>
  <si>
    <t>-876.790990489305 165.077335355414 -527.261592890543</t>
  </si>
  <si>
    <t>-847.369500837436 298.172419100986 -509.43622533259</t>
  </si>
  <si>
    <t>-742.719512798374 320.941597358521 -235.353965104453</t>
  </si>
  <si>
    <t>-504.836449588644 330.112137677254 -272.481185936908</t>
  </si>
  <si>
    <t>-884.963832519233 110.265451588489 -527.014671943751</t>
  </si>
  <si>
    <t>-835.62234276762 250.502482188646 -77.5860572481218</t>
  </si>
  <si>
    <t>-838.110249882025 306.509694666923 322.05337362774</t>
  </si>
  <si>
    <t>-870.457530516206 365.449248150312 764.810810475976</t>
  </si>
  <si>
    <t>-726.627753566661 392.685425441521 825.296199983256</t>
  </si>
  <si>
    <t>-822.982943299097 58.7647097536906 -66.3557615977168</t>
  </si>
  <si>
    <t>-813.606025962889 49.3417195385032 336.977751026026</t>
  </si>
  <si>
    <t>-837.041621216167 88.5104351744899 782.616312441241</t>
  </si>
  <si>
    <t>-745.247030846355 -18.7915920067207 854.36116616132</t>
  </si>
  <si>
    <t>9763-20170724T111042.416929000.bin</t>
  </si>
  <si>
    <t>-829.090169294778 154.799886463722 -70.9439145388054</t>
  </si>
  <si>
    <t>-861.041126495702 145.938423151051 -181.925132904167</t>
  </si>
  <si>
    <t>-874.453182721081 142.20260453098 -279.561180670159</t>
  </si>
  <si>
    <t>-881.412947374982 140.007917548247 -368.358668834067</t>
  </si>
  <si>
    <t>-882.79119961273 138.749342875272 -457.435865098248</t>
  </si>
  <si>
    <t>-878.825727786069 137.753057191945 -581.951297560623</t>
  </si>
  <si>
    <t>-843.918378645648 139.462610950838 -657.340945167675</t>
  </si>
  <si>
    <t>-876.47731982918 165.596496938242 -527.247106677364</t>
  </si>
  <si>
    <t>-846.986866356156 298.649599612046 -509.248160616061</t>
  </si>
  <si>
    <t>-741.538981190294 321.608305694555 -235.487732666198</t>
  </si>
  <si>
    <t>-503.587274219005 331.449454477737 -271.997647999137</t>
  </si>
  <si>
    <t>-884.664248643536 110.786531030798 -527.069383583197</t>
  </si>
  <si>
    <t>-835.579167340358 250.586452056536 -77.5197892617324</t>
  </si>
  <si>
    <t>-838.159407121066 306.601268223085 322.117978348784</t>
  </si>
  <si>
    <t>-870.497717929343 365.440171706204 764.871045074413</t>
  </si>
  <si>
    <t>-726.670529850313 392.701253351633 825.351438369953</t>
  </si>
  <si>
    <t>-823.003443548514 58.9239261128932 -66.3646746049728</t>
  </si>
  <si>
    <t>-813.635098995464 49.3813305933495 336.966253797117</t>
  </si>
  <si>
    <t>-837.017901916215 88.5203645687852 782.620777565511</t>
  </si>
  <si>
    <t>-745.171658202309 -18.748313957849 854.349568529995</t>
  </si>
  <si>
    <t>9763-20170724T111042.482857100.bin</t>
  </si>
  <si>
    <t>-829.098526520053 155.054844834688 -70.8955981779153</t>
  </si>
  <si>
    <t>-860.984883120542 146.30110137465 -181.903940498236</t>
  </si>
  <si>
    <t>-874.290394646944 142.787023765251 -279.562930857717</t>
  </si>
  <si>
    <t>-881.129688223979 140.842862330204 -368.375509525487</t>
  </si>
  <si>
    <t>-882.36144753417 139.883545064044 -457.458654546925</t>
  </si>
  <si>
    <t>-878.162112348032 139.355135628736 -581.96924443309</t>
  </si>
  <si>
    <t>-843.663689074268 141.226107846172 -657.543056142859</t>
  </si>
  <si>
    <t>-875.924372581525 166.993851947561 -527.156855496807</t>
  </si>
  <si>
    <t>-846.286407740691 299.950468251269 -508.688966948487</t>
  </si>
  <si>
    <t>-739.210401519293 323.043779838746 -235.572374994351</t>
  </si>
  <si>
    <t>-501.199275607568 334.81356894307 -271.110503169684</t>
  </si>
  <si>
    <t>-884.095895602713 112.181369584787 -527.199779735376</t>
  </si>
  <si>
    <t>-835.629902415989 250.872633480838 -77.3907867688207</t>
  </si>
  <si>
    <t>-838.284425323455 306.739018861318 322.267250834082</t>
  </si>
  <si>
    <t>-870.57694925726 365.463419632516 765.028080153786</t>
  </si>
  <si>
    <t>-726.776829877368 392.863674001258 825.510007944086</t>
  </si>
  <si>
    <t>-822.978834955966 59.1545729448317 -66.3981671238421</t>
  </si>
  <si>
    <t>-813.633640856172 49.4644731991643 336.929779155607</t>
  </si>
  <si>
    <t>-836.973842012699 88.5311609728396 782.613980284456</t>
  </si>
  <si>
    <t>-745.093680483303 -18.7210302364483 854.323688770002</t>
  </si>
  <si>
    <t>9763-20170724T111042.518022900.bin</t>
  </si>
  <si>
    <t>-829.089092536904 155.194319189785 -70.859501643287</t>
  </si>
  <si>
    <t>-860.92728523449 146.493726100167 -181.885852729921</t>
  </si>
  <si>
    <t>-874.182400324336 143.119631925645 -279.556619152509</t>
  </si>
  <si>
    <t>-880.970434873304 141.339910462401 -368.376591634929</t>
  </si>
  <si>
    <t>-882.143516024005 140.583452567712 -457.462462920448</t>
  </si>
  <si>
    <t>-877.852304630482 140.377588418939 -581.971063846279</t>
  </si>
  <si>
    <t>-843.625655894505 142.397987942144 -657.664262618332</t>
  </si>
  <si>
    <t>-875.6705820766 167.876368723046 -527.085857383536</t>
  </si>
  <si>
    <t>-845.991212015944 300.790716331762 -508.332235489934</t>
  </si>
  <si>
    <t>-738.385388542622 323.81034043334 -235.417828788207</t>
  </si>
  <si>
    <t>-500.380528220447 336.162075292087 -270.800357158346</t>
  </si>
  <si>
    <t>-883.810711449891 113.059875488611 -527.275909345781</t>
  </si>
  <si>
    <t>-835.650227048768 251.023300246539 -77.3227674303286</t>
  </si>
  <si>
    <t>-838.395780846921 306.763924936544 322.35227305502</t>
  </si>
  <si>
    <t>-870.604873074326 365.463135209753 765.121439416978</t>
  </si>
  <si>
    <t>-726.774930135063 392.681340128331 825.614199468328</t>
  </si>
  <si>
    <t>-822.938732525545 59.3019662458141 -66.4095200177243</t>
  </si>
  <si>
    <t>-813.641979337937 49.5227495799954 336.917407201281</t>
  </si>
  <si>
    <t>-836.934382725613 88.5594971622058 782.608198477682</t>
  </si>
  <si>
    <t>-745.129797094206 -18.7584015784319 854.316533413747</t>
  </si>
  <si>
    <t>9763-20170724T111042.582170700.bin</t>
  </si>
  <si>
    <t>-828.858641405282 155.370011351129 -70.7657288730409</t>
  </si>
  <si>
    <t>-860.600460050168 146.705432855973 -181.822534562015</t>
  </si>
  <si>
    <t>-873.79406082627 143.584452226952 -279.510060006629</t>
  </si>
  <si>
    <t>-880.529353732601 142.12271372506 -368.339882439996</t>
  </si>
  <si>
    <t>-881.64881165162 141.774650356821 -457.429044583518</t>
  </si>
  <si>
    <t>-877.278442990863 142.233523343235 -581.934157825802</t>
  </si>
  <si>
    <t>-843.734792698831 144.561516237423 -657.923661558358</t>
  </si>
  <si>
    <t>-875.186468514364 169.447034783052 -526.903474577065</t>
  </si>
  <si>
    <t>-845.503063927806 302.269595359059 -507.56299390938</t>
  </si>
  <si>
    <t>-736.851036109414 325.293805571777 -235.063773366304</t>
  </si>
  <si>
    <t>-498.94191159697 338.827607190693 -270.658628337291</t>
  </si>
  <si>
    <t>-883.216837939374 114.61592187894 -527.387551721337</t>
  </si>
  <si>
    <t>-835.514140475604 251.178755379093 -77.1624632730847</t>
  </si>
  <si>
    <t>-838.623237606625 306.835293848085 322.521651622905</t>
  </si>
  <si>
    <t>-870.684124254073 365.521738627546 765.305347207621</t>
  </si>
  <si>
    <t>-726.928197081612 393.098593323782 825.811784923577</t>
  </si>
  <si>
    <t>-822.583408366158 59.4593514240314 -66.3978596482744</t>
  </si>
  <si>
    <t>-813.579590200173 49.5575083520162 336.932766896449</t>
  </si>
  <si>
    <t>-836.860988525573 88.6269432778126 782.620191670392</t>
  </si>
  <si>
    <t>-745.087576975797 -18.7310279628855 854.308015467788</t>
  </si>
  <si>
    <t>9763-20170724T111042.615268100.bin</t>
  </si>
  <si>
    <t>-828.647722422378 155.411967043438 -70.6964770091718</t>
  </si>
  <si>
    <t>-860.359473592167 146.761574194612 -181.762926861325</t>
  </si>
  <si>
    <t>-873.552593425695 143.764867000121 -279.454358167841</t>
  </si>
  <si>
    <t>-880.294302769937 142.461022106881 -368.286222570931</t>
  </si>
  <si>
    <t>-881.425356606835 142.316816136487 -457.375679792229</t>
  </si>
  <si>
    <t>-877.075546028201 143.110790555537 -581.879702567692</t>
  </si>
  <si>
    <t>-843.926393423417 145.579820110214 -658.037859987492</t>
  </si>
  <si>
    <t>-875.010962867634 170.18149136476 -526.777864963474</t>
  </si>
  <si>
    <t>-845.352628312831 302.978597000742 -507.171486847671</t>
  </si>
  <si>
    <t>-735.795896590625 326.054623700728 -235.039187143078</t>
  </si>
  <si>
    <t>-497.911634951637 339.928627246916 -270.667747371782</t>
  </si>
  <si>
    <t>-882.968598624814 115.341278131897 -527.405502862893</t>
  </si>
  <si>
    <t>-835.352662159291 251.210694701621 -77.0730954060973</t>
  </si>
  <si>
    <t>-838.698020667375 306.828087994607 322.614427062598</t>
  </si>
  <si>
    <t>-870.703282850199 365.469725972404 765.39657028187</t>
  </si>
  <si>
    <t>-726.906141869488 392.81495947946 825.910326434127</t>
  </si>
  <si>
    <t>-822.277185543257 59.5408539548644 -66.372612238788</t>
  </si>
  <si>
    <t>-813.570227734591 49.5384980989998 336.961921856136</t>
  </si>
  <si>
    <t>-836.889122640431 88.5765747538567 782.641708975856</t>
  </si>
  <si>
    <t>-744.965393334227 -18.6676350058419 854.307910476074</t>
  </si>
  <si>
    <t>9763-20170724T111042.686461100.bin</t>
  </si>
  <si>
    <t>-828.362658667337 155.619731728696 -70.6144369060255</t>
  </si>
  <si>
    <t>-860.040407720104 147.019348569842 -181.694475299176</t>
  </si>
  <si>
    <t>-873.2550671299 144.260995146927 -279.390117432386</t>
  </si>
  <si>
    <t>-880.031496771465 143.251868034246 -368.223076086582</t>
  </si>
  <si>
    <t>-881.209359437549 143.482407854123 -457.311737743409</t>
  </si>
  <si>
    <t>-876.934148264738 144.883888330371 -581.813078291409</t>
  </si>
  <si>
    <t>-844.62847129843 147.603366271713 -658.324316730971</t>
  </si>
  <si>
    <t>-874.904262693452 171.695303073688 -526.583105719219</t>
  </si>
  <si>
    <t>-845.308106550052 304.421526589202 -506.48214501266</t>
  </si>
  <si>
    <t>-733.718425880043 327.502857401078 -235.177556800954</t>
  </si>
  <si>
    <t>-495.91229882637 341.867034746625 -271.133757136777</t>
  </si>
  <si>
    <t>-882.726563655923 116.839179295087 -527.469220950659</t>
  </si>
  <si>
    <t>-835.288901670036 251.396319534891 -76.8968274907936</t>
  </si>
  <si>
    <t>-838.873112215639 306.888033668777 322.806141143263</t>
  </si>
  <si>
    <t>-870.751937638667 365.393300398898 765.599237952198</t>
  </si>
  <si>
    <t>-726.925184670678 392.565025535328 826.121326718728</t>
  </si>
  <si>
    <t>-821.847370386184 59.6963265855161 -66.3592317392438</t>
  </si>
  <si>
    <t>-813.384211974604 49.5746714669781 336.97757008154</t>
  </si>
  <si>
    <t>-836.835661387889 88.5811790216912 782.648601913612</t>
  </si>
  <si>
    <t>-744.932013568181 -18.6799317469913 854.31525334154</t>
  </si>
  <si>
    <t>9763-20170724T111042.717548600.bin</t>
  </si>
  <si>
    <t>-828.294243433429 155.718262021042 -70.5790963346727</t>
  </si>
  <si>
    <t>-859.944924986507 147.143890697232 -181.668962767765</t>
  </si>
  <si>
    <t>-873.141594429409 144.493809421408 -279.369831575289</t>
  </si>
  <si>
    <t>-879.901970585258 143.617022502524 -368.20548226345</t>
  </si>
  <si>
    <t>-881.062834979115 144.01547942273 -457.293827681044</t>
  </si>
  <si>
    <t>-876.761258965458 145.689839296198 -581.790899497051</t>
  </si>
  <si>
    <t>-844.870372701795 148.526812707998 -658.471584922997</t>
  </si>
  <si>
    <t>-874.773769811847 172.384591681042 -526.502959974923</t>
  </si>
  <si>
    <t>-845.213388418766 305.096972614125 -506.206509782809</t>
  </si>
  <si>
    <t>-732.633016879708 328.074410524882 -235.302623065721</t>
  </si>
  <si>
    <t>-494.904443419206 342.543400144063 -271.726992567698</t>
  </si>
  <si>
    <t>-882.53436853732 117.52161122267 -527.508846485894</t>
  </si>
  <si>
    <t>-835.279245090208 251.555653019921 -76.8166274163726</t>
  </si>
  <si>
    <t>-838.997147767225 306.935317934178 322.900651355818</t>
  </si>
  <si>
    <t>-870.801134466955 365.432454907576 765.702579882615</t>
  </si>
  <si>
    <t>-727.011140832155 392.802606652112 826.222097984168</t>
  </si>
  <si>
    <t>-821.725416705589 59.7125776131647 -66.365294909651</t>
  </si>
  <si>
    <t>-813.333906315874 49.6639926072457 336.974914653469</t>
  </si>
  <si>
    <t>-836.780725811272 88.6278671134201 782.647283650776</t>
  </si>
  <si>
    <t>-744.826485608876 -18.5873442183433 854.317356260519</t>
  </si>
  <si>
    <t>9763-20170724T111042.784556400.bin</t>
  </si>
  <si>
    <t>-828.193689977951 156.081817716315 -70.5190316901156</t>
  </si>
  <si>
    <t>-859.745373633695 147.588253477029 -181.643164787512</t>
  </si>
  <si>
    <t>-872.877907027641 145.093211102329 -279.356901653667</t>
  </si>
  <si>
    <t>-879.587017454955 144.392577827696 -368.197910905153</t>
  </si>
  <si>
    <t>-880.702275989518 145.004483107251 -457.285607598684</t>
  </si>
  <si>
    <t>-876.341997461459 147.016590723558 -581.775503887101</t>
  </si>
  <si>
    <t>-845.238631596207 150.010889128733 -658.773275301792</t>
  </si>
  <si>
    <t>-874.416485821668 173.56608119193 -526.415630365413</t>
  </si>
  <si>
    <t>-844.883432900471 306.253238150933 -505.923463614459</t>
  </si>
  <si>
    <t>-730.574320315736 329.494800046024 -235.766980295386</t>
  </si>
  <si>
    <t>-492.950088766774 343.623585382213 -272.994591388441</t>
  </si>
  <si>
    <t>-882.104850664598 118.696073828855 -527.571708567228</t>
  </si>
  <si>
    <t>-835.254088406281 251.992616349759 -76.6882762643036</t>
  </si>
  <si>
    <t>-839.277994712399 307.175925721043 323.053163366547</t>
  </si>
  <si>
    <t>-870.882568807377 365.437626467731 765.907699877079</t>
  </si>
  <si>
    <t>-727.064254838687 392.670093403504 826.42186544555</t>
  </si>
  <si>
    <t>-821.549916900775 60.1401893959396 -66.3785673624213</t>
  </si>
  <si>
    <t>-813.23044206249 49.894677333758 336.958153692247</t>
  </si>
  <si>
    <t>-836.68679046998 88.6855480066247 782.641485932779</t>
  </si>
  <si>
    <t>-744.794970532659 -18.5741661549541 854.325127472329</t>
  </si>
  <si>
    <t>9763-20170724T111042.813651200.bin</t>
  </si>
  <si>
    <t>-828.14698458675 156.436025118654 -70.5009646467496</t>
  </si>
  <si>
    <t>-859.639956820237 147.996453598439 -181.645939253677</t>
  </si>
  <si>
    <t>-872.740151436649 145.55180960509 -279.365213162532</t>
  </si>
  <si>
    <t>-879.427521283777 144.900018656724 -368.208296613744</t>
  </si>
  <si>
    <t>-880.528958350575 145.56431151608 -457.295800261348</t>
  </si>
  <si>
    <t>-876.157179098012 147.654350591283 -581.78421327633</t>
  </si>
  <si>
    <t>-845.38347702562 150.688874450843 -658.912444470947</t>
  </si>
  <si>
    <t>-874.249385961431 174.170954466492 -526.407889509475</t>
  </si>
  <si>
    <t>-844.765214309615 306.870482425748 -505.909307301761</t>
  </si>
  <si>
    <t>-729.469858746492 330.543269851558 -236.209929970018</t>
  </si>
  <si>
    <t>-491.81079221857 344.168400298432 -273.403737261937</t>
  </si>
  <si>
    <t>-881.912364044516 119.298345460915 -527.59814673212</t>
  </si>
  <si>
    <t>-835.240468966942 252.374717186898 -76.6408382119685</t>
  </si>
  <si>
    <t>-839.446571804234 307.372498095973 323.124387087952</t>
  </si>
  <si>
    <t>-870.908372425115 365.417343137905 766.021900435166</t>
  </si>
  <si>
    <t>-727.08423808441 392.622446885699 826.534739903546</t>
  </si>
  <si>
    <t>-821.473561762564 60.4455465054398 -66.4010912278329</t>
  </si>
  <si>
    <t>-813.138946290794 50.0675016910532 336.931921681371</t>
  </si>
  <si>
    <t>-836.643074769668 88.7031293313717 782.62594418143</t>
  </si>
  <si>
    <t>-744.834728265745 -18.6165677942349 854.32711273494</t>
  </si>
  <si>
    <t>9763-20170724T111042.887457900.bin</t>
  </si>
  <si>
    <t>-828.20400311069 157.393643427139 -70.4574105660525</t>
  </si>
  <si>
    <t>-859.598142092027 149.045681604111 -181.637093071498</t>
  </si>
  <si>
    <t>-872.671691441185 146.673105967414 -279.361867546088</t>
  </si>
  <si>
    <t>-879.359729642137 146.086160076697 -368.205411023722</t>
  </si>
  <si>
    <t>-880.486700252869 146.816567954494 -457.291925943165</t>
  </si>
  <si>
    <t>-876.177171726911 149.001341365883 -581.780842981007</t>
  </si>
  <si>
    <t>-845.983120931178 152.077229846212 -659.136391104533</t>
  </si>
  <si>
    <t>-874.237181846158 175.475057236517 -526.385048271988</t>
  </si>
  <si>
    <t>-844.66021760294 308.153930021604 -505.928790924423</t>
  </si>
  <si>
    <t>-727.648970889734 333.254959919873 -237.098988355337</t>
  </si>
  <si>
    <t>-489.836859252497 346.108220536643 -273.583234316118</t>
  </si>
  <si>
    <t>-881.910036014454 120.604561756553 -527.613743422952</t>
  </si>
  <si>
    <t>-835.38724402406 253.43767158601 -76.5702670809302</t>
  </si>
  <si>
    <t>-839.831146445483 307.950001347834 323.258859312929</t>
  </si>
  <si>
    <t>-870.956918689212 365.407759064075 766.272087572542</t>
  </si>
  <si>
    <t>-727.158307733733 392.745718034227 826.785412496182</t>
  </si>
  <si>
    <t>-821.48482875557 61.248664928883 -66.4245186721546</t>
  </si>
  <si>
    <t>-813.032330659536 50.5545934413581 336.897733747684</t>
  </si>
  <si>
    <t>-836.594219569637 88.7161930028096 782.616228370024</t>
  </si>
  <si>
    <t>-744.707613608056 -18.5338226578829 854.3211703127</t>
  </si>
  <si>
    <t>9763-20170724T111042.915566800.bin</t>
  </si>
  <si>
    <t>-828.202191769893 157.891627846611 -70.4414679990108</t>
  </si>
  <si>
    <t>-859.559003889897 149.577651179521 -181.634341844899</t>
  </si>
  <si>
    <t>-872.638092849174 147.230664488813 -279.358814347412</t>
  </si>
  <si>
    <t>-879.346848889581 146.666910419833 -368.200978244318</t>
  </si>
  <si>
    <t>-880.510467046985 147.421076569102 -457.287036961799</t>
  </si>
  <si>
    <t>-876.268995284265 149.640261279191 -581.777592693545</t>
  </si>
  <si>
    <t>-846.326329670954 152.725518358819 -659.230272206759</t>
  </si>
  <si>
    <t>-874.27854010813 176.095929486302 -526.374934646051</t>
  </si>
  <si>
    <t>-844.574320651923 308.755090937355 -505.945857133916</t>
  </si>
  <si>
    <t>-726.928772002877 334.208167032191 -237.426118998562</t>
  </si>
  <si>
    <t>-489.036228823097 346.856587747569 -273.454638381221</t>
  </si>
  <si>
    <t>-881.992208197986 121.231213880265 -527.615784684445</t>
  </si>
  <si>
    <t>-835.396637802101 253.999860073702 -76.5446873095432</t>
  </si>
  <si>
    <t>-839.917008993483 308.21749341969 323.323628759782</t>
  </si>
  <si>
    <t>-870.973347379512 365.375483295524 766.394301993151</t>
  </si>
  <si>
    <t>-727.120368664451 392.423661817511 826.908960281907</t>
  </si>
  <si>
    <t>-821.426616042377 61.6721840160544 -66.4236351472557</t>
  </si>
  <si>
    <t>-812.96964670961 50.7858489684031 336.89338012108</t>
  </si>
  <si>
    <t>-836.573351452533 88.7248253540793 782.612478284945</t>
  </si>
  <si>
    <t>-744.644353925856 -18.4906715168504 854.314914918932</t>
  </si>
  <si>
    <t>9763-20170724T111042.982743900.bin</t>
  </si>
  <si>
    <t>-827.944775121687 158.800062760593 -70.4139316261028</t>
  </si>
  <si>
    <t>-859.23714238016 150.591888338693 -181.632838632172</t>
  </si>
  <si>
    <t>-872.325933328896 148.332475278657 -279.358010358069</t>
  </si>
  <si>
    <t>-879.070657957129 147.850384251342 -368.197856469303</t>
  </si>
  <si>
    <t>-880.297105077713 148.687866354057 -457.282287539352</t>
  </si>
  <si>
    <t>-876.171414372052 151.026671848106 -581.774650149003</t>
  </si>
  <si>
    <t>-846.729328873376 154.139140602153 -659.417966057909</t>
  </si>
  <si>
    <t>-874.061205169829 177.419436462508 -526.346417140741</t>
  </si>
  <si>
    <t>-843.952894829531 309.984022917698 -505.905691998381</t>
  </si>
  <si>
    <t>-725.294208017537 335.45557351621 -237.833923472351</t>
  </si>
  <si>
    <t>-487.307951995205 348.068836774977 -273.250532275758</t>
  </si>
  <si>
    <t>-881.912861334161 122.575559446508 -527.636958322185</t>
  </si>
  <si>
    <t>-835.06468169445 255.003092358676 -76.4707536560119</t>
  </si>
  <si>
    <t>-839.719796984464 308.791395754592 323.454048828019</t>
  </si>
  <si>
    <t>-871.022757475354 365.320430142959 766.621452718562</t>
  </si>
  <si>
    <t>-727.148066540988 392.294527167054 827.117520199954</t>
  </si>
  <si>
    <t>-821.191057720077 62.4897680737358 -66.4047243307372</t>
  </si>
  <si>
    <t>-812.696553030595 51.217897823185 336.900964319107</t>
  </si>
  <si>
    <t>-836.552148628727 88.7466440874077 782.616336371064</t>
  </si>
  <si>
    <t>-744.687701301064 -18.5281835850246 854.312301544894</t>
  </si>
  <si>
    <t>9763-20170724T111043.018836800.bin</t>
  </si>
  <si>
    <t>-827.732373391908 159.232405702263 -70.386395431144</t>
  </si>
  <si>
    <t>-859.007781258035 151.096640485733 -181.615299031132</t>
  </si>
  <si>
    <t>-872.096571626666 148.899277341125 -279.341985552509</t>
  </si>
  <si>
    <t>-878.84714674932 148.474212737836 -368.181797562097</t>
  </si>
  <si>
    <t>-880.085616114981 149.370579926499 -457.265413342485</t>
  </si>
  <si>
    <t>-875.983642260936 151.793727171719 -581.756806933791</t>
  </si>
  <si>
    <t>-846.79641867743 154.922083426504 -659.495825713577</t>
  </si>
  <si>
    <t>-873.826055228975 178.143548052898 -526.310120812273</t>
  </si>
  <si>
    <t>-843.503237793894 310.650041691862 -505.828433159247</t>
  </si>
  <si>
    <t>-724.365470654071 335.902515440009 -237.94851830945</t>
  </si>
  <si>
    <t>-486.373050562404 348.681652476304 -273.265171316678</t>
  </si>
  <si>
    <t>-881.751440261539 123.31117601631 -527.638564187633</t>
  </si>
  <si>
    <t>-834.806931142786 255.464041491168 -76.4272343181299</t>
  </si>
  <si>
    <t>-839.428151286851 308.994971914571 323.532417939315</t>
  </si>
  <si>
    <t>-871.065244741241 365.33071070264 766.725249804344</t>
  </si>
  <si>
    <t>-727.222809322627 392.5194940574 827.201701672262</t>
  </si>
  <si>
    <t>-821.054846840703 62.9178780594116 -66.3896951478237</t>
  </si>
  <si>
    <t>-812.51788040577 51.4169216565715 336.908617252458</t>
  </si>
  <si>
    <t>-836.503153903742 88.8280565360737 782.620265602801</t>
  </si>
  <si>
    <t>-744.711421097777 -18.5121274454032 854.311184415969</t>
  </si>
  <si>
    <t>9763-20170724T111043.085630200.bin</t>
  </si>
  <si>
    <t>-827.403023543866 160.2349157166 -70.3300082536929</t>
  </si>
  <si>
    <t>-858.606988002879 152.244628754284 -181.589518121087</t>
  </si>
  <si>
    <t>-871.657079913535 150.191934065655 -279.324631791942</t>
  </si>
  <si>
    <t>-878.381870783013 149.908073518344 -368.166836970914</t>
  </si>
  <si>
    <t>-879.60359137459 150.954741204684 -457.249086828091</t>
  </si>
  <si>
    <t>-875.486731940963 153.596947666539 -581.73547415361</t>
  </si>
  <si>
    <t>-846.797426008833 156.779214472218 -659.657565821768</t>
  </si>
  <si>
    <t>-873.245058734813 179.836018830502 -526.239539197215</t>
  </si>
  <si>
    <t>-842.427313021145 312.21018734311 -505.607459376231</t>
  </si>
  <si>
    <t>-722.520392764374 336.926181974463 -238.02075231419</t>
  </si>
  <si>
    <t>-484.5939561262 350.436674683742 -273.509956489396</t>
  </si>
  <si>
    <t>-881.351336948205 125.032518959587 -527.670863419104</t>
  </si>
  <si>
    <t>-834.359378064514 256.384864136252 -76.3202621155081</t>
  </si>
  <si>
    <t>-838.888233024492 309.375641148292 323.712333396446</t>
  </si>
  <si>
    <t>-871.079850112902 365.172541435619 766.942323537704</t>
  </si>
  <si>
    <t>-727.108581158074 391.714856170002 827.399154988023</t>
  </si>
  <si>
    <t>-820.828053768365 64.0031524773144 -66.3514160107121</t>
  </si>
  <si>
    <t>-812.038335632773 51.7836517405549 336.920295515201</t>
  </si>
  <si>
    <t>-836.439267989122 88.9350835541081 782.618589579088</t>
  </si>
  <si>
    <t>-744.692328625734 -18.4501311419135 854.300575220396</t>
  </si>
  <si>
    <t>9763-20170724T111043.116715600.bin</t>
  </si>
  <si>
    <t>-827.27705529677 160.669421754603 -70.3023148313623</t>
  </si>
  <si>
    <t>-858.442756868142 152.770590524091 -181.57901753405</t>
  </si>
  <si>
    <t>-871.460818289231 150.814688699259 -279.320423523364</t>
  </si>
  <si>
    <t>-878.156504240594 150.62654664338 -368.165004950357</t>
  </si>
  <si>
    <t>-879.349184243564 151.777124569704 -457.24652989507</t>
  </si>
  <si>
    <t>-875.191517331569 154.573483205369 -581.728209655441</t>
  </si>
  <si>
    <t>-846.784769299337 157.803424652327 -659.751554936808</t>
  </si>
  <si>
    <t>-872.923111292018 180.737005628201 -526.197642499298</t>
  </si>
  <si>
    <t>-841.902059021892 313.041350203825 -505.448047910887</t>
  </si>
  <si>
    <t>-721.595334060311 337.365096456499 -238.004899708012</t>
  </si>
  <si>
    <t>-483.710251777597 351.217030418666 -273.638692359319</t>
  </si>
  <si>
    <t>-881.118854428298 125.948893851049 -527.702212933321</t>
  </si>
  <si>
    <t>-834.103656425733 256.828245907981 -76.2626198251653</t>
  </si>
  <si>
    <t>-838.723388933619 309.623277004871 323.794912943763</t>
  </si>
  <si>
    <t>-871.090379353127 365.151169307772 767.053993325722</t>
  </si>
  <si>
    <t>-727.133899209515 391.794107175461 827.50240568167</t>
  </si>
  <si>
    <t>-820.812024151965 64.4019562211029 -66.356580194984</t>
  </si>
  <si>
    <t>-811.890343022223 51.9580809985105 336.905367931995</t>
  </si>
  <si>
    <t>-836.42428309809 88.9549817436691 782.610745702633</t>
  </si>
  <si>
    <t>-744.704828039968 -18.4509802412763 854.296244735112</t>
  </si>
  <si>
    <t>9763-20170724T111043.181894000.bin</t>
  </si>
  <si>
    <t>-827.155664156853 161.524450859904 -70.2251640535997</t>
  </si>
  <si>
    <t>-858.235170544836 153.812894590858 -181.539140445723</t>
  </si>
  <si>
    <t>-871.140129050443 152.071815472368 -279.299517319552</t>
  </si>
  <si>
    <t>-877.716586067593 152.100126351539 -368.153304631772</t>
  </si>
  <si>
    <t>-878.772230682385 153.487055945996 -457.233047500522</t>
  </si>
  <si>
    <t>-874.404578715987 156.633931607145 -581.699343175346</t>
  </si>
  <si>
    <t>-846.527700133623 160.074605655757 -659.904685626109</t>
  </si>
  <si>
    <t>-872.15280911643 182.629273329792 -526.089191988759</t>
  </si>
  <si>
    <t>-840.775118286217 314.795984884611 -504.971648253152</t>
  </si>
  <si>
    <t>-719.784660809015 338.2503255572 -237.759401656232</t>
  </si>
  <si>
    <t>-482.0275121898 352.947873170735 -273.903834431791</t>
  </si>
  <si>
    <t>-880.500154666308 127.86899585747 -527.766551598434</t>
  </si>
  <si>
    <t>-833.77866905122 257.737590566735 -76.1301916921417</t>
  </si>
  <si>
    <t>-838.513592696039 310.046307359765 323.989850256675</t>
  </si>
  <si>
    <t>-871.085000058265 365.062612807089 767.294747385371</t>
  </si>
  <si>
    <t>-727.083170755337 391.4816305823 827.733246495921</t>
  </si>
  <si>
    <t>-820.943026682903 65.2564600407504 -66.3696862537032</t>
  </si>
  <si>
    <t>-811.802879390013 52.3802600629474 336.873800421815</t>
  </si>
  <si>
    <t>-836.448601026312 88.9495601074013 782.611796512274</t>
  </si>
  <si>
    <t>-744.755876386158 -18.4769779079952 854.300820412209</t>
  </si>
  <si>
    <t>9763-20170724T111043.219503100.bin</t>
  </si>
  <si>
    <t>-827.130837593861 162.010376965806 -70.1816296588621</t>
  </si>
  <si>
    <t>-858.147678357459 154.375924682624 -181.518555010426</t>
  </si>
  <si>
    <t>-870.965127333071 152.756144082411 -279.292403898886</t>
  </si>
  <si>
    <t>-877.44772085769 152.915618059507 -368.153039557843</t>
  </si>
  <si>
    <t>-878.393692285365 154.454217436463 -457.231520229671</t>
  </si>
  <si>
    <t>-873.855698029367 157.83322076005 -581.685487326779</t>
  </si>
  <si>
    <t>-846.25199645567 161.448603134113 -659.979873166227</t>
  </si>
  <si>
    <t>-871.654231613206 183.720622055099 -526.023048344302</t>
  </si>
  <si>
    <t>-840.201808248557 315.821345401472 -504.639417017523</t>
  </si>
  <si>
    <t>-718.8523116087 338.749050689361 -237.544153720267</t>
  </si>
  <si>
    <t>-481.189547897622 354.073778428483 -274.045272352</t>
  </si>
  <si>
    <t>-880.050825128775 128.971812709774 -527.815772258264</t>
  </si>
  <si>
    <t>-833.678937333396 258.226286459077 -76.0563533727327</t>
  </si>
  <si>
    <t>-838.52765884856 310.338558745554 324.087977606145</t>
  </si>
  <si>
    <t>-871.114009376113 365.136507873358 767.421697502999</t>
  </si>
  <si>
    <t>-727.203179906943 392.072213801154 827.848365071189</t>
  </si>
  <si>
    <t>-820.965399244831 65.7528793681699 -66.3679498069783</t>
  </si>
  <si>
    <t>-811.72077658044 52.6060216174965 336.864442759834</t>
  </si>
  <si>
    <t>-836.433731803125 88.985285619578 782.612260432637</t>
  </si>
  <si>
    <t>-744.751492693598 -18.4486246309084 854.303398050672</t>
  </si>
  <si>
    <t>9763-20170724T111043.284173900.bin</t>
  </si>
  <si>
    <t>-827.07711743678 162.784192308312 -70.079421975939</t>
  </si>
  <si>
    <t>-857.922184709116 155.321075788225 -181.475587937714</t>
  </si>
  <si>
    <t>-870.470715155985 154.008379604712 -279.289055808726</t>
  </si>
  <si>
    <t>-876.657137670662 154.507894650277 -368.169441198816</t>
  </si>
  <si>
    <t>-877.251993135136 156.447070714347 -457.24321201819</t>
  </si>
  <si>
    <t>-872.165686684384 160.447430924498 -581.657465410438</t>
  </si>
  <si>
    <t>-845.066188291958 164.632987760635 -660.099412632016</t>
  </si>
  <si>
    <t>-870.207453181052 186.056412760477 -525.857304913566</t>
  </si>
  <si>
    <t>-838.883746867985 318.074891217902 -503.733225893481</t>
  </si>
  <si>
    <t>-716.776131366514 339.555381888562 -236.863466911079</t>
  </si>
  <si>
    <t>-479.262615311708 355.853475547057 -273.910832893051</t>
  </si>
  <si>
    <t>-878.600340862649 131.317974396143 -527.960507278407</t>
  </si>
  <si>
    <t>-833.578309249269 259.057802060918 -75.8661683960846</t>
  </si>
  <si>
    <t>-838.675087797642 310.761084970108 324.328154109434</t>
  </si>
  <si>
    <t>-871.116547714304 365.13234638391 767.703736814628</t>
  </si>
  <si>
    <t>-727.172602521185 391.87040776652 828.139314511752</t>
  </si>
  <si>
    <t>-820.918956064542 66.4386309737552 -66.3780661267613</t>
  </si>
  <si>
    <t>-811.637790287998 52.9604398962952 336.842566573885</t>
  </si>
  <si>
    <t>-836.474347316763 88.9598240764917 782.611414681796</t>
  </si>
  <si>
    <t>-744.717677139799 -18.4131997301752 854.298598757314</t>
  </si>
  <si>
    <t>9763-20170724T111043.316768400.bin</t>
  </si>
  <si>
    <t>-827.034300658623 163.10868059624 -70.0143090676363</t>
  </si>
  <si>
    <t>-857.818358414334 155.710367617822 -181.431538574902</t>
  </si>
  <si>
    <t>-870.225001354104 154.551944535644 -279.265093341099</t>
  </si>
  <si>
    <t>-876.243459097185 155.227726024089 -368.155773069912</t>
  </si>
  <si>
    <t>-876.630346809457 157.377892509912 -457.225833625965</t>
  </si>
  <si>
    <t>-871.209256880924 161.706890438365 -581.615089649102</t>
  </si>
  <si>
    <t>-844.297833624966 166.231993679733 -660.102861534125</t>
  </si>
  <si>
    <t>-869.411514173811 187.169794920303 -525.742831839234</t>
  </si>
  <si>
    <t>-838.21003221754 319.143055918403 -503.19991709772</t>
  </si>
  <si>
    <t>-715.704446218966 339.846059568213 -236.451052793146</t>
  </si>
  <si>
    <t>-478.285134023593 356.437535154349 -273.969754272521</t>
  </si>
  <si>
    <t>-877.77789757966 132.433798347494 -528.012331046661</t>
  </si>
  <si>
    <t>-833.597158733402 259.425041626186 -75.7449628472302</t>
  </si>
  <si>
    <t>-838.804915330165 310.969251045498 324.468422597911</t>
  </si>
  <si>
    <t>-871.132298899204 365.173672689432 767.86268656462</t>
  </si>
  <si>
    <t>-727.225234815826 392.122123743823 828.293011820105</t>
  </si>
  <si>
    <t>-820.883073749047 66.7302707120707 -66.3802082734945</t>
  </si>
  <si>
    <t>-811.577177997797 53.076307922202 336.833893511071</t>
  </si>
  <si>
    <t>-836.516473185877 88.9227291681941 782.614891862915</t>
  </si>
  <si>
    <t>-744.661890798729 -18.3733788881677 854.291654897007</t>
  </si>
  <si>
    <t>9763-20170724T111043.386453000.bin</t>
  </si>
  <si>
    <t>-826.905084910658 163.794364063312 -69.9095333653411</t>
  </si>
  <si>
    <t>-857.544830919597 156.590164290904 -181.379368709927</t>
  </si>
  <si>
    <t>-869.684521656194 155.789650053525 -279.249926870784</t>
  </si>
  <si>
    <t>-875.39924000246 156.860534178202 -368.156833354476</t>
  </si>
  <si>
    <t>-875.416706807666 159.474451781638 -457.215324499493</t>
  </si>
  <si>
    <t>-869.409817785299 164.520404107633 -581.550671999637</t>
  </si>
  <si>
    <t>-842.839759574089 169.75926511607 -660.110284514136</t>
  </si>
  <si>
    <t>-867.8969393151 189.664021385175 -525.525533461518</t>
  </si>
  <si>
    <t>-836.87554768868 321.510079707768 -502.038412573164</t>
  </si>
  <si>
    <t>-713.674354258789 340.431953293364 -235.477470268701</t>
  </si>
  <si>
    <t>-476.543102927422 358.000062357058 -274.34893128457</t>
  </si>
  <si>
    <t>-876.209471610861 134.935693214884 -528.148005851163</t>
  </si>
  <si>
    <t>-898.622806408948 1.54258243337108 -503.604088642058</t>
  </si>
  <si>
    <t>-833.51859590235 260.204775188442 -75.5008157497151</t>
  </si>
  <si>
    <t>-839.179813661967 311.272562952118 324.767413834019</t>
  </si>
  <si>
    <t>-871.121673443977 365.129092357845 768.220554389242</t>
  </si>
  <si>
    <t>-727.181422762875 391.892254878608 828.654277687779</t>
  </si>
  <si>
    <t>-820.656627393239 67.324139060041 -66.4160584329476</t>
  </si>
  <si>
    <t>-811.279452088489 53.3745557756065 336.786274958898</t>
  </si>
  <si>
    <t>-836.39840240439 89.0924414077704 782.562393547968</t>
  </si>
  <si>
    <t>-744.760674614521 -18.3610916380949 854.281065127137</t>
  </si>
  <si>
    <t>9763-20170724T111043.418091900.bin</t>
  </si>
  <si>
    <t>-826.798496522697 164.088876966223 -69.874935055068</t>
  </si>
  <si>
    <t>-857.401694870482 156.990794510857 -181.361528135345</t>
  </si>
  <si>
    <t>-869.463883708647 156.395095184338 -279.243215460387</t>
  </si>
  <si>
    <t>-875.086088064164 157.695556601198 -368.152972223027</t>
  </si>
  <si>
    <t>-874.988121381525 160.583000126885 -457.202869647601</t>
  </si>
  <si>
    <t>-868.794238923193 166.055209067992 -581.510927445587</t>
  </si>
  <si>
    <t>-842.386079970374 171.632906782432 -660.1018671222</t>
  </si>
  <si>
    <t>-867.367824087616 191.007100502087 -525.397814182045</t>
  </si>
  <si>
    <t>-836.355407596812 322.762136287828 -501.386566252005</t>
  </si>
  <si>
    <t>-712.683974308611 340.524139704209 -234.963778768651</t>
  </si>
  <si>
    <t>-475.678501472817 358.564841658015 -274.381445079677</t>
  </si>
  <si>
    <t>-875.671773151556 136.287317977435 -528.220439122802</t>
  </si>
  <si>
    <t>-898.067877308522 2.80436309528568 -504.162189164241</t>
  </si>
  <si>
    <t>-833.418455969895 260.502504521915 -75.3648435444234</t>
  </si>
  <si>
    <t>-839.342075547285 311.404778734261 324.920688628224</t>
  </si>
  <si>
    <t>-871.100453113786 365.097692998286 768.410830763015</t>
  </si>
  <si>
    <t>-727.114395814306 391.570683510398 828.863133496157</t>
  </si>
  <si>
    <t>-820.574181244398 67.5699082898336 -66.4460153241517</t>
  </si>
  <si>
    <t>-811.054741487325 53.4961069877413 336.748698007075</t>
  </si>
  <si>
    <t>-836.313762513464 89.2106856956061 782.530425557782</t>
  </si>
  <si>
    <t>-744.837352670949 -18.3576380973473 854.282854507798</t>
  </si>
  <si>
    <t>9763-20170724T111043.483450600.bin</t>
  </si>
  <si>
    <t>-826.6027799551 164.626753176286 -69.7479817770075</t>
  </si>
  <si>
    <t>-857.193800909582 157.714797327759 -181.249624071921</t>
  </si>
  <si>
    <t>-869.201429852062 157.481859917324 -279.139507868509</t>
  </si>
  <si>
    <t>-874.750925111646 159.190706578755 -368.046868749669</t>
  </si>
  <si>
    <t>-874.553845337058 162.564346324241 -457.079598364318</t>
  </si>
  <si>
    <t>-868.19092794967 168.79662826589 -581.343329726267</t>
  </si>
  <si>
    <t>-842.05058816425 174.965223649946 -659.979656034838</t>
  </si>
  <si>
    <t>-866.822771046663 193.401974678864 -525.075913634369</t>
  </si>
  <si>
    <t>-835.718839117697 324.95884933819 -500.118565572026</t>
  </si>
  <si>
    <t>-710.952882459999 340.879097487578 -234.090060704143</t>
  </si>
  <si>
    <t>-474.065726212515 359.438012794111 -273.975644628278</t>
  </si>
  <si>
    <t>-875.158709956159 138.706100713879 -528.246098553108</t>
  </si>
  <si>
    <t>-897.557130625964 5.08267855825443 -505.013826422033</t>
  </si>
  <si>
    <t>-687.19856288639 1.01528454282425 -317.902859588214</t>
  </si>
  <si>
    <t>-833.135518914116 261.197428850646 -75.1056075169922</t>
  </si>
  <si>
    <t>-839.402274061163 311.606313057957 325.237192675191</t>
  </si>
  <si>
    <t>-871.050821791535 365.020891689833 768.798782045664</t>
  </si>
  <si>
    <t>-727.072407445644 391.432082613701 829.296139364094</t>
  </si>
  <si>
    <t>-820.456373660426 67.9356309924992 -66.4583879138781</t>
  </si>
  <si>
    <t>-810.678247335686 53.6394178593464 336.722269341877</t>
  </si>
  <si>
    <t>-836.264590569446 89.3152682150276 782.498946061609</t>
  </si>
  <si>
    <t>-744.845981341967 -18.2831233253014 854.279712317505</t>
  </si>
  <si>
    <t>9763-20170724T111043.515545100.bin</t>
  </si>
  <si>
    <t>-826.523273238453 164.88994727407 -69.6650604928609</t>
  </si>
  <si>
    <t>-857.129829434936 158.066368113733 -181.168073055384</t>
  </si>
  <si>
    <t>-869.114757419308 157.980814740044 -279.060881874976</t>
  </si>
  <si>
    <t>-874.628223244804 159.851296958815 -367.967338536098</t>
  </si>
  <si>
    <t>-874.377384796797 163.414459895401 -456.992400276369</t>
  </si>
  <si>
    <t>-867.921450694211 169.940464155836 -581.236373535726</t>
  </si>
  <si>
    <t>-841.859481460043 176.34706090848 -659.879681318221</t>
  </si>
  <si>
    <t>-866.579338086401 194.410400845429 -524.909271495667</t>
  </si>
  <si>
    <t>-835.411607740255 325.886156958252 -499.598213608112</t>
  </si>
  <si>
    <t>-710.196413539632 341.098577196601 -233.739302376843</t>
  </si>
  <si>
    <t>-473.335646429213 359.867554896015 -273.68395162556</t>
  </si>
  <si>
    <t>-874.945217705777 139.727173817307 -528.216172755239</t>
  </si>
  <si>
    <t>-897.368632375401 6.05032554664422 -505.294384608362</t>
  </si>
  <si>
    <t>-686.988080035527 1.70525661740157 -318.02981247424</t>
  </si>
  <si>
    <t>-832.911677674067 261.565279917063 -74.9738979410519</t>
  </si>
  <si>
    <t>-839.365487445445 311.721028813135 325.397745906927</t>
  </si>
  <si>
    <t>-871.061798228961 365.021850369757 768.97922957802</t>
  </si>
  <si>
    <t>-727.133416868891 391.692644427324 829.482167360584</t>
  </si>
  <si>
    <t>-820.533210538281 68.0777857171747 -66.4338207627399</t>
  </si>
  <si>
    <t>-810.594048698492 53.6782015358408 336.739212325503</t>
  </si>
  <si>
    <t>-836.363602753055 89.2064463339111 782.505428918017</t>
  </si>
  <si>
    <t>-744.539348753407 -18.0577423323134 854.268938557327</t>
  </si>
  <si>
    <t>9763-20170724T111043.582726400.bin</t>
  </si>
  <si>
    <t>-826.118184458457 165.603650373633 -69.549471158126</t>
  </si>
  <si>
    <t>-856.679443353349 159.001411356744 -181.077980366931</t>
  </si>
  <si>
    <t>-868.57033597163 159.138907204032 -278.98233030493</t>
  </si>
  <si>
    <t>-873.976365900942 161.228199964077 -367.890429639307</t>
  </si>
  <si>
    <t>-873.596106333605 165.025012654071 -456.905557688334</t>
  </si>
  <si>
    <t>-866.9361865756 171.893435265448 -581.120177413148</t>
  </si>
  <si>
    <t>-840.95263495623 178.609158854647 -659.763526492217</t>
  </si>
  <si>
    <t>-865.615455235634 196.196689901117 -524.720570820242</t>
  </si>
  <si>
    <t>-834.18362461377 327.517660674114 -498.928315043151</t>
  </si>
  <si>
    <t>-708.36143728279 341.919255446336 -233.310905595757</t>
  </si>
  <si>
    <t>-471.485800540233 360.771070188375 -273.127729364482</t>
  </si>
  <si>
    <t>-874.118236955461 141.545298549795 -528.198306798791</t>
  </si>
  <si>
    <t>-896.754588578684 7.83905315026686 -505.672902275812</t>
  </si>
  <si>
    <t>-686.222733898001 3.07177839020915 -317.786539555014</t>
  </si>
  <si>
    <t>-832.169137114506 262.436999484108 -74.7640555851701</t>
  </si>
  <si>
    <t>-838.97582333986 311.954501874387 325.681134307083</t>
  </si>
  <si>
    <t>-871.045431129708 364.865159419172 769.306331640577</t>
  </si>
  <si>
    <t>-727.067832620036 391.234306618883 829.824481830735</t>
  </si>
  <si>
    <t>-820.416995464506 68.648183784614 -66.3904713376163</t>
  </si>
  <si>
    <t>-810.19799879904 54.2288358125688 336.774854461441</t>
  </si>
  <si>
    <t>-836.234886651569 89.4736000062339 782.50418394131</t>
  </si>
  <si>
    <t>-744.826040428215 -18.1255865309558 854.296667868916</t>
  </si>
  <si>
    <t>9763-20170724T111043.614343200.bin</t>
  </si>
  <si>
    <t>-825.899025893074 166.012901982135 -69.5075565201216</t>
  </si>
  <si>
    <t>-856.402695791121 159.522884956761 -181.058594975923</t>
  </si>
  <si>
    <t>-868.228757424433 159.734507527113 -278.970563119431</t>
  </si>
  <si>
    <t>-873.571301870244 161.882742673236 -367.88109789583</t>
  </si>
  <si>
    <t>-873.123298024914 165.730360988079 -456.893724317075</t>
  </si>
  <si>
    <t>-866.36505551335 172.661224826998 -581.099497539479</t>
  </si>
  <si>
    <t>-840.37452061499 179.432408842019 -659.735891861731</t>
  </si>
  <si>
    <t>-865.031365372996 196.926824133979 -524.684151864716</t>
  </si>
  <si>
    <t>-833.386042844742 328.168353526708 -498.74872221403</t>
  </si>
  <si>
    <t>-707.194651317073 342.242181478808 -233.288816432712</t>
  </si>
  <si>
    <t>-470.262982077648 360.97870542569 -272.825599665083</t>
  </si>
  <si>
    <t>-873.646594062218 142.29550588743 -528.201334283146</t>
  </si>
  <si>
    <t>-896.522334118486 8.60981854498277 -505.778152027044</t>
  </si>
  <si>
    <t>-685.963365319605 3.53074267394686 -317.407763200366</t>
  </si>
  <si>
    <t>-831.773461603427 262.959626375598 -74.6691307794607</t>
  </si>
  <si>
    <t>-838.749882384858 312.138381590813 325.814940217932</t>
  </si>
  <si>
    <t>-871.031190895024 364.776169873112 769.466078356839</t>
  </si>
  <si>
    <t>-727.009990180811 390.894239467675 829.988769427007</t>
  </si>
  <si>
    <t>-820.401026720025 68.9555666471379 -66.373852624219</t>
  </si>
  <si>
    <t>-810.004023339839 54.4090415397654 336.782370976727</t>
  </si>
  <si>
    <t>-836.287732067327 89.4280649689244 782.505851563172</t>
  </si>
  <si>
    <t>-744.616064081653 -17.9493053148562 854.294943126893</t>
  </si>
  <si>
    <t>9763-20170724T111043.683534100.bin</t>
  </si>
  <si>
    <t>-825.767175416711 167.345986150709 -69.4120184867517</t>
  </si>
  <si>
    <t>-856.177308246729 161.070239677946 -181.000757472873</t>
  </si>
  <si>
    <t>-867.865107886899 161.398556881661 -278.929080468398</t>
  </si>
  <si>
    <t>-873.061142274476 163.627353797135 -367.84633481602</t>
  </si>
  <si>
    <t>-872.447136170452 167.528611304149 -456.85556363861</t>
  </si>
  <si>
    <t>-865.439204986716 174.506190125398 -581.044933068207</t>
  </si>
  <si>
    <t>-839.389544838587 181.225322431621 -659.66623912553</t>
  </si>
  <si>
    <t>-864.092410162566 198.730004627662 -524.61179770096</t>
  </si>
  <si>
    <t>-831.847937163893 329.781445944955 -498.450255963546</t>
  </si>
  <si>
    <t>-704.931895634875 343.678096034175 -233.326817698372</t>
  </si>
  <si>
    <t>-467.85323673694 362.150195303178 -272.099504949077</t>
  </si>
  <si>
    <t>-872.953934789822 144.141261916976 -528.178960617784</t>
  </si>
  <si>
    <t>-896.431080400594 10.5511110928237 -505.829220612781</t>
  </si>
  <si>
    <t>-686.216161429415 4.46417321166609 -316.561561616215</t>
  </si>
  <si>
    <t>-831.450045253875 264.487690573658 -74.5420386565601</t>
  </si>
  <si>
    <t>-838.504685653419 312.862793131615 326.038548424312</t>
  </si>
  <si>
    <t>-871.037538578926 364.80019501717 769.786126106876</t>
  </si>
  <si>
    <t>-727.056832371813 391.150905042707 830.305396703338</t>
  </si>
  <si>
    <t>-820.608381810385 70.2320771199534 -66.3449872974743</t>
  </si>
  <si>
    <t>-809.596103494158 55.1176636086302 336.774093731022</t>
  </si>
  <si>
    <t>-836.261192375143 89.5327962008496 782.4875377422</t>
  </si>
  <si>
    <t>-744.708034073015 -17.9220678151446 854.31217841591</t>
  </si>
  <si>
    <t>9763-20170724T111043.715656800.bin</t>
  </si>
  <si>
    <t>-825.783938628915 168.324356854665 -69.379357953255</t>
  </si>
  <si>
    <t>-856.172791885202 162.137506451564 -180.978830243571</t>
  </si>
  <si>
    <t>-867.829686505718 162.50611183721 -278.910682834265</t>
  </si>
  <si>
    <t>-872.994222343145 164.758266068633 -367.829241479341</t>
  </si>
  <si>
    <t>-872.34596999024 168.66793914903 -456.837795313687</t>
  </si>
  <si>
    <t>-865.286950601053 175.642505249831 -581.024600004017</t>
  </si>
  <si>
    <t>-839.214022147347 182.279598872523 -659.64508291195</t>
  </si>
  <si>
    <t>-863.896820368739 199.856729139977 -524.588224052409</t>
  </si>
  <si>
    <t>-831.381190745793 330.829598499597 -498.400150541071</t>
  </si>
  <si>
    <t>-704.16777734724 344.753230099262 -233.420694964649</t>
  </si>
  <si>
    <t>-467.014012817618 363.101493735393 -271.791251840846</t>
  </si>
  <si>
    <t>-872.889717422891 145.290054512568 -528.163919881159</t>
  </si>
  <si>
    <t>-896.725255109383 11.7610215247355 -505.78995322525</t>
  </si>
  <si>
    <t>-686.878949373046 5.28103929094505 -316.235052318816</t>
  </si>
  <si>
    <t>-831.372213536289 265.471439872739 -74.5005966916874</t>
  </si>
  <si>
    <t>-838.43167086796 313.399141460185 326.1335997919</t>
  </si>
  <si>
    <t>-871.025104900059 364.786916104721 769.95258691209</t>
  </si>
  <si>
    <t>-727.063468190579 391.268012165085 830.459459432293</t>
  </si>
  <si>
    <t>-820.64915168427 71.2491077388418 -66.3311864933895</t>
  </si>
  <si>
    <t>-809.391665958507 55.587064260716 336.760133956595</t>
  </si>
  <si>
    <t>-836.200923860882 89.662248740437 782.47193200862</t>
  </si>
  <si>
    <t>-744.826842710722 -17.9310509409215 854.317182996658</t>
  </si>
  <si>
    <t>9763-20170724T111043.783840300.bin</t>
  </si>
  <si>
    <t>-825.907010616502 170.390812502917 -69.3845735622635</t>
  </si>
  <si>
    <t>-856.126939194467 164.382546063243 -181.039881699727</t>
  </si>
  <si>
    <t>-867.665896115134 164.79114852257 -278.985384423637</t>
  </si>
  <si>
    <t>-872.738933043487 167.037054708733 -367.909431361856</t>
  </si>
  <si>
    <t>-872.01675046382 170.898395137446 -456.919510776041</t>
  </si>
  <si>
    <t>-864.87427139239 177.760126299007 -581.107699016401</t>
  </si>
  <si>
    <t>-838.716545754449 184.190355392022 -659.717175704239</t>
  </si>
  <si>
    <t>-863.381490701886 202.001602384225 -524.685716248406</t>
  </si>
  <si>
    <t>-830.327660184922 332.845948176014 -498.515388345516</t>
  </si>
  <si>
    <t>-703.267555768685 346.91418545841 -233.469960808538</t>
  </si>
  <si>
    <t>-465.8925662694 365.029335235595 -270.56148755866</t>
  </si>
  <si>
    <t>-872.653211421506 147.479752622205 -528.231504039767</t>
  </si>
  <si>
    <t>-897.16694867799 14.1083042495088 -505.689602834206</t>
  </si>
  <si>
    <t>-687.831987391617 6.85830051537232 -315.732836879948</t>
  </si>
  <si>
    <t>-831.244519427643 267.567694841041 -74.4496908739778</t>
  </si>
  <si>
    <t>-838.125568283629 314.748473684364 326.27628990292</t>
  </si>
  <si>
    <t>-870.990726832622 364.81884366917 770.277868469221</t>
  </si>
  <si>
    <t>-726.958801268137 390.971536505704 830.759981951082</t>
  </si>
  <si>
    <t>-820.884945216878 73.2140269099041 -66.3284573387036</t>
  </si>
  <si>
    <t>-809.026972184736 56.5542778917916 336.705634934004</t>
  </si>
  <si>
    <t>-836.236704533184 89.6945743758815 782.435020971936</t>
  </si>
  <si>
    <t>-744.795934750835 -17.8294380366915 854.299332932658</t>
  </si>
  <si>
    <t>9763-20170724T111043.816931600.bin</t>
  </si>
  <si>
    <t>-825.955988022295 171.263928225951 -69.3857274947486</t>
  </si>
  <si>
    <t>-856.088433634967 165.324550037381 -181.068255551009</t>
  </si>
  <si>
    <t>-867.562587294321 165.745436441034 -279.021331967057</t>
  </si>
  <si>
    <t>-872.582373088676 167.984769407392 -367.948423157762</t>
  </si>
  <si>
    <t>-871.813007598057 171.819826171867 -456.959387436388</t>
  </si>
  <si>
    <t>-864.612116555903 178.624743649094 -581.14737452031</t>
  </si>
  <si>
    <t>-838.405436500019 184.962030541601 -659.747984553981</t>
  </si>
  <si>
    <t>-863.080359393896 202.880329411395 -524.732596287242</t>
  </si>
  <si>
    <t>-829.807873615153 333.679363406346 -498.576377811812</t>
  </si>
  <si>
    <t>-702.935579914384 347.423328555451 -233.424224730701</t>
  </si>
  <si>
    <t>-465.262322798575 364.783709943563 -268.932955172669</t>
  </si>
  <si>
    <t>-872.48153756289 148.380011982028 -528.264122949015</t>
  </si>
  <si>
    <t>-897.288167829917 15.0741180511959 -505.667647548851</t>
  </si>
  <si>
    <t>-688.24952368488 7.6847529701995 -315.51825220538</t>
  </si>
  <si>
    <t>-831.170537363628 268.407278452592 -74.4167520157787</t>
  </si>
  <si>
    <t>-837.941382814342 315.246770069006 326.351158079869</t>
  </si>
  <si>
    <t>-870.99496863947 364.931291898018 770.414145739095</t>
  </si>
  <si>
    <t>-727.096333294302 391.868267898882 830.869579241818</t>
  </si>
  <si>
    <t>-821.037391879612 74.0337524575889 -66.3357498220806</t>
  </si>
  <si>
    <t>-808.769569730075 56.9397390708773 336.667926074524</t>
  </si>
  <si>
    <t>-836.247407110419 89.7128262517613 782.404724813783</t>
  </si>
  <si>
    <t>-744.798361082633 -17.7910961789867 854.288327305684</t>
  </si>
  <si>
    <t>9763-20170724T111043.882104800.bin</t>
  </si>
  <si>
    <t>-826.041295317806 172.667014160946 -69.2830885167699</t>
  </si>
  <si>
    <t>-855.922740374407 166.876464597895 -181.040821504667</t>
  </si>
  <si>
    <t>-867.164011140675 167.354582578113 -279.020782299342</t>
  </si>
  <si>
    <t>-871.968125911283 169.616224142963 -367.959130882019</t>
  </si>
  <si>
    <t>-870.980293999772 173.440786593534 -456.968431323426</t>
  </si>
  <si>
    <t>-863.471225962806 180.194830689892 -581.140775624784</t>
  </si>
  <si>
    <t>-837.106223457898 186.368856043505 -659.701635031232</t>
  </si>
  <si>
    <t>-861.952159907448 204.451177722049 -524.726061241926</t>
  </si>
  <si>
    <t>-828.171498102697 335.084825800045 -498.431568899084</t>
  </si>
  <si>
    <t>-702.364299796717 347.938990651695 -232.727597964986</t>
  </si>
  <si>
    <t>-464.009812370528 362.342168824451 -264.828936011297</t>
  </si>
  <si>
    <t>-871.598368328383 149.994320087194 -528.271346410801</t>
  </si>
  <si>
    <t>-896.964322511583 16.7871761520214 -505.664335335232</t>
  </si>
  <si>
    <t>-688.531645068076 9.46350047909118 -315.112331704271</t>
  </si>
  <si>
    <t>-831.048540961705 269.743848445069 -74.3103249924583</t>
  </si>
  <si>
    <t>-838.15443115369 315.933161415544 326.527256099487</t>
  </si>
  <si>
    <t>-870.928681709907 364.931822717329 770.677041301856</t>
  </si>
  <si>
    <t>-726.945300414394 391.376877628278 831.147810960803</t>
  </si>
  <si>
    <t>-821.343063743636 75.5195064125901 -66.3332988430437</t>
  </si>
  <si>
    <t>-808.412141454893 57.612205904004 336.614339653478</t>
  </si>
  <si>
    <t>-836.162066441281 89.9415920751408 782.364933198987</t>
  </si>
  <si>
    <t>-744.930498023612 -17.7171542208462 854.293506671469</t>
  </si>
  <si>
    <t>9763-20170724T111043.914710300.bin</t>
  </si>
  <si>
    <t>-826.237493822663 173.232547321103 -69.2449539184024</t>
  </si>
  <si>
    <t>-856.021175458825 167.528919560566 -181.03327209274</t>
  </si>
  <si>
    <t>-867.129947543049 168.094899814783 -279.027827225509</t>
  </si>
  <si>
    <t>-871.794383134776 170.439535055333 -367.97149424817</t>
  </si>
  <si>
    <t>-870.646678281732 174.349083186225 -456.975137987615</t>
  </si>
  <si>
    <t>-862.89518564375 181.223097620225 -581.126137394799</t>
  </si>
  <si>
    <t>-836.446178905568 187.36942541701 -659.660909929947</t>
  </si>
  <si>
    <t>-861.443523830579 205.416957785379 -524.68273952334</t>
  </si>
  <si>
    <t>-827.430258457508 335.934609491888 -498.141605648506</t>
  </si>
  <si>
    <t>-702.866492414138 347.756872877505 -231.804762529963</t>
  </si>
  <si>
    <t>-464.35144366414 360.822581421122 -263.280739269616</t>
  </si>
  <si>
    <t>-871.169085877215 150.979320571294 -528.304039215687</t>
  </si>
  <si>
    <t>-896.783128415423 17.7880952555079 -505.833654781566</t>
  </si>
  <si>
    <t>-688.715881942129 10.564197873804 -314.705252586069</t>
  </si>
  <si>
    <t>-831.203199012924 270.376155778167 -74.2563339455488</t>
  </si>
  <si>
    <t>-838.490605123519 316.186934968325 326.6213890191</t>
  </si>
  <si>
    <t>-870.880530629705 364.924013823447 770.822953348081</t>
  </si>
  <si>
    <t>-726.841263041799 391.005443904196 831.319065894874</t>
  </si>
  <si>
    <t>-821.675162619741 76.1004240515331 -66.3394192193772</t>
  </si>
  <si>
    <t>-808.520183870366 57.9763856453528 336.591324953082</t>
  </si>
  <si>
    <t>-836.164819778244 90.0212280829473 782.368239834555</t>
  </si>
  <si>
    <t>-745.079125449915 -17.7545069360931 854.306450270739</t>
  </si>
  <si>
    <t>9763-20170724T111043.984213300.bin</t>
  </si>
  <si>
    <t>-826.864416575316 174.184656125078 -69.1738984224849</t>
  </si>
  <si>
    <t>-856.516292791309 168.625126165544 -181.004489583548</t>
  </si>
  <si>
    <t>-867.42721454805 169.429171778937 -279.019589391167</t>
  </si>
  <si>
    <t>-871.877057956535 172.033999218022 -367.967087806305</t>
  </si>
  <si>
    <t>-870.477348275177 176.247022810532 -456.953223723742</t>
  </si>
  <si>
    <t>-862.333665355504 183.588321117885 -581.052482711195</t>
  </si>
  <si>
    <t>-835.739524046105 189.825200247165 -659.531002962734</t>
  </si>
  <si>
    <t>-861.043025032213 207.566383938066 -524.513152174564</t>
  </si>
  <si>
    <t>-827.013036878225 337.952499023191 -497.295806807089</t>
  </si>
  <si>
    <t>-703.210269599885 347.168433688251 -230.501591895122</t>
  </si>
  <si>
    <t>-464.806285106852 361.470426308184 -262.280241975397</t>
  </si>
  <si>
    <t>-870.79194308154 153.149222315911 -528.372022321087</t>
  </si>
  <si>
    <t>-896.571904819083 19.9216128704302 -506.40847945333</t>
  </si>
  <si>
    <t>-689.547334126532 12.7627369240404 -313.856031122962</t>
  </si>
  <si>
    <t>-831.759767072065 271.282247811587 -74.1075622362613</t>
  </si>
  <si>
    <t>-839.317676834893 316.542645376886 326.827626092634</t>
  </si>
  <si>
    <t>-870.77353406205 364.904786746495 771.137668100739</t>
  </si>
  <si>
    <t>-726.788264862547 391.158455184398 831.68717164825</t>
  </si>
  <si>
    <t>-822.338328900543 77.103931521393 -66.34025565157</t>
  </si>
  <si>
    <t>-808.84718739977 58.382853217503 336.552081080481</t>
  </si>
  <si>
    <t>-836.2893197283 90.0189612775275 782.373905502109</t>
  </si>
  <si>
    <t>-745.200537074332 -17.7565708593083 854.308328091573</t>
  </si>
  <si>
    <t>9763-20170724T111044.016331100.bin</t>
  </si>
  <si>
    <t>-827.046519032384 174.456053539239 -69.1516793874382</t>
  </si>
  <si>
    <t>-856.661260782691 168.93302301458 -180.993989280768</t>
  </si>
  <si>
    <t>-867.500727954104 169.830680012271 -279.016192590839</t>
  </si>
  <si>
    <t>-871.868253992874 172.544910531246 -367.964473083904</t>
  </si>
  <si>
    <t>-870.36786620099 176.891046941853 -456.94259260097</t>
  </si>
  <si>
    <t>-862.06377953126 184.44244684009 -581.01849699237</t>
  </si>
  <si>
    <t>-835.352397556569 190.795259868501 -659.44786297323</t>
  </si>
  <si>
    <t>-860.851421606373 208.325844057371 -524.437221368809</t>
  </si>
  <si>
    <t>-826.911988044506 338.674680930997 -496.976326684778</t>
  </si>
  <si>
    <t>-703.065455239232 348.036271379215 -230.207601080994</t>
  </si>
  <si>
    <t>-464.635572511155 362.441821996927 -261.745077508573</t>
  </si>
  <si>
    <t>-870.58463614976 153.91306085653 -528.400356744412</t>
  </si>
  <si>
    <t>-896.35104663204 20.6521328991844 -506.672894555284</t>
  </si>
  <si>
    <t>-689.712336760983 13.4973685982873 -313.456204632784</t>
  </si>
  <si>
    <t>-831.859739652351 271.422697931198 -74.01922175636</t>
  </si>
  <si>
    <t>-839.574878098578 316.631708318439 326.918805209381</t>
  </si>
  <si>
    <t>-870.707638357402 364.846837796427 771.273394011528</t>
  </si>
  <si>
    <t>-726.677743949134 390.750334449383 831.868341319534</t>
  </si>
  <si>
    <t>-822.492227378898 77.4003578932893 -66.3503006163182</t>
  </si>
  <si>
    <t>-808.973818081325 58.5900534863449 336.536908096959</t>
  </si>
  <si>
    <t>-836.21491658429 90.1969018384789 782.364983943137</t>
  </si>
  <si>
    <t>-745.333358689024 -17.7387933708314 854.321234900435</t>
  </si>
  <si>
    <t>9763-20170724T111044.080350100.bin</t>
  </si>
  <si>
    <t>-827.148449753425 174.144283734115 -69.0580344051336</t>
  </si>
  <si>
    <t>-856.643025445826 168.6930722826 -180.935497757037</t>
  </si>
  <si>
    <t>-867.33341986807 169.743948548446 -278.972515153907</t>
  </si>
  <si>
    <t>-871.544608848192 172.630910675618 -367.923022159644</t>
  </si>
  <si>
    <t>-869.866584092944 177.183455039254 -456.887584850053</t>
  </si>
  <si>
    <t>-861.290586182214 185.056336678329 -580.925001782012</t>
  </si>
  <si>
    <t>-834.317203568597 191.678682577948 -659.242423294582</t>
  </si>
  <si>
    <t>-860.209016111531 208.793924412731 -524.280004148682</t>
  </si>
  <si>
    <t>-826.437332478331 339.125372108444 -496.49661851917</t>
  </si>
  <si>
    <t>-702.46921239632 349.398427654746 -229.817804369617</t>
  </si>
  <si>
    <t>-464.174200115926 363.998408656026 -262.271917618185</t>
  </si>
  <si>
    <t>-869.91989619856 154.389407873497 -528.404545614612</t>
  </si>
  <si>
    <t>-895.647675595568 21.0501923216425 -507.068479276381</t>
  </si>
  <si>
    <t>-689.431860690366 13.9635840974097 -312.733547613858</t>
  </si>
  <si>
    <t>-831.76137963904 271.006664879172 -73.7952032238708</t>
  </si>
  <si>
    <t>-839.428696312727 316.692952197097 327.089609200385</t>
  </si>
  <si>
    <t>-870.595092615941 364.930778179095 771.487689571684</t>
  </si>
  <si>
    <t>-726.67969404465 391.119462847125 832.231754850097</t>
  </si>
  <si>
    <t>-822.756322608868 77.0322832135553 -66.3377072938852</t>
  </si>
  <si>
    <t>-809.074848302165 58.5057434153887 336.557158276864</t>
  </si>
  <si>
    <t>-836.27531360756 90.2954506028077 782.402251642216</t>
  </si>
  <si>
    <t>-745.265553123809 -17.5333054483094 854.35712805029</t>
  </si>
  <si>
    <t>9763-20170724T111044.116950800.bin</t>
  </si>
  <si>
    <t>-827.163081625449 173.721843517507 -68.9977881556498</t>
  </si>
  <si>
    <t>-856.547366902753 168.305998274192 -180.906054372369</t>
  </si>
  <si>
    <t>-867.145951899998 169.4361493348 -278.952124887523</t>
  </si>
  <si>
    <t>-871.27460174932 172.41506558828 -367.903484477286</t>
  </si>
  <si>
    <t>-869.513777875397 177.079158402842 -456.860590133551</t>
  </si>
  <si>
    <t>-860.822179583052 185.13013732198 -580.878536872121</t>
  </si>
  <si>
    <t>-833.741343968445 191.871787750028 -659.148621472972</t>
  </si>
  <si>
    <t>-859.798781276052 208.787558232645 -524.198882053514</t>
  </si>
  <si>
    <t>-826.103353134572 339.096140006573 -496.229368465775</t>
  </si>
  <si>
    <t>-701.818185629216 349.024153364225 -229.685042968605</t>
  </si>
  <si>
    <t>-463.636204596538 363.89367310566 -262.837119635631</t>
  </si>
  <si>
    <t>-869.494892764916 154.387025624819 -528.409930182119</t>
  </si>
  <si>
    <t>-895.162460297647 20.9972105080906 -507.271444214526</t>
  </si>
  <si>
    <t>-688.923588698606 13.9583162614631 -312.362276667866</t>
  </si>
  <si>
    <t>-831.525659813448 270.62390929794 -73.6690435348595</t>
  </si>
  <si>
    <t>-838.972074201967 316.666529816884 327.179130155705</t>
  </si>
  <si>
    <t>-870.532410999741 364.916224693767 771.557574943701</t>
  </si>
  <si>
    <t>-726.600993094027 390.879884144933 832.35945536129</t>
  </si>
  <si>
    <t>-823.073825665357 76.6427648679983 -66.2711638334881</t>
  </si>
  <si>
    <t>-809.142135659 58.4399307376516 336.629842998207</t>
  </si>
  <si>
    <t>-836.388733095712 90.2670563175443 782.473993059731</t>
  </si>
  <si>
    <t>-745.081607233311 -17.3395294193551 854.384512453655</t>
  </si>
  <si>
    <t>9763-20170724T111044.184632800.bin</t>
  </si>
  <si>
    <t>-826.700038468413 173.055282858186 -68.8088648344177</t>
  </si>
  <si>
    <t>-855.924661442019 167.706833522746 -180.76217039886</t>
  </si>
  <si>
    <t>-866.375895865583 169.004634481641 -278.822125295636</t>
  </si>
  <si>
    <t>-870.365666587297 172.179683871684 -367.772862490952</t>
  </si>
  <si>
    <t>-868.459416045384 177.085827968241 -456.714078865581</t>
  </si>
  <si>
    <t>-859.555870902808 185.520962648367 -580.691506677441</t>
  </si>
  <si>
    <t>-832.347581809106 192.46452621487 -658.899742347667</t>
  </si>
  <si>
    <t>-858.633870706121 209.003714237142 -523.937211600608</t>
  </si>
  <si>
    <t>-824.964781343768 339.231916712426 -495.57236955236</t>
  </si>
  <si>
    <t>-699.844818999721 347.250493943665 -229.354784634594</t>
  </si>
  <si>
    <t>-461.860404355978 362.601959053502 -263.685395404041</t>
  </si>
  <si>
    <t>-868.313957442851 154.614857783676 -528.332987358594</t>
  </si>
  <si>
    <t>-893.997821577501 21.1654972197675 -507.618890556399</t>
  </si>
  <si>
    <t>-687.678910484912 14.0642123992279 -311.789262033524</t>
  </si>
  <si>
    <t>-830.773847657064 269.943631494573 -73.4505333188353</t>
  </si>
  <si>
    <t>-837.85107181938 316.531336100484 327.341437772184</t>
  </si>
  <si>
    <t>-870.490512314333 364.736278684855 771.616248932334</t>
  </si>
  <si>
    <t>-726.509455346879 390.333371129033 832.456656286931</t>
  </si>
  <si>
    <t>-823.080998236974 76.129569871011 -66.1561804455463</t>
  </si>
  <si>
    <t>-808.992890744823 58.3390489736207 336.757824597512</t>
  </si>
  <si>
    <t>-836.498528979781 90.3308759088691 782.578254709073</t>
  </si>
  <si>
    <t>-745.194285082835 -17.3042418417458 854.449875822268</t>
  </si>
  <si>
    <t>9763-20170724T111044.215718100.bin</t>
  </si>
  <si>
    <t>-826.401873127169 173.25462728752 -68.6830917589247</t>
  </si>
  <si>
    <t>-855.632841873158 167.900970436446 -180.634399013781</t>
  </si>
  <si>
    <t>-866.064937226412 169.233651617537 -278.695874180188</t>
  </si>
  <si>
    <t>-870.026365760036 172.456469442252 -367.646202050204</t>
  </si>
  <si>
    <t>-868.079825160851 177.425510322897 -456.583030838835</t>
  </si>
  <si>
    <t>-859.108215036088 185.965681348829 -580.548295816242</t>
  </si>
  <si>
    <t>-831.806304853346 192.966819628694 -658.718811502729</t>
  </si>
  <si>
    <t>-858.207252552686 209.398079014246 -523.773220480862</t>
  </si>
  <si>
    <t>-824.429251844672 339.562136129395 -495.28965878783</t>
  </si>
  <si>
    <t>-698.901097101912 347.256986505227 -229.254619468608</t>
  </si>
  <si>
    <t>-460.968637607961 362.555331722066 -263.96711085453</t>
  </si>
  <si>
    <t>-867.904975704896 155.01686558239 -528.221471003626</t>
  </si>
  <si>
    <t>-893.640967156907 21.5528655517883 -507.653889832609</t>
  </si>
  <si>
    <t>-687.143176473612 14.2616568088192 -311.629163678253</t>
  </si>
  <si>
    <t>-830.359956266905 270.033555729487 -73.3710343859103</t>
  </si>
  <si>
    <t>-837.297725501787 316.812595123574 327.401129683244</t>
  </si>
  <si>
    <t>-870.495297895394 364.703284218721 771.630646274873</t>
  </si>
  <si>
    <t>-726.536551224179 390.42917748599 832.469544162595</t>
  </si>
  <si>
    <t>-822.995692999452 76.5732240212778 -66.0632665552484</t>
  </si>
  <si>
    <t>-808.676733758927 58.3301040127876 336.822381430587</t>
  </si>
  <si>
    <t>-836.504713486982 90.3898172498662 782.614999718155</t>
  </si>
  <si>
    <t>-745.194328608981 -17.2435953098807 854.481513648968</t>
  </si>
  <si>
    <t>9763-20170724T111044.282807100.bin</t>
  </si>
  <si>
    <t>-825.989871242824 174.435671858159 -68.5498293424787</t>
  </si>
  <si>
    <t>-855.245294726483 169.120878906859 -180.496649048227</t>
  </si>
  <si>
    <t>-865.65837941787 170.472491007369 -278.559983726673</t>
  </si>
  <si>
    <t>-869.587270226587 173.709249580614 -367.511177963997</t>
  </si>
  <si>
    <t>-867.593689049705 178.689150029041 -456.446372319307</t>
  </si>
  <si>
    <t>-858.541876676771 187.241217050204 -580.404955676675</t>
  </si>
  <si>
    <t>-831.073162777894 194.234602024625 -658.517698601409</t>
  </si>
  <si>
    <t>-857.638078283776 210.660963348791 -523.624661159733</t>
  </si>
  <si>
    <t>-823.661457262336 340.799113614146 -495.181618033616</t>
  </si>
  <si>
    <t>-697.182792417671 348.751745263122 -229.604555370134</t>
  </si>
  <si>
    <t>-459.241047473608 363.900144073745 -264.319086661383</t>
  </si>
  <si>
    <t>-867.412170453089 156.294692123214 -528.089301649384</t>
  </si>
  <si>
    <t>-893.312078893913 22.8655433413801 -507.543601282371</t>
  </si>
  <si>
    <t>-686.215915686273 15.4826712201279 -311.471323852906</t>
  </si>
  <si>
    <t>-829.843918627715 271.236973008866 -73.3607134900418</t>
  </si>
  <si>
    <t>-836.70149728312 317.380176031294 327.486421989479</t>
  </si>
  <si>
    <t>-870.469093971873 364.583405108768 771.701910966339</t>
  </si>
  <si>
    <t>-726.374316882218 389.528027232339 832.544376223042</t>
  </si>
  <si>
    <t>-822.565988448073 77.6449407937102 -65.9109706002076</t>
  </si>
  <si>
    <t>-807.914662393298 58.6294180003042 336.926938198906</t>
  </si>
  <si>
    <t>-836.486118891311 90.477064225619 782.632448704057</t>
  </si>
  <si>
    <t>-745.205988029976 -17.1717140114129 854.514039094309</t>
  </si>
  <si>
    <t>9763-20170724T111044.316401700.bin</t>
  </si>
  <si>
    <t>-825.739162630338 175.105532332632 -68.5556989605766</t>
  </si>
  <si>
    <t>-854.976297217561 169.82360452782 -180.508908373272</t>
  </si>
  <si>
    <t>-865.356686424193 171.159615567849 -278.57581482332</t>
  </si>
  <si>
    <t>-869.251071653847 174.366629974324 -367.529687911233</t>
  </si>
  <si>
    <t>-867.219638845743 179.300776608455 -456.466554118742</t>
  </si>
  <si>
    <t>-858.110894101627 187.774291777953 -580.42643102192</t>
  </si>
  <si>
    <t>-830.527916975068 194.71295391413 -658.503710160166</t>
  </si>
  <si>
    <t>-857.212646775708 211.226369771485 -523.659316484255</t>
  </si>
  <si>
    <t>-823.104623674908 341.346315736008 -495.324396631404</t>
  </si>
  <si>
    <t>-696.307136063991 349.653129459406 -229.910317108485</t>
  </si>
  <si>
    <t>-458.323886357402 364.618853160004 -264.418896271869</t>
  </si>
  <si>
    <t>-867.025639127754 156.864712044282 -528.096319200505</t>
  </si>
  <si>
    <t>-893.025714804405 23.4598857224473 -507.48210122468</t>
  </si>
  <si>
    <t>-685.614642727769 16.2783142548087 -311.2733817786</t>
  </si>
  <si>
    <t>-829.540752440359 271.956264446671 -73.3619254115008</t>
  </si>
  <si>
    <t>-836.372458527648 317.701345202818 327.531290311954</t>
  </si>
  <si>
    <t>-870.451482492696 364.575938511479 771.760628807297</t>
  </si>
  <si>
    <t>-726.383015716803 389.652963160313 832.610966119088</t>
  </si>
  <si>
    <t>-822.333953236935 78.1669682375632 -65.8717091956114</t>
  </si>
  <si>
    <t>-807.533024561425 58.8511785614241 336.946492956974</t>
  </si>
  <si>
    <t>-836.511504569793 90.4933942303487 782.639657054873</t>
  </si>
  <si>
    <t>-745.234692181362 -17.1572173305863 854.522956420639</t>
  </si>
  <si>
    <t>9763-20170724T111044.381080500.bin</t>
  </si>
  <si>
    <t>-825.112933477696 176.306971797451 -68.5779538092414</t>
  </si>
  <si>
    <t>-854.194881763919 171.046353738311 -180.572538569635</t>
  </si>
  <si>
    <t>-864.434210652935 172.288217368804 -278.655515598272</t>
  </si>
  <si>
    <t>-868.202650341028 175.368142890693 -367.619361877845</t>
  </si>
  <si>
    <t>-866.048675835337 180.13490224529 -456.56241058013</t>
  </si>
  <si>
    <t>-856.775430322635 188.332574952542 -580.528632494632</t>
  </si>
  <si>
    <t>-829.016777238599 195.037600593862 -658.564071923154</t>
  </si>
  <si>
    <t>-855.935045886244 211.907517035463 -523.811490112257</t>
  </si>
  <si>
    <t>-821.683184604987 342.052279485315 -495.74941234139</t>
  </si>
  <si>
    <t>-694.122993062973 351.206357923428 -230.729050767823</t>
  </si>
  <si>
    <t>-456.050820641746 365.661212648416 -264.839363044478</t>
  </si>
  <si>
    <t>-865.777066410161 157.542833265039 -528.142939749012</t>
  </si>
  <si>
    <t>-891.859471270797 24.2006949461056 -507.270794906158</t>
  </si>
  <si>
    <t>-683.864504378522 17.7892432184285 -310.304779536556</t>
  </si>
  <si>
    <t>-828.699207888261 273.382709153293 -73.3711111100357</t>
  </si>
  <si>
    <t>-835.545667715809 318.419500974975 327.602040159091</t>
  </si>
  <si>
    <t>-870.385645274286 364.487812219329 771.896497824028</t>
  </si>
  <si>
    <t>-726.273317109504 389.202438743835 832.791179883834</t>
  </si>
  <si>
    <t>-821.869080424907 79.1094004435849 -65.8041735177256</t>
  </si>
  <si>
    <t>-806.364555204344 59.2742656448072 336.962351620775</t>
  </si>
  <si>
    <t>-836.520618280875 90.6298620313123 782.643012723592</t>
  </si>
  <si>
    <t>-745.315122216186 -17.0745345443634 854.536336853743</t>
  </si>
  <si>
    <t>9763-20170724T111044.418236100.bin</t>
  </si>
  <si>
    <t>-824.748619158688 177.056537706098 -68.5353682617368</t>
  </si>
  <si>
    <t>-853.683518847051 171.76858565916 -180.566740898015</t>
  </si>
  <si>
    <t>-863.820262115131 172.922924359536 -278.661429063228</t>
  </si>
  <si>
    <t>-867.507646069976 175.899673353358 -367.632064465838</t>
  </si>
  <si>
    <t>-865.286239514255 180.539366713902 -456.580354326765</t>
  </si>
  <si>
    <t>-855.933764264808 188.536848411826 -580.55362120763</t>
  </si>
  <si>
    <t>-828.100524618718 195.086891015927 -658.575543100768</t>
  </si>
  <si>
    <t>-855.127488091053 212.202957032544 -523.874044740733</t>
  </si>
  <si>
    <t>-820.833063530903 342.365625542679 -495.969672340291</t>
  </si>
  <si>
    <t>-693.046160912627 351.843432704299 -231.069722617038</t>
  </si>
  <si>
    <t>-454.932684929945 365.802413277606 -265.099485138463</t>
  </si>
  <si>
    <t>-864.971160903266 157.832113086019 -528.124157969439</t>
  </si>
  <si>
    <t>-891.043643804479 24.5028168653889 -507.099458155057</t>
  </si>
  <si>
    <t>-682.777720259322 18.8242111092541 -309.418917070586</t>
  </si>
  <si>
    <t>-828.226851920268 274.23632445925 -73.35976583692</t>
  </si>
  <si>
    <t>-834.925690228047 318.861805421387 327.661886849101</t>
  </si>
  <si>
    <t>-870.321559493116 364.389547310986 771.979381652024</t>
  </si>
  <si>
    <t>-726.202996379515 388.952193948523 832.920346144068</t>
  </si>
  <si>
    <t>-821.624006424566 79.7894897892643 -65.7051423422938</t>
  </si>
  <si>
    <t>-805.412386212334 59.2110743368003 336.996173308599</t>
  </si>
  <si>
    <t>-836.643530939879 90.5574487396416 782.65590987299</t>
  </si>
  <si>
    <t>-745.135271040197 -16.9064876261564 854.524228021773</t>
  </si>
  <si>
    <t>9763-20170724T111044.483203000.bin</t>
  </si>
  <si>
    <t>-823.779068618782 178.755148449824 -68.3640298316597</t>
  </si>
  <si>
    <t>-852.394217521346 173.475764349597 -180.477893949361</t>
  </si>
  <si>
    <t>-862.349655134836 174.487933058199 -278.592796424922</t>
  </si>
  <si>
    <t>-865.918467937775 177.283571534867 -367.574149994643</t>
  </si>
  <si>
    <t>-863.626399538574 181.694640538261 -456.532156752594</t>
  </si>
  <si>
    <t>-854.228188275628 189.327512320097 -580.525000686281</t>
  </si>
  <si>
    <t>-826.258236090684 195.545351543261 -658.525384844692</t>
  </si>
  <si>
    <t>-853.454005166596 213.162456628722 -523.915746278075</t>
  </si>
  <si>
    <t>-819.106700444435 343.392937443962 -496.36724755166</t>
  </si>
  <si>
    <t>-690.901535686005 353.133976551533 -231.679185985869</t>
  </si>
  <si>
    <t>-452.680136716132 366.164501000016 -265.318134495468</t>
  </si>
  <si>
    <t>-863.273829737934 158.775001189907 -528.008062699435</t>
  </si>
  <si>
    <t>-889.224861633951 25.4981072231521 -506.556975541722</t>
  </si>
  <si>
    <t>-680.081060493588 21.6939732072187 -306.906946155632</t>
  </si>
  <si>
    <t>-827.001853619804 276.27460141636 -73.25152441048</t>
  </si>
  <si>
    <t>-833.110648763438 320.257463602582 327.850541986194</t>
  </si>
  <si>
    <t>-870.33647400712 364.475128390272 772.12650041339</t>
  </si>
  <si>
    <t>-726.147560284156 388.439640619778 833.139429501079</t>
  </si>
  <si>
    <t>-820.904309627429 81.0499005860033 -65.3890791984855</t>
  </si>
  <si>
    <t>-802.955145217713 59.4400944400782 337.184515190184</t>
  </si>
  <si>
    <t>-836.725872061326 90.5662654471198 782.640725754939</t>
  </si>
  <si>
    <t>-744.961082714156 -16.6950919096098 854.48436369648</t>
  </si>
  <si>
    <t>9763-20170724T111044.516308100.bin</t>
  </si>
  <si>
    <t>-822.993327402209 179.592989577365 -68.2391749660145</t>
  </si>
  <si>
    <t>-851.416798642707 174.356817806406 -180.403799452155</t>
  </si>
  <si>
    <t>-861.2226154873 175.284306767794 -278.534569669229</t>
  </si>
  <si>
    <t>-864.667064999708 177.958695854581 -367.52451752387</t>
  </si>
  <si>
    <t>-862.264767459949 182.206568721705 -456.487645773448</t>
  </si>
  <si>
    <t>-852.728850643689 189.570432273509 -580.486309628257</t>
  </si>
  <si>
    <t>-824.633063650035 195.592854269319 -658.456630179686</t>
  </si>
  <si>
    <t>-852.027880106345 213.529955159488 -523.928732134717</t>
  </si>
  <si>
    <t>-817.71798991373 343.816022354238 -496.61425995736</t>
  </si>
  <si>
    <t>-689.529881771229 353.79114961034 -231.926674114813</t>
  </si>
  <si>
    <t>-451.266097485842 366.314184498773 -265.457702893345</t>
  </si>
  <si>
    <t>-861.822585344317 159.130038111922 -527.912392116386</t>
  </si>
  <si>
    <t>-887.756762814223 25.8895473204616 -506.182865540719</t>
  </si>
  <si>
    <t>-678.280517627207 23.1634608056956 -305.582202331973</t>
  </si>
  <si>
    <t>-826.243118289845 277.38599719125 -73.1729070183702</t>
  </si>
  <si>
    <t>-831.881262074697 320.889852193637 327.988308021369</t>
  </si>
  <si>
    <t>-870.26717317991 364.349109962741 772.235942307803</t>
  </si>
  <si>
    <t>-726.143452209706 388.7099275655 833.244783140733</t>
  </si>
  <si>
    <t>-820.126949244386 81.6613391443702 -65.2807025615029</t>
  </si>
  <si>
    <t>-801.338881615194 59.5809411974128 337.22906544758</t>
  </si>
  <si>
    <t>-836.58247523967 90.7628240579543 782.544924058933</t>
  </si>
  <si>
    <t>-744.957484951053 -16.5931418402497 854.425816912151</t>
  </si>
  <si>
    <t>9763-20170724T111044.583494400.bin</t>
  </si>
  <si>
    <t>-820.615969919545 182.299036229256 -67.9565791635425</t>
  </si>
  <si>
    <t>-848.775854480536 177.221776108849 -180.195078531392</t>
  </si>
  <si>
    <t>-858.376776309667 177.963492278536 -278.34753342528</t>
  </si>
  <si>
    <t>-861.65758787071 180.353554850125 -367.351897346648</t>
  </si>
  <si>
    <t>-859.119583089686 184.206730839984 -456.329070202229</t>
  </si>
  <si>
    <t>-849.428658750904 190.910332870948 -580.353197587765</t>
  </si>
  <si>
    <t>-821.140420735432 196.412958681196 -658.292506346363</t>
  </si>
  <si>
    <t>-848.767386352258 215.165036606345 -523.9210543127</t>
  </si>
  <si>
    <t>-814.258880187295 345.526259137229 -497.221497706229</t>
  </si>
  <si>
    <t>-686.563674195366 356.627727284724 -232.340631294759</t>
  </si>
  <si>
    <t>-448.177843224526 367.566906643705 -265.558319696284</t>
  </si>
  <si>
    <t>-858.618904851433 160.756253826254 -527.631637036887</t>
  </si>
  <si>
    <t>-884.691533806657 27.6563115513886 -505.215633964378</t>
  </si>
  <si>
    <t>-674.867062539771 27.1027750607018 -303.175514400133</t>
  </si>
  <si>
    <t>-823.779623773815 280.485646395257 -73.0185131394375</t>
  </si>
  <si>
    <t>-829.185284067151 322.608624620431 328.293218832176</t>
  </si>
  <si>
    <t>-870.07708990162 364.01710476323 772.524294303453</t>
  </si>
  <si>
    <t>-726.031234143152 388.914831311998 833.500861199728</t>
  </si>
  <si>
    <t>-817.765121132242 84.2237989039772 -65.1109251303318</t>
  </si>
  <si>
    <t>-798.010943429772 60.2478729954719 337.244153699532</t>
  </si>
  <si>
    <t>-836.212557575518 91.1921324915943 782.246992062853</t>
  </si>
  <si>
    <t>-745.190500953213 -16.5800844043838 854.270778550037</t>
  </si>
  <si>
    <t>9763-20170724T111044.615577000.bin</t>
  </si>
  <si>
    <t>-819.64655194649 184.325372580027 -67.9411979891648</t>
  </si>
  <si>
    <t>-847.743170499408 179.307612066646 -180.198144464832</t>
  </si>
  <si>
    <t>-857.301332529726 179.948021635795 -278.355607251369</t>
  </si>
  <si>
    <t>-860.552593092998 182.190470566793 -367.364975415306</t>
  </si>
  <si>
    <t>-857.99769616767 185.84148570793 -456.350265810533</t>
  </si>
  <si>
    <t>-848.298727574096 192.207835044682 -580.391366157025</t>
  </si>
  <si>
    <t>-819.90799487913 197.406038413959 -658.314240051425</t>
  </si>
  <si>
    <t>-847.587881500204 216.605855614423 -524.021634571174</t>
  </si>
  <si>
    <t>-812.847465519197 346.968297284443 -497.645072076531</t>
  </si>
  <si>
    <t>-685.341763839331 358.913657643785 -232.709397191562</t>
  </si>
  <si>
    <t>-446.908204557662 369.028236986831 -265.84508883184</t>
  </si>
  <si>
    <t>-857.54581665663 162.206823710585 -527.592260519629</t>
  </si>
  <si>
    <t>-883.849420819609 29.2204013512373 -504.783765779972</t>
  </si>
  <si>
    <t>-673.790494046965 29.7496940152864 -302.145007971601</t>
  </si>
  <si>
    <t>-822.841470181868 282.679588583218 -73.0441905690784</t>
  </si>
  <si>
    <t>-828.374773030906 323.83745237794 328.365938467729</t>
  </si>
  <si>
    <t>-870.091961796641 364.165604700966 772.630769980404</t>
  </si>
  <si>
    <t>-726.013778624551 388.889652188905 833.601556577087</t>
  </si>
  <si>
    <t>-816.906507141195 86.2099367843925 -65.0506154369704</t>
  </si>
  <si>
    <t>-796.940355169262 60.9037480466886 337.212542675076</t>
  </si>
  <si>
    <t>-836.168706333818 91.2080150382385 782.104907365622</t>
  </si>
  <si>
    <t>-744.95623316342 -16.3629182829027 854.188623429083</t>
  </si>
  <si>
    <t>9763-20170724T111044.680254400.bin</t>
  </si>
  <si>
    <t>-818.37286599886 188.322772286579 -68.1305120870253</t>
  </si>
  <si>
    <t>-846.318183951566 183.440761873283 -180.431186422788</t>
  </si>
  <si>
    <t>-855.734770690813 183.883440289944 -278.603430886462</t>
  </si>
  <si>
    <t>-858.863698543553 185.830025518469 -367.624023987621</t>
  </si>
  <si>
    <t>-856.197276183196 189.069873505713 -456.621989759728</t>
  </si>
  <si>
    <t>-846.358576490753 194.744909561 -580.685673443877</t>
  </si>
  <si>
    <t>-817.721532993879 199.326533205213 -658.557017129973</t>
  </si>
  <si>
    <t>-845.572141670493 219.430131317773 -524.442277336864</t>
  </si>
  <si>
    <t>-810.29722696 349.787109216686 -498.71825620273</t>
  </si>
  <si>
    <t>-683.307482746244 362.774843488438 -233.584123877947</t>
  </si>
  <si>
    <t>-444.793838770729 371.442767112125 -266.554975625791</t>
  </si>
  <si>
    <t>-855.804310489756 165.06504863211 -527.740482716161</t>
  </si>
  <si>
    <t>-882.716138701788 32.3345263900487 -504.136366783236</t>
  </si>
  <si>
    <t>-673.011355456696 35.3604878609676 -300.389372298935</t>
  </si>
  <si>
    <t>-821.544820683016 286.849201031594 -73.2516456375089</t>
  </si>
  <si>
    <t>-827.203258827075 325.946869618364 328.362638490598</t>
  </si>
  <si>
    <t>-869.830214738884 364.070964869159 772.787145376133</t>
  </si>
  <si>
    <t>-725.827209131615 389.110601643827 833.807532610718</t>
  </si>
  <si>
    <t>-815.516230825043 89.7082324648486 -65.1140366244686</t>
  </si>
  <si>
    <t>-795.283512296083 62.9015564509582 337.038555755801</t>
  </si>
  <si>
    <t>-835.954258466586 91.5482266982576 781.858759043246</t>
  </si>
  <si>
    <t>-745.141858934094 -16.2605084259976 854.092176690316</t>
  </si>
  <si>
    <t>9763-20170724T111044.718365200.bin</t>
  </si>
  <si>
    <t>-817.92100711593 189.820325187698 -68.2025919800769</t>
  </si>
  <si>
    <t>-845.738745345904 185.005492658565 -180.53777134704</t>
  </si>
  <si>
    <t>-855.043753837994 185.357075507768 -278.721098736683</t>
  </si>
  <si>
    <t>-858.075504060274 187.165038106488 -367.747934620109</t>
  </si>
  <si>
    <t>-855.318178093799 190.210006458965 -456.749939681241</t>
  </si>
  <si>
    <t>-845.36108272814 195.555129642224 -580.818870089979</t>
  </si>
  <si>
    <t>-816.598027217061 199.851987073552 -658.66005223511</t>
  </si>
  <si>
    <t>-844.550375261769 220.375201997779 -524.635084375856</t>
  </si>
  <si>
    <t>-808.963415613956 350.705453850143 -499.212960849402</t>
  </si>
  <si>
    <t>-682.300086308604 363.991247078924 -233.937367432706</t>
  </si>
  <si>
    <t>-443.733879560742 372.122613881957 -266.662369494181</t>
  </si>
  <si>
    <t>-854.934988262472 166.031327241332 -527.80959844252</t>
  </si>
  <si>
    <t>-882.223720514591 33.4440555332558 -503.862377227444</t>
  </si>
  <si>
    <t>-673.106928024594 37.6527678969887 -299.410661202601</t>
  </si>
  <si>
    <t>-820.99626582885 288.494979802053 -73.3335330141582</t>
  </si>
  <si>
    <t>-826.778414970559 326.718977467991 328.363094173333</t>
  </si>
  <si>
    <t>-869.752737191887 364.134642037895 772.898550994575</t>
  </si>
  <si>
    <t>-725.756620412611 389.102831255775 833.963923265842</t>
  </si>
  <si>
    <t>-815.078233652327 90.9952419240367 -65.1857461153585</t>
  </si>
  <si>
    <t>-794.824224207645 63.7642450020198 336.937240764236</t>
  </si>
  <si>
    <t>-835.893546430344 91.72248262833 781.757135793259</t>
  </si>
  <si>
    <t>-745.287032172993 -16.2219164648659 854.046405830015</t>
  </si>
  <si>
    <t>9763-20170724T111044.781822600.bin</t>
  </si>
  <si>
    <t>-817.108203690869 192.171004612072 -68.1474426444133</t>
  </si>
  <si>
    <t>-844.650579437229 187.45286107049 -180.554656289538</t>
  </si>
  <si>
    <t>-853.663787993728 187.645261839159 -278.765553427897</t>
  </si>
  <si>
    <t>-856.416664253174 189.216439829578 -367.805883554518</t>
  </si>
  <si>
    <t>-853.370775333564 191.93074230862 -456.809288531358</t>
  </si>
  <si>
    <t>-843.00459097583 196.717165214172 -580.867511569704</t>
  </si>
  <si>
    <t>-813.890394794445 200.49627783976 -658.605081068379</t>
  </si>
  <si>
    <t>-842.249128147853 221.764226229253 -524.783737698986</t>
  </si>
  <si>
    <t>-806.115673321939 352.018419774299 -499.78351731513</t>
  </si>
  <si>
    <t>-680.083616027551 366.266173031298 -234.257289524555</t>
  </si>
  <si>
    <t>-441.414750038786 373.252675766676 -266.493641694821</t>
  </si>
  <si>
    <t>-852.883048061607 167.457659933085 -527.767545951427</t>
  </si>
  <si>
    <t>-880.932201240739 35.1290454776472 -503.267236105237</t>
  </si>
  <si>
    <t>-673.303675350126 41.4073612484985 -297.013089657543</t>
  </si>
  <si>
    <t>-819.866088430676 290.971983337659 -73.2212646550056</t>
  </si>
  <si>
    <t>-826.078046553975 327.870293779598 328.592876055414</t>
  </si>
  <si>
    <t>-869.476624550898 364.135957309598 773.30824238167</t>
  </si>
  <si>
    <t>-725.487874936613 388.825286013655 834.503905105766</t>
  </si>
  <si>
    <t>-814.552000613165 93.3203465099109 -65.1004099769814</t>
  </si>
  <si>
    <t>-794.026316224612 65.033608715582 336.935919242553</t>
  </si>
  <si>
    <t>-835.883219212832 91.9863721993747 781.650548983363</t>
  </si>
  <si>
    <t>-745.457010601793 -16.0531006706992 854.023732536576</t>
  </si>
  <si>
    <t>9763-20170724T111044.818923600.bin</t>
  </si>
  <si>
    <t>-816.824320966975 193.119017462962 -68.1294335688572</t>
  </si>
  <si>
    <t>-844.22672494208 188.46504669948 -180.573405700752</t>
  </si>
  <si>
    <t>-853.120850897933 188.589907903825 -278.795367771626</t>
  </si>
  <si>
    <t>-855.770535704904 190.05282724223 -367.840692809118</t>
  </si>
  <si>
    <t>-852.627994509647 192.614218605145 -456.84533051354</t>
  </si>
  <si>
    <t>-842.13539530987 197.139316037978 -580.902690899208</t>
  </si>
  <si>
    <t>-812.845342419443 200.67015710425 -658.585729432833</t>
  </si>
  <si>
    <t>-841.383561936785 222.293631566771 -524.866859916561</t>
  </si>
  <si>
    <t>-805.050450944969 352.540470658108 -500.08322152513</t>
  </si>
  <si>
    <t>-679.09618077945 367.273797347981 -234.546458410828</t>
  </si>
  <si>
    <t>-440.379484672477 373.758455535533 -266.532266956168</t>
  </si>
  <si>
    <t>-852.121573343165 168.002703611469 -527.755410308119</t>
  </si>
  <si>
    <t>-880.474110817836 35.7809130670189 -503.038177488544</t>
  </si>
  <si>
    <t>-673.697146621734 42.9254201360918 -295.929194298125</t>
  </si>
  <si>
    <t>-819.361079985454 291.865104701901 -73.2177061941763</t>
  </si>
  <si>
    <t>-825.818188614796 328.407781459354 328.625045332071</t>
  </si>
  <si>
    <t>-869.327388964312 364.109440683899 773.343773379003</t>
  </si>
  <si>
    <t>-725.328142706279 388.574764199483 834.605468001471</t>
  </si>
  <si>
    <t>-814.526828318866 94.37461755089 -65.0752829184663</t>
  </si>
  <si>
    <t>-793.71826571871 65.5134268905836 336.905744362551</t>
  </si>
  <si>
    <t>-835.93382509157 92.0661287688645 781.61622061053</t>
  </si>
  <si>
    <t>-745.470505968308 -15.9247484315197 854.015360676933</t>
  </si>
  <si>
    <t>9763-20170724T111044.892649900.bin</t>
  </si>
  <si>
    <t>-816.289772114033 194.748166120517 -68.1531836904617</t>
  </si>
  <si>
    <t>-843.512531376334 190.188016347731 -180.644699220478</t>
  </si>
  <si>
    <t>-852.225748916007 190.170365524861 -278.882943574281</t>
  </si>
  <si>
    <t>-854.707657285773 191.417936080893 -367.9363270483</t>
  </si>
  <si>
    <t>-851.396686826602 193.674994218245 -456.942963897144</t>
  </si>
  <si>
    <t>-840.671720389393 197.683885371023 -580.998407840848</t>
  </si>
  <si>
    <t>-811.124943834735 200.789565838836 -658.602208429593</t>
  </si>
  <si>
    <t>-839.919327877622 223.049740112735 -525.058052410809</t>
  </si>
  <si>
    <t>-803.253986098168 353.287407659206 -500.711478246091</t>
  </si>
  <si>
    <t>-677.891609966841 368.627209935416 -234.929363222526</t>
  </si>
  <si>
    <t>-439.092645182547 374.203899091563 -266.470201756089</t>
  </si>
  <si>
    <t>-850.863112799317 168.790059832829 -527.757392376931</t>
  </si>
  <si>
    <t>-879.812016296087 36.7796058374493 -502.603932693348</t>
  </si>
  <si>
    <t>-674.50493856964 45.6202675192644 -294.25841824721</t>
  </si>
  <si>
    <t>-818.696166337552 293.582013990195 -73.2760724098807</t>
  </si>
  <si>
    <t>-825.200695337359 329.442165289685 328.627456005174</t>
  </si>
  <si>
    <t>-869.143291493398 364.536550133691 773.505901635752</t>
  </si>
  <si>
    <t>-725.124658864147 388.549866141411 834.900245235592</t>
  </si>
  <si>
    <t>-814.190455822833 96.0966837569622 -65.0918107851217</t>
  </si>
  <si>
    <t>-793.217731362302 66.3911000144581 336.819055683643</t>
  </si>
  <si>
    <t>-835.957506220055 92.3109643847347 781.511149831722</t>
  </si>
  <si>
    <t>-745.79931907118 -15.8660657735741 854.013035351346</t>
  </si>
  <si>
    <t>9763-20170724T111044.919223800.bin</t>
  </si>
  <si>
    <t>-816.15832570193 195.240279029028 -68.1261105502026</t>
  </si>
  <si>
    <t>-843.399061588409 190.703103896064 -180.614320993331</t>
  </si>
  <si>
    <t>-852.088130972306 190.655031620889 -278.854621387347</t>
  </si>
  <si>
    <t>-854.532890691785 191.852255173127 -367.909662200948</t>
  </si>
  <si>
    <t>-851.17012193377 194.035476749717 -456.916306497454</t>
  </si>
  <si>
    <t>-840.359090052298 197.914231055493 -580.968281962382</t>
  </si>
  <si>
    <t>-810.714550234486 200.870005335358 -658.540805086852</t>
  </si>
  <si>
    <t>-839.614053765054 223.332184299488 -525.051544841317</t>
  </si>
  <si>
    <t>-802.980347759353 353.609997660183 -500.864902610313</t>
  </si>
  <si>
    <t>-678.857644909178 368.769222923862 -234.491233710401</t>
  </si>
  <si>
    <t>-439.976986731682 373.44962184745 -265.55755503278</t>
  </si>
  <si>
    <t>-850.619206589444 169.082743076234 -527.706715737867</t>
  </si>
  <si>
    <t>-879.752865731693 37.1385339340536 -502.398745497601</t>
  </si>
  <si>
    <t>-675.038658975942 46.8757914446196 -293.810284596191</t>
  </si>
  <si>
    <t>-818.878705730619 294.070425212296 -73.2004278457462</t>
  </si>
  <si>
    <t>-825.180021680628 329.607062162298 328.734992605321</t>
  </si>
  <si>
    <t>-869.000094340904 364.655141899172 773.575129742723</t>
  </si>
  <si>
    <t>-725.01754079789 388.797655098162 835.003829669571</t>
  </si>
  <si>
    <t>-813.758101146753 96.5277102205778 -65.0978916490601</t>
  </si>
  <si>
    <t>-792.963450557778 66.6763485792649 336.811454164495</t>
  </si>
  <si>
    <t>-835.94096840286 92.4829039198203 781.447208310169</t>
  </si>
  <si>
    <t>-745.951646715339 -15.7930154357482 854.01150994592</t>
  </si>
  <si>
    <t>9763-20170724T111044.990785400.bin</t>
  </si>
  <si>
    <t>-816.134376628411 195.383335062104 -68.0245086384602</t>
  </si>
  <si>
    <t>-843.571686342247 190.648716158236 -180.456678506805</t>
  </si>
  <si>
    <t>-852.376008998342 190.546791364402 -278.686627579813</t>
  </si>
  <si>
    <t>-854.896739675469 191.725061191651 -367.74001725168</t>
  </si>
  <si>
    <t>-851.578556644393 193.909700140845 -456.748192742612</t>
  </si>
  <si>
    <t>-840.794823148926 197.803367681266 -580.802144203584</t>
  </si>
  <si>
    <t>-811.001060946605 200.572534258157 -658.324254297996</t>
  </si>
  <si>
    <t>-840.03494219371 223.214053308401 -524.882205119831</t>
  </si>
  <si>
    <t>-803.610049301544 353.510364367383 -500.507889895798</t>
  </si>
  <si>
    <t>-683.579310403234 367.842918711151 -232.21995641074</t>
  </si>
  <si>
    <t>-444.382359430372 370.369508731033 -261.0187320295</t>
  </si>
  <si>
    <t>-851.045507036948 168.966000042421 -527.541985855332</t>
  </si>
  <si>
    <t>-880.142275914588 37.0127374456101 -502.23435055055</t>
  </si>
  <si>
    <t>-675.996444456652 48.0751436703795 -293.737308038122</t>
  </si>
  <si>
    <t>-819.733253236304 293.947661340682 -73.0967669209194</t>
  </si>
  <si>
    <t>-825.831057799432 329.607548356199 328.830916065029</t>
  </si>
  <si>
    <t>-868.705130475718 364.723533137856 773.860595788859</t>
  </si>
  <si>
    <t>-724.835928382086 389.454851405867 835.320168243746</t>
  </si>
  <si>
    <t>-812.696341557291 96.8165727016158 -65.0456429945351</t>
  </si>
  <si>
    <t>-792.001140584137 66.3576522690278 336.823301637366</t>
  </si>
  <si>
    <t>-835.773229929096 92.9933391708955 781.296067706739</t>
  </si>
  <si>
    <t>-746.351849146686 -15.6641991131892 853.991800211885</t>
  </si>
  <si>
    <t>9763-20170724T111045.017361800.bin</t>
  </si>
  <si>
    <t>-816.097313688482 194.828554716935 -67.8710799691503</t>
  </si>
  <si>
    <t>-843.629187348667 189.885989523956 -180.271227057446</t>
  </si>
  <si>
    <t>-852.523390671929 189.805687659686 -278.493065188534</t>
  </si>
  <si>
    <t>-855.121402847452 191.071940222337 -367.543092139276</t>
  </si>
  <si>
    <t>-851.872403434763 193.409231255725 -456.550010952737</t>
  </si>
  <si>
    <t>-841.173092223335 197.578308799999 -580.602237703106</t>
  </si>
  <si>
    <t>-811.292028094626 200.403898715405 -658.088700341005</t>
  </si>
  <si>
    <t>-840.43572843519 222.877043645988 -524.631372558765</t>
  </si>
  <si>
    <t>-804.282785168893 353.170139415922 -499.830594134648</t>
  </si>
  <si>
    <t>-686.351028435249 366.071805467534 -230.540997242376</t>
  </si>
  <si>
    <t>-447.009482417537 368.131810780495 -258.150110484795</t>
  </si>
  <si>
    <t>-851.327070196557 168.610160835697 -527.394437217899</t>
  </si>
  <si>
    <t>-880.173199995321 36.5473428803921 -502.324540852892</t>
  </si>
  <si>
    <t>-676.090328350557 47.9277498543447 -293.987131909287</t>
  </si>
  <si>
    <t>-820.087449293857 293.265921231133 -72.9681700100239</t>
  </si>
  <si>
    <t>-826.672857595551 329.29778489242 328.918597824901</t>
  </si>
  <si>
    <t>-868.50678569624 364.585577394534 773.928730366078</t>
  </si>
  <si>
    <t>-724.722314384225 389.766965909789 835.40362819155</t>
  </si>
  <si>
    <t>-812.206632576087 96.2243069029955 -64.9363781841071</t>
  </si>
  <si>
    <t>-791.614091852219 65.7872566568312 336.939468458237</t>
  </si>
  <si>
    <t>-835.91247644411 93.0603290133736 781.330408332756</t>
  </si>
  <si>
    <t>-746.52514370452 -15.6422931274346 854.00055476213</t>
  </si>
  <si>
    <t>9763-20170724T111045.065738700.bin</t>
  </si>
  <si>
    <t>-816.36583408342 193.745531910875 -67.8179695935125</t>
  </si>
  <si>
    <t>-844.015493374184 188.636457508305 -180.181773346162</t>
  </si>
  <si>
    <t>-853.019002237453 188.628586117071 -278.393740664267</t>
  </si>
  <si>
    <t>-855.712117147637 190.039852546302 -367.43860862703</t>
  </si>
  <si>
    <t>-852.550222923394 192.60058138711 -456.44244022669</t>
  </si>
  <si>
    <t>-841.961706165021 197.16137480862 -580.490461518563</t>
  </si>
  <si>
    <t>-812.014250376438 200.123359160217 -657.946285930139</t>
  </si>
  <si>
    <t>-841.292547288244 222.307300329938 -524.449948510593</t>
  </si>
  <si>
    <t>-805.712457184672 352.673225748779 -499.189979307739</t>
  </si>
  <si>
    <t>-689.387243898801 363.958579190085 -229.13022587608</t>
  </si>
  <si>
    <t>-449.929508348627 365.316357688836 -255.757359573862</t>
  </si>
  <si>
    <t>-851.949936613909 168.001041320906 -527.356214417399</t>
  </si>
  <si>
    <t>-880.237317530257 35.7642452198029 -502.642602546872</t>
  </si>
  <si>
    <t>-676.201717713627 47.3152245382062 -294.42866520275</t>
  </si>
  <si>
    <t>-820.688907560238 292.324231995438 -72.9428585757763</t>
  </si>
  <si>
    <t>-827.634269968785 328.697169920888 328.907168793814</t>
  </si>
  <si>
    <t>-868.331768166846 364.530102970417 773.879602039728</t>
  </si>
  <si>
    <t>-724.601787041557 389.907902482264 835.401686155364</t>
  </si>
  <si>
    <t>-812.346295170414 94.9569736826684 -64.9150991876209</t>
  </si>
  <si>
    <t>-792.166875370061 65.532603766716 337.057125315763</t>
  </si>
  <si>
    <t>-836.202348094969 92.9707224099157 781.455436780049</t>
  </si>
  <si>
    <t>-746.362794888257 -15.4205936155167 854.033067392445</t>
  </si>
  <si>
    <t>9763-20170724T111045.116374600.bin</t>
  </si>
  <si>
    <t>-816.968301387777 190.745327779047 -68.0040820573231</t>
  </si>
  <si>
    <t>-844.999536432126 185.163787171736 -180.25089407268</t>
  </si>
  <si>
    <t>-854.399893041523 185.198862550304 -278.425606741093</t>
  </si>
  <si>
    <t>-857.463223141466 186.811571628186 -367.455003076508</t>
  </si>
  <si>
    <t>-854.673593208126 189.735946802224 -456.460202400472</t>
  </si>
  <si>
    <t>-844.599452760249 194.968275415324 -580.524482213427</t>
  </si>
  <si>
    <t>-814.507325890886 198.306703382088 -657.909024798078</t>
  </si>
  <si>
    <t>-843.995615004847 219.868732928979 -524.373673040837</t>
  </si>
  <si>
    <t>-809.93371235932 350.482240997887 -498.359636279235</t>
  </si>
  <si>
    <t>-695.317694952608 360.803891918224 -227.531563449093</t>
  </si>
  <si>
    <t>-455.584347519181 359.81594337459 -251.568473423844</t>
  </si>
  <si>
    <t>-854.069677695562 165.463013204985 -527.486297116917</t>
  </si>
  <si>
    <t>-880.842032941 32.7851255276273 -503.528882671095</t>
  </si>
  <si>
    <t>-676.60728720555 44.9630996403789 -295.835342888571</t>
  </si>
  <si>
    <t>-821.993353201872 289.216255873213 -73.0825066027644</t>
  </si>
  <si>
    <t>-829.288939624883 326.876398439384 328.642770437479</t>
  </si>
  <si>
    <t>-868.048479157837 364.453608033403 773.653767441654</t>
  </si>
  <si>
    <t>-724.45655419538 390.389681980719 835.265337796233</t>
  </si>
  <si>
    <t>-812.289002180777 92.3749535736529 -65.0877398107837</t>
  </si>
  <si>
    <t>-793.775525078456 65.0658165142977 337.113795613141</t>
  </si>
  <si>
    <t>-836.48849611399 93.0808961855159 781.633501721819</t>
  </si>
  <si>
    <t>-746.503249211352 -15.2533622604101 854.115467742786</t>
  </si>
  <si>
    <t>9763-20170724T111045.182051000.bin</t>
  </si>
  <si>
    <t>-817.10383980634 187.959821225927 -68.130500943419</t>
  </si>
  <si>
    <t>-845.551940946026 181.947381638575 -180.250083982078</t>
  </si>
  <si>
    <t>-855.423025883303 181.896989785161 -278.378526670144</t>
  </si>
  <si>
    <t>-858.944836639309 183.534371546526 -367.390672153006</t>
  </si>
  <si>
    <t>-856.639645096092 186.583896552789 -456.405457965467</t>
  </si>
  <si>
    <t>-847.262258225738 192.092732639771 -580.512376950875</t>
  </si>
  <si>
    <t>-817.185085922327 195.809195140295 -657.885343569816</t>
  </si>
  <si>
    <t>-846.577285167589 216.911549378422 -524.326244192415</t>
  </si>
  <si>
    <t>-813.951459668808 347.825822143826 -497.974302168604</t>
  </si>
  <si>
    <t>-705.277819924165 358.810405952548 -224.733518127752</t>
  </si>
  <si>
    <t>-465.044987362726 353.791500266497 -242.45005155814</t>
  </si>
  <si>
    <t>-856.200133318943 162.425725043705 -527.471861733971</t>
  </si>
  <si>
    <t>-881.654917682817 29.4112818129261 -503.755824226174</t>
  </si>
  <si>
    <t>-676.476075811096 42.460222442342 -297.133327318209</t>
  </si>
  <si>
    <t>-822.736098296761 285.856114451128 -73.2251794382704</t>
  </si>
  <si>
    <t>-830.535612631705 325.08028810238 328.340787939173</t>
  </si>
  <si>
    <t>-867.944256954329 364.417064028062 773.30194620838</t>
  </si>
  <si>
    <t>-724.382817584725 390.388403548332 834.970061681624</t>
  </si>
  <si>
    <t>-811.77678449588 90.02676703311 -65.1378112549241</t>
  </si>
  <si>
    <t>-794.182773920732 63.4908919452505 337.156820965113</t>
  </si>
  <si>
    <t>-836.637854038151 93.2506139055522 781.751543024701</t>
  </si>
  <si>
    <t>-746.694159332629 -15.168257221877 854.158735168677</t>
  </si>
  <si>
    <t>9763-20170724T111045.215646900.bin</t>
  </si>
  <si>
    <t>-816.989177309977 186.149966898694 -68.1062696428138</t>
  </si>
  <si>
    <t>-845.543004611723 179.996528267358 -180.191286579853</t>
  </si>
  <si>
    <t>-855.523868580168 179.944526127083 -278.308767498784</t>
  </si>
  <si>
    <t>-859.149794906372 181.626696340818 -367.315802506243</t>
  </si>
  <si>
    <t>-856.950595045128 184.770152961333 -456.330033052664</t>
  </si>
  <si>
    <t>-847.721519518733 190.461678980886 -580.439772789909</t>
  </si>
  <si>
    <t>-817.688225560386 194.424084212611 -657.817576738452</t>
  </si>
  <si>
    <t>-847.085775399806 215.21839715427 -524.225845474573</t>
  </si>
  <si>
    <t>-815.103637006627 346.238518944665 -497.625883213211</t>
  </si>
  <si>
    <t>-712.699986219554 356.534666160824 -221.947377308004</t>
  </si>
  <si>
    <t>-472.321751350579 348.825853259042 -236.429058381927</t>
  </si>
  <si>
    <t>-856.479571293851 160.695943972848 -527.424634775379</t>
  </si>
  <si>
    <t>-881.40849837884 27.5832778046192 -503.730805424124</t>
  </si>
  <si>
    <t>-676.187766453407 41.0908782603979 -297.70976016062</t>
  </si>
  <si>
    <t>-822.500026343296 283.883411458944 -73.2332264535913</t>
  </si>
  <si>
    <t>-830.803590910352 323.901257949917 328.244413032907</t>
  </si>
  <si>
    <t>-867.80499005318 364.187001804697 773.149190850335</t>
  </si>
  <si>
    <t>-724.382997270292 390.807604246164 834.864345953368</t>
  </si>
  <si>
    <t>-811.703270142071 88.1924679030262 -65.1414797687132</t>
  </si>
  <si>
    <t>-794.743894430491 62.6598735034213 337.245342998775</t>
  </si>
  <si>
    <t>-836.781902447591 93.2585800684669 781.856959964096</t>
  </si>
  <si>
    <t>-746.619548468906 -15.0315807793095 854.184598699074</t>
  </si>
  <si>
    <t>9763-20170724T111045.284050800.bin</t>
  </si>
  <si>
    <t>-816.480221097241 182.241222009663 -68.2879622648139</t>
  </si>
  <si>
    <t>-845.01229043441 175.737531302841 -180.358652361824</t>
  </si>
  <si>
    <t>-854.979759156423 175.682449547212 -278.477503612917</t>
  </si>
  <si>
    <t>-858.588654081092 177.483236938973 -367.483020018992</t>
  </si>
  <si>
    <t>-856.363620186376 180.872780318875 -456.487544153149</t>
  </si>
  <si>
    <t>-847.085489381864 187.045158567396 -580.570661246014</t>
  </si>
  <si>
    <t>-817.129804958252 191.48854529581 -657.952363535036</t>
  </si>
  <si>
    <t>-846.757708373534 211.632706643876 -524.279897274251</t>
  </si>
  <si>
    <t>-816.256595022458 342.863607458708 -496.961089173671</t>
  </si>
  <si>
    <t>-729.281817055033 350.191810300385 -215.939907335379</t>
  </si>
  <si>
    <t>-488.862595258228 335.465262613354 -221.647949369925</t>
  </si>
  <si>
    <t>-855.578775980243 157.025419361698 -527.655708001566</t>
  </si>
  <si>
    <t>-879.265639156175 23.6549384031955 -504.177370104542</t>
  </si>
  <si>
    <t>-674.853082415856 38.2576414014375 -298.858826902923</t>
  </si>
  <si>
    <t>-821.853383968643 279.756420905751 -73.5015174797175</t>
  </si>
  <si>
    <t>-830.619566314756 321.436501589639 327.797149051209</t>
  </si>
  <si>
    <t>-867.744798287274 363.924767623928 772.459859239774</t>
  </si>
  <si>
    <t>-724.403271197604 390.873609859233 834.219477688574</t>
  </si>
  <si>
    <t>-811.399840301267 84.7541409475016 -65.1820791497479</t>
  </si>
  <si>
    <t>-796.453107704538 61.3813209351324 337.415697183941</t>
  </si>
  <si>
    <t>-837.028078310045 93.2708785081422 782.077215491922</t>
  </si>
  <si>
    <t>-746.717352115962 -14.9878581520688 854.266320770418</t>
  </si>
  <si>
    <t>9763-20170724T111045.320153900.bin</t>
  </si>
  <si>
    <t>-816.18803993212 180.528225339318 -68.3859879834836</t>
  </si>
  <si>
    <t>-844.780310120509 173.815524511401 -180.429067862332</t>
  </si>
  <si>
    <t>-854.761617565571 173.791055764986 -278.546472348972</t>
  </si>
  <si>
    <t>-858.362042822075 175.703220524845 -367.549994245774</t>
  </si>
  <si>
    <t>-856.1048094568 179.289839153808 -456.546037173666</t>
  </si>
  <si>
    <t>-846.754359732048 185.827564213467 -580.604923291301</t>
  </si>
  <si>
    <t>-816.831528354712 190.521881267362 -657.984761230966</t>
  </si>
  <si>
    <t>-846.629150233828 210.276562504866 -524.253237844927</t>
  </si>
  <si>
    <t>-816.94255177867 341.584502420544 -496.476427598465</t>
  </si>
  <si>
    <t>-736.92370609299 346.862252347464 -213.350429956837</t>
  </si>
  <si>
    <t>-496.863109621822 326.34343634636 -212.509699020064</t>
  </si>
  <si>
    <t>-855.109044752145 155.624457430216 -527.772320280192</t>
  </si>
  <si>
    <t>-878.170003098963 22.0990135247453 -504.553255668843</t>
  </si>
  <si>
    <t>-674.33212069153 37.0397676300317 -299.256117770489</t>
  </si>
  <si>
    <t>-821.802327088926 277.772032732943 -73.5544358887186</t>
  </si>
  <si>
    <t>-830.468487050793 320.380526045304 327.648794296535</t>
  </si>
  <si>
    <t>-867.767617768222 363.80698378656 772.247530955719</t>
  </si>
  <si>
    <t>-724.425838570057 390.767662604881 834.001254213797</t>
  </si>
  <si>
    <t>-810.961075993964 83.3880115507991 -65.2329706052267</t>
  </si>
  <si>
    <t>-797.277704710159 60.7778795423628 337.453255103544</t>
  </si>
  <si>
    <t>-837.11626743483 93.2584112573713 782.189060078969</t>
  </si>
  <si>
    <t>-746.666798117489 -14.9256734206933 854.316778750331</t>
  </si>
  <si>
    <t>9763-20170724T111045.385890900.bin</t>
  </si>
  <si>
    <t>-816.079356361006 177.556862384762 -68.4945329989458</t>
  </si>
  <si>
    <t>-844.726164854829 170.419462296908 -180.497359843845</t>
  </si>
  <si>
    <t>-854.69183851122 170.434143980615 -278.616388543241</t>
  </si>
  <si>
    <t>-858.242000210291 172.537008346932 -367.617647308697</t>
  </si>
  <si>
    <t>-855.891854177221 176.473738115654 -456.596404704169</t>
  </si>
  <si>
    <t>-846.362137005323 183.665631062054 -580.605682029053</t>
  </si>
  <si>
    <t>-816.421135717594 188.830404019177 -657.948278547784</t>
  </si>
  <si>
    <t>-846.649606974414 207.868022531428 -524.147907331391</t>
  </si>
  <si>
    <t>-818.417283882113 339.294731754482 -495.521305576136</t>
  </si>
  <si>
    <t>-746.58330366018 341.857237942625 -210.171452384539</t>
  </si>
  <si>
    <t>-508.316774862729 309.405108981433 -195.111229347742</t>
  </si>
  <si>
    <t>-854.461635414296 153.133481327946 -527.922657676915</t>
  </si>
  <si>
    <t>-876.206781649744 19.2954457374062 -505.30666106444</t>
  </si>
  <si>
    <t>-673.155718097412 34.9117010303648 -299.67803905947</t>
  </si>
  <si>
    <t>-822.202437860503 274.331853845338 -73.6723056949207</t>
  </si>
  <si>
    <t>-830.927057153168 318.469002084021 327.364487893771</t>
  </si>
  <si>
    <t>-867.805133134445 363.524084483223 771.764862316157</t>
  </si>
  <si>
    <t>-724.465525398401 390.503305283956 833.515738449532</t>
  </si>
  <si>
    <t>-810.280002466495 80.6882273217143 -65.2402225054641</t>
  </si>
  <si>
    <t>-798.654748657859 59.5691869005204 337.591664408151</t>
  </si>
  <si>
    <t>-837.252878256742 93.2494793410847 782.401415982895</t>
  </si>
  <si>
    <t>-746.516868711659 -14.7759896524676 854.407121653898</t>
  </si>
  <si>
    <t>9763-20170724T111045.416485400.bin</t>
  </si>
  <si>
    <t>-816.070465952326 175.919195398272 -68.5670879853683</t>
  </si>
  <si>
    <t>-844.667858288139 168.562944694807 -180.568437097585</t>
  </si>
  <si>
    <t>-854.602526285641 168.579385597787 -278.690547056464</t>
  </si>
  <si>
    <t>-858.123086753765 170.754929471394 -367.691315537936</t>
  </si>
  <si>
    <t>-855.738088483521 174.834448849256 -456.66268063127</t>
  </si>
  <si>
    <t>-846.151606397147 182.29839340612 -580.651259364206</t>
  </si>
  <si>
    <t>-816.181870745851 187.657336934081 -657.969787861628</t>
  </si>
  <si>
    <t>-846.584235493586 206.394389688324 -524.149038577206</t>
  </si>
  <si>
    <t>-818.760292037503 337.830830917424 -495.141494585388</t>
  </si>
  <si>
    <t>-746.989135256861 338.378246330268 -209.764811792517</t>
  </si>
  <si>
    <t>-509.738162710933 302.904427091849 -187.305886461903</t>
  </si>
  <si>
    <t>-854.155928584666 151.633361223138 -528.03099568604</t>
  </si>
  <si>
    <t>-875.344637981854 17.6636454683462 -505.745599873814</t>
  </si>
  <si>
    <t>-672.384531059915 33.6250404595648 -299.741020023838</t>
  </si>
  <si>
    <t>-822.416942684279 272.546227781595 -73.7519531369462</t>
  </si>
  <si>
    <t>-831.468470848989 317.501484039542 327.186610666763</t>
  </si>
  <si>
    <t>-867.849348201803 363.446138077197 771.49711378883</t>
  </si>
  <si>
    <t>-724.491019853202 390.302061388795 833.258119517357</t>
  </si>
  <si>
    <t>-810.015776708809 79.0973596811295 -65.2513049480735</t>
  </si>
  <si>
    <t>-799.317296895712 58.9305745613133 337.65502492306</t>
  </si>
  <si>
    <t>-837.280201773536 93.2758100064002 782.492019821118</t>
  </si>
  <si>
    <t>-746.455758724637 -14.7114547494152 854.44283148583</t>
  </si>
  <si>
    <t>9763-20170724T111045.485702000.bin</t>
  </si>
  <si>
    <t>-815.81735138265 172.760171183252 -68.6712113062935</t>
  </si>
  <si>
    <t>-844.28083181078 165.056614397213 -180.683300683149</t>
  </si>
  <si>
    <t>-854.211994740989 165.078830436271 -278.80591846388</t>
  </si>
  <si>
    <t>-857.761297211845 167.368508132915 -367.802482009995</t>
  </si>
  <si>
    <t>-855.429558998005 171.666809704127 -456.764986723573</t>
  </si>
  <si>
    <t>-845.937039778795 179.539103923546 -580.735692463608</t>
  </si>
  <si>
    <t>-815.988187385857 185.114572271691 -658.046803342815</t>
  </si>
  <si>
    <t>-846.418440933242 203.461819240198 -524.160215471204</t>
  </si>
  <si>
    <t>-818.70710250995 334.794419201675 -494.469562528256</t>
  </si>
  <si>
    <t>-739.963362359623 329.71413924419 -210.982612997141</t>
  </si>
  <si>
    <t>-502.341448337077 297.208468036361 -187.957271833591</t>
  </si>
  <si>
    <t>-853.809871080072 148.688030884337 -528.204429619023</t>
  </si>
  <si>
    <t>-874.470616166089 14.5474311509324 -506.401142190514</t>
  </si>
  <si>
    <t>-671.36199231773 30.8652475950335 -300.492925205395</t>
  </si>
  <si>
    <t>-822.489823817819 269.102592140229 -73.9345659367053</t>
  </si>
  <si>
    <t>-832.575155528954 315.553466561998 326.808853420188</t>
  </si>
  <si>
    <t>-867.883752635512 363.128071802571 770.961259603523</t>
  </si>
  <si>
    <t>-724.596781156214 390.366983192077 832.720431925711</t>
  </si>
  <si>
    <t>-809.611376993704 76.3423002455293 -65.2330613230355</t>
  </si>
  <si>
    <t>-800.314591603618 57.4512888511508 337.769848531346</t>
  </si>
  <si>
    <t>-837.350174940741 93.2241267682693 782.635081806743</t>
  </si>
  <si>
    <t>-746.285089072904 -14.6217216524265 854.494202416132</t>
  </si>
  <si>
    <t>9763-20170724T111045.514819000.bin</t>
  </si>
  <si>
    <t>-815.703666005462 171.671811824475 -68.6698740256656</t>
  </si>
  <si>
    <t>-844.058122439779 163.924892200718 -180.706584815909</t>
  </si>
  <si>
    <t>-853.95773599179 163.922308499745 -278.83226539808</t>
  </si>
  <si>
    <t>-857.50280623694 166.19313933307 -367.829616365597</t>
  </si>
  <si>
    <t>-855.190286917782 170.47636980086 -456.793403046555</t>
  </si>
  <si>
    <t>-845.749007317693 178.331253869346 -580.769102015597</t>
  </si>
  <si>
    <t>-815.837127149126 183.936293854239 -658.092471924229</t>
  </si>
  <si>
    <t>-846.205187951984 202.261700874015 -524.196649936727</t>
  </si>
  <si>
    <t>-818.410511624311 333.582675327942 -494.557253323569</t>
  </si>
  <si>
    <t>-735.832531150549 327.881227518295 -212.175119522646</t>
  </si>
  <si>
    <t>-497.673742150208 297.369952163225 -192.16667887601</t>
  </si>
  <si>
    <t>-853.601693645307 147.487726746348 -528.230296798772</t>
  </si>
  <si>
    <t>-874.18239062285 13.3324775577189 -506.373856396643</t>
  </si>
  <si>
    <t>-671.238509509167 30.0669889892033 -300.962934130561</t>
  </si>
  <si>
    <t>-822.363853758661 267.906788875733 -74.0111247203995</t>
  </si>
  <si>
    <t>-832.937670065783 314.799762943605 326.668194523834</t>
  </si>
  <si>
    <t>-868.004064773548 363.140486067612 770.733566161315</t>
  </si>
  <si>
    <t>-724.659747594294 390.078453726456 832.491544690519</t>
  </si>
  <si>
    <t>-809.552665601759 75.4538735544588 -65.2404264267832</t>
  </si>
  <si>
    <t>-800.789391392848 56.7134118631543 337.781421267316</t>
  </si>
  <si>
    <t>-837.419041074626 93.1232794497055 782.691143970967</t>
  </si>
  <si>
    <t>-746.105085385994 -14.5444620827866 854.50094603001</t>
  </si>
  <si>
    <t>9763-20170724T111045.583000800.bin</t>
  </si>
  <si>
    <t>-815.30668296661 170.195910300266 -68.5894962646752</t>
  </si>
  <si>
    <t>-843.483131559134 162.570060591269 -180.679306799948</t>
  </si>
  <si>
    <t>-853.231963967949 162.50650878064 -278.820130530575</t>
  </si>
  <si>
    <t>-856.651400285997 164.668509054399 -367.825079360476</t>
  </si>
  <si>
    <t>-854.228654559264 168.795679921417 -456.793306388013</t>
  </si>
  <si>
    <t>-844.653348366921 176.389031623402 -580.775001409631</t>
  </si>
  <si>
    <t>-814.800704495419 182.036678542047 -658.118112381505</t>
  </si>
  <si>
    <t>-845.153513544876 200.436305874073 -524.25261469486</t>
  </si>
  <si>
    <t>-817.235275973581 331.848490249514 -495.147096134769</t>
  </si>
  <si>
    <t>-729.810048007031 327.833307399172 -214.198780375403</t>
  </si>
  <si>
    <t>-490.775512848398 299.668039762075 -203.239710970892</t>
  </si>
  <si>
    <t>-852.580589034829 145.658713436917 -528.181006694175</t>
  </si>
  <si>
    <t>-873.153456111397 11.5789636523036 -505.87730069252</t>
  </si>
  <si>
    <t>-671.32506397476 29.5079070123506 -301.23485317712</t>
  </si>
  <si>
    <t>-821.421206337192 266.272012952208 -74.0864436830028</t>
  </si>
  <si>
    <t>-832.580207144206 313.495906875205 326.53810632721</t>
  </si>
  <si>
    <t>-868.229485189379 363.041337989725 770.401198635596</t>
  </si>
  <si>
    <t>-724.904494197987 390.213003353616 832.101410950846</t>
  </si>
  <si>
    <t>-809.66263668669 74.0954704055334 -65.1893713162939</t>
  </si>
  <si>
    <t>-801.950805642752 55.8351145137858 337.876067501685</t>
  </si>
  <si>
    <t>-837.431272303161 93.1150762497032 782.815785494893</t>
  </si>
  <si>
    <t>-746.170214139071 -14.6575573839436 854.535861716154</t>
  </si>
  <si>
    <t>9763-20170724T111045.615087900.bin</t>
  </si>
  <si>
    <t>-814.873361585488 169.710823197302 -68.5726356503931</t>
  </si>
  <si>
    <t>-843.015044647091 162.129799195149 -180.674407585294</t>
  </si>
  <si>
    <t>-852.696325991358 162.022083337169 -278.821889546687</t>
  </si>
  <si>
    <t>-856.044208413847 164.117747032413 -367.83114029728</t>
  </si>
  <si>
    <t>-853.542403535133 168.154591434722 -456.801268772057</t>
  </si>
  <si>
    <t>-843.850295763533 175.59970616742 -580.782815433202</t>
  </si>
  <si>
    <t>-814.03133654056 181.200407413055 -658.142174868819</t>
  </si>
  <si>
    <t>-844.381976372887 199.711662666992 -524.288030744748</t>
  </si>
  <si>
    <t>-816.345360559754 331.175229532217 -495.42896640004</t>
  </si>
  <si>
    <t>-727.349593067522 328.214926051905 -214.96105786449</t>
  </si>
  <si>
    <t>-487.898229253333 301.927337043409 -210.180002387291</t>
  </si>
  <si>
    <t>-851.848833971167 144.935613050689 -528.161188431231</t>
  </si>
  <si>
    <t>-872.49367433702 10.9120890417121 -505.600981477536</t>
  </si>
  <si>
    <t>-671.233893349558 29.8033111370123 -301.284592703589</t>
  </si>
  <si>
    <t>-820.6106347643 265.661329104385 -74.0861746328875</t>
  </si>
  <si>
    <t>-831.918503191327 313.090328513962 326.510101893648</t>
  </si>
  <si>
    <t>-868.388861412695 363.051791419352 770.246470398798</t>
  </si>
  <si>
    <t>-724.994600419057 389.934653060303 831.912600247487</t>
  </si>
  <si>
    <t>-809.549887735666 73.7240645369061 -65.1051319075907</t>
  </si>
  <si>
    <t>-802.214002222591 55.4117717239433 337.964997871029</t>
  </si>
  <si>
    <t>-837.410629813899 93.1308027825366 782.858848764808</t>
  </si>
  <si>
    <t>-746.089486564133 -14.615545584893 854.54184705924</t>
  </si>
  <si>
    <t>9763-20170724T111045.683274500.bin</t>
  </si>
  <si>
    <t>-813.569932399735 169.080808153539 -68.575493149732</t>
  </si>
  <si>
    <t>-841.707462727125 161.479751250865 -180.676860053615</t>
  </si>
  <si>
    <t>-851.354161789421 161.269377663335 -278.827565007017</t>
  </si>
  <si>
    <t>-854.663136579339 163.246961075864 -367.840913019997</t>
  </si>
  <si>
    <t>-852.117617315405 167.14288673216 -456.816215353681</t>
  </si>
  <si>
    <t>-842.361102569698 174.372321440182 -580.805499271206</t>
  </si>
  <si>
    <t>-812.655346418499 179.767593643469 -658.223087772768</t>
  </si>
  <si>
    <t>-842.891131126887 198.577972919399 -524.350935769794</t>
  </si>
  <si>
    <t>-814.760635900435 330.10701176439 -495.953707654049</t>
  </si>
  <si>
    <t>-722.963279641448 328.876931190944 -216.377224070632</t>
  </si>
  <si>
    <t>-483.204266926777 305.703597332049 -221.802965472367</t>
  </si>
  <si>
    <t>-850.417534597228 143.804100364275 -528.136905655105</t>
  </si>
  <si>
    <t>-871.278410724096 9.8812260769696 -505.183559597622</t>
  </si>
  <si>
    <t>-670.655210906525 30.4205853381959 -301.891445786846</t>
  </si>
  <si>
    <t>-818.858567752204 264.824115225238 -74.1739366134727</t>
  </si>
  <si>
    <t>-830.427941759267 312.434231195619 326.393273020849</t>
  </si>
  <si>
    <t>-868.539512608094 362.769847609908 769.890172473516</t>
  </si>
  <si>
    <t>-725.105472615873 389.59050360325 831.490699368017</t>
  </si>
  <si>
    <t>-808.57898470763 73.1639480614754 -64.9719855414418</t>
  </si>
  <si>
    <t>-802.041007789845 54.8050316982317 338.109691417784</t>
  </si>
  <si>
    <t>-837.309446749804 93.1748604209815 782.913900221023</t>
  </si>
  <si>
    <t>-746.02847350741 -14.6266942458733 854.565064958171</t>
  </si>
  <si>
    <t>9763-20170724T111045.716389500.bin</t>
  </si>
  <si>
    <t>-812.870393353537 168.809766602179 -68.599856747024</t>
  </si>
  <si>
    <t>-840.970510256585 161.175117824141 -180.708369790064</t>
  </si>
  <si>
    <t>-850.579881783098 160.914328363527 -278.862569369884</t>
  </si>
  <si>
    <t>-853.854285820465 162.840571707213 -367.878315669521</t>
  </si>
  <si>
    <t>-851.27486469236 166.680587923585 -456.855026100711</t>
  </si>
  <si>
    <t>-841.471912021438 173.82956726363 -580.8454347554</t>
  </si>
  <si>
    <t>-811.806018954447 179.120411478337 -658.285472155003</t>
  </si>
  <si>
    <t>-842.035717785348 198.073675897618 -524.407612999728</t>
  </si>
  <si>
    <t>-813.849967397645 329.625674172754 -496.170734183812</t>
  </si>
  <si>
    <t>-721.038500904513 329.673761902549 -216.926633050216</t>
  </si>
  <si>
    <t>-481.325404030411 306.981595397006 -225.504893620881</t>
  </si>
  <si>
    <t>-849.53582662854 143.293750199941 -528.15904355896</t>
  </si>
  <si>
    <t>-870.475120272105 9.40208888025245 -505.085814558184</t>
  </si>
  <si>
    <t>-669.899080026489 30.0056318824359 -302.599282303706</t>
  </si>
  <si>
    <t>-818.115104114559 264.671320065579 -74.2820783625765</t>
  </si>
  <si>
    <t>-829.872268093785 312.121943366309 326.298641215119</t>
  </si>
  <si>
    <t>-868.582140790167 362.62194859911 769.689458386433</t>
  </si>
  <si>
    <t>-725.189699403273 389.688879883153 831.278743025336</t>
  </si>
  <si>
    <t>-807.893467241182 72.7455447576731 -64.9530416127933</t>
  </si>
  <si>
    <t>-801.811007311793 54.6181571288025 338.146292071665</t>
  </si>
  <si>
    <t>-837.248535578074 93.1985251657425 782.917822453098</t>
  </si>
  <si>
    <t>-745.936218947005 -14.5816701848757 854.561486760184</t>
  </si>
  <si>
    <t>9763-20170724T111045.782568000.bin</t>
  </si>
  <si>
    <t>-811.691179945148 168.459343846692 -68.7505337920136</t>
  </si>
  <si>
    <t>-839.649298912646 160.719315846897 -180.887338461251</t>
  </si>
  <si>
    <t>-849.139698055233 160.394915115899 -279.052939382973</t>
  </si>
  <si>
    <t>-852.308807683081 162.275772161676 -368.073456211374</t>
  </si>
  <si>
    <t>-849.626417296361 166.086769532707 -457.048291164333</t>
  </si>
  <si>
    <t>-839.683510225074 173.213117994301 -581.02874250721</t>
  </si>
  <si>
    <t>-810.110214079587 178.394355874627 -658.511741072367</t>
  </si>
  <si>
    <t>-840.398627766464 197.479709197452 -524.602432486448</t>
  </si>
  <si>
    <t>-812.255741149259 329.053836684222 -496.445602235422</t>
  </si>
  <si>
    <t>-716.536444982963 331.685572967572 -218.19750103467</t>
  </si>
  <si>
    <t>-476.997498269388 309.2286962416 -231.147917444017</t>
  </si>
  <si>
    <t>-847.719135398625 142.674578939827 -528.339730110246</t>
  </si>
  <si>
    <t>-868.538463632549 8.76023031413251 -505.289810317471</t>
  </si>
  <si>
    <t>-668.066623765709 28.9099682286305 -303.842737700389</t>
  </si>
  <si>
    <t>-817.182504690591 264.560122651909 -74.5519760091912</t>
  </si>
  <si>
    <t>-829.458380332689 311.780326546295 326.040336659124</t>
  </si>
  <si>
    <t>-868.671334282078 362.466751016579 769.317128698388</t>
  </si>
  <si>
    <t>-725.274948563684 389.402131542928 830.955497708283</t>
  </si>
  <si>
    <t>-806.568476704139 72.2813849581794 -64.9825718386979</t>
  </si>
  <si>
    <t>-801.360366838068 54.3568165977313 338.138025106149</t>
  </si>
  <si>
    <t>-837.174128758158 93.1778353899081 782.883929930931</t>
  </si>
  <si>
    <t>-745.793450871108 -14.5478933780237 854.522743792264</t>
  </si>
  <si>
    <t>9763-20170724T111045.816161200.bin</t>
  </si>
  <si>
    <t>-811.323494718573 168.62697704198 -68.8733438945793</t>
  </si>
  <si>
    <t>-839.209349098898 160.800694810848 -181.022114131095</t>
  </si>
  <si>
    <t>-848.650196003202 160.460224958065 -279.192353139369</t>
  </si>
  <si>
    <t>-851.778300657453 162.34901790864 -368.214252153726</t>
  </si>
  <si>
    <t>-849.057448486088 166.190400350825 -457.186529939232</t>
  </si>
  <si>
    <t>-839.062489861378 173.383241643014 -581.159182662255</t>
  </si>
  <si>
    <t>-809.546494677218 178.563152722875 -658.663971925758</t>
  </si>
  <si>
    <t>-839.849618304573 197.626280590271 -524.723672381789</t>
  </si>
  <si>
    <t>-811.694799591284 329.182288669077 -496.461374392913</t>
  </si>
  <si>
    <t>-713.881598156791 332.299159300482 -218.947186762582</t>
  </si>
  <si>
    <t>-474.426934400291 310.435290888408 -234.255135189264</t>
  </si>
  <si>
    <t>-847.072169984734 142.80978661011 -528.486230205432</t>
  </si>
  <si>
    <t>-867.786984616321 8.8700490524252 -505.518882511465</t>
  </si>
  <si>
    <t>-667.145477034645 28.9076516815398 -304.055085506204</t>
  </si>
  <si>
    <t>-817.053103985996 264.77176031327 -74.7243483452537</t>
  </si>
  <si>
    <t>-829.427980149718 311.851431291004 325.881452147353</t>
  </si>
  <si>
    <t>-868.680253150581 362.368592941884 769.162604721819</t>
  </si>
  <si>
    <t>-725.315453016761 389.429106087282 830.819894625511</t>
  </si>
  <si>
    <t>-806.03571062111 72.4597973783571 -65.0139739456813</t>
  </si>
  <si>
    <t>-801.006801945197 54.2626911982593 338.096751195399</t>
  </si>
  <si>
    <t>-837.10645769846 93.2014409056956 782.839233662751</t>
  </si>
  <si>
    <t>-745.642827428972 -14.4515385043237 854.480848949851</t>
  </si>
  <si>
    <t>9763-20170724T111045.884837300.bin</t>
  </si>
  <si>
    <t>-810.829933551773 169.396594629102 -69.0621046546562</t>
  </si>
  <si>
    <t>-838.455238279401 161.52225223713 -181.271954691077</t>
  </si>
  <si>
    <t>-847.725021200082 161.132526314721 -279.458331497205</t>
  </si>
  <si>
    <t>-850.721359593108 162.975752910695 -368.485677274495</t>
  </si>
  <si>
    <t>-847.892447605437 166.772873121302 -457.45661842076</t>
  </si>
  <si>
    <t>-837.772333671909 173.906421822907 -581.422300243572</t>
  </si>
  <si>
    <t>-808.332365676161 179.086655496992 -658.956085724195</t>
  </si>
  <si>
    <t>-838.652511486733 198.181306069151 -525.001787907252</t>
  </si>
  <si>
    <t>-810.398506314074 329.721835582023 -496.767136285978</t>
  </si>
  <si>
    <t>-709.061764182203 333.502503418349 -220.528437245051</t>
  </si>
  <si>
    <t>-469.845380646324 311.207095692427 -238.6748533274</t>
  </si>
  <si>
    <t>-845.799108963694 143.353068663544 -528.740321945661</t>
  </si>
  <si>
    <t>-866.427274554086 9.40833108185552 -505.720043132583</t>
  </si>
  <si>
    <t>-665.439568417522 30.2913160957546 -303.516795885371</t>
  </si>
  <si>
    <t>-816.71781851566 265.593363714315 -75.0178943331038</t>
  </si>
  <si>
    <t>-829.441115983945 312.376313411959 325.611845186279</t>
  </si>
  <si>
    <t>-868.73319334779 362.219757760349 768.979806812384</t>
  </si>
  <si>
    <t>-725.417641657626 389.600016494428 830.610718357202</t>
  </si>
  <si>
    <t>-805.282173228469 73.1638034591037 -65.1294554514934</t>
  </si>
  <si>
    <t>-800.530546647132 54.4669924100458 337.961738097231</t>
  </si>
  <si>
    <t>-836.960561415535 93.2805398101 782.742607735533</t>
  </si>
  <si>
    <t>-745.563343663608 -14.4199892925099 854.397599198097</t>
  </si>
  <si>
    <t>9763-20170724T111045.917929000.bin</t>
  </si>
  <si>
    <t>-810.622468265063 169.895129249974 -69.1251430083778</t>
  </si>
  <si>
    <t>-838.128151750009 162.033890477998 -181.365395201255</t>
  </si>
  <si>
    <t>-847.30635275274 161.595369934675 -279.560134342451</t>
  </si>
  <si>
    <t>-850.22716327353 163.372613098068 -368.591440797458</t>
  </si>
  <si>
    <t>-847.331621979875 167.082611643467 -457.563805116416</t>
  </si>
  <si>
    <t>-837.128549272117 174.073678862439 -581.530862335773</t>
  </si>
  <si>
    <t>-807.709642825244 179.218400068699 -659.075018689667</t>
  </si>
  <si>
    <t>-838.031608584781 198.411168416445 -525.137836470606</t>
  </si>
  <si>
    <t>-809.600371866928 329.937466548163 -497.093768251429</t>
  </si>
  <si>
    <t>-707.218860237088 334.700782929099 -221.255961370341</t>
  </si>
  <si>
    <t>-468.168155859757 311.890344387954 -240.884155444358</t>
  </si>
  <si>
    <t>-845.205339218276 143.583004810007 -528.820198327085</t>
  </si>
  <si>
    <t>-865.898641709742 9.67467055592624 -505.627234169996</t>
  </si>
  <si>
    <t>-664.962096869304 31.3350118703615 -302.919218290216</t>
  </si>
  <si>
    <t>-816.520225179296 266.18836498023 -75.1065847541213</t>
  </si>
  <si>
    <t>-829.33662590747 312.725983135851 325.548647201622</t>
  </si>
  <si>
    <t>-868.889810842449 362.327199652556 768.959823918091</t>
  </si>
  <si>
    <t>-725.492292795925 389.357430251574 830.553544090495</t>
  </si>
  <si>
    <t>-805.076755177096 73.5517483216627 -65.1654695699276</t>
  </si>
  <si>
    <t>-800.383439418765 54.6351343115889 337.916205287651</t>
  </si>
  <si>
    <t>-836.93809975689 93.2561593443734 782.700349550169</t>
  </si>
  <si>
    <t>-745.446349152223 -14.3649046264031 854.35396758807</t>
  </si>
  <si>
    <t>9763-20170724T111045.983123700.bin</t>
  </si>
  <si>
    <t>-810.158619384378 171.068328047792 -69.1776888188793</t>
  </si>
  <si>
    <t>-837.514899721615 163.298877235862 -181.460712629159</t>
  </si>
  <si>
    <t>-846.573546481332 162.780258602575 -279.666348783089</t>
  </si>
  <si>
    <t>-849.395554427243 164.425117610379 -368.703251826739</t>
  </si>
  <si>
    <t>-846.413083672942 167.942564205778 -457.680673022584</t>
  </si>
  <si>
    <t>-836.102985914627 174.604239290337 -581.656990882883</t>
  </si>
  <si>
    <t>-806.722704996428 179.526175216403 -659.230280146094</t>
  </si>
  <si>
    <t>-836.9497212045 199.077389458165 -525.321782791535</t>
  </si>
  <si>
    <t>-807.852740815503 330.559627455186 -497.625758851092</t>
  </si>
  <si>
    <t>-703.655065243376 335.549742471484 -222.472742932295</t>
  </si>
  <si>
    <t>-464.812778924447 314.008185946548 -245.736183446751</t>
  </si>
  <si>
    <t>-844.330368854938 144.26820770807 -528.880450474779</t>
  </si>
  <si>
    <t>-865.521644414647 10.5046267302446 -505.274942530198</t>
  </si>
  <si>
    <t>-664.735513685125 34.1341849094442 -300.887355935725</t>
  </si>
  <si>
    <t>-815.952397622816 267.384898411752 -75.2037143599744</t>
  </si>
  <si>
    <t>-828.948256057989 313.254068843023 325.522917947922</t>
  </si>
  <si>
    <t>-869.024931938498 362.225651279171 768.958380086512</t>
  </si>
  <si>
    <t>-725.533667866838 388.905134007292 830.486808359169</t>
  </si>
  <si>
    <t>-804.724118626667 74.7333987369298 -65.1989408427291</t>
  </si>
  <si>
    <t>-799.862110396224 55.0276410839911 337.842894323103</t>
  </si>
  <si>
    <t>-836.740778317492 93.4131354949113 782.595092481076</t>
  </si>
  <si>
    <t>-745.526244217173 -14.4113741536908 854.296648528134</t>
  </si>
  <si>
    <t>9763-20170724T111046.015713300.bin</t>
  </si>
  <si>
    <t>-809.909631984135 171.801942893115 -69.1828554174199</t>
  </si>
  <si>
    <t>-837.204436710755 164.071328477742 -181.483576068343</t>
  </si>
  <si>
    <t>-846.230859108295 163.514847594997 -279.691857543517</t>
  </si>
  <si>
    <t>-849.034338529886 165.099907125121 -368.730513986977</t>
  </si>
  <si>
    <t>-846.045210197853 168.532434140852 -457.710859806153</t>
  </si>
  <si>
    <t>-835.739775847413 175.049052153171 -581.695325124971</t>
  </si>
  <si>
    <t>-806.381874353596 179.809228606263 -659.287220091725</t>
  </si>
  <si>
    <t>-836.522438812184 199.579261121803 -525.384030882847</t>
  </si>
  <si>
    <t>-807.118467477616 331.027884498973 -497.867500808069</t>
  </si>
  <si>
    <t>-701.84120410745 335.871479477777 -223.123116736051</t>
  </si>
  <si>
    <t>-463.113663422904 314.509013915101 -247.694258159483</t>
  </si>
  <si>
    <t>-844.02686991606 144.783591512569 -528.887875764652</t>
  </si>
  <si>
    <t>-865.519538822761 11.110088201533 -505.07365828375</t>
  </si>
  <si>
    <t>-665.167559134529 35.6575366176371 -299.87359570522</t>
  </si>
  <si>
    <t>-815.610070608412 268.062257421275 -75.2233538062475</t>
  </si>
  <si>
    <t>-828.691495121407 313.70076025653 325.526866688785</t>
  </si>
  <si>
    <t>-869.197206723082 362.394413833504 768.978500193582</t>
  </si>
  <si>
    <t>-725.640724555439 388.801190885893 830.472508685876</t>
  </si>
  <si>
    <t>-804.526923238256 75.4923391053062 -65.1834891476618</t>
  </si>
  <si>
    <t>-799.64359372189 55.2217901540525 337.830091568439</t>
  </si>
  <si>
    <t>-836.664229634665 93.4789085414077 782.558227827625</t>
  </si>
  <si>
    <t>-745.427626883496 -14.3164267194111 854.275266529611</t>
  </si>
  <si>
    <t>9763-20170724T111046.081350500.bin</t>
  </si>
  <si>
    <t>-809.345742960795 172.993303391407 -69.1889405173847</t>
  </si>
  <si>
    <t>-836.543418291807 165.335246371028 -181.518346269014</t>
  </si>
  <si>
    <t>-845.507533166318 164.67160274465 -279.731564815584</t>
  </si>
  <si>
    <t>-848.26841583805 166.096745346819 -368.774159190551</t>
  </si>
  <si>
    <t>-845.254323033738 169.306941564663 -457.762045680111</t>
  </si>
  <si>
    <t>-834.933867775586 175.448284595289 -581.764510069798</t>
  </si>
  <si>
    <t>-805.543219643416 179.862395596234 -659.364251528416</t>
  </si>
  <si>
    <t>-835.599596123438 200.131035732808 -525.51820648579</t>
  </si>
  <si>
    <t>-805.658355870215 331.541020654608 -498.452150151713</t>
  </si>
  <si>
    <t>-698.569219027586 337.852637689151 -224.438836034968</t>
  </si>
  <si>
    <t>-459.933007952866 317.237183009146 -250.48973009106</t>
  </si>
  <si>
    <t>-843.350859200497 145.360384501945 -528.876094672395</t>
  </si>
  <si>
    <t>-865.477108830344 11.8658288174324 -504.651660935213</t>
  </si>
  <si>
    <t>-665.716438350984 37.5571825529214 -298.038872369527</t>
  </si>
  <si>
    <t>-814.808035837904 269.253444777637 -75.2808249402394</t>
  </si>
  <si>
    <t>-827.899391057048 314.333639886172 325.532183453508</t>
  </si>
  <si>
    <t>-869.324774912085 362.318199677862 768.988216461103</t>
  </si>
  <si>
    <t>-725.654803007964 388.262983414976 830.414018205365</t>
  </si>
  <si>
    <t>-804.173034435027 76.5993456319989 -65.1609335208615</t>
  </si>
  <si>
    <t>-799.221078398211 55.708042101865 337.820135082811</t>
  </si>
  <si>
    <t>-836.579447864881 93.5268041582372 782.512302512333</t>
  </si>
  <si>
    <t>-745.301346391254 -14.2155622326868 854.25605135492</t>
  </si>
  <si>
    <t>9763-20170724T111046.119456800.bin</t>
  </si>
  <si>
    <t>-809.054509259589 173.466043178973 -69.1936743834325</t>
  </si>
  <si>
    <t>-836.196885165718 165.835725575908 -181.538152092473</t>
  </si>
  <si>
    <t>-845.139265602556 165.114909303756 -279.753178007003</t>
  </si>
  <si>
    <t>-847.893856046181 166.458397919246 -368.797297785497</t>
  </si>
  <si>
    <t>-844.887390634273 169.556577632576 -457.789514054823</t>
  </si>
  <si>
    <t>-834.593737209397 175.511527805396 -581.803108299169</t>
  </si>
  <si>
    <t>-805.187520409792 179.748264882663 -659.406883271309</t>
  </si>
  <si>
    <t>-835.190340074652 200.270468359911 -525.589670473541</t>
  </si>
  <si>
    <t>-805.034960358334 331.682019872114 -498.729801511057</t>
  </si>
  <si>
    <t>-697.005901091006 338.95250555234 -225.109469983192</t>
  </si>
  <si>
    <t>-458.389187588758 318.959557206684 -251.815597494992</t>
  </si>
  <si>
    <t>-843.056032466372 145.511755492782 -528.872009136781</t>
  </si>
  <si>
    <t>-865.470631801535 12.0956669816901 -504.470194398217</t>
  </si>
  <si>
    <t>-666.105202601522 38.2083955835847 -297.436266611327</t>
  </si>
  <si>
    <t>-814.429769939956 269.754769762255 -75.3162997906074</t>
  </si>
  <si>
    <t>-827.485284073752 314.52539662605 325.532520219939</t>
  </si>
  <si>
    <t>-869.322770242336 362.195145443261 768.974228347573</t>
  </si>
  <si>
    <t>-725.652823763243 388.168303605547 830.387732996968</t>
  </si>
  <si>
    <t>-803.961748008777 77.0457678054386 -65.1429267370153</t>
  </si>
  <si>
    <t>-798.953852614238 55.9098879640264 337.824685948076</t>
  </si>
  <si>
    <t>-836.539530103787 93.5656029128681 782.496085325903</t>
  </si>
  <si>
    <t>-745.458506125931 -14.3288377004419 854.26204785774</t>
  </si>
  <si>
    <t>9763-20170724T111046.166091500.bin</t>
  </si>
  <si>
    <t>-808.814190887446 173.945340223594 -69.2140778528546</t>
  </si>
  <si>
    <t>-835.926668613086 166.337100582361 -181.567409029047</t>
  </si>
  <si>
    <t>-844.868509332289 165.572312516295 -279.781991260029</t>
  </si>
  <si>
    <t>-847.634817831137 166.852640773068 -368.826725501409</t>
  </si>
  <si>
    <t>-844.653246241265 169.864826403568 -457.822570396401</t>
  </si>
  <si>
    <t>-834.40856977202 175.676811486911 -581.847091084618</t>
  </si>
  <si>
    <t>-805.001999213778 179.750063682559 -659.459594232169</t>
  </si>
  <si>
    <t>-834.940756147148 200.49421404533 -525.658835201062</t>
  </si>
  <si>
    <t>-804.57728098545 331.886831295764 -498.969620315937</t>
  </si>
  <si>
    <t>-695.936305318872 339.925910386641 -225.613147424063</t>
  </si>
  <si>
    <t>-457.307696296976 321.002697813759 -252.984079577183</t>
  </si>
  <si>
    <t>-842.892742037309 145.744222536346 -528.881312862079</t>
  </si>
  <si>
    <t>-865.548788584073 12.3948989361411 -504.348799543379</t>
  </si>
  <si>
    <t>-666.402480530048 38.7762662788305 -296.844719715584</t>
  </si>
  <si>
    <t>-814.123146591045 270.326019247086 -75.3687556426613</t>
  </si>
  <si>
    <t>-827.196676687438 314.786703117376 325.514040506437</t>
  </si>
  <si>
    <t>-869.411992372244 362.283024585166 768.957957850176</t>
  </si>
  <si>
    <t>-725.699293104275 388.02608863271 830.368579389924</t>
  </si>
  <si>
    <t>-803.802236024099 77.4573515780066 -65.1231156118927</t>
  </si>
  <si>
    <t>-798.723227908941 56.0499440193084 337.829214004419</t>
  </si>
  <si>
    <t>-836.563057763024 93.5213909879071 782.481843565513</t>
  </si>
  <si>
    <t>-745.252257062398 -14.1817595470702 854.242787548336</t>
  </si>
  <si>
    <t>9763-20170724T111046.218233000.bin</t>
  </si>
  <si>
    <t>-808.366410499173 174.984573387101 -69.2518565802807</t>
  </si>
  <si>
    <t>-835.446695737286 167.381764351682 -181.613226269105</t>
  </si>
  <si>
    <t>-844.43377411265 166.57052101131 -279.82338317246</t>
  </si>
  <si>
    <t>-847.271890213157 167.792457376624 -368.866626426773</t>
  </si>
  <si>
    <t>-844.393735429823 170.731989839095 -457.86832472503</t>
  </si>
  <si>
    <t>-834.327655191184 176.42853381473 -581.912865762501</t>
  </si>
  <si>
    <t>-804.942619583135 180.262836436761 -659.545540813562</t>
  </si>
  <si>
    <t>-834.748228257909 201.2934995656 -525.744577148159</t>
  </si>
  <si>
    <t>-804.148296578242 332.671971921819 -499.244229627786</t>
  </si>
  <si>
    <t>-693.841876380603 341.303907971379 -226.573773856025</t>
  </si>
  <si>
    <t>-455.081768514709 324.483805254148 -254.171573893144</t>
  </si>
  <si>
    <t>-842.766433892302 146.549938435173 -528.909427660852</t>
  </si>
  <si>
    <t>-865.59279695231 13.2596156438522 -504.224197655332</t>
  </si>
  <si>
    <t>-667.06641971586 40.8098716907621 -295.969956598305</t>
  </si>
  <si>
    <t>-813.724677880286 271.514955491824 -75.4494576589465</t>
  </si>
  <si>
    <t>-826.787393837204 315.342348510664 325.503402164458</t>
  </si>
  <si>
    <t>-869.48205906264 362.203787582629 769.001423201992</t>
  </si>
  <si>
    <t>-725.71915518819 387.722059138328 830.388039207419</t>
  </si>
  <si>
    <t>-803.296917129393 78.4016763998407 -65.1084776911504</t>
  </si>
  <si>
    <t>-798.196466681491 56.474992933111 337.81564283576</t>
  </si>
  <si>
    <t>-836.488673954239 93.642759445393 782.44195627008</t>
  </si>
  <si>
    <t>-745.305531045157 -14.1604572324227 854.215055648212</t>
  </si>
  <si>
    <t>9763-20170724T111046.286917900.bin</t>
  </si>
  <si>
    <t>-808.192169094757 175.960077822831 -69.2701520099629</t>
  </si>
  <si>
    <t>-835.152751983721 168.348335436235 -181.659800363196</t>
  </si>
  <si>
    <t>-844.149845479547 167.477995950396 -279.868409008581</t>
  </si>
  <si>
    <t>-847.045735608044 168.629830185852 -368.910732314395</t>
  </si>
  <si>
    <t>-844.274093451127 171.485470671851 -457.91863456317</t>
  </si>
  <si>
    <t>-834.408376573324 177.053211043125 -581.985041492265</t>
  </si>
  <si>
    <t>-805.074282070662 180.747020366041 -659.643785160498</t>
  </si>
  <si>
    <t>-834.751616449312 201.978522239777 -525.843043046271</t>
  </si>
  <si>
    <t>-804.102724337756 333.373877770165 -499.496811841862</t>
  </si>
  <si>
    <t>-691.74243464936 344.280281678713 -227.748070026693</t>
  </si>
  <si>
    <t>-452.796632702771 328.632421078376 -254.410857287049</t>
  </si>
  <si>
    <t>-842.747837686327 147.227674173901 -528.936030430862</t>
  </si>
  <si>
    <t>-865.412576448555 13.9371730879025 -504.111292409272</t>
  </si>
  <si>
    <t>-667.515409034417 43.6742171657052 -295.425871650877</t>
  </si>
  <si>
    <t>-813.616178818568 272.611115453825 -75.4663853665619</t>
  </si>
  <si>
    <t>-826.633158753935 315.933423560135 325.542841225866</t>
  </si>
  <si>
    <t>-869.557032444683 362.079133069674 769.123868328062</t>
  </si>
  <si>
    <t>-725.72086252369 387.245111153492 830.484453851397</t>
  </si>
  <si>
    <t>-803.013341710222 79.171530462258 -65.0820766506301</t>
  </si>
  <si>
    <t>-797.754091300555 56.9235486126668 337.822407095994</t>
  </si>
  <si>
    <t>-836.496517768552 93.6835836900746 782.43036725576</t>
  </si>
  <si>
    <t>-745.196229702952 -14.0305111114167 854.188444495924</t>
  </si>
  <si>
    <t>9763-20170724T111046.319506500.bin</t>
  </si>
  <si>
    <t>-808.153836499496 176.346810106482 -69.2771448173573</t>
  </si>
  <si>
    <t>-835.069293486923 168.76338883276 -181.679446760666</t>
  </si>
  <si>
    <t>-844.072823995732 167.875051644588 -279.887391117287</t>
  </si>
  <si>
    <t>-846.99294966563 168.995422871385 -368.929321303451</t>
  </si>
  <si>
    <t>-844.266315240967 171.804381025439 -457.940131585267</t>
  </si>
  <si>
    <t>-834.484596866703 177.293747767036 -582.016718408081</t>
  </si>
  <si>
    <t>-805.203302616708 180.925870831105 -659.698380156322</t>
  </si>
  <si>
    <t>-834.792861628483 202.254922255464 -525.890501871013</t>
  </si>
  <si>
    <t>-804.074470600618 333.646396083735 -499.622112326197</t>
  </si>
  <si>
    <t>-690.751880148995 345.717484966991 -228.322498122225</t>
  </si>
  <si>
    <t>-451.715115462555 330.585403172696 -254.463824587779</t>
  </si>
  <si>
    <t>-842.785599863335 147.501177591466 -528.942976103219</t>
  </si>
  <si>
    <t>-865.392600638725 14.2105646553277 -504.040835106092</t>
  </si>
  <si>
    <t>-667.699693036353 45.0571403377407 -295.085427225942</t>
  </si>
  <si>
    <t>-813.672998003716 273.017759408545 -75.4484857236573</t>
  </si>
  <si>
    <t>-826.597331693926 316.095144150301 325.590118191329</t>
  </si>
  <si>
    <t>-869.554492845218 361.923732529984 769.210442628922</t>
  </si>
  <si>
    <t>-725.793880713075 387.5872094309 830.541827301185</t>
  </si>
  <si>
    <t>-802.947494378866 79.564076104512 -65.0911502572254</t>
  </si>
  <si>
    <t>-797.534003078645 57.1772594697109 337.803635780755</t>
  </si>
  <si>
    <t>-836.444269426573 93.7754567571469 782.411682824061</t>
  </si>
  <si>
    <t>-745.333038959826 -14.090682554232 854.181841937126</t>
  </si>
  <si>
    <t>9763-20170724T111046.384180300.bin</t>
  </si>
  <si>
    <t>-808.499498762508 177.350888909356 -69.2766881862414</t>
  </si>
  <si>
    <t>-835.330791058901 169.864433082628 -181.705618804855</t>
  </si>
  <si>
    <t>-844.334184362831 168.947864072022 -279.913367479375</t>
  </si>
  <si>
    <t>-847.287796084987 170.00062683034 -368.954920731367</t>
  </si>
  <si>
    <t>-844.628989399966 172.70225953729 -457.971126291728</t>
  </si>
  <si>
    <t>-834.979345550597 178.00069803234 -582.066416609544</t>
  </si>
  <si>
    <t>-805.859970015106 181.483484500994 -659.815626830332</t>
  </si>
  <si>
    <t>-835.205635077734 203.045034403719 -525.976739575257</t>
  </si>
  <si>
    <t>-804.261910084691 334.417211034648 -499.883751763726</t>
  </si>
  <si>
    <t>-688.514542997088 348.469492110482 -229.705431743312</t>
  </si>
  <si>
    <t>-449.360896217844 334.805942533829 -255.585027185741</t>
  </si>
  <si>
    <t>-843.245584735689 148.293296247934 -528.93964267226</t>
  </si>
  <si>
    <t>-865.868200650147 15.0412946979404 -503.84338622753</t>
  </si>
  <si>
    <t>-668.543509019953 48.4162522581246 -293.184757525053</t>
  </si>
  <si>
    <t>-814.109082105769 274.207719489283 -75.4393273556226</t>
  </si>
  <si>
    <t>-826.78833221202 316.633041209906 325.676579741015</t>
  </si>
  <si>
    <t>-869.590906983998 361.790576785389 769.367096469868</t>
  </si>
  <si>
    <t>-725.750199078636 387.018672943575 830.69185544267</t>
  </si>
  <si>
    <t>-803.222849828701 80.4336809646793 -65.1358076307102</t>
  </si>
  <si>
    <t>-797.326795087037 57.7293948979855 337.734410657347</t>
  </si>
  <si>
    <t>-836.404218544453 93.8452760284358 782.342173444848</t>
  </si>
  <si>
    <t>-745.221664041739 -13.9455604630461 854.134713867482</t>
  </si>
  <si>
    <t>9763-20170724T111046.416269200.bin</t>
  </si>
  <si>
    <t>-808.700793291747 177.912991440262 -69.3092790242736</t>
  </si>
  <si>
    <t>-835.496897353895 170.51322746874 -181.752307488213</t>
  </si>
  <si>
    <t>-844.502759620935 169.593964951542 -279.959781955454</t>
  </si>
  <si>
    <t>-847.473688255116 170.615801149398 -369.001196937725</t>
  </si>
  <si>
    <t>-844.849106653119 173.258159555168 -458.020013362399</t>
  </si>
  <si>
    <t>-835.265789430976 178.446057370379 -582.125071442149</t>
  </si>
  <si>
    <t>-806.247622050764 181.850562385008 -659.915751741488</t>
  </si>
  <si>
    <t>-835.432761727039 203.535507018863 -526.055673775625</t>
  </si>
  <si>
    <t>-804.294783306116 334.894294902453 -500.115519839581</t>
  </si>
  <si>
    <t>-687.244495765304 349.951712239129 -230.553414459163</t>
  </si>
  <si>
    <t>-447.985712945419 337.086394104226 -255.862369771873</t>
  </si>
  <si>
    <t>-843.533087227367 148.790114179366 -528.969704529278</t>
  </si>
  <si>
    <t>-866.28253092653 15.5784240210814 -503.752828766121</t>
  </si>
  <si>
    <t>-669.198648753725 50.3819870249877 -292.287996394517</t>
  </si>
  <si>
    <t>-814.305220519434 274.834923876461 -75.4601255322756</t>
  </si>
  <si>
    <t>-826.912709959931 316.926313731353 325.693254273762</t>
  </si>
  <si>
    <t>-869.581241995621 361.7489414418 769.422092323211</t>
  </si>
  <si>
    <t>-725.716857308382 386.831716591193 830.750449753834</t>
  </si>
  <si>
    <t>-803.459139660357 80.9304961411117 -65.1913620624963</t>
  </si>
  <si>
    <t>-797.272031476119 58.0720462395998 337.665790703213</t>
  </si>
  <si>
    <t>-836.394783481502 93.8755099065079 782.29803682625</t>
  </si>
  <si>
    <t>-745.192576683771 -13.8899071970836 854.103656837193</t>
  </si>
  <si>
    <t>9763-20170724T111046.483164900.bin</t>
  </si>
  <si>
    <t>-809.063566138984 179.132579668377 -69.3861222660489</t>
  </si>
  <si>
    <t>-835.861884955629 171.921196426327 -181.84075863704</t>
  </si>
  <si>
    <t>-844.918024940727 171.000893780698 -280.043640717795</t>
  </si>
  <si>
    <t>-847.959321199839 171.961500088605 -369.083423566394</t>
  </si>
  <si>
    <t>-845.43256866705 174.48400856908 -458.108602640745</t>
  </si>
  <si>
    <t>-836.016189471163 179.445063486216 -582.235645213589</t>
  </si>
  <si>
    <t>-807.228991934454 182.627259519248 -660.121446852517</t>
  </si>
  <si>
    <t>-836.018939397714 204.623699296676 -526.205808034391</t>
  </si>
  <si>
    <t>-804.407269451876 335.947764102546 -500.660119979344</t>
  </si>
  <si>
    <t>-684.770970112381 353.803079169917 -232.407381262213</t>
  </si>
  <si>
    <t>-445.309234912997 342.341639280664 -256.439854016048</t>
  </si>
  <si>
    <t>-844.300926613475 149.900231367756 -529.02116863235</t>
  </si>
  <si>
    <t>-867.47287730405 16.8122455446105 -503.558083679898</t>
  </si>
  <si>
    <t>-670.859028603204 53.7874757506679 -289.777488505005</t>
  </si>
  <si>
    <t>-814.344938892277 276.09694605039 -75.4933340329403</t>
  </si>
  <si>
    <t>-827.014169951795 317.438441693012 325.736102176177</t>
  </si>
  <si>
    <t>-869.475645486394 361.587678412228 769.540381577803</t>
  </si>
  <si>
    <t>-725.678463130883 386.970100969708 830.902961777354</t>
  </si>
  <si>
    <t>-804.112808764605 82.1418047120274 -65.3108651668069</t>
  </si>
  <si>
    <t>-797.191193849226 58.719560828682 337.501946470517</t>
  </si>
  <si>
    <t>-836.357688385363 93.9836080336904 782.20897963199</t>
  </si>
  <si>
    <t>-745.14564224729 -13.7509047367857 854.048804107725</t>
  </si>
  <si>
    <t>9763-20170724T111046.516757000.bin</t>
  </si>
  <si>
    <t>-809.318662533782 179.770737231047 -69.3814245511304</t>
  </si>
  <si>
    <t>-836.10870892817 172.669947506935 -181.845281051699</t>
  </si>
  <si>
    <t>-845.197962155171 171.743926417046 -280.044911575389</t>
  </si>
  <si>
    <t>-848.289468764403 172.663389941862 -369.08340173787</t>
  </si>
  <si>
    <t>-845.833570597231 175.109341031033 -458.112666550477</t>
  </si>
  <si>
    <t>-836.540374682812 179.928024096429 -582.254654879185</t>
  </si>
  <si>
    <t>-807.879590017038 182.962459128069 -660.192911841207</t>
  </si>
  <si>
    <t>-836.430671105721 205.161851455538 -526.249887799049</t>
  </si>
  <si>
    <t>-804.570005843271 336.480108971372 -500.963352045322</t>
  </si>
  <si>
    <t>-683.673871018175 356.076411396306 -233.397779016845</t>
  </si>
  <si>
    <t>-444.128840938688 344.844380324021 -256.696756496843</t>
  </si>
  <si>
    <t>-844.828929774525 150.453105022971 -529.002042744219</t>
  </si>
  <si>
    <t>-868.242932034628 17.4358548695759 -503.40882375348</t>
  </si>
  <si>
    <t>-671.880781782486 55.185378986178 -288.618856242348</t>
  </si>
  <si>
    <t>-814.368359608908 276.770948912394 -75.4946132644411</t>
  </si>
  <si>
    <t>-827.034493538708 317.698801983023 325.777312838516</t>
  </si>
  <si>
    <t>-869.407840782525 361.513232541692 769.619300908856</t>
  </si>
  <si>
    <t>-725.642977236036 386.990656005741 831.017805662217</t>
  </si>
  <si>
    <t>-804.581500594365 82.7338763422667 -65.339364795483</t>
  </si>
  <si>
    <t>-797.277930733537 58.982710761883 337.447420387172</t>
  </si>
  <si>
    <t>-836.463335717898 93.8870771150018 782.192645682924</t>
  </si>
  <si>
    <t>-744.992473916817 -13.6374456266876 854.017630091555</t>
  </si>
  <si>
    <t>9763-20170724T111046.582434500.bin</t>
  </si>
  <si>
    <t>-809.759054042874 180.847317210658 -69.4137606647089</t>
  </si>
  <si>
    <t>-836.621966930636 173.989891444343 -181.875208475105</t>
  </si>
  <si>
    <t>-845.846170559552 173.048102573207 -280.062285520496</t>
  </si>
  <si>
    <t>-849.0949968376 173.87034538139 -369.096081882217</t>
  </si>
  <si>
    <t>-846.835746276917 176.137147529821 -458.13523926033</t>
  </si>
  <si>
    <t>-837.859773339428 180.62220970225 -582.313102313776</t>
  </si>
  <si>
    <t>-809.447574428983 183.309689960171 -660.355040309152</t>
  </si>
  <si>
    <t>-837.471307545746 205.985140317228 -526.367656411411</t>
  </si>
  <si>
    <t>-804.976148536901 337.25440241727 -501.673047910359</t>
  </si>
  <si>
    <t>-681.196183079833 360.273101848448 -235.703350251057</t>
  </si>
  <si>
    <t>-441.491954569558 349.043939546183 -257.304388652642</t>
  </si>
  <si>
    <t>-846.147828611726 151.31224431972 -528.969599766445</t>
  </si>
  <si>
    <t>-870.196009283561 18.4488454456978 -503.164319723127</t>
  </si>
  <si>
    <t>-674.140948949651 57.2402359373255 -286.850184287667</t>
  </si>
  <si>
    <t>-814.377205934662 277.802202065851 -75.4561283836097</t>
  </si>
  <si>
    <t>-826.819005496804 318.195189063877 325.87703624205</t>
  </si>
  <si>
    <t>-869.20708244506 361.321567485747 769.767835704075</t>
  </si>
  <si>
    <t>-725.552608440935 387.106588851829 831.297526962025</t>
  </si>
  <si>
    <t>-805.455946687541 83.775814621546 -65.4103643551171</t>
  </si>
  <si>
    <t>-797.239758016645 59.7493477530184 337.342577514791</t>
  </si>
  <si>
    <t>-836.407595130579 94.047976848185 782.122533307282</t>
  </si>
  <si>
    <t>-745.236674331898 -13.7136939646675 853.973686287579</t>
  </si>
  <si>
    <t>9763-20170724T111046.614521600.bin</t>
  </si>
  <si>
    <t>-809.96941957884 181.174880154827 -69.4137955995169</t>
  </si>
  <si>
    <t>-836.891232153406 174.451061372568 -181.869238261571</t>
  </si>
  <si>
    <t>-846.203280546874 173.509351692433 -280.047871755535</t>
  </si>
  <si>
    <t>-849.548827698349 174.288715867928 -369.078585681174</t>
  </si>
  <si>
    <t>-847.405993918926 176.467970685203 -458.122900793043</t>
  </si>
  <si>
    <t>-838.61401205739 180.785631087363 -582.319815936812</t>
  </si>
  <si>
    <t>-810.335205610065 183.280810134159 -660.416787843433</t>
  </si>
  <si>
    <t>-838.052317616565 206.208927725431 -526.403400624113</t>
  </si>
  <si>
    <t>-805.068451376891 337.409315930983 -501.989687058979</t>
  </si>
  <si>
    <t>-679.916355157642 361.664733413172 -236.773054782767</t>
  </si>
  <si>
    <t>-440.158312282491 350.162366505262 -257.621311009978</t>
  </si>
  <si>
    <t>-846.91329932245 151.562235561533 -528.930383624875</t>
  </si>
  <si>
    <t>-871.442586286762 18.8047215620627 -503.02596151375</t>
  </si>
  <si>
    <t>-675.37313992247 58.0452937865343 -285.645900818615</t>
  </si>
  <si>
    <t>-814.356797091665 278.112395710357 -75.4021627292665</t>
  </si>
  <si>
    <t>-826.55517348891 318.349201779934 325.954105022444</t>
  </si>
  <si>
    <t>-869.04699527612 361.057242856321 769.877344204278</t>
  </si>
  <si>
    <t>-725.449405108485 387.018592035977 831.464841249371</t>
  </si>
  <si>
    <t>-805.859710932306 84.0681521595639 -65.4446285771231</t>
  </si>
  <si>
    <t>-797.073663065303 59.9499223412422 337.29082440857</t>
  </si>
  <si>
    <t>-836.406680909809 94.0914296224423 782.077791365118</t>
  </si>
  <si>
    <t>-745.260995943741 -13.6834907781531 853.940870996251</t>
  </si>
  <si>
    <t>9763-20170724T111046.683707600.bin</t>
  </si>
  <si>
    <t>-810.184381964915 181.448682500907 -69.3072816976186</t>
  </si>
  <si>
    <t>-837.14466324224 175.033727344937 -181.771486014178</t>
  </si>
  <si>
    <t>-846.598165902731 174.121579332906 -279.936857005396</t>
  </si>
  <si>
    <t>-850.12140474562 174.840141012002 -368.961221612991</t>
  </si>
  <si>
    <t>-848.208808316012 176.86985551133 -458.014367487486</t>
  </si>
  <si>
    <t>-839.796255895825 180.887515170911 -582.247637167406</t>
  </si>
  <si>
    <t>-811.832376034401 182.965855271108 -660.46992401111</t>
  </si>
  <si>
    <t>-838.831144572369 206.406533227777 -526.38027738009</t>
  </si>
  <si>
    <t>-804.609702248916 337.376203876108 -502.440973107772</t>
  </si>
  <si>
    <t>-676.78407598574 362.887243656773 -238.620929871718</t>
  </si>
  <si>
    <t>-436.893125739503 350.736162218469 -257.476337443443</t>
  </si>
  <si>
    <t>-848.164982011979 151.832518152276 -528.777172824173</t>
  </si>
  <si>
    <t>-873.911214314478 19.3365386184332 -502.681320008412</t>
  </si>
  <si>
    <t>-676.359067242753 57.521035995384 -282.647243712653</t>
  </si>
  <si>
    <t>-813.80399109832 278.39670195718 -75.2174128206462</t>
  </si>
  <si>
    <t>-825.7935250673 318.444969246865 326.164017410765</t>
  </si>
  <si>
    <t>-868.813723929603 360.694709990833 770.130454353682</t>
  </si>
  <si>
    <t>-725.377512271783 387.410743178576 831.771316506567</t>
  </si>
  <si>
    <t>-806.801167042875 84.3624921605187 -65.419894706169</t>
  </si>
  <si>
    <t>-796.690983278512 60.1022696370801 337.275932756499</t>
  </si>
  <si>
    <t>-836.428207079149 94.1408013710434 782.011765168852</t>
  </si>
  <si>
    <t>-745.197552269195 -13.5490751260836 853.894445864685</t>
  </si>
  <si>
    <t>9763-20170724T111046.716799600.bin</t>
  </si>
  <si>
    <t>-810.373243028484 181.660577632001 -69.2425043205722</t>
  </si>
  <si>
    <t>-837.358902433665 175.423250906671 -181.710707979226</t>
  </si>
  <si>
    <t>-846.888421865403 174.541634076019 -279.869036480928</t>
  </si>
  <si>
    <t>-850.505810938431 175.242853602979 -368.889565704958</t>
  </si>
  <si>
    <t>-848.713922762472 177.210512486739 -457.946631131275</t>
  </si>
  <si>
    <t>-840.499564377614 181.09510195656 -582.197462007109</t>
  </si>
  <si>
    <t>-812.712737613132 182.9539076168 -660.488353697723</t>
  </si>
  <si>
    <t>-839.311093302631 206.650132441394 -526.350759859084</t>
  </si>
  <si>
    <t>-804.369894558265 337.46957039462 -502.652619871428</t>
  </si>
  <si>
    <t>-675.357309091969 363.422761227363 -239.454210012357</t>
  </si>
  <si>
    <t>-435.420586439257 351.038208214065 -257.55984581664</t>
  </si>
  <si>
    <t>-848.91745801741 152.121076532105 -528.690601976231</t>
  </si>
  <si>
    <t>-875.364336382371 19.780520904902 -502.491466628299</t>
  </si>
  <si>
    <t>-676.979971374787 56.2482998983623 -282.253836419699</t>
  </si>
  <si>
    <t>-813.661579169306 278.732968604136 -75.1075005386398</t>
  </si>
  <si>
    <t>-825.523377811105 318.617993161595 326.293977853664</t>
  </si>
  <si>
    <t>-868.810257657212 360.694289445748 770.268576208652</t>
  </si>
  <si>
    <t>-725.323557798554 387.096094211389 831.926826397939</t>
  </si>
  <si>
    <t>-807.438642702617 84.5523315902697 -65.4120897098466</t>
  </si>
  <si>
    <t>-796.738552156884 60.2416588748929 337.26539508895</t>
  </si>
  <si>
    <t>-836.473513678101 94.132654816739 781.994738906837</t>
  </si>
  <si>
    <t>-745.206506656856 -13.520670935312 853.886787928985</t>
  </si>
  <si>
    <t>9763-20170724T111046.780971000.bin</t>
  </si>
  <si>
    <t>-811.169315806714 182.473513219134 -69.1377045470049</t>
  </si>
  <si>
    <t>-838.132053347885 176.627336071617 -181.632324798145</t>
  </si>
  <si>
    <t>-847.741157286417 175.82175721935 -279.783741797923</t>
  </si>
  <si>
    <t>-851.477965561138 176.498095156342 -368.799490804794</t>
  </si>
  <si>
    <t>-849.857417231958 178.347047799112 -457.862333050536</t>
  </si>
  <si>
    <t>-841.939503240199 181.970573824851 -582.140173145775</t>
  </si>
  <si>
    <t>-814.540415102229 183.366141093973 -660.57726124065</t>
  </si>
  <si>
    <t>-840.330086985495 207.589898260303 -526.333696929194</t>
  </si>
  <si>
    <t>-803.887150679292 338.068577501806 -503.066171706098</t>
  </si>
  <si>
    <t>-672.787323471486 364.863270303713 -240.985971541328</t>
  </si>
  <si>
    <t>-432.78153161575 352.045364992312 -257.831451374318</t>
  </si>
  <si>
    <t>-850.51752782596 153.162132758505 -528.569691993443</t>
  </si>
  <si>
    <t>-878.390847112715 21.1470787494313 -502.242521761418</t>
  </si>
  <si>
    <t>-680.284528137064 56.330147722022 -282.38888158424</t>
  </si>
  <si>
    <t>-813.65624795527 279.607582838014 -74.9680033183074</t>
  </si>
  <si>
    <t>-825.19110516744 318.947171564081 326.496823344483</t>
  </si>
  <si>
    <t>-868.697001011259 360.600911419173 770.489802556183</t>
  </si>
  <si>
    <t>-725.200057632714 386.864776710657 832.183965222412</t>
  </si>
  <si>
    <t>-809.028915199312 85.4077829720409 -65.4172972520222</t>
  </si>
  <si>
    <t>-797.37062647133 60.9785512100379 337.226423306404</t>
  </si>
  <si>
    <t>-836.489174302482 94.2509995933951 781.980660043405</t>
  </si>
  <si>
    <t>-745.253799065462 -13.4123877817192 853.897096860541</t>
  </si>
  <si>
    <t>9763-20170724T111046.820589300.bin</t>
  </si>
  <si>
    <t>-811.801244352464 182.917298477418 -69.156697011558</t>
  </si>
  <si>
    <t>-838.709967170029 177.293349909452 -181.675674032075</t>
  </si>
  <si>
    <t>-848.321646560016 176.550605758957 -279.827190980025</t>
  </si>
  <si>
    <t>-852.08418697107 177.239333251659 -368.841854574044</t>
  </si>
  <si>
    <t>-850.51480683653 179.055744352717 -457.906390806123</t>
  </si>
  <si>
    <t>-842.697300454752 182.58856342013 -582.193169793043</t>
  </si>
  <si>
    <t>-815.501598892277 183.760899937693 -660.704694487648</t>
  </si>
  <si>
    <t>-840.896506942187 208.220560302593 -526.398333018289</t>
  </si>
  <si>
    <t>-803.707694786719 338.537598745253 -503.318846550491</t>
  </si>
  <si>
    <t>-671.61410646792 365.347276997315 -241.739613447294</t>
  </si>
  <si>
    <t>-431.56053497583 352.767016458411 -258.078303753928</t>
  </si>
  <si>
    <t>-851.378185459792 153.847525902704 -528.60302364404</t>
  </si>
  <si>
    <t>-879.961896779186 22.0089962067659 -502.18972862003</t>
  </si>
  <si>
    <t>-682.371912697276 57.9716843482724 -282.140000435761</t>
  </si>
  <si>
    <t>-813.86485228875 280.107375722406 -74.9286245420534</t>
  </si>
  <si>
    <t>-825.147727542022 319.199116786173 326.567597388619</t>
  </si>
  <si>
    <t>-868.738404170493 360.772774042316 770.591984446214</t>
  </si>
  <si>
    <t>-725.164794079023 386.534230175166 832.319212884986</t>
  </si>
  <si>
    <t>-810.065369338648 85.7537153012645 -65.4676607989544</t>
  </si>
  <si>
    <t>-797.85095010848 61.4250913117726 337.165656153666</t>
  </si>
  <si>
    <t>-836.555834417249 94.2172306265466 781.959255274901</t>
  </si>
  <si>
    <t>-745.172658484895 -13.3072951207082 853.895989586458</t>
  </si>
  <si>
    <t>9763-20170724T111046.884907400.bin</t>
  </si>
  <si>
    <t>-813.02063799175 183.484849698522 -69.1862850571356</t>
  </si>
  <si>
    <t>-839.801368458961 178.294720918956 -181.756673839463</t>
  </si>
  <si>
    <t>-849.395227679069 177.618139511527 -279.910306465526</t>
  </si>
  <si>
    <t>-853.187713622742 178.254877833746 -368.923998510962</t>
  </si>
  <si>
    <t>-851.699584366729 179.907881155019 -457.993191520936</t>
  </si>
  <si>
    <t>-844.052529739648 183.099158407729 -582.299887437308</t>
  </si>
  <si>
    <t>-817.331480876373 183.817706771039 -660.979482838408</t>
  </si>
  <si>
    <t>-841.894377498158 208.828008514496 -526.562298924543</t>
  </si>
  <si>
    <t>-803.394809784897 338.858204460726 -504.003249173494</t>
  </si>
  <si>
    <t>-669.16535453995 365.321705847025 -243.478154461864</t>
  </si>
  <si>
    <t>-428.975045788475 352.546389312432 -257.489187701521</t>
  </si>
  <si>
    <t>-852.940710916376 154.561564954918 -528.634888756258</t>
  </si>
  <si>
    <t>-882.835464745325 23.0630848429041 -501.963791389925</t>
  </si>
  <si>
    <t>-686.096910584786 60.017604580773 -281.772781663188</t>
  </si>
  <si>
    <t>-813.980385737524 280.542327381141 -74.8252426028764</t>
  </si>
  <si>
    <t>-825.131350942394 319.382040164214 326.699097031899</t>
  </si>
  <si>
    <t>-868.567105248437 360.618770952829 770.798627083637</t>
  </si>
  <si>
    <t>-725.026623730342 386.473661094306 832.564330336695</t>
  </si>
  <si>
    <t>-812.240445227806 86.3493800637571 -65.569311596836</t>
  </si>
  <si>
    <t>-798.416493957369 62.0559448534486 337.014113972276</t>
  </si>
  <si>
    <t>-836.547979745669 94.3955734541796 781.918171268392</t>
  </si>
  <si>
    <t>-745.280578893863 -13.2003207328326 853.895377485451</t>
  </si>
  <si>
    <t>9763-20170724T111046.917984000.bin</t>
  </si>
  <si>
    <t>-813.616363415615 183.560887739146 -69.1686691841685</t>
  </si>
  <si>
    <t>-840.304153649063 178.561969940815 -181.769699105559</t>
  </si>
  <si>
    <t>-849.884506260574 177.898246311603 -279.924850659643</t>
  </si>
  <si>
    <t>-853.695294328115 178.4916448063 -368.938189155565</t>
  </si>
  <si>
    <t>-852.259308354503 180.04591982789 -458.009747757261</t>
  </si>
  <si>
    <t>-844.721808800226 183.043263603199 -582.327918914432</t>
  </si>
  <si>
    <t>-818.292766836963 183.547098070274 -661.108141332649</t>
  </si>
  <si>
    <t>-842.394160461747 208.834136313783 -526.625990971312</t>
  </si>
  <si>
    <t>-803.342724466724 338.738570116221 -504.359895058808</t>
  </si>
  <si>
    <t>-668.152178343397 365.447926929058 -244.357367237167</t>
  </si>
  <si>
    <t>-427.903224954197 352.553496825682 -257.203399758707</t>
  </si>
  <si>
    <t>-853.683088147539 154.614534208564 -528.617572222743</t>
  </si>
  <si>
    <t>-884.091318803829 23.2740248486384 -501.779540488652</t>
  </si>
  <si>
    <t>-687.585177288146 60.1258554442916 -281.539904479689</t>
  </si>
  <si>
    <t>-814.061339403273 280.589533970218 -74.7569164759766</t>
  </si>
  <si>
    <t>-825.28033962144 319.416805027983 326.766683128172</t>
  </si>
  <si>
    <t>-868.462500442878 360.551262073606 770.878252259984</t>
  </si>
  <si>
    <t>-724.939090494129 386.418357066914 832.677928361474</t>
  </si>
  <si>
    <t>-813.313260362543 86.4508687823482 -65.6033346968364</t>
  </si>
  <si>
    <t>-798.615378534209 62.2979677385074 336.957546763483</t>
  </si>
  <si>
    <t>-836.590351817439 94.4169805128608 781.89321921803</t>
  </si>
  <si>
    <t>-745.299568947159 -13.1487734934176 853.885590440086</t>
  </si>
  <si>
    <t>9763-20170724T111046.985165700.bin</t>
  </si>
  <si>
    <t>-815.069947958688 183.490465522217 -69.0992360877203</t>
  </si>
  <si>
    <t>-841.711565296576 178.837469275472 -181.726024390941</t>
  </si>
  <si>
    <t>-851.361179664251 178.188387176337 -279.874348134531</t>
  </si>
  <si>
    <t>-855.285282328358 178.685358353079 -368.883450214095</t>
  </si>
  <si>
    <t>-854.017092187963 180.030990392545 -457.961035359754</t>
  </si>
  <si>
    <t>-846.774475870617 182.620359632699 -582.305982754724</t>
  </si>
  <si>
    <t>-820.934847785602 182.693223303442 -661.282712144064</t>
  </si>
  <si>
    <t>-844.131011783448 208.554491009417 -526.684565281762</t>
  </si>
  <si>
    <t>-804.420458415817 338.395796162026 -505.077989465279</t>
  </si>
  <si>
    <t>-667.797584093953 365.495293959939 -245.865678270493</t>
  </si>
  <si>
    <t>-427.454044343388 352.505793655651 -256.68851974069</t>
  </si>
  <si>
    <t>-855.791875740058 154.407219943569 -528.491296491893</t>
  </si>
  <si>
    <t>-886.994406811129 23.3350534919423 -501.273459074301</t>
  </si>
  <si>
    <t>-689.974796546722 60.3640355257776 -279.752050083125</t>
  </si>
  <si>
    <t>-815.193883181077 280.595993295832 -74.5773584882111</t>
  </si>
  <si>
    <t>-825.94018667376 319.484007855337 326.953288176311</t>
  </si>
  <si>
    <t>-868.377433892102 360.710262336114 771.081763687494</t>
  </si>
  <si>
    <t>-724.843574102436 386.420149312601 832.922387692212</t>
  </si>
  <si>
    <t>-815.272353452811 86.4873739470895 -65.7128718930842</t>
  </si>
  <si>
    <t>-798.854994956812 62.7604327471836 336.80685165284</t>
  </si>
  <si>
    <t>-836.553420451654 94.5950566075444 781.795930372799</t>
  </si>
  <si>
    <t>-745.601759309552 -13.2029109415012 853.870249753906</t>
  </si>
  <si>
    <t>9763-20170724T111047.019267700.bin</t>
  </si>
  <si>
    <t>-815.90199576441 183.842763623076 -69.1035654248996</t>
  </si>
  <si>
    <t>-842.680332898748 179.21911525482 -181.699168628906</t>
  </si>
  <si>
    <t>-852.461912814079 178.5100633921 -279.834086305735</t>
  </si>
  <si>
    <t>-856.511838855593 178.912852502341 -368.837958786898</t>
  </si>
  <si>
    <t>-855.376437595162 180.122033111711 -457.919424452416</t>
  </si>
  <si>
    <t>-848.328004863286 182.472700109016 -582.280105372893</t>
  </si>
  <si>
    <t>-822.835197900171 182.329063605313 -661.369309298636</t>
  </si>
  <si>
    <t>-845.529259633995 208.498558201926 -526.709238645773</t>
  </si>
  <si>
    <t>-805.679032090891 338.344683844216 -505.464918778426</t>
  </si>
  <si>
    <t>-669.313565697943 365.316686329229 -246.103902135719</t>
  </si>
  <si>
    <t>-428.953131820263 351.906163109218 -255.9992309653</t>
  </si>
  <si>
    <t>-857.330526595665 154.377933718215 -528.401018198954</t>
  </si>
  <si>
    <t>-888.799852331769 23.4143264431773 -500.910764463054</t>
  </si>
  <si>
    <t>-691.314483056367 59.9455380286495 -279.880003946379</t>
  </si>
  <si>
    <t>-816.239514874649 280.774367889368 -74.5697955473905</t>
  </si>
  <si>
    <t>-826.519097972566 319.64365894379 326.974934216462</t>
  </si>
  <si>
    <t>-868.232380054051 360.754211909414 771.112337679398</t>
  </si>
  <si>
    <t>-724.747684450706 386.705186919887 832.966542834653</t>
  </si>
  <si>
    <t>-815.961299117307 87.2553464999842 -65.7540973494445</t>
  </si>
  <si>
    <t>-798.92314755896 62.9181649157831 336.703422306531</t>
  </si>
  <si>
    <t>-836.549996960872 94.645333107454 781.731934998128</t>
  </si>
  <si>
    <t>-745.649572153272 -13.164680081346 853.852869978557</t>
  </si>
  <si>
    <t>9763-20170724T111047.082960200.bin</t>
  </si>
  <si>
    <t>-818.128152810141 184.754149387198 -69.0566406907573</t>
  </si>
  <si>
    <t>-845.137344323012 179.933952648253 -181.588735001619</t>
  </si>
  <si>
    <t>-855.145543497763 179.09113104208 -279.699761585373</t>
  </si>
  <si>
    <t>-859.408496046251 179.373132879492 -368.694096977264</t>
  </si>
  <si>
    <t>-858.491410994716 180.454795191512 -457.779727232354</t>
  </si>
  <si>
    <t>-851.752470077348 182.613356224285 -582.161069635235</t>
  </si>
  <si>
    <t>-826.817292942735 182.230527483725 -661.427281382992</t>
  </si>
  <si>
    <t>-848.773749147502 208.71588876466 -526.635384388311</t>
  </si>
  <si>
    <t>-808.693085200282 338.493308411798 -505.507157955633</t>
  </si>
  <si>
    <t>-674.788314454549 363.663721622849 -244.687091099873</t>
  </si>
  <si>
    <t>-434.430481504138 349.859674895078 -254.093527765059</t>
  </si>
  <si>
    <t>-860.661695730954 154.611274588059 -528.218472741744</t>
  </si>
  <si>
    <t>-892.369982096039 23.7273294768233 -500.500177236294</t>
  </si>
  <si>
    <t>-694.711010233521 59.6325957575687 -280.55347912947</t>
  </si>
  <si>
    <t>-819.281230291302 281.374808617451 -74.5607019310925</t>
  </si>
  <si>
    <t>-828.407249525587 320.456495622278 326.991255570798</t>
  </si>
  <si>
    <t>-868.152379492141 360.967557089411 771.416201443659</t>
  </si>
  <si>
    <t>-724.660694798037 387.039921735828 833.203699154996</t>
  </si>
  <si>
    <t>-817.276408951065 88.0408378423517 -65.7794299937499</t>
  </si>
  <si>
    <t>-799.306630993135 63.3041271539555 336.613198305071</t>
  </si>
  <si>
    <t>-836.543681179315 94.8690171433286 781.700778917071</t>
  </si>
  <si>
    <t>-745.91042649585 -13.1492791332012 853.84617016944</t>
  </si>
  <si>
    <t>9763-20170724T111047.115048000.bin</t>
  </si>
  <si>
    <t>-819.431848219794 185.019562949162 -69.0159773189698</t>
  </si>
  <si>
    <t>-846.519716801101 180.074546748566 -181.523948166151</t>
  </si>
  <si>
    <t>-856.614801814732 179.204243361121 -279.625769700474</t>
  </si>
  <si>
    <t>-860.960575901786 179.488896202082 -368.616054007913</t>
  </si>
  <si>
    <t>-860.129561852941 180.598686092852 -457.702051370669</t>
  </si>
  <si>
    <t>-853.512983671223 182.821946412476 -582.089005887492</t>
  </si>
  <si>
    <t>-828.78918706932 182.39386796478 -661.421012975391</t>
  </si>
  <si>
    <t>-850.507509028608 208.901723879366 -526.554047668502</t>
  </si>
  <si>
    <t>-810.436960027914 338.675309607379 -505.264583794975</t>
  </si>
  <si>
    <t>-677.694011351622 362.186567424708 -243.696673773732</t>
  </si>
  <si>
    <t>-437.319341698125 348.524033577907 -252.879529897301</t>
  </si>
  <si>
    <t>-862.341578552288 154.785514799858 -528.150831497451</t>
  </si>
  <si>
    <t>-893.975424162331 23.898022731802 -500.502861090538</t>
  </si>
  <si>
    <t>-696.189763242063 59.6020873342245 -280.814335550177</t>
  </si>
  <si>
    <t>-820.807395852121 281.65408918221 -74.5645915084029</t>
  </si>
  <si>
    <t>-829.67066670979 320.737218608402 326.993116893677</t>
  </si>
  <si>
    <t>-868.132897937089 361.029971483794 771.567303846091</t>
  </si>
  <si>
    <t>-724.600632735933 386.979093138669 833.312280990542</t>
  </si>
  <si>
    <t>-818.344424411903 88.3372866759128 -65.7578394481424</t>
  </si>
  <si>
    <t>-800.351801354919 63.9969211005628 336.658036928346</t>
  </si>
  <si>
    <t>-836.667755477195 94.8401577526042 781.770895641479</t>
  </si>
  <si>
    <t>-745.915574683041 -13.1031963991481 853.878719898008</t>
  </si>
  <si>
    <t>9763-20170724T111047.184734700.bin</t>
  </si>
  <si>
    <t>-821.533854937307 185.232337031129 -69.1766897738642</t>
  </si>
  <si>
    <t>-848.82204520094 179.94126048753 -181.620340325934</t>
  </si>
  <si>
    <t>-859.082899689359 178.923905692614 -279.703738209451</t>
  </si>
  <si>
    <t>-863.569714941678 179.126228595403 -368.687328696277</t>
  </si>
  <si>
    <t>-862.86781686985 180.202102936469 -457.774828618554</t>
  </si>
  <si>
    <t>-856.416346085323 182.424256183668 -582.170404224632</t>
  </si>
  <si>
    <t>-832.004981752716 181.863130307444 -661.598331398356</t>
  </si>
  <si>
    <t>-853.405649980658 208.519502655538 -526.643092596186</t>
  </si>
  <si>
    <t>-813.446406500424 338.2806583417 -505.137451676618</t>
  </si>
  <si>
    <t>-681.455040609264 359.8490627401 -243.022520347076</t>
  </si>
  <si>
    <t>-441.028629175185 346.558858979457 -251.351719974165</t>
  </si>
  <si>
    <t>-865.104974187285 154.373439032584 -528.216976090095</t>
  </si>
  <si>
    <t>-896.432521112656 23.3923032214548 -500.646088279046</t>
  </si>
  <si>
    <t>-698.373477122678 59.1743778828472 -280.927478223755</t>
  </si>
  <si>
    <t>-823.435550373558 281.600370659603 -74.6958926810137</t>
  </si>
  <si>
    <t>-831.812668519436 320.85396784136 326.855634039442</t>
  </si>
  <si>
    <t>-868.01100053754 360.975768609944 771.692535696357</t>
  </si>
  <si>
    <t>-724.509437915632 387.306298497243 833.346978002447</t>
  </si>
  <si>
    <t>-819.971148856683 88.7943987424483 -65.8136282323405</t>
  </si>
  <si>
    <t>-802.082884368783 65.0874280883204 336.644619468845</t>
  </si>
  <si>
    <t>-836.815952466338 94.9204546632286 781.911964679333</t>
  </si>
  <si>
    <t>-746.124312645834 -13.1002317858997 853.980423655099</t>
  </si>
  <si>
    <t>9763-20170724T111047.217824000.bin</t>
  </si>
  <si>
    <t>-822.561027441187 185.413429607447 -69.2439410676935</t>
  </si>
  <si>
    <t>-849.936322353581 180.020750098451 -181.661663361699</t>
  </si>
  <si>
    <t>-860.270296829222 178.907296375291 -279.736250467998</t>
  </si>
  <si>
    <t>-864.822819106553 179.015823269037 -368.716599214035</t>
  </si>
  <si>
    <t>-864.185337361183 179.990275714405 -457.805725758542</t>
  </si>
  <si>
    <t>-857.822330415568 182.061199390474 -582.208447023907</t>
  </si>
  <si>
    <t>-833.54232998378 181.382124114322 -661.675822177741</t>
  </si>
  <si>
    <t>-854.782719685499 208.226255340204 -526.715617048645</t>
  </si>
  <si>
    <t>-814.865645709591 338.012318536969 -505.284740806756</t>
  </si>
  <si>
    <t>-682.97965504929 359.848216705792 -243.138935518331</t>
  </si>
  <si>
    <t>-442.547409700602 346.304622992495 -250.870185474572</t>
  </si>
  <si>
    <t>-866.462109979978 154.073442943833 -528.21440219301</t>
  </si>
  <si>
    <t>-897.701715246703 23.0935235386874 -500.569887208687</t>
  </si>
  <si>
    <t>-699.433743401813 58.913238518036 -281.01882072452</t>
  </si>
  <si>
    <t>-824.553346392123 281.591837914034 -74.7642674172845</t>
  </si>
  <si>
    <t>-832.787232811631 321.000776339948 326.775041137245</t>
  </si>
  <si>
    <t>-868.061122929589 361.131656685301 771.718972644349</t>
  </si>
  <si>
    <t>-724.516972609247 387.335242023079 833.328478623649</t>
  </si>
  <si>
    <t>-820.876608083411 89.2797449123068 -65.8262156211209</t>
  </si>
  <si>
    <t>-802.882672302233 65.4884382011405 336.622395626474</t>
  </si>
  <si>
    <t>-836.911106973086 94.9055769254005 781.983066266304</t>
  </si>
  <si>
    <t>-746.153744299985 -13.070900166158 854.034730547347</t>
  </si>
  <si>
    <t>9763-20170724T111047.287011400.bin</t>
  </si>
  <si>
    <t>-824.457222565942 185.632355901662 -69.3524930540891</t>
  </si>
  <si>
    <t>-852.117401128113 180.097673353367 -181.693504360206</t>
  </si>
  <si>
    <t>-862.645814992292 178.779513023752 -279.744937085387</t>
  </si>
  <si>
    <t>-867.353338605334 178.662816052508 -368.717303837645</t>
  </si>
  <si>
    <t>-866.851161581662 179.367079445014 -457.809768328762</t>
  </si>
  <si>
    <t>-860.657703974792 181.010364439237 -582.227526075267</t>
  </si>
  <si>
    <t>-836.716788486669 179.953908870675 -661.793333249928</t>
  </si>
  <si>
    <t>-857.497742838909 207.356317919709 -526.82688946146</t>
  </si>
  <si>
    <t>-817.475580168362 337.152277596037 -505.637080503217</t>
  </si>
  <si>
    <t>-686.883575843873 360.532211147551 -242.977068168126</t>
  </si>
  <si>
    <t>-446.431239749278 346.126737406 -248.081122546659</t>
  </si>
  <si>
    <t>-869.268645332536 153.218305115524 -528.127837103935</t>
  </si>
  <si>
    <t>-900.621843195524 22.3330021910406 -500.137234022772</t>
  </si>
  <si>
    <t>-701.794361018211 57.9128915790598 -281.189021092526</t>
  </si>
  <si>
    <t>-826.725666659192 281.563957599182 -74.9150596832416</t>
  </si>
  <si>
    <t>-834.189145341763 321.029817890901 326.63375439717</t>
  </si>
  <si>
    <t>-868.013640897851 361.161009773416 771.707670070043</t>
  </si>
  <si>
    <t>-724.445550954705 387.429863500265 833.234200174439</t>
  </si>
  <si>
    <t>-822.563126826657 89.7119213370638 -65.8703259952622</t>
  </si>
  <si>
    <t>-804.235273366956 66.2183979310039 336.580668406917</t>
  </si>
  <si>
    <t>-836.978411617944 94.9998988513798 782.077553850712</t>
  </si>
  <si>
    <t>-746.418058861442 -13.1326913404778 854.143244556775</t>
  </si>
  <si>
    <t>9763-20170724T111047.319601000.bin</t>
  </si>
  <si>
    <t>-825.372581829334 185.747356179104 -69.4398763700016</t>
  </si>
  <si>
    <t>-853.204620719702 180.095768319185 -181.732686201043</t>
  </si>
  <si>
    <t>-863.842607691867 178.686216579983 -279.77085041629</t>
  </si>
  <si>
    <t>-868.632275829862 178.485237969338 -368.738655878261</t>
  </si>
  <si>
    <t>-868.194937210318 179.10089871991 -457.832189921296</t>
  </si>
  <si>
    <t>-862.073228762191 180.612219456412 -582.255093159209</t>
  </si>
  <si>
    <t>-838.316672875767 179.363652930417 -661.873669246924</t>
  </si>
  <si>
    <t>-858.857552096003 207.011752710103 -526.883125065458</t>
  </si>
  <si>
    <t>-818.786893983078 336.795621115081 -505.682253005297</t>
  </si>
  <si>
    <t>-689.486682479122 360.183515775675 -242.384595775616</t>
  </si>
  <si>
    <t>-449.008910888553 345.66609971325 -245.637960877708</t>
  </si>
  <si>
    <t>-870.676832514566 152.882942041002 -528.122249415298</t>
  </si>
  <si>
    <t>-902.125748487071 22.0458874234932 -499.976997467483</t>
  </si>
  <si>
    <t>-702.777188390543 57.441415184036 -280.68462300222</t>
  </si>
  <si>
    <t>-827.920681430299 281.628560424992 -75.0458725364406</t>
  </si>
  <si>
    <t>-834.577428835128 321.238052224791 326.503013094503</t>
  </si>
  <si>
    <t>-868.052059254998 361.419422111366 771.606005336862</t>
  </si>
  <si>
    <t>-724.365443480231 387.016067220169 833.13907861645</t>
  </si>
  <si>
    <t>-823.127285289758 89.8034343730956 -65.9032466641514</t>
  </si>
  <si>
    <t>-804.700509005585 66.5529442692755 336.557296230535</t>
  </si>
  <si>
    <t>-837.006208904203 95.044099593129 782.098774367766</t>
  </si>
  <si>
    <t>-746.560826212202 -13.1719425881111 854.183698043106</t>
  </si>
  <si>
    <t>9763-20170724T111047.382809700.bin</t>
  </si>
  <si>
    <t>-826.624858590774 185.497407429891 -69.6651077975347</t>
  </si>
  <si>
    <t>-854.750313677076 179.65305588767 -181.874720976269</t>
  </si>
  <si>
    <t>-865.58823078519 178.128924983951 -279.889539898742</t>
  </si>
  <si>
    <t>-870.534174493895 177.837365966244 -368.848451626198</t>
  </si>
  <si>
    <t>-870.226456761055 178.37205178911 -457.943054849768</t>
  </si>
  <si>
    <t>-864.257573167635 179.776500156165 -582.374625656221</t>
  </si>
  <si>
    <t>-840.820053915583 178.267595496252 -662.083095624693</t>
  </si>
  <si>
    <t>-860.976123646295 206.224008355427 -527.02946360447</t>
  </si>
  <si>
    <t>-821.076873735971 336.032345137821 -505.611092952271</t>
  </si>
  <si>
    <t>-695.889045985804 357.784033629348 -240.194323710324</t>
  </si>
  <si>
    <t>-455.380368975349 343.416875687607 -240.420633578671</t>
  </si>
  <si>
    <t>-872.792410641081 152.092928278335 -528.207302208918</t>
  </si>
  <si>
    <t>-904.215613810718 21.2814730044388 -499.946157572802</t>
  </si>
  <si>
    <t>-704.425171607021 56.3483217689022 -279.864089903267</t>
  </si>
  <si>
    <t>-829.480466240462 281.325975992356 -75.3791169066598</t>
  </si>
  <si>
    <t>-834.873193510279 321.362129809865 326.146280074478</t>
  </si>
  <si>
    <t>-867.880203061933 361.607158103957 771.272469494393</t>
  </si>
  <si>
    <t>-724.228918566942 387.230128610473 832.876371660081</t>
  </si>
  <si>
    <t>-823.994991290506 89.5058408140526 -66.007941912045</t>
  </si>
  <si>
    <t>-805.315960251349 67.1839374106044 336.493632246318</t>
  </si>
  <si>
    <t>-836.967653132324 95.2399295696578 782.102718801502</t>
  </si>
  <si>
    <t>-746.918539148814 -13.2700929815901 854.241580254657</t>
  </si>
  <si>
    <t>9763-20170724T111047.415400000.bin</t>
  </si>
  <si>
    <t>-826.914388753957 185.185034297042 -69.7826808132735</t>
  </si>
  <si>
    <t>-855.124759717133 179.24868373371 -181.966249034448</t>
  </si>
  <si>
    <t>-866.056264738493 177.675948860629 -279.969769088492</t>
  </si>
  <si>
    <t>-871.093848243977 177.349905282888 -368.923415038749</t>
  </si>
  <si>
    <t>-870.883542639115 177.860577713 -458.018548924314</t>
  </si>
  <si>
    <t>-865.056927606077 179.241336533275 -582.457154860189</t>
  </si>
  <si>
    <t>-841.732180344262 177.658024757481 -662.197133107754</t>
  </si>
  <si>
    <t>-861.74487503902 205.706150007321 -527.122281658004</t>
  </si>
  <si>
    <t>-822.119905902076 335.56103181619 -505.569738810359</t>
  </si>
  <si>
    <t>-699.351149506213 356.548434611074 -238.963959365467</t>
  </si>
  <si>
    <t>-458.843036255313 342.22976308671 -237.645963715723</t>
  </si>
  <si>
    <t>-873.497121889957 151.56114206446 -528.27342758261</t>
  </si>
  <si>
    <t>-904.742496980686 20.7094190799157 -499.998942140309</t>
  </si>
  <si>
    <t>-704.675515440604 55.6988574275701 -279.543320284247</t>
  </si>
  <si>
    <t>-829.772820819837 281.02991211463 -75.5203259765227</t>
  </si>
  <si>
    <t>-835.234776598914 321.389556810973 325.971796681144</t>
  </si>
  <si>
    <t>-867.821897364856 361.787614124301 771.085359067252</t>
  </si>
  <si>
    <t>-724.211301007052 387.446767061298 832.768957802693</t>
  </si>
  <si>
    <t>-824.233213521714 89.1985545530106 -66.0957259250264</t>
  </si>
  <si>
    <t>-805.506612837959 67.3557389330058 336.42993896852</t>
  </si>
  <si>
    <t>-837.002194625694 95.2647712029579 782.096675727295</t>
  </si>
  <si>
    <t>-746.948619667585 -13.2321706742314 854.249578623806</t>
  </si>
  <si>
    <t>9763-20170724T111047.484772200.bin</t>
  </si>
  <si>
    <t>-827.5703448047 184.377699324872 -70.026016260325</t>
  </si>
  <si>
    <t>-855.862564159414 178.348294511357 -182.184109673642</t>
  </si>
  <si>
    <t>-866.928855033317 176.748084776405 -280.171863855693</t>
  </si>
  <si>
    <t>-872.113430285787 176.419859641762 -369.117265764633</t>
  </si>
  <si>
    <t>-872.074525123499 176.954584648076 -458.212373641579</t>
  </si>
  <si>
    <t>-866.510580430451 178.398039978927 -582.662269864808</t>
  </si>
  <si>
    <t>-843.315668743855 176.805149006398 -662.440118710937</t>
  </si>
  <si>
    <t>-863.207610466239 204.862549779155 -527.32646097484</t>
  </si>
  <si>
    <t>-824.318224024595 334.887005764992 -505.41440163967</t>
  </si>
  <si>
    <t>-707.209605158088 354.943860033698 -236.203516550171</t>
  </si>
  <si>
    <t>-466.75380246181 340.224638735192 -232.306033320027</t>
  </si>
  <si>
    <t>-874.710207743942 150.663160773103 -528.4694857051</t>
  </si>
  <si>
    <t>-905.278252863126 19.6638254039199 -500.171079088822</t>
  </si>
  <si>
    <t>-704.878022826533 54.5257191159217 -278.742506865318</t>
  </si>
  <si>
    <t>-830.538080318117 280.153338107686 -75.8175929467374</t>
  </si>
  <si>
    <t>-836.13622877233 321.107345692835 325.612485376087</t>
  </si>
  <si>
    <t>-867.343613924178 361.606191161028 770.700644512208</t>
  </si>
  <si>
    <t>-723.984700441777 388.108444524382 832.612936887895</t>
  </si>
  <si>
    <t>-824.903999858503 88.6202575237317 -66.2970947400036</t>
  </si>
  <si>
    <t>-806.252385153339 67.6125269033319 336.276476456726</t>
  </si>
  <si>
    <t>-837.184519032075 95.175942194267 782.106887460178</t>
  </si>
  <si>
    <t>-746.859613204748 -13.1057728213177 854.243860137481</t>
  </si>
  <si>
    <t>9763-20170724T111047.517861800.bin</t>
  </si>
  <si>
    <t>-828.158404566102 184.004782446531 -70.1248377612783</t>
  </si>
  <si>
    <t>-856.424984631366 177.931010181905 -182.286959217581</t>
  </si>
  <si>
    <t>-867.505505179505 176.34524847614 -280.273469257376</t>
  </si>
  <si>
    <t>-872.716941979581 176.052365010778 -369.217206970291</t>
  </si>
  <si>
    <t>-872.717520770628 176.646465090079 -458.312018113039</t>
  </si>
  <si>
    <t>-867.220929033287 178.200342189754 -582.763600488688</t>
  </si>
  <si>
    <t>-844.047423575042 176.67832241513 -662.548907071756</t>
  </si>
  <si>
    <t>-863.97037936176 204.632986449273 -527.409664988579</t>
  </si>
  <si>
    <t>-825.537069981243 334.746813743132 -505.272599718053</t>
  </si>
  <si>
    <t>-711.239370604206 354.220127319611 -234.813574752298</t>
  </si>
  <si>
    <t>-470.847870110456 338.875171098505 -229.581700544285</t>
  </si>
  <si>
    <t>-875.309304218891 150.400012407424 -528.587523337806</t>
  </si>
  <si>
    <t>-905.448403343343 19.2856058795837 -500.325976610539</t>
  </si>
  <si>
    <t>-704.807103981831 54.4935518427137 -278.293473376092</t>
  </si>
  <si>
    <t>-831.283035032024 279.809695667901 -75.9241703717918</t>
  </si>
  <si>
    <t>-836.694768234171 321.005797415796 325.483709595523</t>
  </si>
  <si>
    <t>-867.230013546053 361.671292161792 770.612498947575</t>
  </si>
  <si>
    <t>-723.886386357292 388.096458860862 832.593049600715</t>
  </si>
  <si>
    <t>-825.40898225472 88.2481308585616 -66.3724473303922</t>
  </si>
  <si>
    <t>-806.648665137169 67.6580176485882 336.217675863011</t>
  </si>
  <si>
    <t>-837.246292968199 95.1722019083627 782.105930047719</t>
  </si>
  <si>
    <t>-746.933979252125 -13.126593455881 854.232645026238</t>
  </si>
  <si>
    <t>9763-20170724T111047.581559600.bin</t>
  </si>
  <si>
    <t>-829.50690319684 183.139290917729 -70.2515904526309</t>
  </si>
  <si>
    <t>-857.73132829546 176.995638012745 -182.420443293478</t>
  </si>
  <si>
    <t>-868.793682492465 175.430349342126 -280.409309714084</t>
  </si>
  <si>
    <t>-873.993936497781 175.188365730982 -369.35394767223</t>
  </si>
  <si>
    <t>-873.9882267958 175.869967651752 -458.448182315512</t>
  </si>
  <si>
    <t>-868.487008330049 177.585187989977 -582.897389503181</t>
  </si>
  <si>
    <t>-845.259776726228 176.221175598403 -662.669981364361</t>
  </si>
  <si>
    <t>-865.407907730926 203.980802824326 -527.51615492438</t>
  </si>
  <si>
    <t>-827.838875811033 334.275675011618 -504.958542039031</t>
  </si>
  <si>
    <t>-717.985122054552 352.947375381015 -232.608142358764</t>
  </si>
  <si>
    <t>-477.870696363738 335.036204581734 -223.939559124232</t>
  </si>
  <si>
    <t>-876.407882277103 149.679623746055 -528.750865204466</t>
  </si>
  <si>
    <t>-905.661652095764 18.3575014002031 -500.550493630018</t>
  </si>
  <si>
    <t>-704.541514801016 54.8284015356494 -277.890136227673</t>
  </si>
  <si>
    <t>-832.801767969581 278.839933689309 -75.9839044081599</t>
  </si>
  <si>
    <t>-837.831306124416 320.673700074597 325.363042454519</t>
  </si>
  <si>
    <t>-866.98954813976 361.599384464733 770.557987447035</t>
  </si>
  <si>
    <t>-723.757152711766 388.482178236867 832.598979671496</t>
  </si>
  <si>
    <t>-826.615105791077 87.3497802014349 -66.5042280645595</t>
  </si>
  <si>
    <t>-807.696525155641 67.7618842628799 336.128474285197</t>
  </si>
  <si>
    <t>-837.441550354979 95.068347982427 782.134401842757</t>
  </si>
  <si>
    <t>-746.95941236063 -13.1132521777799 854.224907349555</t>
  </si>
  <si>
    <t>9763-20170724T111047.614651300.bin</t>
  </si>
  <si>
    <t>-830.101429569238 182.727425417358 -70.2561942199402</t>
  </si>
  <si>
    <t>-858.324155292676 176.523555980496 -182.422170248983</t>
  </si>
  <si>
    <t>-869.382717578918 174.939726616907 -280.411205273796</t>
  </si>
  <si>
    <t>-874.577580344017 174.692787436497 -369.356032820019</t>
  </si>
  <si>
    <t>-874.563777480455 175.381689495927 -458.450239746253</t>
  </si>
  <si>
    <t>-869.047874602389 177.120764984424 -582.898465320759</t>
  </si>
  <si>
    <t>-845.766123527062 175.806267158496 -662.656088175485</t>
  </si>
  <si>
    <t>-866.039583758428 203.519280888692 -527.514460751755</t>
  </si>
  <si>
    <t>-828.832397810059 333.88920320641 -504.832407733197</t>
  </si>
  <si>
    <t>-720.861309724724 352.309394513514 -231.713161829995</t>
  </si>
  <si>
    <t>-480.9002671842 333.22702052067 -221.440843826815</t>
  </si>
  <si>
    <t>-876.910793638473 149.191951158341 -528.755475616339</t>
  </si>
  <si>
    <t>-905.777083805126 17.775909376624 -500.565617673297</t>
  </si>
  <si>
    <t>-704.528517760008 54.8663884488997 -277.916442677184</t>
  </si>
  <si>
    <t>-833.496845950769 278.340426350055 -75.9584188909404</t>
  </si>
  <si>
    <t>-838.287470486741 320.604671234155 325.34627311715</t>
  </si>
  <si>
    <t>-866.937164447931 361.62263262489 770.565165440588</t>
  </si>
  <si>
    <t>-723.72819341956 388.612744402935 832.613613434383</t>
  </si>
  <si>
    <t>-827.088023340257 87.0809953756966 -66.544492454838</t>
  </si>
  <si>
    <t>-808.162496572941 67.7799357040926 336.101735671351</t>
  </si>
  <si>
    <t>-837.433080355167 95.1466497976276 782.147237915271</t>
  </si>
  <si>
    <t>-747.13079477442 -13.1828749034753 854.240955383782</t>
  </si>
  <si>
    <t>9763-20170724T111047.682945900.bin</t>
  </si>
  <si>
    <t>-831.165241839495 182.068628230724 -70.1733103616929</t>
  </si>
  <si>
    <t>-859.459915281515 175.723127349136 -182.313338203997</t>
  </si>
  <si>
    <t>-870.602703854475 174.133409504377 -280.292688620341</t>
  </si>
  <si>
    <t>-875.879429765661 173.923157292366 -369.232863289738</t>
  </si>
  <si>
    <t>-875.950292047425 174.69087955865 -458.326402524548</t>
  </si>
  <si>
    <t>-870.553527749044 176.582761403532 -582.77761651441</t>
  </si>
  <si>
    <t>-847.208745471649 175.31358092393 -662.517410791281</t>
  </si>
  <si>
    <t>-867.586621665057 202.932086775566 -527.367994952187</t>
  </si>
  <si>
    <t>-830.884789067818 333.389651373519 -504.36301538119</t>
  </si>
  <si>
    <t>-724.720089364349 350.305276427777 -230.439545633721</t>
  </si>
  <si>
    <t>-484.910429587584 330.144667394737 -218.787102396717</t>
  </si>
  <si>
    <t>-878.270325685829 148.568438416396 -528.657438523776</t>
  </si>
  <si>
    <t>-906.528229464461 16.9944366130012 -500.561834904729</t>
  </si>
  <si>
    <t>-704.88759307642 54.8226316259338 -278.18812050181</t>
  </si>
  <si>
    <t>-834.903666236477 277.571768755142 -75.8730856641865</t>
  </si>
  <si>
    <t>-839.235527605056 320.479062922458 325.368599395377</t>
  </si>
  <si>
    <t>-866.973258940596 361.743162733993 770.640733303656</t>
  </si>
  <si>
    <t>-723.696862209651 388.438918956715 832.660701505877</t>
  </si>
  <si>
    <t>-827.816783364322 86.5644223104164 -66.5286540582433</t>
  </si>
  <si>
    <t>-809.085867179158 67.6319534982958 336.144088700732</t>
  </si>
  <si>
    <t>-837.590136682919 95.0068957616018 782.207423097914</t>
  </si>
  <si>
    <t>-747.113096854029 -13.1921869940265 854.277787556962</t>
  </si>
  <si>
    <t>9763-20170724T111047.716546400.bin</t>
  </si>
  <si>
    <t>-831.635716792686 181.841505774468 -70.1454004554869</t>
  </si>
  <si>
    <t>-859.973185729111 175.446378048453 -182.27166402167</t>
  </si>
  <si>
    <t>-871.181794239299 173.866308887506 -280.243818463338</t>
  </si>
  <si>
    <t>-876.527689456941 173.684845838542 -369.179957550748</t>
  </si>
  <si>
    <t>-876.676182188823 174.500997220229 -458.272821714912</t>
  </si>
  <si>
    <t>-871.396421625657 176.481154038181 -582.727722624436</t>
  </si>
  <si>
    <t>-848.012703772456 175.202313818245 -662.455934750685</t>
  </si>
  <si>
    <t>-868.403726093316 202.796197850956 -527.303137038444</t>
  </si>
  <si>
    <t>-831.841919384087 333.269561333016 -504.130782816819</t>
  </si>
  <si>
    <t>-725.716811272353 349.380735388113 -230.143405632192</t>
  </si>
  <si>
    <t>-485.92154355184 329.159007801456 -218.304473912502</t>
  </si>
  <si>
    <t>-879.036420255101 148.423570855125 -528.619435332441</t>
  </si>
  <si>
    <t>-907.0881885653 16.7945594019293 -500.591270994541</t>
  </si>
  <si>
    <t>-705.089362263104 54.8225815743444 -278.213935696537</t>
  </si>
  <si>
    <t>-835.561407078328 277.363948322942 -75.8428910448624</t>
  </si>
  <si>
    <t>-839.732698013757 320.329615051358 325.394262996916</t>
  </si>
  <si>
    <t>-867.017088742698 361.769269337032 770.699999554458</t>
  </si>
  <si>
    <t>-723.730694497952 388.53302407783 832.667919513249</t>
  </si>
  <si>
    <t>-828.116635750662 86.298313883171 -66.5242037486586</t>
  </si>
  <si>
    <t>-809.574814161033 67.701805085489 336.172969506225</t>
  </si>
  <si>
    <t>-837.601360022867 95.0129783765233 782.236188443461</t>
  </si>
  <si>
    <t>-747.125917270524 -13.1907406819219 854.301849916978</t>
  </si>
  <si>
    <t>9763-20170724T111047.785805400.bin</t>
  </si>
  <si>
    <t>-832.564638656601 181.186482756345 -70.1533987643903</t>
  </si>
  <si>
    <t>-861.01265854333 174.751090950935 -182.249402790554</t>
  </si>
  <si>
    <t>-872.390846045349 173.157650548412 -280.201743192088</t>
  </si>
  <si>
    <t>-877.919141749912 172.972433680095 -369.126652050484</t>
  </si>
  <si>
    <t>-878.278605711393 173.794721244595 -458.218891937651</t>
  </si>
  <si>
    <t>-873.321508082222 175.792893861637 -582.686905517557</t>
  </si>
  <si>
    <t>-849.914527015695 174.402294865321 -662.406360095127</t>
  </si>
  <si>
    <t>-870.19505733566 202.10171378924 -527.266841731298</t>
  </si>
  <si>
    <t>-833.866827515218 332.627247800323 -504.054488258162</t>
  </si>
  <si>
    <t>-727.205101650002 348.283233425926 -230.249224369055</t>
  </si>
  <si>
    <t>-487.41831892253 327.785576499674 -218.716043886149</t>
  </si>
  <si>
    <t>-880.810504636919 147.725499772527 -528.5626399469</t>
  </si>
  <si>
    <t>-908.624471862161 16.0608027427002 -500.487543188623</t>
  </si>
  <si>
    <t>-705.992808976907 54.2427535604302 -277.687795833764</t>
  </si>
  <si>
    <t>-836.632871402548 276.593892466346 -75.7900737390107</t>
  </si>
  <si>
    <t>-840.551244521773 319.81463972827 325.422118975849</t>
  </si>
  <si>
    <t>-867.05665877676 361.676997782381 770.762549009068</t>
  </si>
  <si>
    <t>-723.839168158059 389.070389131457 832.613945827073</t>
  </si>
  <si>
    <t>-828.914206410239 85.7180612559605 -66.5494912271909</t>
  </si>
  <si>
    <t>-810.620988227578 67.7177970497373 336.186164962458</t>
  </si>
  <si>
    <t>-837.675468716791 94.9549498822048 782.28660051967</t>
  </si>
  <si>
    <t>-747.13094417277 -13.1975946809234 854.341917039914</t>
  </si>
  <si>
    <t>9763-20170724T111047.817896800.bin</t>
  </si>
  <si>
    <t>-832.954128343744 180.790338089662 -70.1439247364212</t>
  </si>
  <si>
    <t>-861.463494711181 174.38764906056 -182.226243214399</t>
  </si>
  <si>
    <t>-872.913480228058 172.785340377869 -280.170115806718</t>
  </si>
  <si>
    <t>-878.515281390298 172.577820673637 -369.090323385901</t>
  </si>
  <si>
    <t>-878.957405115421 173.363853044782 -458.182577482924</t>
  </si>
  <si>
    <t>-874.126403133834 175.29824205833 -582.656357261472</t>
  </si>
  <si>
    <t>-850.701569188851 173.828508147508 -662.369250015307</t>
  </si>
  <si>
    <t>-870.935683386943 201.634121710604 -527.252761889442</t>
  </si>
  <si>
    <t>-834.650300673864 332.194523017239 -504.121257252789</t>
  </si>
  <si>
    <t>-728.197170078677 348.082600368667 -230.248148210742</t>
  </si>
  <si>
    <t>-488.392349464701 327.613819858557 -219.0415491983</t>
  </si>
  <si>
    <t>-881.569048029157 147.260251545531 -528.510359450407</t>
  </si>
  <si>
    <t>-909.369114657717 15.6137754437364 -500.335393770311</t>
  </si>
  <si>
    <t>-706.48340361666 53.8094570139133 -277.159377128801</t>
  </si>
  <si>
    <t>-836.907099445981 276.136777576362 -75.7632232919216</t>
  </si>
  <si>
    <t>-840.745464034775 319.487182725488 325.435860894087</t>
  </si>
  <si>
    <t>-866.964775429597 361.425533483356 770.765866627599</t>
  </si>
  <si>
    <t>-723.758433503738 388.977582742481 832.573024766417</t>
  </si>
  <si>
    <t>-829.373044674929 85.3597053123408 -66.561547642632</t>
  </si>
  <si>
    <t>-811.054314293777 67.6193215538265 336.184466919926</t>
  </si>
  <si>
    <t>-837.786596159325 94.8221778466777 782.311013479806</t>
  </si>
  <si>
    <t>-747.05344988557 -13.1770277334749 854.359523728</t>
  </si>
  <si>
    <t>9763-20170724T111047.882640500.bin</t>
  </si>
  <si>
    <t>-833.56390607687 180.339137138027 -70.1345728401291</t>
  </si>
  <si>
    <t>-862.251835998911 174.025654710833 -182.176419609641</t>
  </si>
  <si>
    <t>-873.831248783182 172.412760317995 -280.104759330148</t>
  </si>
  <si>
    <t>-879.542397541122 172.162489931648 -369.018025315404</t>
  </si>
  <si>
    <t>-880.088097708231 172.872366103248 -458.110299206444</t>
  </si>
  <si>
    <t>-875.396428541965 174.664957726528 -582.591632315113</t>
  </si>
  <si>
    <t>-851.949534492918 172.996995734512 -662.294103298957</t>
  </si>
  <si>
    <t>-872.099235303509 201.054952905316 -527.220080506017</t>
  </si>
  <si>
    <t>-835.662597998047 331.593832217056 -504.21014086807</t>
  </si>
  <si>
    <t>-730.39601652127 347.333107672538 -229.870046736753</t>
  </si>
  <si>
    <t>-490.658327332726 326.645378545304 -217.678307696255</t>
  </si>
  <si>
    <t>-882.822965281649 146.697134819749 -528.406979620593</t>
  </si>
  <si>
    <t>-910.815230494234 15.1383534480965 -499.994683759814</t>
  </si>
  <si>
    <t>-707.478806920978 53.3552341012387 -276.150841338086</t>
  </si>
  <si>
    <t>-837.342992401911 275.631572455735 -75.7366363910389</t>
  </si>
  <si>
    <t>-840.796099075759 319.134978976343 325.449343897251</t>
  </si>
  <si>
    <t>-866.981499300924 361.405486365387 770.735776563577</t>
  </si>
  <si>
    <t>-723.74242694882 388.895284282825 832.494737974783</t>
  </si>
  <si>
    <t>-830.109810179917 84.9852351380505 -66.5784053093837</t>
  </si>
  <si>
    <t>-811.69735468415 67.5734524592272 336.177694091659</t>
  </si>
  <si>
    <t>-837.825138435638 94.843773130825 782.350434663819</t>
  </si>
  <si>
    <t>-747.248571727534 -13.2841784662546 854.402276737894</t>
  </si>
  <si>
    <t>9763-20170724T111047.915230100.bin</t>
  </si>
  <si>
    <t>-833.817602444664 180.23170798094 -70.1333486954702</t>
  </si>
  <si>
    <t>-862.639491679716 173.932640621574 -182.141665201372</t>
  </si>
  <si>
    <t>-874.312727059673 172.310675820956 -280.058807686331</t>
  </si>
  <si>
    <t>-880.101449704504 172.043917508302 -368.966883461507</t>
  </si>
  <si>
    <t>-880.716244770026 172.727982116788 -458.059045236315</t>
  </si>
  <si>
    <t>-876.113200514247 174.47498396387 -582.544232580653</t>
  </si>
  <si>
    <t>-852.666105903482 172.690007671013 -662.244098357927</t>
  </si>
  <si>
    <t>-872.751501279411 200.880382400834 -527.183863479458</t>
  </si>
  <si>
    <t>-836.204624169097 331.393705808025 -504.215761263611</t>
  </si>
  <si>
    <t>-731.768401200177 346.988482387852 -229.55025657526</t>
  </si>
  <si>
    <t>-492.059284343135 326.340039494628 -216.745739698279</t>
  </si>
  <si>
    <t>-883.525988671066 146.531977675074 -528.345026935677</t>
  </si>
  <si>
    <t>-911.65055077352 15.0208151719812 -499.829082225098</t>
  </si>
  <si>
    <t>-708.053715983967 53.2585518963219 -275.612543512684</t>
  </si>
  <si>
    <t>-837.55219613614 275.481380665448 -75.7383055316665</t>
  </si>
  <si>
    <t>-840.72698271536 319.070234498476 325.440689761666</t>
  </si>
  <si>
    <t>-867.002995842268 361.43863184928 770.712878311258</t>
  </si>
  <si>
    <t>-723.722581690337 388.741634232137 832.458878860516</t>
  </si>
  <si>
    <t>-830.465255450578 84.9363602126195 -66.5716952620235</t>
  </si>
  <si>
    <t>-812.057451966672 67.6533086855461 336.190160033531</t>
  </si>
  <si>
    <t>-837.830745925516 94.8794894839962 782.370445485967</t>
  </si>
  <si>
    <t>-747.242002155603 -13.2424763246845 854.416049785806</t>
  </si>
  <si>
    <t>9763-20170724T111047.982615900.bin</t>
  </si>
  <si>
    <t>-834.293450959748 180.259915405389 -70.1477109025197</t>
  </si>
  <si>
    <t>-863.412097029805 173.95060753648 -182.078452721052</t>
  </si>
  <si>
    <t>-875.295211067241 172.313028651569 -279.9701640836</t>
  </si>
  <si>
    <t>-881.2539323955 172.02902053444 -368.866991331591</t>
  </si>
  <si>
    <t>-882.019344429818 172.69167201651 -457.958132500022</t>
  </si>
  <si>
    <t>-877.605901225012 174.403210251858 -582.450612889303</t>
  </si>
  <si>
    <t>-854.160766956781 172.357942869781 -662.144911156234</t>
  </si>
  <si>
    <t>-874.120077537791 200.816394999964 -527.101735411001</t>
  </si>
  <si>
    <t>-837.309983794671 331.250930175055 -504.116593191239</t>
  </si>
  <si>
    <t>-734.054055073531 346.363893583115 -228.978513877031</t>
  </si>
  <si>
    <t>-494.406256260294 325.789105458526 -214.963570272966</t>
  </si>
  <si>
    <t>-884.976000467815 146.483722243127 -528.233679686032</t>
  </si>
  <si>
    <t>-913.31053595286 15.0402478775832 -499.618459634272</t>
  </si>
  <si>
    <t>-709.663278000942 53.2117978062961 -275.048596973699</t>
  </si>
  <si>
    <t>-837.985255961523 275.412500496067 -75.799932135967</t>
  </si>
  <si>
    <t>-840.834828641357 319.122559352149 325.368344840593</t>
  </si>
  <si>
    <t>-866.996029965276 361.448729452592 770.624341603856</t>
  </si>
  <si>
    <t>-723.6294278544 388.34819092894 832.347745741476</t>
  </si>
  <si>
    <t>-830.974691932655 85.1253504571491 -66.5719478854207</t>
  </si>
  <si>
    <t>-812.6634278826 67.9154901825609 336.197480854059</t>
  </si>
  <si>
    <t>-837.908704895654 94.8107125391816 782.395794994742</t>
  </si>
  <si>
    <t>-747.338698810864 -13.3236141280913 854.44660731403</t>
  </si>
  <si>
    <t>9763-20170724T111048.015206200.bin</t>
  </si>
  <si>
    <t>-834.526790607131 180.252204180107 -70.2036975694373</t>
  </si>
  <si>
    <t>-863.737384624765 173.973702306788 -182.112368465179</t>
  </si>
  <si>
    <t>-875.718265540228 172.348814249181 -279.992176378471</t>
  </si>
  <si>
    <t>-881.773292393562 172.0717991007 -368.882632476518</t>
  </si>
  <si>
    <t>-882.642974423369 172.737172624858 -457.972762448419</t>
  </si>
  <si>
    <t>-878.38383002737 174.449080730152 -582.470612226456</t>
  </si>
  <si>
    <t>-854.96618579388 172.292264920881 -662.170023823937</t>
  </si>
  <si>
    <t>-874.813767414797 200.858989442106 -527.12557573887</t>
  </si>
  <si>
    <t>-837.896227863246 331.263207387513 -504.125242838709</t>
  </si>
  <si>
    <t>-734.660536083385 346.194589575237 -228.969683300758</t>
  </si>
  <si>
    <t>-495.033047502606 325.649837343915 -214.565371895727</t>
  </si>
  <si>
    <t>-885.702290646988 146.532584796657 -528.24504886807</t>
  </si>
  <si>
    <t>-914.134135810466 15.1236168065298 -499.595259488159</t>
  </si>
  <si>
    <t>-710.345712005153 53.2321016850497 -275.035387737862</t>
  </si>
  <si>
    <t>-838.166302210321 275.364600491254 -75.8532828040358</t>
  </si>
  <si>
    <t>-840.936892419094 318.971714459266 325.326782285136</t>
  </si>
  <si>
    <t>-866.827491366901 361.1660814737 770.581848379056</t>
  </si>
  <si>
    <t>-723.57927580056 388.682033413292 832.307760181354</t>
  </si>
  <si>
    <t>-831.202658127829 85.0727316472203 -66.6043003253795</t>
  </si>
  <si>
    <t>-812.864239631988 68.0177751097021 336.170416883869</t>
  </si>
  <si>
    <t>-837.941092561158 94.790077333636 782.399156259719</t>
  </si>
  <si>
    <t>-747.406172572968 -13.3703385141835 854.455011996827</t>
  </si>
  <si>
    <t>9763-20170724T111048.084901400.bin</t>
  </si>
  <si>
    <t>-835.062704096391 180.101535173052 -70.3240008557435</t>
  </si>
  <si>
    <t>-864.380006419236 173.919856075483 -182.210169415872</t>
  </si>
  <si>
    <t>-876.552118070199 172.289730227895 -280.066428568825</t>
  </si>
  <si>
    <t>-882.822380163227 171.976240201445 -368.941631237399</t>
  </si>
  <si>
    <t>-883.95124869735 172.574763269233 -458.02938094266</t>
  </si>
  <si>
    <t>-880.101346803742 174.163236501628 -582.542173282618</t>
  </si>
  <si>
    <t>-856.796368236961 171.811121987176 -662.2690460138</t>
  </si>
  <si>
    <t>-876.299711963332 200.61796224865 -527.233813345638</t>
  </si>
  <si>
    <t>-839.170730640519 331.008425391196 -504.453005995012</t>
  </si>
  <si>
    <t>-735.558124420704 346.281204135986 -229.457871001369</t>
  </si>
  <si>
    <t>-495.970174618841 325.836815169185 -214.27828901816</t>
  </si>
  <si>
    <t>-887.291289571086 146.310536635892 -528.266576907011</t>
  </si>
  <si>
    <t>-915.925884793855 14.9963317724651 -499.401009453165</t>
  </si>
  <si>
    <t>-711.756210442858 53.0781074809574 -275.011543387733</t>
  </si>
  <si>
    <t>-838.55056725687 275.306351441172 -75.9416767230887</t>
  </si>
  <si>
    <t>-841.283604545639 318.875029039845 325.242840646318</t>
  </si>
  <si>
    <t>-866.830476520025 361.360835997509 770.49678782527</t>
  </si>
  <si>
    <t>-723.522129275121 388.40911661924 832.289990325415</t>
  </si>
  <si>
    <t>-831.913439166866 84.7744706491658 -66.7049935866567</t>
  </si>
  <si>
    <t>-813.267521407103 68.1093616477606 336.072004222797</t>
  </si>
  <si>
    <t>-838.035738782829 94.7170899051875 782.377174454124</t>
  </si>
  <si>
    <t>-747.530691239831 -13.4609284285248 854.444051036062</t>
  </si>
  <si>
    <t>9763-20170724T111048.116982100.bin</t>
  </si>
  <si>
    <t>-835.255179260924 180.046169416582 -70.351111870359</t>
  </si>
  <si>
    <t>-864.630712634131 173.903988108181 -182.224113986715</t>
  </si>
  <si>
    <t>-876.898224688041 172.24117627161 -280.06793335744</t>
  </si>
  <si>
    <t>-883.276003143409 171.873488173968 -368.935368058122</t>
  </si>
  <si>
    <t>-884.533705757254 172.393233219384 -458.021824445024</t>
  </si>
  <si>
    <t>-880.886542816314 173.846656969615 -582.542440720941</t>
  </si>
  <si>
    <t>-857.667616236415 171.384630272671 -662.291236325825</t>
  </si>
  <si>
    <t>-876.960255211847 200.353886670294 -527.268308588724</t>
  </si>
  <si>
    <t>-839.722986175282 330.747856551912 -504.708730968001</t>
  </si>
  <si>
    <t>-736.118364928282 346.698054765803 -229.748914522858</t>
  </si>
  <si>
    <t>-496.560440720308 326.11315098546 -214.284202972646</t>
  </si>
  <si>
    <t>-888.022694689519 146.059726968104 -528.225977759081</t>
  </si>
  <si>
    <t>-916.780201020361 14.8187545458259 -499.167422825217</t>
  </si>
  <si>
    <t>-712.271519690658 52.8073631665234 -274.990593175485</t>
  </si>
  <si>
    <t>-838.694269835549 275.248971939196 -75.9650057511224</t>
  </si>
  <si>
    <t>-841.33840348753 318.830681122335 325.218530598482</t>
  </si>
  <si>
    <t>-866.850643557148 361.473368391451 770.482733412528</t>
  </si>
  <si>
    <t>-723.516883330146 388.370596064714 832.2825612531</t>
  </si>
  <si>
    <t>-832.18899782585 84.7783735464545 -66.7360853982349</t>
  </si>
  <si>
    <t>-813.422760805616 68.2198817115877 336.039664640919</t>
  </si>
  <si>
    <t>-837.96727117579 94.8496851952009 782.362503677282</t>
  </si>
  <si>
    <t>-747.80883673194 -13.6034743657592 854.45030475379</t>
  </si>
  <si>
    <t>9763-20170724T111048.186732700.bin</t>
  </si>
  <si>
    <t>-835.740080684941 180.030811361985 -70.3139999418147</t>
  </si>
  <si>
    <t>-865.196984239364 174.000663479639 -182.17174330166</t>
  </si>
  <si>
    <t>-877.628392342361 172.272440461764 -279.99357716828</t>
  </si>
  <si>
    <t>-884.196331168951 171.785271872048 -368.846807528358</t>
  </si>
  <si>
    <t>-885.689975794616 172.12642686004 -457.930312051549</t>
  </si>
  <si>
    <t>-882.421888630425 173.271117450486 -582.464722891896</t>
  </si>
  <si>
    <t>-859.437847358477 170.575616692683 -662.274019731649</t>
  </si>
  <si>
    <t>-878.267637944644 199.90339730161 -527.267220386551</t>
  </si>
  <si>
    <t>-840.873576946791 330.32438266784 -505.155099318892</t>
  </si>
  <si>
    <t>-738.37870978331 347.724291701013 -229.867504976923</t>
  </si>
  <si>
    <t>-498.918858972949 326.620039437671 -213.606683539451</t>
  </si>
  <si>
    <t>-889.452843067394 145.631374968958 -528.059494569911</t>
  </si>
  <si>
    <t>-918.424438297136 14.5194802646733 -498.567143137621</t>
  </si>
  <si>
    <t>-713.245964082741 52.3896891662321 -275.004994288057</t>
  </si>
  <si>
    <t>-839.038323243667 275.227111475854 -75.9172618369722</t>
  </si>
  <si>
    <t>-841.167855154648 318.650312426691 325.286617675315</t>
  </si>
  <si>
    <t>-866.724468858811 361.240752426154 770.56183262273</t>
  </si>
  <si>
    <t>-723.46390859394 388.673269974599 832.296631121521</t>
  </si>
  <si>
    <t>-832.819582010339 84.8393662992289 -66.747857108976</t>
  </si>
  <si>
    <t>-813.796033352958 68.3022603668001 336.016669210985</t>
  </si>
  <si>
    <t>-838.078562338347 94.750278222225 782.355058556468</t>
  </si>
  <si>
    <t>-747.699995079055 -13.5207335890241 854.441068235975</t>
  </si>
  <si>
    <t>9763-20170724T111048.218348700.bin</t>
  </si>
  <si>
    <t>-836.082789730748 180.183602501663 -70.2999512023392</t>
  </si>
  <si>
    <t>-865.545436414389 174.224639096868 -182.160025830562</t>
  </si>
  <si>
    <t>-878.05415481661 172.483471554915 -279.971877953408</t>
  </si>
  <si>
    <t>-884.723943574518 171.959467473803 -368.817106935461</t>
  </si>
  <si>
    <t>-886.352211602513 172.239862126765 -457.898578249214</t>
  </si>
  <si>
    <t>-883.30795398991 173.276407673477 -582.439633233968</t>
  </si>
  <si>
    <t>-860.480698851439 170.479407286845 -662.290212755243</t>
  </si>
  <si>
    <t>-879.03685624195 199.952993923543 -527.27234240884</t>
  </si>
  <si>
    <t>-841.592182245488 330.393114621318 -505.368576635449</t>
  </si>
  <si>
    <t>-740.128652226332 348.009486248509 -229.712764787186</t>
  </si>
  <si>
    <t>-500.704243577457 326.76352024439 -213.114546072262</t>
  </si>
  <si>
    <t>-890.258515155839 145.687649353767 -527.998261086488</t>
  </si>
  <si>
    <t>-919.334000495296 14.641293304237 -498.323417847724</t>
  </si>
  <si>
    <t>-713.84745087619 52.4225388376399 -274.941526652268</t>
  </si>
  <si>
    <t>-839.36934144566 275.487134470697 -75.880031511897</t>
  </si>
  <si>
    <t>-841.133560531235 318.695778687037 325.348821056507</t>
  </si>
  <si>
    <t>-866.802697983242 361.393579273496 770.616557546689</t>
  </si>
  <si>
    <t>-723.478259105276 388.561209050444 832.319715020104</t>
  </si>
  <si>
    <t>-833.201820741139 84.8785143876075 -66.755494142128</t>
  </si>
  <si>
    <t>-814.040772074517 68.4166944928397 336.005627489513</t>
  </si>
  <si>
    <t>-838.150011385429 94.6880829942884 782.349039358079</t>
  </si>
  <si>
    <t>-747.671283581746 -13.4991937629675 854.43511771982</t>
  </si>
  <si>
    <t>9763-20170724T111048.281661500.bin</t>
  </si>
  <si>
    <t>-836.761831189777 180.762605802428 -70.3102129969673</t>
  </si>
  <si>
    <t>-866.235286159708 174.892768955938 -182.172024642061</t>
  </si>
  <si>
    <t>-878.919973702883 173.1470424429 -279.961122216267</t>
  </si>
  <si>
    <t>-885.819574350427 172.594696649503 -368.788709893392</t>
  </si>
  <si>
    <t>-887.750008568393 172.829029874887 -457.864240825508</t>
  </si>
  <si>
    <t>-885.204281091815 173.786142093528 -582.417215166531</t>
  </si>
  <si>
    <t>-862.69489655457 170.854718394758 -662.353105757982</t>
  </si>
  <si>
    <t>-880.716893512023 200.498809181145 -527.284387443494</t>
  </si>
  <si>
    <t>-843.191863934719 330.979549052754 -505.751819841593</t>
  </si>
  <si>
    <t>-744.471443190589 348.253707091533 -229.080331327106</t>
  </si>
  <si>
    <t>-505.134108586556 326.685550959819 -211.661632299133</t>
  </si>
  <si>
    <t>-891.932272862629 146.231132626945 -527.930806500136</t>
  </si>
  <si>
    <t>-921.088794987266 15.2727384262639 -497.945183196639</t>
  </si>
  <si>
    <t>-715.095186187159 53.118055052887 -274.728947049936</t>
  </si>
  <si>
    <t>-839.981317908688 276.119602291189 -75.8564322945869</t>
  </si>
  <si>
    <t>-841.197039600087 318.994344563371 325.41027816229</t>
  </si>
  <si>
    <t>-866.781342476364 361.442023873612 770.686921757382</t>
  </si>
  <si>
    <t>-723.365036316919 388.16879936535 832.369682445177</t>
  </si>
  <si>
    <t>-833.908014069565 85.3822528593123 -66.7886889367602</t>
  </si>
  <si>
    <t>-814.54166135049 68.8903927408801 335.961410417375</t>
  </si>
  <si>
    <t>-838.196596435831 94.7109080697364 782.33361548827</t>
  </si>
  <si>
    <t>-747.801571208734 -13.5373030909896 854.433090301809</t>
  </si>
  <si>
    <t>9763-20170724T111048.315257800.bin</t>
  </si>
  <si>
    <t>-837.047487908414 181.087290857125 -70.3369924750357</t>
  </si>
  <si>
    <t>-866.491581628265 175.226592000506 -182.207139660626</t>
  </si>
  <si>
    <t>-879.250986315132 173.479196282154 -279.986376995403</t>
  </si>
  <si>
    <t>-886.259554831163 172.926808076764 -368.805513145886</t>
  </si>
  <si>
    <t>-888.340600026827 173.163602544333 -457.877551977956</t>
  </si>
  <si>
    <t>-886.048478027704 174.131892382706 -582.435377513247</t>
  </si>
  <si>
    <t>-863.69230715122 171.157021399942 -662.412748810216</t>
  </si>
  <si>
    <t>-881.461902496294 200.842163826503 -527.309866977062</t>
  </si>
  <si>
    <t>-843.908051551766 331.336735154164 -505.892150418094</t>
  </si>
  <si>
    <t>-746.433338376224 348.304294943062 -228.760464355262</t>
  </si>
  <si>
    <t>-507.122740219709 326.634130062151 -211.107540621956</t>
  </si>
  <si>
    <t>-892.652607035689 146.56962829251 -527.937480628891</t>
  </si>
  <si>
    <t>-921.80325835362 15.6376065461441 -497.852151181867</t>
  </si>
  <si>
    <t>-715.529708981798 53.5258965624703 -274.628907478102</t>
  </si>
  <si>
    <t>-840.213993062774 276.425219297824 -75.8864303040538</t>
  </si>
  <si>
    <t>-841.235856305982 319.225088213593 325.388774009616</t>
  </si>
  <si>
    <t>-866.750158839008 361.481666816815 770.678839293827</t>
  </si>
  <si>
    <t>-723.320037859739 388.095607593052 832.377512182665</t>
  </si>
  <si>
    <t>-834.200975244477 85.7230252412769 -66.8101077540009</t>
  </si>
  <si>
    <t>-814.74602592124 69.1327226743315 335.931662690061</t>
  </si>
  <si>
    <t>-838.24745998016 94.6848779215788 782.328873005669</t>
  </si>
  <si>
    <t>-747.888482920746 -13.5895452778241 854.434378575555</t>
  </si>
  <si>
    <t>9763-20170724T111048.383960300.bin</t>
  </si>
  <si>
    <t>-837.532456845903 181.660047123131 -70.4293910966027</t>
  </si>
  <si>
    <t>-866.914470365483 175.739347126055 -182.312644145696</t>
  </si>
  <si>
    <t>-879.857343687738 173.941067892071 -280.067123090883</t>
  </si>
  <si>
    <t>-887.128324696932 173.349680291319 -368.864652808728</t>
  </si>
  <si>
    <t>-889.568610194858 173.560369742068 -457.927777954377</t>
  </si>
  <si>
    <t>-887.87918828016 174.509158004728 -582.495223774935</t>
  </si>
  <si>
    <t>-865.825633947528 171.438006034904 -662.553016874595</t>
  </si>
  <si>
    <t>-883.049840730871 201.233211559546 -527.397104282256</t>
  </si>
  <si>
    <t>-845.513377288572 331.781206914082 -506.255236329049</t>
  </si>
  <si>
    <t>-749.605875977348 348.207272832059 -228.544729517327</t>
  </si>
  <si>
    <t>-510.351518694609 326.403737368173 -210.302314416688</t>
  </si>
  <si>
    <t>-894.195118836893 146.950091438442 -527.96165738233</t>
  </si>
  <si>
    <t>-923.257939501498 16.044435968151 -497.702022666245</t>
  </si>
  <si>
    <t>-716.45047537037 54.1400753873013 -274.374817811544</t>
  </si>
  <si>
    <t>-840.715729320725 276.967012704674 -76.0220832852785</t>
  </si>
  <si>
    <t>-841.334197583814 319.688261567355 325.262387490781</t>
  </si>
  <si>
    <t>-866.614274774966 361.510457577612 770.617307170171</t>
  </si>
  <si>
    <t>-723.204154273128 388.079388172323 832.382482192029</t>
  </si>
  <si>
    <t>-834.654585750367 86.2813949190263 -66.8452148580204</t>
  </si>
  <si>
    <t>-814.950661649443 69.5741095440517 335.879593113351</t>
  </si>
  <si>
    <t>-838.348525821312 94.632132810993 782.319175471962</t>
  </si>
  <si>
    <t>-748.061812403322 -13.6940722559771 854.437177538653</t>
  </si>
  <si>
    <t>9763-20170724T111048.416549900.bin</t>
  </si>
  <si>
    <t>-837.709271271827 181.888204961306 -70.4516915656434</t>
  </si>
  <si>
    <t>-867.088477243793 175.938780345248 -182.334158214401</t>
  </si>
  <si>
    <t>-880.138933283551 174.11032071051 -280.073511422027</t>
  </si>
  <si>
    <t>-887.552761755673 173.493127399066 -368.859188482306</t>
  </si>
  <si>
    <t>-890.180953085204 173.681294799083 -457.917152818405</t>
  </si>
  <si>
    <t>-888.800859788836 174.604084146586 -582.488672247204</t>
  </si>
  <si>
    <t>-866.896807176648 171.481579869343 -662.585439154546</t>
  </si>
  <si>
    <t>-883.847948224475 201.342186458661 -527.408286732409</t>
  </si>
  <si>
    <t>-846.36749273655 331.93394435296 -506.462241728478</t>
  </si>
  <si>
    <t>-751.037734102212 348.285071673296 -228.548523081546</t>
  </si>
  <si>
    <t>-511.806218299228 326.333085727043 -210.183414477691</t>
  </si>
  <si>
    <t>-894.968397441116 147.054024393758 -527.933631091448</t>
  </si>
  <si>
    <t>-924.004051190945 16.1660366014248 -497.564558650473</t>
  </si>
  <si>
    <t>-716.87918588969 54.2968986549781 -274.243561926519</t>
  </si>
  <si>
    <t>-840.923426659601 277.214233793457 -76.0862890481187</t>
  </si>
  <si>
    <t>-841.430218727189 319.904663972941 325.201568529045</t>
  </si>
  <si>
    <t>-866.521853873754 361.470420967443 770.600339943537</t>
  </si>
  <si>
    <t>-723.122525918758 388.06146540088 832.381016242557</t>
  </si>
  <si>
    <t>-834.8201973907 86.4904550174547 -66.856994073127</t>
  </si>
  <si>
    <t>-814.964701851066 69.7550703528518 335.859232694673</t>
  </si>
  <si>
    <t>-838.365656012058 94.6507242780872 782.30910278515</t>
  </si>
  <si>
    <t>-748.110075944758 -13.6952237125633 854.436108656404</t>
  </si>
  <si>
    <t>9763-20170724T111048.482228400.bin</t>
  </si>
  <si>
    <t>-838.062762427799 182.146678520118 -70.4969046145511</t>
  </si>
  <si>
    <t>-867.43187730184 176.185890828297 -182.381462462661</t>
  </si>
  <si>
    <t>-880.681233628442 174.281169312315 -280.092699257868</t>
  </si>
  <si>
    <t>-888.361433600669 173.574858649754 -368.855041514751</t>
  </si>
  <si>
    <t>-891.343804625023 173.658928911363 -457.90187631035</t>
  </si>
  <si>
    <t>-890.551784446925 174.424657752825 -582.479558104347</t>
  </si>
  <si>
    <t>-868.929533399271 171.160396542484 -662.647200386313</t>
  </si>
  <si>
    <t>-885.35321821416 201.235049239002 -527.456927399888</t>
  </si>
  <si>
    <t>-847.948544579168 331.92562152821 -506.985442651085</t>
  </si>
  <si>
    <t>-753.681422904387 349.090907699099 -228.75842330075</t>
  </si>
  <si>
    <t>-514.561781925657 326.410281805202 -209.829133460575</t>
  </si>
  <si>
    <t>-896.447314455304 146.940293896887 -527.861217025285</t>
  </si>
  <si>
    <t>-925.389810993838 16.1024684266067 -497.189216505012</t>
  </si>
  <si>
    <t>-717.695321393103 54.4111435811346 -274.296884310798</t>
  </si>
  <si>
    <t>-841.260934879257 277.544208266361 -76.1687498867814</t>
  </si>
  <si>
    <t>-841.559788343743 320.204128961099 325.122605459341</t>
  </si>
  <si>
    <t>-866.354571579262 361.388613116663 770.582815142301</t>
  </si>
  <si>
    <t>-723.034316671519 388.382838297487 832.371967107498</t>
  </si>
  <si>
    <t>-835.253065054579 86.694940398183 -66.8752065725081</t>
  </si>
  <si>
    <t>-815.206557959746 70.0284827400328 335.834373654493</t>
  </si>
  <si>
    <t>-838.444963032586 94.6342208450051 782.298783472327</t>
  </si>
  <si>
    <t>-748.082330379902 -13.6211271251864 854.42802877977</t>
  </si>
  <si>
    <t>9763-20170724T111048.516825100.bin</t>
  </si>
  <si>
    <t>-838.301179736548 182.341337450458 -70.5217939868296</t>
  </si>
  <si>
    <t>-867.675959220983 176.372329543535 -182.404364870786</t>
  </si>
  <si>
    <t>-881.024960272361 174.416259424665 -280.10096962604</t>
  </si>
  <si>
    <t>-888.835067897174 173.648993812784 -368.851542028624</t>
  </si>
  <si>
    <t>-891.988048187069 173.659766072481 -457.892580846644</t>
  </si>
  <si>
    <t>-891.476964999122 174.31183011313 -582.472332937077</t>
  </si>
  <si>
    <t>-869.983241372014 170.947751062325 -662.670434813736</t>
  </si>
  <si>
    <t>-886.150444523112 201.171637307634 -527.486169269226</t>
  </si>
  <si>
    <t>-848.735576997836 331.898011059789 -507.279092929153</t>
  </si>
  <si>
    <t>-755.430452393326 349.644446605829 -228.7643363306</t>
  </si>
  <si>
    <t>-516.386310542111 326.419020937178 -209.546400253807</t>
  </si>
  <si>
    <t>-897.253039842055 146.878084531498 -527.815782947294</t>
  </si>
  <si>
    <t>-926.161344463232 16.073315454566 -496.963612048772</t>
  </si>
  <si>
    <t>-718.025097223683 54.3889508018019 -274.386596257162</t>
  </si>
  <si>
    <t>-841.511112592953 277.804912068077 -76.1991780534121</t>
  </si>
  <si>
    <t>-841.615427295218 320.458395072094 325.09292874483</t>
  </si>
  <si>
    <t>-866.390999791526 361.569893274579 770.582610206488</t>
  </si>
  <si>
    <t>-723.000429318339 388.171326616511 832.379184266507</t>
  </si>
  <si>
    <t>-835.494059816406 86.8618778835016 -66.8868055718241</t>
  </si>
  <si>
    <t>-815.386888169242 70.1748384513689 335.818896980485</t>
  </si>
  <si>
    <t>-838.492205607055 94.6197156002731 782.302117069997</t>
  </si>
  <si>
    <t>-748.064826519824 -13.5819140593562 854.430879395779</t>
  </si>
  <si>
    <t>9763-20170724T111048.580527900.bin</t>
  </si>
  <si>
    <t>-838.657098955232 182.595789794937 -70.5085436136986</t>
  </si>
  <si>
    <t>-868.143403322236 176.628797386939 -182.36191415431</t>
  </si>
  <si>
    <t>-881.67697254374 174.637452193817 -280.032392599741</t>
  </si>
  <si>
    <t>-889.691403675394 173.826345714693 -368.764369782184</t>
  </si>
  <si>
    <t>-893.086768646322 173.784005715556 -457.796497759875</t>
  </si>
  <si>
    <t>-892.954106757947 174.353898245413 -582.377637522679</t>
  </si>
  <si>
    <t>-871.619633838633 170.832268507449 -662.611535654401</t>
  </si>
  <si>
    <t>-887.464445069264 201.250875375141 -527.425572573701</t>
  </si>
  <si>
    <t>-849.923259681143 331.981849757228 -507.530308018857</t>
  </si>
  <si>
    <t>-758.184884428939 350.502363369363 -228.54595915483</t>
  </si>
  <si>
    <t>-519.25981813473 326.255629030928 -209.110893083704</t>
  </si>
  <si>
    <t>-898.560285865385 146.955645303794 -527.685738064466</t>
  </si>
  <si>
    <t>-927.502028639336 16.2018298090425 -496.598810455859</t>
  </si>
  <si>
    <t>-718.48410289368 54.2078067672828 -274.671710415425</t>
  </si>
  <si>
    <t>-841.811185136662 277.990035035206 -76.2035974336615</t>
  </si>
  <si>
    <t>-841.581882747061 320.722722887282 325.079988910206</t>
  </si>
  <si>
    <t>-866.280474750289 361.564692463065 770.585282025576</t>
  </si>
  <si>
    <t>-722.886578646793 388.13043084851 832.389753142958</t>
  </si>
  <si>
    <t>-835.84487899562 87.151127089061 -66.8838075522833</t>
  </si>
  <si>
    <t>-815.631208638 70.3658103896501 335.812508879522</t>
  </si>
  <si>
    <t>-838.583810550207 94.6057663239517 782.313432282431</t>
  </si>
  <si>
    <t>-748.279914817846 -13.6926100300493 854.451759661517</t>
  </si>
  <si>
    <t>9763-20170724T111048.618130600.bin</t>
  </si>
  <si>
    <t>-838.757327984536 182.587121997576 -70.5144209840885</t>
  </si>
  <si>
    <t>-868.317074195942 176.590668242672 -182.346728709703</t>
  </si>
  <si>
    <t>-881.922716558815 174.606962038728 -280.007422174922</t>
  </si>
  <si>
    <t>-890.004282298704 173.817377032385 -368.733546916208</t>
  </si>
  <si>
    <t>-893.468449866671 173.810380946808 -457.762911771985</t>
  </si>
  <si>
    <t>-893.433395471345 174.445144181929 -582.343812879186</t>
  </si>
  <si>
    <t>-872.120200341153 170.898736287997 -662.582349499635</t>
  </si>
  <si>
    <t>-887.911690354461 201.315664086746 -527.38208069159</t>
  </si>
  <si>
    <t>-850.299416931992 332.034112103171 -507.53456790483</t>
  </si>
  <si>
    <t>-758.561630862745 350.951285733532 -228.576742798602</t>
  </si>
  <si>
    <t>-519.727212861216 326.101107453816 -208.791811646053</t>
  </si>
  <si>
    <t>-898.98602122959 147.016045185197 -527.661828730887</t>
  </si>
  <si>
    <t>-927.972050003819 16.2767282109758 -496.577128673031</t>
  </si>
  <si>
    <t>-718.656669737063 53.9758681192225 -274.922952222839</t>
  </si>
  <si>
    <t>-841.922716042155 277.997795596012 -76.2148569119307</t>
  </si>
  <si>
    <t>-841.562070435597 320.76379047782 325.065098503397</t>
  </si>
  <si>
    <t>-866.221210075167 361.56823044593 770.570081962356</t>
  </si>
  <si>
    <t>-722.847292293817 388.201444633998 832.3912285709</t>
  </si>
  <si>
    <t>-835.923541435159 87.113626396846 -66.8703078339515</t>
  </si>
  <si>
    <t>-815.734790618416 70.3485021728516 335.828158032307</t>
  </si>
  <si>
    <t>-838.647548324705 94.5870720394287 782.328135378348</t>
  </si>
  <si>
    <t>-748.248416467143 -13.6405860238383 854.453140353854</t>
  </si>
  <si>
    <t>9763-20170724T111048.681350300.bin</t>
  </si>
  <si>
    <t>-838.775522161627 182.332611288787 -70.5351239184084</t>
  </si>
  <si>
    <t>-868.473273818089 176.27849398733 -182.327907331856</t>
  </si>
  <si>
    <t>-882.18196128521 174.340194768921 -279.975112326197</t>
  </si>
  <si>
    <t>-890.347744637265 173.626867839453 -368.694046865313</t>
  </si>
  <si>
    <t>-893.884573519611 173.72971899879 -457.720499839192</t>
  </si>
  <si>
    <t>-893.937535006689 174.552366953214 -582.300346329253</t>
  </si>
  <si>
    <t>-872.582242833083 170.958487024008 -662.525510737851</t>
  </si>
  <si>
    <t>-888.384943395805 201.341582753329 -527.302031681446</t>
  </si>
  <si>
    <t>-850.523841947802 331.993285953743 -507.479056079879</t>
  </si>
  <si>
    <t>-756.97063181678 351.455387462464 -229.162446231991</t>
  </si>
  <si>
    <t>-518.21035236472 325.90915744777 -209.368439917438</t>
  </si>
  <si>
    <t>-899.443314263192 147.039060166999 -527.655819575274</t>
  </si>
  <si>
    <t>-928.587195766995 16.309839566155 -496.715644327626</t>
  </si>
  <si>
    <t>-719.12762709076 53.4685040316936 -275.481312580433</t>
  </si>
  <si>
    <t>-841.916097733519 277.683449435675 -76.2251305574039</t>
  </si>
  <si>
    <t>-841.538848574295 320.652616284 325.033034718988</t>
  </si>
  <si>
    <t>-866.058831405111 361.482028456468 770.536012958196</t>
  </si>
  <si>
    <t>-722.723902932554 388.238918690553 832.394440352954</t>
  </si>
  <si>
    <t>-835.934209405316 86.8971417267794 -66.8516379072441</t>
  </si>
  <si>
    <t>-815.828240450764 70.2613308901773 335.856277139637</t>
  </si>
  <si>
    <t>-838.724173506526 94.6248013799559 782.362346165971</t>
  </si>
  <si>
    <t>-748.437909210113 -13.7111977043278 854.466367005539</t>
  </si>
  <si>
    <t>9763-20170724T111048.729981500.bin</t>
  </si>
  <si>
    <t>-838.75660625659 182.046073644453 -70.5166939367545</t>
  </si>
  <si>
    <t>-868.503923260337 175.970256925216 -182.295119748845</t>
  </si>
  <si>
    <t>-882.246124784734 174.046437916122 -279.937841738071</t>
  </si>
  <si>
    <t>-890.436612445586 173.357943582444 -368.654686548462</t>
  </si>
  <si>
    <t>-893.992895940658 173.496852417537 -457.680362528058</t>
  </si>
  <si>
    <t>-894.066526391079 174.380453467143 -582.259875162323</t>
  </si>
  <si>
    <t>-872.674200104534 170.757949540028 -662.473783287259</t>
  </si>
  <si>
    <t>-888.50010297411 201.14189396558 -527.24926984101</t>
  </si>
  <si>
    <t>-850.561904369536 331.783911453137 -507.456486878536</t>
  </si>
  <si>
    <t>-755.576924234289 351.764677519654 -229.661847342542</t>
  </si>
  <si>
    <t>-516.768526170467 326.061607400955 -210.666591095581</t>
  </si>
  <si>
    <t>-899.567896626222 146.841575498358 -527.627829424385</t>
  </si>
  <si>
    <t>-928.801845385187 16.1158878282554 -496.765721539903</t>
  </si>
  <si>
    <t>-719.28977873809 53.043578184635 -275.390376173246</t>
  </si>
  <si>
    <t>-841.889154530337 277.332297011541 -76.2071142164538</t>
  </si>
  <si>
    <t>-841.481750121803 320.454118993222 325.034724593021</t>
  </si>
  <si>
    <t>-865.9137518676 361.264974418983 770.544817877387</t>
  </si>
  <si>
    <t>-722.651730787757 388.42547573655 832.396180344987</t>
  </si>
  <si>
    <t>-835.950482205256 86.6778727584297 -66.8382634057738</t>
  </si>
  <si>
    <t>-815.884226381717 70.124549560072 335.875073578567</t>
  </si>
  <si>
    <t>-838.776189603603 94.6126954220076 782.377609017592</t>
  </si>
  <si>
    <t>-748.488540413079 -13.7268261899985 854.474624859831</t>
  </si>
  <si>
    <t>9763-20170724T111048.786204200.bin</t>
  </si>
  <si>
    <t>-838.942669674322 181.722149617549 -70.4441264889168</t>
  </si>
  <si>
    <t>-868.707119885753 175.67290059466 -182.21942549019</t>
  </si>
  <si>
    <t>-882.472891799612 173.760332410285 -279.859032724719</t>
  </si>
  <si>
    <t>-890.689235497177 173.07764867204 -368.573527555519</t>
  </si>
  <si>
    <t>-894.274867772383 173.217279877204 -457.598073469529</t>
  </si>
  <si>
    <t>-894.394018068303 174.097285273278 -582.17737392372</t>
  </si>
  <si>
    <t>-872.919469067095 170.409921144123 -662.366424965459</t>
  </si>
  <si>
    <t>-888.788636900768 200.856510577562 -527.169786341162</t>
  </si>
  <si>
    <t>-850.740223235503 331.494821450979 -507.577231382837</t>
  </si>
  <si>
    <t>-753.33495374024 352.551845294865 -230.701664942997</t>
  </si>
  <si>
    <t>-514.419606837834 327.000957512161 -212.885455992576</t>
  </si>
  <si>
    <t>-899.894515320575 146.563797564872 -527.54255793029</t>
  </si>
  <si>
    <t>-929.255020445621 15.8580830516426 -496.685434666289</t>
  </si>
  <si>
    <t>-719.769585867621 52.5377269983683 -274.851277423849</t>
  </si>
  <si>
    <t>-842.058396933481 277.085369110294 -76.1477661236614</t>
  </si>
  <si>
    <t>-841.389063663782 320.368078312141 325.076410837482</t>
  </si>
  <si>
    <t>-865.969207837241 361.449728531991 770.575394666868</t>
  </si>
  <si>
    <t>-722.575913878301 387.936491406449 832.414788431242</t>
  </si>
  <si>
    <t>-836.228338026156 86.3564223481271 -66.7954156221889</t>
  </si>
  <si>
    <t>-816.215993854631 70.026691246439 335.929741618904</t>
  </si>
  <si>
    <t>-838.89330938155 94.5704435278985 782.423335260978</t>
  </si>
  <si>
    <t>-748.615249457435 -13.7882440189637 854.503143792196</t>
  </si>
  <si>
    <t>9763-20170724T111048.817787400.bin</t>
  </si>
  <si>
    <t>-839.004595082286 181.576245484379 -70.4214787297665</t>
  </si>
  <si>
    <t>-868.779626531177 175.555814836786 -182.195339889653</t>
  </si>
  <si>
    <t>-882.552713705914 173.650863639191 -279.834144371331</t>
  </si>
  <si>
    <t>-890.775580729 172.969082383471 -368.548188930249</t>
  </si>
  <si>
    <t>-894.367981949443 173.10472862052 -457.57240103869</t>
  </si>
  <si>
    <t>-894.497122699339 173.973201624266 -582.15180395751</t>
  </si>
  <si>
    <t>-872.97090222836 170.252449738723 -662.325351003208</t>
  </si>
  <si>
    <t>-888.87562773302 200.734928395837 -527.147039758186</t>
  </si>
  <si>
    <t>-850.76311783511 331.370622709413 -507.658926235021</t>
  </si>
  <si>
    <t>-752.169344022255 352.708728711583 -231.225907333658</t>
  </si>
  <si>
    <t>-513.238019631587 327.240513712631 -213.504032951489</t>
  </si>
  <si>
    <t>-900.004886761091 146.447138652459 -527.514105131288</t>
  </si>
  <si>
    <t>-929.42886271771 15.7662477626168 -496.616516430044</t>
  </si>
  <si>
    <t>-719.976044007246 52.574505269034 -274.518859590544</t>
  </si>
  <si>
    <t>-841.997165288555 276.876709487871 -76.108585154062</t>
  </si>
  <si>
    <t>-841.235078122105 320.284121819048 325.101975608383</t>
  </si>
  <si>
    <t>-865.908236447322 361.377357110563 770.581223978895</t>
  </si>
  <si>
    <t>-722.539968607304 388.03963625806 832.40371982425</t>
  </si>
  <si>
    <t>-836.405622110734 86.2560617974345 -66.7760189129028</t>
  </si>
  <si>
    <t>-816.377037375123 69.8905475533384 335.946817493118</t>
  </si>
  <si>
    <t>-839.001083841232 94.4720072058126 782.445578673872</t>
  </si>
  <si>
    <t>-748.578919467533 -13.7778077297357 854.508860702284</t>
  </si>
  <si>
    <t>9763-20170724T111048.882459200.bin</t>
  </si>
  <si>
    <t>-838.9756694948 181.407845884228 -70.3819684706476</t>
  </si>
  <si>
    <t>-868.737025975565 175.420513879471 -182.161391819184</t>
  </si>
  <si>
    <t>-882.470605328911 173.509791002244 -279.805590061982</t>
  </si>
  <si>
    <t>-890.647446365609 172.810834284751 -368.523633758643</t>
  </si>
  <si>
    <t>-894.184444665809 172.916894076994 -457.550036961286</t>
  </si>
  <si>
    <t>-894.22644718235 173.731336897687 -582.130066079523</t>
  </si>
  <si>
    <t>-872.546524162384 169.927206192352 -662.258320310965</t>
  </si>
  <si>
    <t>-888.614467431829 200.510966040541 -527.133103844346</t>
  </si>
  <si>
    <t>-850.31852114929 331.112569916568 -507.795230312268</t>
  </si>
  <si>
    <t>-749.426290724906 353.26722045791 -232.257247268956</t>
  </si>
  <si>
    <t>-510.476533364446 327.708935839288 -214.919177557711</t>
  </si>
  <si>
    <t>-899.801435751263 146.234969283402 -527.484145409059</t>
  </si>
  <si>
    <t>-929.349156074167 15.6092375336611 -496.477037358758</t>
  </si>
  <si>
    <t>-719.982854293869 53.0107370316309 -273.838703090893</t>
  </si>
  <si>
    <t>-841.695440292691 276.606013658724 -76.0778204417726</t>
  </si>
  <si>
    <t>-840.818142650469 320.244062201165 325.107445054641</t>
  </si>
  <si>
    <t>-865.84108916473 361.334687512684 770.565112516262</t>
  </si>
  <si>
    <t>-722.506169469958 388.231982107442 832.362645493339</t>
  </si>
  <si>
    <t>-836.571294015714 86.1813028969405 -66.7346828967701</t>
  </si>
  <si>
    <t>-816.601758184819 69.8159382241838 335.991129531568</t>
  </si>
  <si>
    <t>-839.049080702409 94.5046026213704 782.485130413945</t>
  </si>
  <si>
    <t>-748.805122703782 -13.8964446824748 854.544442768549</t>
  </si>
  <si>
    <t>9763-20170724T111048.916555500.bin</t>
  </si>
  <si>
    <t>-838.895567330683 181.311141918858 -70.3624300622331</t>
  </si>
  <si>
    <t>-868.613660293209 175.330739223567 -182.153736431747</t>
  </si>
  <si>
    <t>-882.281237967602 173.407845940337 -279.806908156312</t>
  </si>
  <si>
    <t>-890.387217658787 172.690422959165 -368.531253462268</t>
  </si>
  <si>
    <t>-893.842750726494 172.770177070383 -457.561082893851</t>
  </si>
  <si>
    <t>-893.75992144375 173.539152073347 -582.141187264572</t>
  </si>
  <si>
    <t>-871.976916835993 169.680531352194 -662.238846468873</t>
  </si>
  <si>
    <t>-888.188588087983 200.33593492174 -527.148355112121</t>
  </si>
  <si>
    <t>-849.763927037302 330.907477007015 -507.851632752918</t>
  </si>
  <si>
    <t>-747.664707900308 353.413163179614 -232.787263429448</t>
  </si>
  <si>
    <t>-508.629502133148 327.888067891579 -216.61505472445</t>
  </si>
  <si>
    <t>-899.404161064642 146.065702413658 -527.490840464272</t>
  </si>
  <si>
    <t>-929.018790944651 15.4617787032953 -496.449182260032</t>
  </si>
  <si>
    <t>-719.775449437908 53.1505972255004 -273.615265525407</t>
  </si>
  <si>
    <t>-841.513376325247 276.455006261481 -76.0778077988391</t>
  </si>
  <si>
    <t>-840.68659104656 320.182938487406 325.097803788335</t>
  </si>
  <si>
    <t>-865.775758970906 361.278345164668 770.527489720119</t>
  </si>
  <si>
    <t>-722.455902533463 388.261729755136 832.322531039469</t>
  </si>
  <si>
    <t>-836.596282778142 86.123021200352 -66.7129601385651</t>
  </si>
  <si>
    <t>-816.634298702503 69.7532539941908 336.013040370614</t>
  </si>
  <si>
    <t>-839.069620368203 94.515725476123 782.498802697796</t>
  </si>
  <si>
    <t>-748.73557691971 -13.8143895962776 854.551822911872</t>
  </si>
  <si>
    <t>9763-20170724T111048.982326400.bin</t>
  </si>
  <si>
    <t>-838.637571499298 181.134615308737 -70.3572389980918</t>
  </si>
  <si>
    <t>-868.27592155068 175.165852206447 -182.170309647878</t>
  </si>
  <si>
    <t>-881.798639850725 173.205277865956 -279.843018066151</t>
  </si>
  <si>
    <t>-889.7442500288 172.434068450924 -368.581428527428</t>
  </si>
  <si>
    <t>-893.010964929792 172.437786587961 -457.618320969738</t>
  </si>
  <si>
    <t>-892.635656629576 173.077479870061 -582.198647085111</t>
  </si>
  <si>
    <t>-870.620065783629 169.098908925611 -662.226852491227</t>
  </si>
  <si>
    <t>-887.168389626114 199.926094664346 -527.220793653161</t>
  </si>
  <si>
    <t>-848.580556081822 330.464283663249 -508.005199765869</t>
  </si>
  <si>
    <t>-743.246161810068 353.392300538538 -234.198393196665</t>
  </si>
  <si>
    <t>-503.90236542266 329.085791677076 -220.98146952038</t>
  </si>
  <si>
    <t>-898.433308825626 145.665744401448 -527.533327763415</t>
  </si>
  <si>
    <t>-928.17651493602 15.1106814013556 -496.435953867668</t>
  </si>
  <si>
    <t>-719.241535957185 53.0519455479584 -273.531813654317</t>
  </si>
  <si>
    <t>-841.090920006937 276.25671794843 -76.1119206836757</t>
  </si>
  <si>
    <t>-840.670993779652 320.065114378188 325.055477913827</t>
  </si>
  <si>
    <t>-865.710525688866 361.307789975313 770.450304622498</t>
  </si>
  <si>
    <t>-722.399314695778 388.32312159159 832.251427738739</t>
  </si>
  <si>
    <t>-836.536969575185 86.0033824997809 -66.6962284937385</t>
  </si>
  <si>
    <t>-816.7288643455 69.6145267291909 336.036592366673</t>
  </si>
  <si>
    <t>-839.145147838584 94.4922204334689 782.528055484087</t>
  </si>
  <si>
    <t>-749.007436854485 -14.0037578160977 854.57788465716</t>
  </si>
  <si>
    <t>9763-20170724T111049.016418200.bin</t>
  </si>
  <si>
    <t>-838.550796863106 181.128555923163 -70.3727078552282</t>
  </si>
  <si>
    <t>-868.131049099476 175.146526979547 -182.200435940994</t>
  </si>
  <si>
    <t>-881.572422198299 173.150874207191 -279.88356092021</t>
  </si>
  <si>
    <t>-889.432006686129 172.336356520014 -368.629296052793</t>
  </si>
  <si>
    <t>-892.600507892688 172.284865324248 -457.669860898414</t>
  </si>
  <si>
    <t>-892.075991748582 172.833001211427 -582.250111058637</t>
  </si>
  <si>
    <t>-869.945173036822 168.767240750661 -662.241971620773</t>
  </si>
  <si>
    <t>-886.654891531987 199.717718093789 -527.285332247306</t>
  </si>
  <si>
    <t>-847.977131775822 330.236318311182 -508.127994826576</t>
  </si>
  <si>
    <t>-740.48535655654 353.439340021375 -235.184023571145</t>
  </si>
  <si>
    <t>-500.997203450458 329.793969577527 -223.473395909007</t>
  </si>
  <si>
    <t>-897.958640671321 145.465615753413 -527.571663755672</t>
  </si>
  <si>
    <t>-927.785401038124 14.938645796723 -496.427337776193</t>
  </si>
  <si>
    <t>-718.888523792978 52.7837853232254 -273.664182072201</t>
  </si>
  <si>
    <t>-840.997539838649 276.287637403094 -76.150882241549</t>
  </si>
  <si>
    <t>-840.697626553921 320.040084241232 325.022808845244</t>
  </si>
  <si>
    <t>-865.667015789023 361.327553031115 770.406638043877</t>
  </si>
  <si>
    <t>-722.334677272414 388.203696772589 832.219847834985</t>
  </si>
  <si>
    <t>-836.492176345589 85.9849261581617 -66.6889126201843</t>
  </si>
  <si>
    <t>-816.796350759753 69.5617533057721 336.04805841891</t>
  </si>
  <si>
    <t>-839.190026051245 94.4664464185853 782.540516057864</t>
  </si>
  <si>
    <t>-748.987008990135 -13.9817859127033 854.580088001208</t>
  </si>
  <si>
    <t>9763-20170724T111049.086183800.bin</t>
  </si>
  <si>
    <t>-838.304649893076 181.112782242817 -70.4095141609379</t>
  </si>
  <si>
    <t>-867.799139488228 175.11161588848 -182.258832080231</t>
  </si>
  <si>
    <t>-881.100447532999 173.002256972125 -279.958859381989</t>
  </si>
  <si>
    <t>-888.808916331663 172.042894011336 -368.716479914846</t>
  </si>
  <si>
    <t>-891.803316408106 171.801757755456 -457.762652790657</t>
  </si>
  <si>
    <t>-891.013460724623 172.036793457422 -582.342331845089</t>
  </si>
  <si>
    <t>-868.649039733835 167.74319775396 -662.257497516855</t>
  </si>
  <si>
    <t>-885.657074279832 199.049053363245 -527.433631264451</t>
  </si>
  <si>
    <t>-846.775728146631 329.533424837731 -508.448127527291</t>
  </si>
  <si>
    <t>-735.036265262422 353.766106970978 -237.30578122343</t>
  </si>
  <si>
    <t>-495.356536995814 331.144447705878 -227.67092950714</t>
  </si>
  <si>
    <t>-897.065045482644 144.818215476189 -527.608221057658</t>
  </si>
  <si>
    <t>-927.08825753178 14.3805074770689 -496.286689854532</t>
  </si>
  <si>
    <t>-718.090972210668 51.9807959650066 -274.04094613509</t>
  </si>
  <si>
    <t>-840.632673513408 276.293833778198 -76.2201694467284</t>
  </si>
  <si>
    <t>-840.595069595275 320.042270110388 324.954049331488</t>
  </si>
  <si>
    <t>-865.620147323765 361.393623046495 770.354461511073</t>
  </si>
  <si>
    <t>-722.248613453932 388.056826732486 832.168871251582</t>
  </si>
  <si>
    <t>-836.336050025149 85.8899483501818 -66.6769600697638</t>
  </si>
  <si>
    <t>-816.941628999888 69.3677562199537 336.070577537477</t>
  </si>
  <si>
    <t>-839.380173417185 94.2703580034913 782.571099124916</t>
  </si>
  <si>
    <t>-748.878961293723 -13.9495041115833 854.580371632808</t>
  </si>
  <si>
    <t>9763-20170724T111049.115265200.bin</t>
  </si>
  <si>
    <t>-838.052718445677 181.099627760559 -70.4198899477879</t>
  </si>
  <si>
    <t>-867.503742157626 175.082340213687 -182.279679977516</t>
  </si>
  <si>
    <t>-880.746667779934 172.903226681208 -279.986031318577</t>
  </si>
  <si>
    <t>-888.395121665228 171.8578070149 -368.747924427853</t>
  </si>
  <si>
    <t>-891.323235350764 171.506505329112 -457.795801213077</t>
  </si>
  <si>
    <t>-890.435281273756 171.560795522647 -582.375228759049</t>
  </si>
  <si>
    <t>-867.968885115987 167.135901342194 -662.254586787459</t>
  </si>
  <si>
    <t>-885.090461880147 198.64563070054 -527.501251175744</t>
  </si>
  <si>
    <t>-846.108763603105 329.115950837055 -508.655387321446</t>
  </si>
  <si>
    <t>-732.30425052353 353.879376043314 -238.421167881266</t>
  </si>
  <si>
    <t>-492.542816706008 331.753842320042 -229.71641955772</t>
  </si>
  <si>
    <t>-896.56211499447 144.428163955221 -527.606742546859</t>
  </si>
  <si>
    <t>-926.685259846844 14.040524740883 -496.137423973178</t>
  </si>
  <si>
    <t>-717.476809755211 51.5648957090357 -274.189585073176</t>
  </si>
  <si>
    <t>-840.311939491585 276.273533708872 -76.2518351872111</t>
  </si>
  <si>
    <t>-840.311130409609 319.973724252154 324.927718337007</t>
  </si>
  <si>
    <t>-865.505502616456 361.221139838125 770.33997395198</t>
  </si>
  <si>
    <t>-722.192834261542 388.240364100634 832.13623186905</t>
  </si>
  <si>
    <t>-836.13813449434 85.8884533513042 -66.6630073448225</t>
  </si>
  <si>
    <t>-816.847005024243 69.3360740273411 336.088204464769</t>
  </si>
  <si>
    <t>-839.340560045056 94.360932148626 782.57549905063</t>
  </si>
  <si>
    <t>-749.021404122737 -14.0089913469092 854.58715624161</t>
  </si>
  <si>
    <t>9763-20170724T111049.184357800.bin</t>
  </si>
  <si>
    <t>-837.486585541348 181.068102974459 -70.4422624261027</t>
  </si>
  <si>
    <t>-866.874446244354 175.05465370928 -182.319076058383</t>
  </si>
  <si>
    <t>-880.091583906578 172.770131483789 -280.026443221598</t>
  </si>
  <si>
    <t>-887.731209164445 171.586429889499 -368.787346138017</t>
  </si>
  <si>
    <t>-890.667614819666 171.053136580473 -457.834155799373</t>
  </si>
  <si>
    <t>-889.809731528746 170.808282557172 -582.413538146684</t>
  </si>
  <si>
    <t>-867.247872635176 166.115722330285 -662.250599590489</t>
  </si>
  <si>
    <t>-884.388985626683 198.011396777655 -527.605580749464</t>
  </si>
  <si>
    <t>-845.133217875863 328.442258835281 -509.027843084315</t>
  </si>
  <si>
    <t>-727.420217947891 353.940250774163 -240.541859285894</t>
  </si>
  <si>
    <t>-487.563458316944 332.311598944441 -233.343548547033</t>
  </si>
  <si>
    <t>-895.985516486262 143.820502984936 -527.578944889159</t>
  </si>
  <si>
    <t>-926.289905910982 13.5515310323763 -495.796460872738</t>
  </si>
  <si>
    <t>-716.581538102217 51.0051827576449 -274.371782276465</t>
  </si>
  <si>
    <t>-839.586861596114 276.276118831259 -76.2920793242073</t>
  </si>
  <si>
    <t>-839.667300019368 319.948340558172 324.890385063753</t>
  </si>
  <si>
    <t>-865.466854014426 361.248392622115 770.27482105969</t>
  </si>
  <si>
    <t>-722.165495951856 388.343634024699 832.063902653099</t>
  </si>
  <si>
    <t>-835.768091005006 85.7682402118198 -66.6308504133768</t>
  </si>
  <si>
    <t>-816.653494385948 69.0986633620028 336.123892789079</t>
  </si>
  <si>
    <t>-839.473429291608 94.2479718906293 782.595262646124</t>
  </si>
  <si>
    <t>-748.998464658809 -14.0102497759185 854.579293166487</t>
  </si>
  <si>
    <t>9763-20170724T111049.219480900.bin</t>
  </si>
  <si>
    <t>-837.177275484264 181.092861338228 -70.4651599208155</t>
  </si>
  <si>
    <t>-866.551662298036 175.075289153849 -182.345276062428</t>
  </si>
  <si>
    <t>-879.761243875791 172.718619986184 -280.052001256176</t>
  </si>
  <si>
    <t>-887.397642433609 171.441368459073 -368.811832791851</t>
  </si>
  <si>
    <t>-890.335095788086 170.786474397011 -457.857714381282</t>
  </si>
  <si>
    <t>-889.484719558195 170.34063509521 -582.436692984817</t>
  </si>
  <si>
    <t>-866.889786148158 165.476016010096 -662.253970979389</t>
  </si>
  <si>
    <t>-884.016265955388 197.622970505382 -527.672778540298</t>
  </si>
  <si>
    <t>-844.560334811708 328.014338231065 -509.265404594949</t>
  </si>
  <si>
    <t>-725.013816141564 353.76291017897 -241.61494847279</t>
  </si>
  <si>
    <t>-485.141216836613 332.170255325325 -234.847781112849</t>
  </si>
  <si>
    <t>-895.701601412845 143.450898650972 -527.558583206926</t>
  </si>
  <si>
    <t>-926.160023025063 13.2660294385023 -495.607214587267</t>
  </si>
  <si>
    <t>-716.0547163799 50.6349185509721 -274.500278396872</t>
  </si>
  <si>
    <t>-839.107350033781 276.352442730333 -76.3270701558311</t>
  </si>
  <si>
    <t>-839.368200658077 319.97123205342 324.861169966677</t>
  </si>
  <si>
    <t>-865.424613744217 361.22828201845 770.231332253525</t>
  </si>
  <si>
    <t>-722.076545037838 388.064280753993 832.024797257055</t>
  </si>
  <si>
    <t>-835.594060138745 85.7424719398668 -66.61266036834</t>
  </si>
  <si>
    <t>-816.495262358097 68.9745999384845 336.138803246873</t>
  </si>
  <si>
    <t>-839.537732041584 94.1859069179804 782.597237786822</t>
  </si>
  <si>
    <t>-748.912972322084 -13.9547837927794 854.569762924479</t>
  </si>
  <si>
    <t>9763-20170724T111049.295686100.bin</t>
  </si>
  <si>
    <t>-836.435211978975 181.161672512306 -70.4729759424355</t>
  </si>
  <si>
    <t>-865.803807850454 175.118493126779 -182.353158030327</t>
  </si>
  <si>
    <t>-878.961733564398 172.593925348552 -280.062721041408</t>
  </si>
  <si>
    <t>-886.535641006052 171.104533063662 -368.824566775478</t>
  </si>
  <si>
    <t>-889.397801095759 170.173214594797 -457.870485328406</t>
  </si>
  <si>
    <t>-888.430944759913 169.271993173906 -582.445960407668</t>
  </si>
  <si>
    <t>-865.775137322535 164.034603571251 -662.222543341666</t>
  </si>
  <si>
    <t>-882.907642102231 196.731337195346 -527.776131948624</t>
  </si>
  <si>
    <t>-842.91815888116 327.015028192475 -509.78222831814</t>
  </si>
  <si>
    <t>-720.123665719972 353.260471758001 -243.654657934667</t>
  </si>
  <si>
    <t>-480.2389295674 331.764958626703 -237.004647674566</t>
  </si>
  <si>
    <t>-894.804955074759 142.605979991164 -527.476918967891</t>
  </si>
  <si>
    <t>-925.667092244222 12.6068766992412 -495.12573186066</t>
  </si>
  <si>
    <t>-715.01920814614 49.8753598091512 -274.799913231128</t>
  </si>
  <si>
    <t>-838.110103422091 276.429492280611 -76.3939150276088</t>
  </si>
  <si>
    <t>-838.706913594491 320.092863909075 324.789092450661</t>
  </si>
  <si>
    <t>-865.407320498574 361.285451928802 770.142423355551</t>
  </si>
  <si>
    <t>-722.059829330648 388.145789502574 831.926536422379</t>
  </si>
  <si>
    <t>-835.083761851863 85.8118914070737 -66.5704846514219</t>
  </si>
  <si>
    <t>-815.939425011742 68.8734795528144 336.171760488138</t>
  </si>
  <si>
    <t>-839.498155558565 94.2671526068152 782.58380682716</t>
  </si>
  <si>
    <t>-749.132264129514 -14.0761195595455 854.577035251378</t>
  </si>
  <si>
    <t>9763-20170724T111049.316741900.bin</t>
  </si>
  <si>
    <t>-836.133099460504 181.174232966612 -70.4835336776276</t>
  </si>
  <si>
    <t>-865.482900395179 175.126609649737 -182.368479270989</t>
  </si>
  <si>
    <t>-878.598519423364 172.527809731923 -280.081862571712</t>
  </si>
  <si>
    <t>-886.126114660811 170.942240754085 -368.845788850495</t>
  </si>
  <si>
    <t>-888.934187752591 169.88383782513 -457.892083280371</t>
  </si>
  <si>
    <t>-887.885366542312 168.772352319005 -582.465289405576</t>
  </si>
  <si>
    <t>-865.192446688251 163.363301663589 -662.219918253866</t>
  </si>
  <si>
    <t>-882.3489534691 196.312915994446 -527.837610684357</t>
  </si>
  <si>
    <t>-842.067968042486 326.531695515105 -510.003446324342</t>
  </si>
  <si>
    <t>-717.957452791929 352.904354021578 -244.499951143424</t>
  </si>
  <si>
    <t>-478.073495483168 331.448512105517 -237.69730041363</t>
  </si>
  <si>
    <t>-894.344925775619 142.21015669935 -527.455962032431</t>
  </si>
  <si>
    <t>-925.440185259162 12.3120579079405 -494.913623797358</t>
  </si>
  <si>
    <t>-714.697519803602 49.5504361960475 -274.940186796173</t>
  </si>
  <si>
    <t>-837.712727008063 276.455747377064 -76.4383756725111</t>
  </si>
  <si>
    <t>-838.37126279079 320.10268603956 324.746334548284</t>
  </si>
  <si>
    <t>-865.299418530692 361.120791528507 770.085308662731</t>
  </si>
  <si>
    <t>-722.004750929197 388.292983454583 831.855437780732</t>
  </si>
  <si>
    <t>-834.925597638023 85.8328427603738 -66.5569126935269</t>
  </si>
  <si>
    <t>-815.786163630782 68.821576207441 336.182456151165</t>
  </si>
  <si>
    <t>-839.558154629072 94.1930091900858 782.581535562683</t>
  </si>
  <si>
    <t>-749.075353183156 -14.0516957978216 854.576397666307</t>
  </si>
  <si>
    <t>9763-20170724T111049.381949300.bin</t>
  </si>
  <si>
    <t>-835.886814435546 181.698202433372 -70.5178208483409</t>
  </si>
  <si>
    <t>-865.186920797949 175.671044468898 -182.416915160506</t>
  </si>
  <si>
    <t>-878.214114946788 172.927573005855 -280.138042631876</t>
  </si>
  <si>
    <t>-885.647316937416 171.145298106316 -368.906329915003</t>
  </si>
  <si>
    <t>-888.349897928953 169.822713288165 -457.952304861104</t>
  </si>
  <si>
    <t>-887.144375703803 168.269371069488 -582.519344543485</t>
  </si>
  <si>
    <t>-864.314469123857 162.532410969306 -662.211863736346</t>
  </si>
  <si>
    <t>-881.591283360452 195.984443920688 -527.981791239849</t>
  </si>
  <si>
    <t>-840.756858698421 326.07710482509 -510.474226727817</t>
  </si>
  <si>
    <t>-714.893941314838 352.335408936391 -245.785230186628</t>
  </si>
  <si>
    <t>-475.020098872544 330.937849410232 -238.468166510441</t>
  </si>
  <si>
    <t>-893.758554684049 141.921151901266 -527.425288648254</t>
  </si>
  <si>
    <t>-925.251369734542 12.2176274055105 -494.50188937662</t>
  </si>
  <si>
    <t>-714.346710786318 49.4234742060585 -274.980623886829</t>
  </si>
  <si>
    <t>-837.392431794056 277.044879472473 -76.54043499917</t>
  </si>
  <si>
    <t>-837.929481097827 320.380117740959 324.678245857126</t>
  </si>
  <si>
    <t>-865.295571555461 361.185107785037 770.029034978192</t>
  </si>
  <si>
    <t>-721.973041322766 388.27401235251 831.771465344571</t>
  </si>
  <si>
    <t>-834.797101376002 86.3933104346243 -66.5357425893604</t>
  </si>
  <si>
    <t>-815.61173129255 68.9605792285502 336.183353081574</t>
  </si>
  <si>
    <t>-839.596208165663 94.1977616694662 782.58193214251</t>
  </si>
  <si>
    <t>-749.238080658997 -14.1404516786533 854.592661903232</t>
  </si>
  <si>
    <t>9763-20170724T111049.419050700.bin</t>
  </si>
  <si>
    <t>-835.885295091827 182.011933732829 -70.527182256178</t>
  </si>
  <si>
    <t>-865.16616791327 176.002344207068 -182.432203675996</t>
  </si>
  <si>
    <t>-878.172594430209 173.199119083902 -280.154308637536</t>
  </si>
  <si>
    <t>-885.586591124055 171.333711852747 -368.922581550592</t>
  </si>
  <si>
    <t>-888.27193421747 169.898034485256 -457.96737544241</t>
  </si>
  <si>
    <t>-887.045089153261 168.156382288108 -582.531784947538</t>
  </si>
  <si>
    <t>-864.185986572193 162.282801355634 -662.205983373514</t>
  </si>
  <si>
    <t>-881.463121629101 195.945274609775 -528.034674507181</t>
  </si>
  <si>
    <t>-840.413755686007 325.993581758748 -510.696160925503</t>
  </si>
  <si>
    <t>-713.87758928261 352.267430095283 -246.329801775048</t>
  </si>
  <si>
    <t>-474.01772291689 330.880557857253 -238.546633881402</t>
  </si>
  <si>
    <t>-893.706531000462 141.900284457335 -527.399595028192</t>
  </si>
  <si>
    <t>-925.368995322523 12.2887860072378 -494.298528379108</t>
  </si>
  <si>
    <t>-714.332946735151 49.4496267757868 -274.829994279357</t>
  </si>
  <si>
    <t>-837.27427836223 277.344918010109 -76.5747971420977</t>
  </si>
  <si>
    <t>-837.81006435833 320.573348410668 324.655427301766</t>
  </si>
  <si>
    <t>-865.316101128061 361.258077068831 770.011904168851</t>
  </si>
  <si>
    <t>-721.931358877111 388.032640504709 831.747593428262</t>
  </si>
  <si>
    <t>-834.853264294649 86.6715331839582 -66.5266434963335</t>
  </si>
  <si>
    <t>-815.643873374648 69.0737271151884 336.184157639397</t>
  </si>
  <si>
    <t>-839.627209942342 94.1896580684893 782.581937982293</t>
  </si>
  <si>
    <t>-749.156577711201 -14.0593637280904 854.58571155511</t>
  </si>
  <si>
    <t>9763-20170724T111049.483839500.bin</t>
  </si>
  <si>
    <t>-835.807695531541 182.380677923391 -70.5472650449037</t>
  </si>
  <si>
    <t>-865.075792717564 176.377330781992 -182.456000886983</t>
  </si>
  <si>
    <t>-878.04585810795 173.481605374177 -280.180417151799</t>
  </si>
  <si>
    <t>-885.420093705721 171.493222889669 -368.949276579898</t>
  </si>
  <si>
    <t>-888.060094499446 169.893829090945 -457.992513433133</t>
  </si>
  <si>
    <t>-886.765466733485 167.880067624344 -582.552037740899</t>
  </si>
  <si>
    <t>-863.873578779735 161.787745298537 -662.200537925463</t>
  </si>
  <si>
    <t>-881.152758816315 195.774283198914 -528.111965785228</t>
  </si>
  <si>
    <t>-839.723946765139 325.740096992753 -511.0057228623</t>
  </si>
  <si>
    <t>-712.370411447864 352.244819231167 -247.055376868771</t>
  </si>
  <si>
    <t>-472.49591961178 331.110709345606 -239.027441686388</t>
  </si>
  <si>
    <t>-893.51713477571 141.758048567777 -527.367063811418</t>
  </si>
  <si>
    <t>-925.475663699089 12.287864285554 -494.005209273905</t>
  </si>
  <si>
    <t>-714.296312499039 49.3766511023105 -274.513776758597</t>
  </si>
  <si>
    <t>-837.045761562348 277.655986831404 -76.6234870547781</t>
  </si>
  <si>
    <t>-837.578565620104 320.803132132124 324.615520776712</t>
  </si>
  <si>
    <t>-865.244692382072 361.193996848944 769.973562966207</t>
  </si>
  <si>
    <t>-721.835380998596 387.893050343549 831.684758493582</t>
  </si>
  <si>
    <t>-834.88125922442 87.0355497381856 -66.5183016364766</t>
  </si>
  <si>
    <t>-815.647904725757 69.228441533332 336.182171030461</t>
  </si>
  <si>
    <t>-839.718918916338 94.1289131972717 782.582555277349</t>
  </si>
  <si>
    <t>-749.340831007604 -14.1933881372865 854.592143761519</t>
  </si>
  <si>
    <t>9763-20170724T111049.518435100.bin</t>
  </si>
  <si>
    <t>-835.792857273198 182.474571321286 -70.5600334396626</t>
  </si>
  <si>
    <t>-865.076700193513 176.469464312052 -182.464449599184</t>
  </si>
  <si>
    <t>-878.040829004688 173.534634861864 -280.188363049231</t>
  </si>
  <si>
    <t>-885.402574944438 171.494218497669 -368.957121722172</t>
  </si>
  <si>
    <t>-888.022797287633 169.824657646354 -457.999825475676</t>
  </si>
  <si>
    <t>-886.694991942302 167.692334452181 -582.557003831341</t>
  </si>
  <si>
    <t>-863.787165211704 161.494733425054 -662.192738929104</t>
  </si>
  <si>
    <t>-881.064657725033 195.631000398702 -528.141480790534</t>
  </si>
  <si>
    <t>-839.376360331939 325.512964922143 -511.019287924792</t>
  </si>
  <si>
    <t>-711.513360863036 352.078850830873 -247.321603024201</t>
  </si>
  <si>
    <t>-471.644455390172 330.959154763737 -239.086849630308</t>
  </si>
  <si>
    <t>-893.49395141901 141.630342154407 -527.349605836572</t>
  </si>
  <si>
    <t>-925.615281830721 12.2149753595963 -493.923287697312</t>
  </si>
  <si>
    <t>-714.435558480159 49.3124041717815 -274.424259561851</t>
  </si>
  <si>
    <t>-836.977950718718 277.747117700011 -76.6444535142919</t>
  </si>
  <si>
    <t>-837.55838417242 320.79471460208 324.605185494111</t>
  </si>
  <si>
    <t>-865.210405987732 361.138388311534 769.975509341085</t>
  </si>
  <si>
    <t>-721.831846577137 388.059412296348 831.660793745991</t>
  </si>
  <si>
    <t>-834.902062100341 87.1543081865634 -66.5181524459417</t>
  </si>
  <si>
    <t>-815.632055023068 69.2562921730414 336.176538785364</t>
  </si>
  <si>
    <t>-839.713874724181 94.1785617228161 782.585443331398</t>
  </si>
  <si>
    <t>-749.28849081592 -14.1097521009506 854.586446135434</t>
  </si>
  <si>
    <t>9763-20170724T111049.583705600.bin</t>
  </si>
  <si>
    <t>-835.976927792799 182.495265545975 -70.5316865087507</t>
  </si>
  <si>
    <t>-865.264953274333 176.452126384508 -182.433012081433</t>
  </si>
  <si>
    <t>-878.17437657573 173.427337979911 -280.161528227483</t>
  </si>
  <si>
    <t>-885.463300306386 171.273859783294 -368.933492472692</t>
  </si>
  <si>
    <t>-887.989007372644 169.454094284242 -457.975954178703</t>
  </si>
  <si>
    <t>-886.507059078667 167.068410692942 -582.526835432885</t>
  </si>
  <si>
    <t>-863.470297198227 160.636536273778 -662.106741736216</t>
  </si>
  <si>
    <t>-880.859177587029 195.097984583094 -528.159962735193</t>
  </si>
  <si>
    <t>-838.730672999451 324.822225796257 -510.997618795309</t>
  </si>
  <si>
    <t>-709.397639882626 352.449147644795 -248.127150691137</t>
  </si>
  <si>
    <t>-469.526812133383 331.478668432522 -239.57733653504</t>
  </si>
  <si>
    <t>-893.458860918984 141.138558805862 -527.276391897802</t>
  </si>
  <si>
    <t>-925.993572543334 11.8462277434655 -493.789271580269</t>
  </si>
  <si>
    <t>-714.937289223738 49.1274384114349 -274.350651975922</t>
  </si>
  <si>
    <t>-837.283945307826 277.655971834834 -76.5877953790425</t>
  </si>
  <si>
    <t>-838.057103985883 320.565694254376 324.67622008666</t>
  </si>
  <si>
    <t>-865.152135268954 360.897104598449 770.084080374643</t>
  </si>
  <si>
    <t>-721.785719781171 388.047055688688 831.697974496738</t>
  </si>
  <si>
    <t>-834.983049726283 87.2291401089979 -66.4978447267526</t>
  </si>
  <si>
    <t>-815.667898759468 69.309763302901 336.193652358983</t>
  </si>
  <si>
    <t>-839.772789813861 94.169518385359 782.598077591581</t>
  </si>
  <si>
    <t>-749.490143069172 -14.2414099642888 854.594096710104</t>
  </si>
  <si>
    <t>9763-20170724T111049.616797000.bin</t>
  </si>
  <si>
    <t>-836.161151181671 182.484812087815 -70.5031236678276</t>
  </si>
  <si>
    <t>-865.429944350097 176.411693987083 -182.408054847947</t>
  </si>
  <si>
    <t>-878.306115708274 173.35211900791 -280.139693848948</t>
  </si>
  <si>
    <t>-885.558567177961 171.158900486724 -368.91379509376</t>
  </si>
  <si>
    <t>-888.040553817012 169.287693251171 -457.956284331295</t>
  </si>
  <si>
    <t>-886.491791856271 166.815468996949 -582.504699586654</t>
  </si>
  <si>
    <t>-863.329851356659 160.254969045512 -662.037944893936</t>
  </si>
  <si>
    <t>-880.826531888124 194.871845571867 -528.153628006503</t>
  </si>
  <si>
    <t>-838.47708180178 324.519589544236 -510.997870070304</t>
  </si>
  <si>
    <t>-708.652380317448 352.865806071701 -248.446579383324</t>
  </si>
  <si>
    <t>-468.780911319829 331.939671841809 -239.80916667142</t>
  </si>
  <si>
    <t>-893.519996002691 140.934774918607 -527.240690481484</t>
  </si>
  <si>
    <t>-926.29780567707 11.6976219211761 -493.736281697941</t>
  </si>
  <si>
    <t>-715.628429471549 49.3043115888854 -274.258610622949</t>
  </si>
  <si>
    <t>-837.583002349443 277.68915147235 -76.5631272907982</t>
  </si>
  <si>
    <t>-838.599967691234 320.42002343192 324.71945494148</t>
  </si>
  <si>
    <t>-865.189546526693 360.894327781527 770.142430006548</t>
  </si>
  <si>
    <t>-721.789168899427 387.911729705506 831.735090077588</t>
  </si>
  <si>
    <t>-835.054698720819 87.2216194917628 -66.4889262994632</t>
  </si>
  <si>
    <t>-815.773698206005 69.3451067052861 336.206138754903</t>
  </si>
  <si>
    <t>-839.786619126902 94.1941785664312 782.610520563058</t>
  </si>
  <si>
    <t>-749.514822473863 -14.2315151600069 854.597460864485</t>
  </si>
  <si>
    <t>9763-20170724T111049.684980900.bin</t>
  </si>
  <si>
    <t>-836.694492617293 182.345339786319 -70.503136269882</t>
  </si>
  <si>
    <t>-865.913450431607 176.243914526537 -182.419319907336</t>
  </si>
  <si>
    <t>-878.696851276808 173.198133908061 -280.163700877519</t>
  </si>
  <si>
    <t>-885.842599522857 171.024306826703 -368.94689123141</t>
  </si>
  <si>
    <t>-888.195903268107 169.17463217563 -457.993425176575</t>
  </si>
  <si>
    <t>-886.442280943312 166.730085966155 -582.539655587532</t>
  </si>
  <si>
    <t>-862.935720585725 160.001075561874 -661.957303902993</t>
  </si>
  <si>
    <t>-880.804914913447 194.759744305381 -528.171806609352</t>
  </si>
  <si>
    <t>-838.168848394856 324.289229418451 -510.852856266262</t>
  </si>
  <si>
    <t>-707.933190617841 353.434674754999 -248.59250550537</t>
  </si>
  <si>
    <t>-468.108843512229 332.111568981193 -239.624495919158</t>
  </si>
  <si>
    <t>-893.62283864762 140.851411077414 -527.294197490536</t>
  </si>
  <si>
    <t>-926.925570942153 11.7240992313223 -493.880181321006</t>
  </si>
  <si>
    <t>-717.964583287649 51.1164816483965 -273.814966334254</t>
  </si>
  <si>
    <t>-838.260493658581 277.587629494209 -76.57546275614</t>
  </si>
  <si>
    <t>-839.529535407624 320.071696170746 324.732582471992</t>
  </si>
  <si>
    <t>-865.072265511472 360.726399286648 770.142209968741</t>
  </si>
  <si>
    <t>-721.740615503137 387.984759043206 831.788911749006</t>
  </si>
  <si>
    <t>-835.477935931761 87.1011686088741 -66.4904404039515</t>
  </si>
  <si>
    <t>-816.080602607076 69.3791036946973 336.205891777224</t>
  </si>
  <si>
    <t>-839.908229024713 94.1038117126454 782.635494050101</t>
  </si>
  <si>
    <t>-749.554326994574 -14.2672474965075 854.601882270957</t>
  </si>
  <si>
    <t>9763-20170724T111049.718070800.bin</t>
  </si>
  <si>
    <t>-837.013276278767 182.320230360604 -70.5440442822066</t>
  </si>
  <si>
    <t>-866.217595768918 176.221664917984 -182.464230305856</t>
  </si>
  <si>
    <t>-878.950597044057 173.211183590032 -280.216365704019</t>
  </si>
  <si>
    <t>-886.034214223673 171.078911835298 -369.005429513884</t>
  </si>
  <si>
    <t>-888.307816486669 169.278704296932 -458.055100759401</t>
  </si>
  <si>
    <t>-886.425246717161 166.908557814884 -582.600811029915</t>
  </si>
  <si>
    <t>-862.689170197712 160.11866256618 -661.945208578535</t>
  </si>
  <si>
    <t>-880.829268978683 194.902201797592 -528.21011021779</t>
  </si>
  <si>
    <t>-838.146605153686 324.412682485962 -510.77380843595</t>
  </si>
  <si>
    <t>-707.816547389535 353.493697493818 -248.553303879674</t>
  </si>
  <si>
    <t>-467.981424655681 332.27589191695 -239.625873227467</t>
  </si>
  <si>
    <t>-893.678437836482 141.000824469643 -527.378618872002</t>
  </si>
  <si>
    <t>-927.123781950703 11.8944322277348 -494.058608199993</t>
  </si>
  <si>
    <t>-719.481343383686 52.7473485653068 -273.427416964871</t>
  </si>
  <si>
    <t>-838.627489249325 277.59654761157 -76.6406861303076</t>
  </si>
  <si>
    <t>-839.817087067867 320.069370147678 324.668828512032</t>
  </si>
  <si>
    <t>-865.004412559046 360.825343427025 770.023062009197</t>
  </si>
  <si>
    <t>-721.703596629314 387.94540060412 831.802417969443</t>
  </si>
  <si>
    <t>-835.708981000956 87.037128983739 -66.5296151415291</t>
  </si>
  <si>
    <t>-816.169599902259 69.4159432172378 336.164300283736</t>
  </si>
  <si>
    <t>-839.917024846414 94.1261248945029 782.621190578024</t>
  </si>
  <si>
    <t>-749.489523985415 -14.1870678659839 854.582389796001</t>
  </si>
  <si>
    <t>9763-20170724T111049.783846300.bin</t>
  </si>
  <si>
    <t>-837.525072346276 182.170320902896 -70.6572670579102</t>
  </si>
  <si>
    <t>-866.669648918573 176.102921503802 -182.594718855663</t>
  </si>
  <si>
    <t>-879.313862668195 173.160107859828 -280.360405670654</t>
  </si>
  <si>
    <t>-886.300657608969 171.103409139779 -369.159096115448</t>
  </si>
  <si>
    <t>-888.460102493252 169.390947290841 -458.213310013165</t>
  </si>
  <si>
    <t>-886.399389861895 167.155370116242 -582.758755677227</t>
  </si>
  <si>
    <t>-862.105838914626 160.219987232553 -661.921514155349</t>
  </si>
  <si>
    <t>-880.86607235901 195.086578459273 -528.329519539383</t>
  </si>
  <si>
    <t>-838.166014133543 324.576068720974 -510.792147138806</t>
  </si>
  <si>
    <t>-707.419437973209 352.968264424505 -248.703536081948</t>
  </si>
  <si>
    <t>-467.532577550115 332.29697764241 -239.87592654433</t>
  </si>
  <si>
    <t>-893.746597542909 141.19130395762 -527.575155269888</t>
  </si>
  <si>
    <t>-927.337413158135 12.1067733744194 -494.334289248451</t>
  </si>
  <si>
    <t>-722.4058294182 56.3831510003902 -272.140858454623</t>
  </si>
  <si>
    <t>-839.086658010187 277.392987303483 -76.7223655447253</t>
  </si>
  <si>
    <t>-839.855617429965 320.093815338115 324.563952485448</t>
  </si>
  <si>
    <t>-864.845628939524 360.87400485709 769.963146434039</t>
  </si>
  <si>
    <t>-721.54360628806 387.576063638776 831.921431034568</t>
  </si>
  <si>
    <t>-836.289558714097 86.8654060092395 -66.6302496885831</t>
  </si>
  <si>
    <t>-816.275755938407 69.4814316896027 336.050705363117</t>
  </si>
  <si>
    <t>-839.953116404468 94.1141913666161 782.566990240097</t>
  </si>
  <si>
    <t>-749.454890433037 -14.1265233143085 854.54836212067</t>
  </si>
  <si>
    <t>9763-20170724T111049.816459800.bin</t>
  </si>
  <si>
    <t>-837.821654431269 182.049055364713 -70.6793148316647</t>
  </si>
  <si>
    <t>-866.996805499658 176.040277090553 -182.611936652413</t>
  </si>
  <si>
    <t>-879.6528156405 173.141583386951 -280.377433069159</t>
  </si>
  <si>
    <t>-886.645030429336 171.121733278465 -369.176467143391</t>
  </si>
  <si>
    <t>-888.804069150184 169.44308317657 -458.231276290421</t>
  </si>
  <si>
    <t>-886.737097583486 167.250799922514 -582.777386651423</t>
  </si>
  <si>
    <t>-862.229081044149 160.208715288201 -661.864639061051</t>
  </si>
  <si>
    <t>-881.187613815447 195.158609048193 -528.337880959103</t>
  </si>
  <si>
    <t>-838.457928388988 324.639593118701 -510.806956484748</t>
  </si>
  <si>
    <t>-707.496512389872 352.991983601949 -248.82140384639</t>
  </si>
  <si>
    <t>-467.595269002633 332.457780781944 -240.06997465293</t>
  </si>
  <si>
    <t>-894.105701478612 141.272370565784 -527.603806455502</t>
  </si>
  <si>
    <t>-927.824402489769 12.219901997023 -494.370372991472</t>
  </si>
  <si>
    <t>-723.927609504734 58.2691779029192 -271.289576135948</t>
  </si>
  <si>
    <t>-839.34623654297 277.254543339784 -76.7012406432249</t>
  </si>
  <si>
    <t>-839.767693579995 320.086814545833 324.571619783365</t>
  </si>
  <si>
    <t>-864.754003483187 360.803276355376 769.978089545503</t>
  </si>
  <si>
    <t>-721.424957321089 387.260378836473 831.978503237092</t>
  </si>
  <si>
    <t>-836.689256933732 86.7613799661726 -66.6678699911506</t>
  </si>
  <si>
    <t>-816.336325470395 69.4981872838284 336.001279956593</t>
  </si>
  <si>
    <t>-839.956032518615 94.1219415114924 782.544131424734</t>
  </si>
  <si>
    <t>-749.537425109098 -14.1759183006452 854.539638178138</t>
  </si>
  <si>
    <t>9763-20170724T111049.883109100.bin</t>
  </si>
  <si>
    <t>-838.453131902925 182.049248470639 -70.6302521226842</t>
  </si>
  <si>
    <t>-867.556995992423 176.147853682364 -182.58716879659</t>
  </si>
  <si>
    <t>-880.116127860304 173.279712743781 -280.365959827415</t>
  </si>
  <si>
    <t>-887.007429802453 171.26267704835 -369.172987274215</t>
  </si>
  <si>
    <t>-889.054747727289 169.560410122261 -458.230024053419</t>
  </si>
  <si>
    <t>-886.821011935536 167.306112889062 -582.772139352779</t>
  </si>
  <si>
    <t>-861.930796264619 159.987815125896 -661.714865681846</t>
  </si>
  <si>
    <t>-881.286079686031 195.227240789676 -528.337826306006</t>
  </si>
  <si>
    <t>-838.343766334566 324.635705047193 -510.832354557279</t>
  </si>
  <si>
    <t>-707.161478680834 353.292854877559 -248.990494148238</t>
  </si>
  <si>
    <t>-467.232724016196 332.928677252139 -240.601434665432</t>
  </si>
  <si>
    <t>-894.321922120305 141.369028897243 -527.596778096258</t>
  </si>
  <si>
    <t>-928.445213364982 12.4125470389326 -494.356926465491</t>
  </si>
  <si>
    <t>-726.772677670243 62.2750472424227 -269.321815298181</t>
  </si>
  <si>
    <t>-839.789277772721 277.261834298681 -76.6012661305074</t>
  </si>
  <si>
    <t>-839.781999076419 320.138743521766 324.667008524152</t>
  </si>
  <si>
    <t>-864.808370905399 361.014276429285 770.082472265693</t>
  </si>
  <si>
    <t>-721.430108141943 387.221380248708 832.075593288713</t>
  </si>
  <si>
    <t>-837.480089923249 86.8287129317682 -66.6900194503668</t>
  </si>
  <si>
    <t>-816.7150344149 69.6107812532723 335.960020597375</t>
  </si>
  <si>
    <t>-840.039993442714 94.0375376514794 782.515846618496</t>
  </si>
  <si>
    <t>-749.494943540155 -14.1460687683498 854.524017600904</t>
  </si>
  <si>
    <t>9763-20170724T111049.916705800.bin</t>
  </si>
  <si>
    <t>-838.702801066318 182.277232100376 -70.5824364330417</t>
  </si>
  <si>
    <t>-867.796604120603 176.459320173378 -182.546324458558</t>
  </si>
  <si>
    <t>-880.330840711473 173.630564469445 -280.329512676757</t>
  </si>
  <si>
    <t>-887.194337377827 171.63721350879 -369.139189535778</t>
  </si>
  <si>
    <t>-889.208633365027 169.946383081503 -458.197170648785</t>
  </si>
  <si>
    <t>-886.924630020867 167.696219769305 -582.738577534724</t>
  </si>
  <si>
    <t>-861.876104703228 160.266784876362 -661.62058829002</t>
  </si>
  <si>
    <t>-881.37564908597 195.606746236006 -528.300220238883</t>
  </si>
  <si>
    <t>-838.219203776774 324.94315992018 -510.798028254664</t>
  </si>
  <si>
    <t>-706.864355551809 353.721353819199 -249.055933093014</t>
  </si>
  <si>
    <t>-466.915305932582 333.501101795707 -240.899330712255</t>
  </si>
  <si>
    <t>-894.484139074522 141.766269719316 -527.567818445245</t>
  </si>
  <si>
    <t>-928.772085369405 12.8397467701739 -494.36509722202</t>
  </si>
  <si>
    <t>-728.47087945148 64.8535565312909 -267.967990341303</t>
  </si>
  <si>
    <t>-839.936364535286 277.504651570704 -76.5469505568583</t>
  </si>
  <si>
    <t>-839.975640475892 320.244712955162 324.73594390107</t>
  </si>
  <si>
    <t>-864.851081275964 361.129894771253 770.143271292569</t>
  </si>
  <si>
    <t>-721.434416009139 387.171923285481 832.117421769564</t>
  </si>
  <si>
    <t>-837.872476924838 87.1083571981344 -66.6902828073498</t>
  </si>
  <si>
    <t>-816.92695672279 69.8234131807308 335.947450953462</t>
  </si>
  <si>
    <t>-840.045836451966 94.0470550392338 782.510801383459</t>
  </si>
  <si>
    <t>-749.598411838982 -14.2107795739321 854.529976405197</t>
  </si>
  <si>
    <t>9763-20170724T111049.983383200.bin</t>
  </si>
  <si>
    <t>-839.230183169337 182.890263330977 -70.5776909375004</t>
  </si>
  <si>
    <t>-868.248971522116 177.162925900107 -182.565776999283</t>
  </si>
  <si>
    <t>-880.74174752508 174.402761882675 -280.356242586783</t>
  </si>
  <si>
    <t>-887.577138707354 172.470838675083 -369.169378557159</t>
  </si>
  <si>
    <t>-889.573934817663 170.840326969477 -458.228954947529</t>
  </si>
  <si>
    <t>-887.27567430336 168.67438097334 -582.771327589561</t>
  </si>
  <si>
    <t>-862.100904833372 161.069615215163 -661.596777357607</t>
  </si>
  <si>
    <t>-881.666492569918 196.531927368125 -528.312154433269</t>
  </si>
  <si>
    <t>-838.137080889625 325.737136296792 -510.75234782086</t>
  </si>
  <si>
    <t>-706.020820273262 354.792523203691 -249.424463858843</t>
  </si>
  <si>
    <t>-465.99101672319 335.17787703611 -242.226995404982</t>
  </si>
  <si>
    <t>-894.907176669713 142.723248721799 -527.620750191378</t>
  </si>
  <si>
    <t>-929.531626957654 13.8783639054886 -494.47815127481</t>
  </si>
  <si>
    <t>-732.126872120293 70.3772757936986 -264.840651613439</t>
  </si>
  <si>
    <t>-840.298908431399 278.151613082404 -76.53681947594</t>
  </si>
  <si>
    <t>-840.442252065885 320.463421505513 324.791444340428</t>
  </si>
  <si>
    <t>-864.783127793738 361.153326832128 770.221063638409</t>
  </si>
  <si>
    <t>-721.319392500222 386.882550940053 832.216356080843</t>
  </si>
  <si>
    <t>-838.533484862849 87.6521513675989 -66.7023311944882</t>
  </si>
  <si>
    <t>-817.418072764459 70.2440039910734 335.921233121596</t>
  </si>
  <si>
    <t>-840.128016889787 93.9822740465461 782.514857329572</t>
  </si>
  <si>
    <t>-749.724327926611 -14.3077396145559 854.540874483938</t>
  </si>
  <si>
    <t>9763-20170724T111050.015471000.bin</t>
  </si>
  <si>
    <t>-839.506968725275 183.23735956574 -70.5966526399884</t>
  </si>
  <si>
    <t>-868.47784775612 177.547102798923 -182.59904738415</t>
  </si>
  <si>
    <t>-880.943857995636 174.825401745095 -280.393953003782</t>
  </si>
  <si>
    <t>-887.761519140045 172.931670577609 -369.209251763276</t>
  </si>
  <si>
    <t>-889.745799793807 171.34333165547 -458.269928461824</t>
  </si>
  <si>
    <t>-887.436633308638 169.2403341008 -582.813363627589</t>
  </si>
  <si>
    <t>-862.263085513456 161.556870558373 -661.631351368757</t>
  </si>
  <si>
    <t>-881.804853850147 197.063436866527 -528.338744420852</t>
  </si>
  <si>
    <t>-838.124830800015 326.219349181188 -510.736934806837</t>
  </si>
  <si>
    <t>-705.635627171888 355.441454471468 -249.616510606247</t>
  </si>
  <si>
    <t>-465.585551969135 335.799004066176 -243.212882720957</t>
  </si>
  <si>
    <t>-895.100663918747 143.267967688401 -527.677014789987</t>
  </si>
  <si>
    <t>-929.810969740434 14.4419934738753 -494.582949242314</t>
  </si>
  <si>
    <t>-733.974441252667 73.2409226314121 -263.353069322167</t>
  </si>
  <si>
    <t>-840.510947042865 278.56893362184 -76.5540154126415</t>
  </si>
  <si>
    <t>-840.753778487726 320.665900374155 324.796775983952</t>
  </si>
  <si>
    <t>-864.833992028962 361.362154326745 770.251090841391</t>
  </si>
  <si>
    <t>-721.338411346202 386.862290274945 832.267349894122</t>
  </si>
  <si>
    <t>-838.844636790878 87.9067665519765 -66.7094649751347</t>
  </si>
  <si>
    <t>-817.651797269112 70.4571866623578 335.908373315721</t>
  </si>
  <si>
    <t>-840.181094339152 93.939677796031 782.515476231405</t>
  </si>
  <si>
    <t>-749.650279719702 -14.2494947050204 854.533245552714</t>
  </si>
  <si>
    <t>9763-20170724T111050.082657000.bin</t>
  </si>
  <si>
    <t>-839.899017116544 183.575591189952 -70.6378225897336</t>
  </si>
  <si>
    <t>-868.74555621622 177.93981631297 -182.6750323085</t>
  </si>
  <si>
    <t>-881.146129940587 175.254582465842 -280.479345926058</t>
  </si>
  <si>
    <t>-887.921593971558 173.391422786543 -369.298576010854</t>
  </si>
  <si>
    <t>-889.881681530816 171.83183626934 -458.360189079837</t>
  </si>
  <si>
    <t>-887.556886631843 169.767533189186 -582.904015328075</t>
  </si>
  <si>
    <t>-862.440852193421 161.939438188544 -661.726114948958</t>
  </si>
  <si>
    <t>-881.898543848692 197.565712966415 -528.419330486104</t>
  </si>
  <si>
    <t>-838.011049640655 326.648507834303 -510.80343648477</t>
  </si>
  <si>
    <t>-704.847798514056 355.928770325153 -250.032498076926</t>
  </si>
  <si>
    <t>-464.679876704129 337.151392184951 -245.828564450221</t>
  </si>
  <si>
    <t>-895.261143963746 143.786353160077 -527.777408557143</t>
  </si>
  <si>
    <t>-930.029496698786 14.9792360918773 -494.661615159823</t>
  </si>
  <si>
    <t>-736.766517896554 77.829639133367 -261.04449755817</t>
  </si>
  <si>
    <t>-840.710143796526 278.916184156905 -76.5653677189461</t>
  </si>
  <si>
    <t>-841.187730164885 320.788134287908 324.808710968844</t>
  </si>
  <si>
    <t>-864.706449075181 361.353755825176 770.2962309341</t>
  </si>
  <si>
    <t>-721.265948400576 387.07195207819 832.350644334567</t>
  </si>
  <si>
    <t>-839.393730506912 88.1306721384663 -66.7378968093551</t>
  </si>
  <si>
    <t>-817.962381090401 70.6793809996479 335.867128427485</t>
  </si>
  <si>
    <t>-840.322286561765 93.8264597955931 782.514094150967</t>
  </si>
  <si>
    <t>-749.609823262802 -14.2201875308147 854.51740352517</t>
  </si>
  <si>
    <t>9763-20170724T111050.115745500.bin</t>
  </si>
  <si>
    <t>-839.947485209715 183.619840697676 -70.6485109797258</t>
  </si>
  <si>
    <t>-868.735329431737 178.014370643878 -182.702379011973</t>
  </si>
  <si>
    <t>-881.098972985958 175.331739417265 -280.511345488145</t>
  </si>
  <si>
    <t>-887.847544707238 173.463169941315 -369.332482822222</t>
  </si>
  <si>
    <t>-889.787412583328 171.889798455193 -458.394343714382</t>
  </si>
  <si>
    <t>-887.442425874894 169.798738389793 -582.937244868197</t>
  </si>
  <si>
    <t>-862.346502067109 161.914444444912 -661.760080000383</t>
  </si>
  <si>
    <t>-881.778763568048 197.605091136643 -528.457466126644</t>
  </si>
  <si>
    <t>-837.810560606233 326.669126917725 -510.876312345535</t>
  </si>
  <si>
    <t>-704.234682910616 355.979705878183 -250.319931875286</t>
  </si>
  <si>
    <t>-463.985153226047 338.036248118252 -247.307381724998</t>
  </si>
  <si>
    <t>-895.170058654541 143.832982929612 -527.806776776498</t>
  </si>
  <si>
    <t>-929.946182140587 15.0431459286929 -494.635663448269</t>
  </si>
  <si>
    <t>-737.347605103382 79.4651876616495 -260.632698604387</t>
  </si>
  <si>
    <t>-840.646033793322 278.893971323472 -76.5715252293296</t>
  </si>
  <si>
    <t>-841.19518164593 320.746785238616 324.804482611334</t>
  </si>
  <si>
    <t>-864.528215223911 361.143967119292 770.3134057625</t>
  </si>
  <si>
    <t>-721.189922559853 387.38539693391 832.383799961751</t>
  </si>
  <si>
    <t>-839.523989153312 88.2371767245099 -66.7597094967236</t>
  </si>
  <si>
    <t>-817.997996262364 70.7718368680517 335.83966363736</t>
  </si>
  <si>
    <t>-840.307949856016 93.880095455369 782.503654781927</t>
  </si>
  <si>
    <t>-749.679493175557 -14.2313970900705 854.515451548776</t>
  </si>
  <si>
    <t>9763-20170724T111050.182566500.bin</t>
  </si>
  <si>
    <t>-840.230906447582 183.981488844204 -70.6443816390969</t>
  </si>
  <si>
    <t>-868.925400103298 178.484762156738 -182.727625019139</t>
  </si>
  <si>
    <t>-881.264856859557 175.831783337072 -280.540481964575</t>
  </si>
  <si>
    <t>-888.016709381811 173.969675802476 -369.361540228413</t>
  </si>
  <si>
    <t>-889.986462411796 172.384313203618 -458.422430673255</t>
  </si>
  <si>
    <t>-887.711352809598 170.259885985666 -582.966107560398</t>
  </si>
  <si>
    <t>-862.655222522484 162.310877917685 -661.795135980934</t>
  </si>
  <si>
    <t>-882.019286928396 198.081297133062 -528.496974686915</t>
  </si>
  <si>
    <t>-838.042406966215 327.14376987784 -511.029225697696</t>
  </si>
  <si>
    <t>-703.853265786985 356.809659248727 -250.828438690275</t>
  </si>
  <si>
    <t>-463.488098548822 340.271318926852 -249.455659666466</t>
  </si>
  <si>
    <t>-895.405993450552 144.308614845814 -527.824194687085</t>
  </si>
  <si>
    <t>-930.068857081653 15.5049740210998 -494.539896769027</t>
  </si>
  <si>
    <t>-737.245070339633 81.3311656488431 -261.298848911315</t>
  </si>
  <si>
    <t>-840.847742475846 279.336272642446 -76.536359879356</t>
  </si>
  <si>
    <t>-841.225759050195 321.054280992285 324.853881202065</t>
  </si>
  <si>
    <t>-864.468793985015 361.280919744047 770.392207121895</t>
  </si>
  <si>
    <t>-721.068743432503 387.109949738591 832.493456176019</t>
  </si>
  <si>
    <t>-840.00732441477 88.651444688307 -66.7914819152737</t>
  </si>
  <si>
    <t>-817.972780184084 71.0217552306362 335.773301423777</t>
  </si>
  <si>
    <t>-840.3903221227 93.8204130037439 782.478620757079</t>
  </si>
  <si>
    <t>-749.824801497803 -14.3321149865506 854.507690264423</t>
  </si>
  <si>
    <t>9763-20170724T111050.217664600.bin</t>
  </si>
  <si>
    <t>-840.463127721395 184.300214220076 -70.6251099619277</t>
  </si>
  <si>
    <t>-869.153119508242 178.867227905086 -182.712510314588</t>
  </si>
  <si>
    <t>-881.516989819252 176.246907713375 -280.523234379344</t>
  </si>
  <si>
    <t>-888.303292935456 174.407896515981 -369.342186512691</t>
  </si>
  <si>
    <t>-890.320281082974 172.840964362131 -458.402365097951</t>
  </si>
  <si>
    <t>-888.125042599206 170.738368220023 -582.947816013306</t>
  </si>
  <si>
    <t>-863.081160831653 162.783356694858 -661.780301860851</t>
  </si>
  <si>
    <t>-882.410529183379 198.553170796952 -528.477717827446</t>
  </si>
  <si>
    <t>-838.465578878438 327.629486063615 -511.022753172028</t>
  </si>
  <si>
    <t>-704.095218403059 357.638461480008 -250.9550674453</t>
  </si>
  <si>
    <t>-463.700259102324 341.503495754113 -250.061619256296</t>
  </si>
  <si>
    <t>-895.771626278588 144.774021167922 -527.805308258881</t>
  </si>
  <si>
    <t>-930.333924162059 15.9458521636016 -494.5162281572</t>
  </si>
  <si>
    <t>-737.085218460395 81.7727168349015 -261.730507528848</t>
  </si>
  <si>
    <t>-841.108561507622 279.693713854301 -76.4885658545538</t>
  </si>
  <si>
    <t>-841.196044064948 321.232114317178 324.920466286038</t>
  </si>
  <si>
    <t>-864.423238018334 361.293133081314 770.472392322604</t>
  </si>
  <si>
    <t>-721.020917488068 387.130531661141 832.564942535148</t>
  </si>
  <si>
    <t>-840.242797024013 88.953589726897 -66.8062691337872</t>
  </si>
  <si>
    <t>-817.951516320764 71.2431858498339 335.740700581314</t>
  </si>
  <si>
    <t>-840.335303556225 93.9239434517017 782.45653859715</t>
  </si>
  <si>
    <t>-749.867931131235 -14.3016921194239 854.499743496584</t>
  </si>
  <si>
    <t>9763-20170724T111050.281838800.bin</t>
  </si>
  <si>
    <t>-840.891272561933 185.034434632987 -70.5521378691097</t>
  </si>
  <si>
    <t>-869.60466584489 179.628676729859 -182.634925608783</t>
  </si>
  <si>
    <t>-881.998823543913 177.040885471293 -280.442575293485</t>
  </si>
  <si>
    <t>-888.817040612233 175.235754246633 -369.259773185203</t>
  </si>
  <si>
    <t>-890.869845040294 173.70843917393 -458.3199117635</t>
  </si>
  <si>
    <t>-888.728075226162 171.668499684949 -582.867345380131</t>
  </si>
  <si>
    <t>-863.694453946847 163.748183129649 -661.706550920598</t>
  </si>
  <si>
    <t>-883.000690198612 199.458538562365 -528.385973938314</t>
  </si>
  <si>
    <t>-839.119633902702 328.561610551931 -510.901939097784</t>
  </si>
  <si>
    <t>-704.61484936021 358.705627236041 -250.919221266055</t>
  </si>
  <si>
    <t>-464.18276980767 343.115883931649 -250.382487476699</t>
  </si>
  <si>
    <t>-896.340415969645 145.67399887286 -527.734339444718</t>
  </si>
  <si>
    <t>-930.803310946216 16.8064867147546 -494.513872280693</t>
  </si>
  <si>
    <t>-737.312130635635 82.1854950165207 -261.760879328382</t>
  </si>
  <si>
    <t>-841.647972232691 280.486462888168 -76.4007332811477</t>
  </si>
  <si>
    <t>-841.127529999147 321.633855656018 325.048284451387</t>
  </si>
  <si>
    <t>-864.372886838855 361.385022625704 770.636938610089</t>
  </si>
  <si>
    <t>-720.900495243964 386.900552069034 832.700643267818</t>
  </si>
  <si>
    <t>-840.458597656572 89.5318370795235 -66.7909132996042</t>
  </si>
  <si>
    <t>-817.805339710596 71.6812442210912 335.729724993832</t>
  </si>
  <si>
    <t>-840.336528195121 93.9736544894249 782.417422946891</t>
  </si>
  <si>
    <t>-749.97019935515 -14.3153696097529 854.491810781396</t>
  </si>
  <si>
    <t>9763-20170724T111050.314928100.bin</t>
  </si>
  <si>
    <t>-840.87298248215 185.204190896924 -70.5252761742254</t>
  </si>
  <si>
    <t>-869.612555649052 179.80708597693 -182.601740028988</t>
  </si>
  <si>
    <t>-882.010378119087 177.229235344002 -280.409137786621</t>
  </si>
  <si>
    <t>-888.823977768521 175.433692455149 -369.226975457121</t>
  </si>
  <si>
    <t>-890.863767986263 173.916371794378 -458.28744622631</t>
  </si>
  <si>
    <t>-888.695867889116 171.889806050013 -582.83477538959</t>
  </si>
  <si>
    <t>-863.669368571367 164.000724019439 -661.679259639875</t>
  </si>
  <si>
    <t>-882.976131807053 199.6731134905 -528.349062548374</t>
  </si>
  <si>
    <t>-839.096027218811 328.768802399587 -510.833902382343</t>
  </si>
  <si>
    <t>-704.618715524526 358.663940651199 -250.808349830559</t>
  </si>
  <si>
    <t>-464.17199529762 343.29460142176 -250.633177525556</t>
  </si>
  <si>
    <t>-896.323356962571 145.890054208114 -527.70612137231</t>
  </si>
  <si>
    <t>-930.816551902538 17.0210816927115 -494.522191598922</t>
  </si>
  <si>
    <t>-737.299618563724 82.2015032719664 -261.538360169451</t>
  </si>
  <si>
    <t>-841.575652894653 280.653096609743 -76.3560121076457</t>
  </si>
  <si>
    <t>-840.987304654474 321.746075612634 325.098497872763</t>
  </si>
  <si>
    <t>-864.309100895391 361.353087499638 770.703490829315</t>
  </si>
  <si>
    <t>-720.869198048983 387.101196413176 832.745935127974</t>
  </si>
  <si>
    <t>-840.42172498903 89.6365019938294 -66.7705649537373</t>
  </si>
  <si>
    <t>-817.64092324581 71.7434821770867 335.741032045764</t>
  </si>
  <si>
    <t>-840.374265131062 93.9393342978137 782.403924939445</t>
  </si>
  <si>
    <t>-750.01252965957 -14.34380540234 854.492645821952</t>
  </si>
  <si>
    <t>9763-20170724T111050.383127400.bin</t>
  </si>
  <si>
    <t>-840.532116136832 185.358648842851 -70.4585463558669</t>
  </si>
  <si>
    <t>-869.226698553985 180.006050150916 -182.548604007719</t>
  </si>
  <si>
    <t>-881.580294395609 177.452856296228 -280.362425420165</t>
  </si>
  <si>
    <t>-888.351654393609 175.67586647268 -369.183780324997</t>
  </si>
  <si>
    <t>-890.348588930577 174.17268407195 -458.245482818121</t>
  </si>
  <si>
    <t>-888.118869468576 172.162616794194 -582.79183161346</t>
  </si>
  <si>
    <t>-863.084822451488 164.310299692788 -661.637721474332</t>
  </si>
  <si>
    <t>-882.412754665023 199.935182837178 -528.299515894215</t>
  </si>
  <si>
    <t>-838.446292275658 328.98605184513 -510.686212761918</t>
  </si>
  <si>
    <t>-704.03909281299 358.368737781159 -250.566038108886</t>
  </si>
  <si>
    <t>-463.543745582405 343.787061823738 -251.06925036469</t>
  </si>
  <si>
    <t>-895.787242695141 146.159083262108 -527.670820270129</t>
  </si>
  <si>
    <t>-930.43037552181 17.3312860730812 -494.483267381862</t>
  </si>
  <si>
    <t>-736.967271142002 82.376241656877 -261.055862013455</t>
  </si>
  <si>
    <t>-841.127861503883 280.931012238485 -76.2709241612321</t>
  </si>
  <si>
    <t>-840.697680169328 321.786284827627 325.207988884158</t>
  </si>
  <si>
    <t>-864.199205017273 361.28614138671 770.830881125317</t>
  </si>
  <si>
    <t>-720.778863882506 387.234417065274 832.835644809139</t>
  </si>
  <si>
    <t>-840.246021307217 89.7475810919559 -66.7279778933118</t>
  </si>
  <si>
    <t>-817.286350372213 71.7210903237014 335.767492819122</t>
  </si>
  <si>
    <t>-840.461026520697 93.8931887889603 782.391138111411</t>
  </si>
  <si>
    <t>-750.113822455442 -14.3877777932471 854.50191877189</t>
  </si>
  <si>
    <t>9763-20170724T111050.417223000.bin</t>
  </si>
  <si>
    <t>-840.454575857374 185.485549531255 -70.4032020607757</t>
  </si>
  <si>
    <t>-869.132394216467 180.182645486056 -182.500006983142</t>
  </si>
  <si>
    <t>-881.468806322464 177.652468403864 -280.316456901932</t>
  </si>
  <si>
    <t>-888.224035397706 175.89004015271 -369.139341847035</t>
  </si>
  <si>
    <t>-890.204394097813 174.395754469919 -458.201718548294</t>
  </si>
  <si>
    <t>-887.951887120035 172.392527043394 -582.747686578974</t>
  </si>
  <si>
    <t>-862.917266858098 164.538446194409 -661.593186869998</t>
  </si>
  <si>
    <t>-882.243089408098 200.159021071173 -528.252384028104</t>
  </si>
  <si>
    <t>-838.208785646849 329.180399906728 -510.576097688197</t>
  </si>
  <si>
    <t>-703.912274673296 358.449338895877 -250.385744288844</t>
  </si>
  <si>
    <t>-463.400326758901 344.141184090144 -250.843431607223</t>
  </si>
  <si>
    <t>-895.643440985187 146.38898519927 -527.629897022043</t>
  </si>
  <si>
    <t>-930.393062938914 17.5988276054991 -494.420359563443</t>
  </si>
  <si>
    <t>-736.913741474392 82.6065951064347 -260.93127807529</t>
  </si>
  <si>
    <t>-841.038743248427 281.162901688876 -76.2116442009216</t>
  </si>
  <si>
    <t>-840.629992317924 321.839183334557 325.285399532763</t>
  </si>
  <si>
    <t>-864.245879152388 361.405289995291 770.925049749129</t>
  </si>
  <si>
    <t>-720.747511766126 387.016838900465 832.889199130371</t>
  </si>
  <si>
    <t>-840.260429727108 89.8174776407182 -66.70596633606</t>
  </si>
  <si>
    <t>-817.330575482879 71.750489811312 335.789396697651</t>
  </si>
  <si>
    <t>-840.49912728535 93.8910767240104 782.396033714982</t>
  </si>
  <si>
    <t>-750.080849792497 -14.3281023575446 854.510080849242</t>
  </si>
  <si>
    <t>9763-20170724T111050.482397300.bin</t>
  </si>
  <si>
    <t>-840.456635619154 185.837770895427 -70.3386642544391</t>
  </si>
  <si>
    <t>-869.146369245976 180.605002669845 -182.43566536736</t>
  </si>
  <si>
    <t>-881.475712321699 178.111869891454 -280.253999715642</t>
  </si>
  <si>
    <t>-888.218068730765 176.375616701464 -369.078339998002</t>
  </si>
  <si>
    <t>-890.179883766662 174.900097266324 -458.141334061654</t>
  </si>
  <si>
    <t>-887.895849644293 172.915111335956 -582.687138507763</t>
  </si>
  <si>
    <t>-862.882773336736 165.063941856073 -661.539776666766</t>
  </si>
  <si>
    <t>-882.162320425138 200.664124060525 -528.18543123497</t>
  </si>
  <si>
    <t>-837.950250546543 329.607142225535 -510.4186309475</t>
  </si>
  <si>
    <t>-704.095225850517 358.796698254161 -249.992086555387</t>
  </si>
  <si>
    <t>-463.570907542515 344.690699292147 -250.047422668368</t>
  </si>
  <si>
    <t>-895.639751816075 146.913120637188 -527.575988138177</t>
  </si>
  <si>
    <t>-930.604285396143 18.1830185918752 -494.342813136457</t>
  </si>
  <si>
    <t>-736.995665987109 83.0377429480372 -260.93771888747</t>
  </si>
  <si>
    <t>-840.97555417281 281.529753516008 -76.0953118061301</t>
  </si>
  <si>
    <t>-840.521871273489 321.829364968534 325.439719260949</t>
  </si>
  <si>
    <t>-864.222977703636 361.300224351453 771.128688219575</t>
  </si>
  <si>
    <t>-720.658736915789 386.867664072662 832.958891430445</t>
  </si>
  <si>
    <t>-840.308967519062 90.1599267235983 -66.6592981664651</t>
  </si>
  <si>
    <t>-817.518774420054 71.9692428463022 335.838405424048</t>
  </si>
  <si>
    <t>-840.493668076388 94.0196511404883 782.418805121859</t>
  </si>
  <si>
    <t>-750.32818642469 -14.4023416825489 854.544731437005</t>
  </si>
  <si>
    <t>9763-20170724T111050.515484800.bin</t>
  </si>
  <si>
    <t>-840.472871769736 185.996687231662 -70.3212056241615</t>
  </si>
  <si>
    <t>-869.164127378705 180.778295653429 -182.418504520908</t>
  </si>
  <si>
    <t>-881.49087891858 178.304027707608 -280.237634318334</t>
  </si>
  <si>
    <t>-888.229329503934 176.587492735927 -369.062714626181</t>
  </si>
  <si>
    <t>-890.185258058511 175.134205467411 -458.126090570787</t>
  </si>
  <si>
    <t>-887.890944393353 173.183531988645 -582.672358765206</t>
  </si>
  <si>
    <t>-862.877761108447 165.343613242431 -661.526008404424</t>
  </si>
  <si>
    <t>-882.149630565927 200.914337990853 -528.162292902035</t>
  </si>
  <si>
    <t>-837.881802947834 329.837481877373 -510.356147246065</t>
  </si>
  <si>
    <t>-704.096652898728 358.973517134796 -249.887367635653</t>
  </si>
  <si>
    <t>-463.569514343453 344.918715133283 -249.786438430701</t>
  </si>
  <si>
    <t>-895.651531560287 147.169467414915 -527.569249855261</t>
  </si>
  <si>
    <t>-930.688530366675 18.4540786909638 -494.360048691657</t>
  </si>
  <si>
    <t>-737.054725378358 83.1541186073268 -261.004596199395</t>
  </si>
  <si>
    <t>-840.967991926045 281.691790703753 -76.0576235971735</t>
  </si>
  <si>
    <t>-840.598552288096 321.850905101382 325.491661665675</t>
  </si>
  <si>
    <t>-864.251453598132 361.363250946265 771.184561769892</t>
  </si>
  <si>
    <t>-720.635804897043 386.7496014581 832.969244343844</t>
  </si>
  <si>
    <t>-840.327245233148 90.2590336967137 -66.6420186567387</t>
  </si>
  <si>
    <t>-817.653062779505 71.9944909741075 335.858792614217</t>
  </si>
  <si>
    <t>-840.574141448182 93.9820968750887 782.437172673299</t>
  </si>
  <si>
    <t>-750.350295914259 -14.3962882912556 854.555867618539</t>
  </si>
  <si>
    <t>9763-20170724T111050.581513800.bin</t>
  </si>
  <si>
    <t>-840.414019331816 186.111729733191 -70.3437256926255</t>
  </si>
  <si>
    <t>-869.077532927377 180.875698470251 -182.44724476434</t>
  </si>
  <si>
    <t>-881.367348844542 178.416537296454 -280.271455045966</t>
  </si>
  <si>
    <t>-888.066112152331 176.724944702143 -369.099997197912</t>
  </si>
  <si>
    <t>-889.975512082979 175.307999906545 -458.165030899646</t>
  </si>
  <si>
    <t>-887.609297230432 173.418464650582 -582.71078331555</t>
  </si>
  <si>
    <t>-862.56459510041 165.601659044489 -661.556812775906</t>
  </si>
  <si>
    <t>-881.898106351595 201.122287553643 -528.183733520149</t>
  </si>
  <si>
    <t>-837.665660384137 330.052696651671 -510.29515624965</t>
  </si>
  <si>
    <t>-703.555230067738 359.275097595725 -250.003818229541</t>
  </si>
  <si>
    <t>-462.999082972952 345.723645108635 -249.950279069303</t>
  </si>
  <si>
    <t>-895.402812790632 147.37771830418 -527.62505488705</t>
  </si>
  <si>
    <t>-930.434449086469 18.6471302482023 -494.506328473573</t>
  </si>
  <si>
    <t>-736.831079704033 83.0643418551576 -261.068621878772</t>
  </si>
  <si>
    <t>-840.808206633801 281.823034085181 -76.0832718312294</t>
  </si>
  <si>
    <t>-840.645541680572 321.922738500688 325.472062084974</t>
  </si>
  <si>
    <t>-864.165592049835 361.419475297896 771.146306631729</t>
  </si>
  <si>
    <t>-720.535790938618 386.660861718856 832.957664178179</t>
  </si>
  <si>
    <t>-840.300100114376 90.3306599186221 -66.6307870762664</t>
  </si>
  <si>
    <t>-817.769535688133 71.9711989752018 335.873816473685</t>
  </si>
  <si>
    <t>-840.698055993814 93.9643794649519 782.462927325857</t>
  </si>
  <si>
    <t>-750.425042017159 -14.3835877887595 854.566071069894</t>
  </si>
  <si>
    <t>9763-20170724T111050.613598800.bin</t>
  </si>
  <si>
    <t>-840.283474800159 185.996251211632 -70.3611073450031</t>
  </si>
  <si>
    <t>-868.92014043125 180.730908987723 -182.470102795766</t>
  </si>
  <si>
    <t>-881.181749737456 178.240414180509 -280.297099567524</t>
  </si>
  <si>
    <t>-887.85308396525 176.516621875138 -369.127035905132</t>
  </si>
  <si>
    <t>-889.733230577093 175.063163537598 -458.192078233081</t>
  </si>
  <si>
    <t>-887.323818639901 173.11884935943 -582.736170070499</t>
  </si>
  <si>
    <t>-862.254963927823 165.310644612708 -661.575433853662</t>
  </si>
  <si>
    <t>-881.641739321271 200.849303857757 -528.219749485322</t>
  </si>
  <si>
    <t>-837.486319496574 329.8076008111 -510.369725679389</t>
  </si>
  <si>
    <t>-703.175250660768 359.226827992259 -250.203831906222</t>
  </si>
  <si>
    <t>-462.567884463678 346.636946982611 -250.84058859562</t>
  </si>
  <si>
    <t>-895.126163932867 147.099843539424 -527.641378075357</t>
  </si>
  <si>
    <t>-930.089724733169 18.3452419160149 -494.522122722182</t>
  </si>
  <si>
    <t>-736.559001178632 82.9113956346955 -261.034808526512</t>
  </si>
  <si>
    <t>-840.612761080547 281.695617678121 -76.1139927037394</t>
  </si>
  <si>
    <t>-840.595174863166 321.823321111865 325.43851841672</t>
  </si>
  <si>
    <t>-864.066789021366 361.373592370614 771.109503953114</t>
  </si>
  <si>
    <t>-720.509485637006 386.94868696455 832.952017090153</t>
  </si>
  <si>
    <t>-840.195504338462 90.1929872277005 -66.6382897062831</t>
  </si>
  <si>
    <t>-817.767532437234 71.8561220863426 335.873073592621</t>
  </si>
  <si>
    <t>-840.822835030212 93.8663079290122 782.482006581233</t>
  </si>
  <si>
    <t>-750.337552643902 -14.3197015208775 854.561941185421</t>
  </si>
  <si>
    <t>9763-20170724T111050.684814100.bin</t>
  </si>
  <si>
    <t>-840.032999395871 185.876747419024 -70.3619327975358</t>
  </si>
  <si>
    <t>-868.629042613979 180.583575449319 -182.480098810556</t>
  </si>
  <si>
    <t>-880.85148334581 178.028995482151 -280.310198660598</t>
  </si>
  <si>
    <t>-887.487467118466 176.231732666362 -369.141287189789</t>
  </si>
  <si>
    <t>-889.332656621753 174.690413712472 -458.205650496706</t>
  </si>
  <si>
    <t>-886.876010603991 172.608252941037 -582.746683677958</t>
  </si>
  <si>
    <t>-861.773745083716 164.819573119194 -661.577083984302</t>
  </si>
  <si>
    <t>-881.261129063938 200.410541265387 -528.259847404239</t>
  </si>
  <si>
    <t>-837.424151577348 329.500592138687 -510.589094373325</t>
  </si>
  <si>
    <t>-702.407873210189 359.543070620755 -250.860146072515</t>
  </si>
  <si>
    <t>-461.639117448487 351.07230932529 -253.94824406924</t>
  </si>
  <si>
    <t>-894.65316871135 146.638558924808 -527.62489647947</t>
  </si>
  <si>
    <t>-929.312934310208 17.824548954613 -494.402277347052</t>
  </si>
  <si>
    <t>-736.002341378614 83.0454173641847 -260.927530611479</t>
  </si>
  <si>
    <t>-840.388049893415 281.558441310345 -76.1357845256975</t>
  </si>
  <si>
    <t>-840.563266075965 321.812338484632 325.404132826672</t>
  </si>
  <si>
    <t>-863.935282253081 361.361631063737 771.076068212679</t>
  </si>
  <si>
    <t>-720.4061490662 386.981069847235 832.965646983208</t>
  </si>
  <si>
    <t>-840.033285256345 90.1613104866874 -66.6406189394124</t>
  </si>
  <si>
    <t>-817.738997297581 71.8279250250257 335.878324099313</t>
  </si>
  <si>
    <t>-840.914010039545 93.8694552685579 782.49186613743</t>
  </si>
  <si>
    <t>-750.468198555587 -14.3551055707107 854.563248863041</t>
  </si>
  <si>
    <t>9763-20170724T111050.718418100.bin</t>
  </si>
  <si>
    <t>-839.987455153941 185.840371987661 -70.3520675514528</t>
  </si>
  <si>
    <t>-868.580846649728 180.546920312701 -182.470869209212</t>
  </si>
  <si>
    <t>-880.807536042654 177.961626558424 -280.299704265792</t>
  </si>
  <si>
    <t>-887.451239743183 176.12589578597 -369.129461772807</t>
  </si>
  <si>
    <t>-889.308310806145 174.536451278967 -458.192723782403</t>
  </si>
  <si>
    <t>-886.87323879354 172.377915178754 -582.732726979418</t>
  </si>
  <si>
    <t>-861.77113373929 164.572359256408 -661.561610065439</t>
  </si>
  <si>
    <t>-881.279446670626 200.221030219729 -528.264721995528</t>
  </si>
  <si>
    <t>-837.636724387484 329.389165208459 -510.700027904323</t>
  </si>
  <si>
    <t>-702.150129337051 359.91744663512 -251.272448044283</t>
  </si>
  <si>
    <t>-461.321443286653 354.218682863769 -255.744491268864</t>
  </si>
  <si>
    <t>-894.610138933462 146.434434393121 -527.593193069022</t>
  </si>
  <si>
    <t>-929.087875305871 17.5950265733891 -494.288710580214</t>
  </si>
  <si>
    <t>-735.796431187678 83.2613023755798 -260.790690476363</t>
  </si>
  <si>
    <t>-840.344505399768 281.489176011637 -76.1243134023437</t>
  </si>
  <si>
    <t>-840.549305961855 321.800318569762 325.409803153952</t>
  </si>
  <si>
    <t>-863.867565663234 361.305922208951 771.087257210165</t>
  </si>
  <si>
    <t>-720.368546091139 387.125037783314 832.963426271569</t>
  </si>
  <si>
    <t>-840.01602591645 90.198850814882 -66.6326083352617</t>
  </si>
  <si>
    <t>-817.747297115903 71.7870655727615 335.884254468856</t>
  </si>
  <si>
    <t>-840.953151958757 93.8625945482486 782.494401696584</t>
  </si>
  <si>
    <t>-750.54757885849 -14.394383596677 854.567668739656</t>
  </si>
  <si>
    <t>9763-20170724T111050.786099900.bin</t>
  </si>
  <si>
    <t>-839.955586995948 185.975844559208 -70.3536170306799</t>
  </si>
  <si>
    <t>-868.56360018962 180.657224947235 -182.467444658773</t>
  </si>
  <si>
    <t>-880.832086058829 177.992574892764 -280.288972183649</t>
  </si>
  <si>
    <t>-887.527839524408 176.063736898644 -369.112805273054</t>
  </si>
  <si>
    <t>-889.451701616025 174.36219999788 -458.172707552485</t>
  </si>
  <si>
    <t>-887.126285146772 172.029234505658 -582.711585233319</t>
  </si>
  <si>
    <t>-862.031824882304 164.127445006942 -661.533331214849</t>
  </si>
  <si>
    <t>-881.537088732588 199.961616040581 -528.288728804967</t>
  </si>
  <si>
    <t>-838.199174232074 329.258042922587 -510.979205354435</t>
  </si>
  <si>
    <t>-702.02437572947 361.142646479382 -252.075638048775</t>
  </si>
  <si>
    <t>-461.156919566497 359.338440243494 -257.592969611324</t>
  </si>
  <si>
    <t>-894.762526942344 146.150181802223 -527.527658036937</t>
  </si>
  <si>
    <t>-928.905434422766 17.2696021739262 -494.02909458201</t>
  </si>
  <si>
    <t>-735.699272848137 83.8965263205582 -260.558266002174</t>
  </si>
  <si>
    <t>-840.395489003891 281.608737931197 -76.1186696246109</t>
  </si>
  <si>
    <t>-840.444484826538 321.916524853095 325.415888251694</t>
  </si>
  <si>
    <t>-863.816460775502 361.335189609467 771.112148485612</t>
  </si>
  <si>
    <t>-720.280731503532 387.022479924074 832.958766497868</t>
  </si>
  <si>
    <t>-839.885826094533 90.3423442287881 -66.6318026960436</t>
  </si>
  <si>
    <t>-817.661764787235 71.9007653016515 335.886126418862</t>
  </si>
  <si>
    <t>-840.911247518843 94.0193378727217 782.494700789628</t>
  </si>
  <si>
    <t>-750.868168132499 -14.5263445913938 854.587508443415</t>
  </si>
  <si>
    <t>9763-20170724T111050.814175200.bin</t>
  </si>
  <si>
    <t>-840.00061667385 186.015906480424 -70.3438579950811</t>
  </si>
  <si>
    <t>-868.632251405242 180.677234976412 -182.450750383942</t>
  </si>
  <si>
    <t>-880.927933547608 177.972206230893 -280.267653885322</t>
  </si>
  <si>
    <t>-887.651499101336 175.997359006985 -369.08853669665</t>
  </si>
  <si>
    <t>-889.607507310233 174.241133083193 -458.146469356154</t>
  </si>
  <si>
    <t>-887.331390456932 171.822246228481 -582.684825747736</t>
  </si>
  <si>
    <t>-862.240673634447 163.853983738408 -661.500908374803</t>
  </si>
  <si>
    <t>-881.732027874162 199.79473961394 -528.283708022724</t>
  </si>
  <si>
    <t>-838.454863983635 329.130034202675 -511.089449286254</t>
  </si>
  <si>
    <t>-702.057818149296 361.59042330631 -252.374725691481</t>
  </si>
  <si>
    <t>-461.184520903372 360.725917179901 -257.872315920151</t>
  </si>
  <si>
    <t>-894.933990196946 145.978255145104 -527.479715599339</t>
  </si>
  <si>
    <t>-928.982553121228 17.096031993518 -493.890573524808</t>
  </si>
  <si>
    <t>-735.730113051383 84.1141399029611 -260.467810398134</t>
  </si>
  <si>
    <t>-840.479500591617 281.685430554085 -76.1215771752819</t>
  </si>
  <si>
    <t>-840.382369086279 321.950672672675 325.417160490888</t>
  </si>
  <si>
    <t>-863.786732038156 361.33182564373 771.123257201155</t>
  </si>
  <si>
    <t>-720.237688477243 386.988814859366 832.95133952456</t>
  </si>
  <si>
    <t>-839.898021023065 90.304965925307 -66.6204452332236</t>
  </si>
  <si>
    <t>-817.674875099359 71.9052552804114 335.899487208789</t>
  </si>
  <si>
    <t>-841.003933112655 93.9330070942756 782.498443350739</t>
  </si>
  <si>
    <t>-750.739192161307 -14.4348217912939 854.581695243401</t>
  </si>
  <si>
    <t>9763-20170724T111050.884228700.bin</t>
  </si>
  <si>
    <t>-839.832236646469 186.109418138831 -70.3367517911452</t>
  </si>
  <si>
    <t>-868.521287547952 180.711133858291 -182.426131804254</t>
  </si>
  <si>
    <t>-880.861839364396 177.932709747447 -280.235277183711</t>
  </si>
  <si>
    <t>-887.624761148985 175.88163186713 -369.05133547743</t>
  </si>
  <si>
    <t>-889.619061597448 174.038451710237 -458.106784816009</t>
  </si>
  <si>
    <t>-887.395466585593 171.486139693297 -582.643347653337</t>
  </si>
  <si>
    <t>-862.318838638122 163.398731286816 -661.451875206364</t>
  </si>
  <si>
    <t>-881.772433237787 199.516995453451 -528.274538362792</t>
  </si>
  <si>
    <t>-838.418970222264 328.85034767417 -511.196526767057</t>
  </si>
  <si>
    <t>-701.650167467363 361.305368821454 -252.677445250019</t>
  </si>
  <si>
    <t>-460.781971790461 361.751513765362 -258.436553677628</t>
  </si>
  <si>
    <t>-894.975663641549 145.701660593417 -527.407362034838</t>
  </si>
  <si>
    <t>-929.014502538857 16.8481461527531 -493.68266204913</t>
  </si>
  <si>
    <t>-735.726324547382 84.429278969033 -260.396584807268</t>
  </si>
  <si>
    <t>-840.288100560255 281.797443347853 -76.1351538050689</t>
  </si>
  <si>
    <t>-840.204626282734 322.081409388269 325.401771268881</t>
  </si>
  <si>
    <t>-863.763402906197 361.39986581595 771.111166882975</t>
  </si>
  <si>
    <t>-720.178630353847 386.927348741277 832.910174084497</t>
  </si>
  <si>
    <t>-839.70173226076 90.3871239122454 -66.5959542499467</t>
  </si>
  <si>
    <t>-817.535913181464 71.8687041492408 335.921609506286</t>
  </si>
  <si>
    <t>-841.111799755789 93.8757380497859 782.504855262598</t>
  </si>
  <si>
    <t>-750.689897709667 -14.3659749252938 854.580525693718</t>
  </si>
  <si>
    <t>9763-20170724T111050.916310800.bin</t>
  </si>
  <si>
    <t>-839.706470644855 186.227656403558 -70.3420168343032</t>
  </si>
  <si>
    <t>-868.402948128543 180.79805370836 -182.427868078941</t>
  </si>
  <si>
    <t>-880.759805569366 177.993091675815 -280.234329676423</t>
  </si>
  <si>
    <t>-887.541032133109 175.917858699374 -369.048547770883</t>
  </si>
  <si>
    <t>-889.557042522919 174.051084406244 -458.102906887783</t>
  </si>
  <si>
    <t>-887.36809856359 171.466365412383 -582.639422704309</t>
  </si>
  <si>
    <t>-862.311491530028 163.344042230129 -661.450796852097</t>
  </si>
  <si>
    <t>-881.725882380251 199.510296690181 -528.279422505932</t>
  </si>
  <si>
    <t>-838.314567178642 328.826916722923 -511.235646308718</t>
  </si>
  <si>
    <t>-701.449428077787 360.811484705899 -252.708812766973</t>
  </si>
  <si>
    <t>-460.588617196688 361.884561380282 -258.692386443374</t>
  </si>
  <si>
    <t>-894.936909976262 145.697203405978 -527.394678722006</t>
  </si>
  <si>
    <t>-928.993188099544 16.8656664837135 -493.616879263241</t>
  </si>
  <si>
    <t>-735.697886730995 84.5636959205358 -260.41735436554</t>
  </si>
  <si>
    <t>-840.145932164549 281.881238795662 -76.1645263046289</t>
  </si>
  <si>
    <t>-840.066508412582 322.13085027887 325.375822598363</t>
  </si>
  <si>
    <t>-863.668812979724 361.28307971509 771.086719357712</t>
  </si>
  <si>
    <t>-720.114146995605 387.013151403175 832.871153522125</t>
  </si>
  <si>
    <t>-839.587458748735 90.5602406706225 -66.5793706359077</t>
  </si>
  <si>
    <t>-817.403130030766 71.9266772243282 335.931926758849</t>
  </si>
  <si>
    <t>-841.098174147321 93.9349011391027 782.500895950578</t>
  </si>
  <si>
    <t>-750.875183605646 -14.4627026946805 854.591826002995</t>
  </si>
  <si>
    <t>9763-20170724T111050.982493200.bin</t>
  </si>
  <si>
    <t>-839.66581936057 186.502568242632 -70.3726909186528</t>
  </si>
  <si>
    <t>-868.376521527502 181.026918000733 -182.452827926685</t>
  </si>
  <si>
    <t>-880.767749127012 178.175694445392 -280.253415946337</t>
  </si>
  <si>
    <t>-887.589506850362 176.056970519297 -369.063445535517</t>
  </si>
  <si>
    <t>-889.655361779829 174.145109871276 -458.115817571546</t>
  </si>
  <si>
    <t>-887.545978680284 171.496099073096 -582.652260170468</t>
  </si>
  <si>
    <t>-862.537049311028 163.334983441934 -661.474705623185</t>
  </si>
  <si>
    <t>-881.856946500223 199.564848315843 -528.310140888549</t>
  </si>
  <si>
    <t>-838.330329886526 328.853988746976 -511.350484516673</t>
  </si>
  <si>
    <t>-701.283699540083 360.555330044268 -252.885024388473</t>
  </si>
  <si>
    <t>-460.423587067643 362.451844552606 -258.693430101362</t>
  </si>
  <si>
    <t>-895.09193829741 145.758305801189 -527.389775843347</t>
  </si>
  <si>
    <t>-929.20519256182 16.9707613208489 -493.521134116591</t>
  </si>
  <si>
    <t>-735.757226972958 84.8268440435645 -260.361591766036</t>
  </si>
  <si>
    <t>-840.146419623343 282.170408435295 -76.2433499707832</t>
  </si>
  <si>
    <t>-839.84203195574 322.278659703157 325.310916224059</t>
  </si>
  <si>
    <t>-863.574096139296 361.228980755357 771.040034996353</t>
  </si>
  <si>
    <t>-719.999121293777 386.899236622699 832.802018698246</t>
  </si>
  <si>
    <t>-839.547127417604 90.7950542177641 -66.557310931804</t>
  </si>
  <si>
    <t>-817.324488273004 72.0434939986831 335.946364776151</t>
  </si>
  <si>
    <t>-841.139125584024 93.9617096649445 782.503077523331</t>
  </si>
  <si>
    <t>-750.863532196762 -14.3894626083047 854.597230971863</t>
  </si>
  <si>
    <t>9763-20170724T111051.017586400.bin</t>
  </si>
  <si>
    <t>-839.637814876039 186.619740899693 -70.384105139397</t>
  </si>
  <si>
    <t>-868.364360674824 181.131312500046 -182.459344610448</t>
  </si>
  <si>
    <t>-880.775557218837 178.25858296554 -280.256999321136</t>
  </si>
  <si>
    <t>-887.617943307428 176.116923452813 -369.0648929278</t>
  </si>
  <si>
    <t>-889.707810579728 174.178019381957 -458.11601008585</t>
  </si>
  <si>
    <t>-887.634189433411 171.487879724026 -582.652276107123</t>
  </si>
  <si>
    <t>-862.65156800544 163.30367293587 -661.480691639861</t>
  </si>
  <si>
    <t>-881.919376587818 199.572439403342 -528.3207294012</t>
  </si>
  <si>
    <t>-838.337034415855 328.85218012886 -511.430356931713</t>
  </si>
  <si>
    <t>-701.235726047055 360.765263198661 -253.019749305585</t>
  </si>
  <si>
    <t>-460.37265656864 362.773310920662 -258.663959470927</t>
  </si>
  <si>
    <t>-895.17405125651 145.770883548412 -527.37927188837</t>
  </si>
  <si>
    <t>-929.333533012019 17.0118247063269 -493.449352763282</t>
  </si>
  <si>
    <t>-735.735266558182 84.7595899348134 -260.363283100622</t>
  </si>
  <si>
    <t>-840.076996871099 282.259112033008 -76.2752487130678</t>
  </si>
  <si>
    <t>-839.699885502227 322.350165579403 325.280805966893</t>
  </si>
  <si>
    <t>-863.535350144776 361.211694683946 771.023868643184</t>
  </si>
  <si>
    <t>-719.941392824139 386.822597239464 832.766489558809</t>
  </si>
  <si>
    <t>-839.520281698528 90.9278424765112 -66.5540986817022</t>
  </si>
  <si>
    <t>-817.302946293282 72.1383552389379 335.948061339248</t>
  </si>
  <si>
    <t>-841.148928178962 93.9900705473697 782.499665533329</t>
  </si>
  <si>
    <t>-751.031860304181 -14.485118200239 854.605848843652</t>
  </si>
  <si>
    <t>9763-20170724T111051.082455600.bin</t>
  </si>
  <si>
    <t>-839.607811729505 186.748484093904 -70.4223849721453</t>
  </si>
  <si>
    <t>-868.397717869633 181.269452037015 -182.481955571567</t>
  </si>
  <si>
    <t>-880.87289859605 178.377516917237 -280.270918788979</t>
  </si>
  <si>
    <t>-887.777723688047 176.208557676418 -369.073276190172</t>
  </si>
  <si>
    <t>-889.934803486569 174.232430380995 -458.121991343226</t>
  </si>
  <si>
    <t>-887.960978433042 171.479498782053 -582.658491141971</t>
  </si>
  <si>
    <t>-863.043384560656 163.226002144419 -661.500170476299</t>
  </si>
  <si>
    <t>-882.185314657266 199.586986531422 -528.345269631345</t>
  </si>
  <si>
    <t>-838.481329612664 328.836183212398 -511.538430676775</t>
  </si>
  <si>
    <t>-701.264283529137 361.001039653122 -253.220608019463</t>
  </si>
  <si>
    <t>-460.40220923937 363.16611634421 -258.852244558418</t>
  </si>
  <si>
    <t>-895.473969180791 145.794482237695 -527.366802304899</t>
  </si>
  <si>
    <t>-929.714144470768 17.0749141814244 -493.367094880608</t>
  </si>
  <si>
    <t>-735.740441929654 84.6248338317755 -260.479183559084</t>
  </si>
  <si>
    <t>-839.988276060847 282.400701421886 -76.3136946294945</t>
  </si>
  <si>
    <t>-839.424834382187 322.441081612054 325.247105111265</t>
  </si>
  <si>
    <t>-863.491119197879 361.243428096081 770.980770460012</t>
  </si>
  <si>
    <t>-719.912502545138 387.030280843878 832.685946357209</t>
  </si>
  <si>
    <t>-839.541659842803 91.0596845583768 -66.5664669060916</t>
  </si>
  <si>
    <t>-817.253315343085 72.1920457728411 335.928216497283</t>
  </si>
  <si>
    <t>-841.210597164214 93.9950439352965 782.490313232315</t>
  </si>
  <si>
    <t>-751.0445213899 -14.4376615829979 854.599411218132</t>
  </si>
  <si>
    <t>9763-20170724T111051.116573100.bin</t>
  </si>
  <si>
    <t>-839.599382072531 186.791388363236 -70.4381442897788</t>
  </si>
  <si>
    <t>-868.423079486393 181.320344288486 -182.489398273114</t>
  </si>
  <si>
    <t>-880.933462462862 178.425882921466 -280.273648693</t>
  </si>
  <si>
    <t>-887.87246106502 176.250561573291 -369.073190500131</t>
  </si>
  <si>
    <t>-890.066837382684 174.264405012059 -458.120846308574</t>
  </si>
  <si>
    <t>-888.148055462179 171.493829208321 -582.657802196637</t>
  </si>
  <si>
    <t>-863.262354216576 163.205750042347 -661.506075568968</t>
  </si>
  <si>
    <t>-882.338194933841 199.606597056275 -528.350913931611</t>
  </si>
  <si>
    <t>-838.5489660598 328.830835203393 -511.556218807473</t>
  </si>
  <si>
    <t>-701.197955636559 360.857503931441 -253.292363808847</t>
  </si>
  <si>
    <t>-460.346153709288 363.417740879889 -259.179605355317</t>
  </si>
  <si>
    <t>-895.646522792853 145.819344439215 -527.359424896885</t>
  </si>
  <si>
    <t>-929.946967844552 17.1187121211701 -493.338646956674</t>
  </si>
  <si>
    <t>-735.764182670622 84.6299733470628 -260.568282617498</t>
  </si>
  <si>
    <t>-839.953827309513 282.453994706129 -76.3311665527021</t>
  </si>
  <si>
    <t>-839.336842561241 322.476861893732 325.231366501709</t>
  </si>
  <si>
    <t>-863.469295412992 361.277470125287 770.958688588854</t>
  </si>
  <si>
    <t>-719.8626198272 386.921739588361 832.657943855135</t>
  </si>
  <si>
    <t>-839.559457597453 91.0892280208673 -66.5778068961215</t>
  </si>
  <si>
    <t>-817.205672207194 72.2314761127964 335.913615393018</t>
  </si>
  <si>
    <t>-841.209631602443 94.0469794027358 782.481543310617</t>
  </si>
  <si>
    <t>-751.1239469798 -14.4464956166094 854.599677945181</t>
  </si>
  <si>
    <t>9763-20170724T111051.182728000.bin</t>
  </si>
  <si>
    <t>-839.673439937366 186.756619197645 -70.4424051455845</t>
  </si>
  <si>
    <t>-868.58726041225 181.297564750153 -182.47100935142</t>
  </si>
  <si>
    <t>-881.179697146685 178.416400791391 -280.245141996953</t>
  </si>
  <si>
    <t>-888.194903277937 176.255391661788 -369.039071425766</t>
  </si>
  <si>
    <t>-890.466431025659 174.285245957415 -458.085155319404</t>
  </si>
  <si>
    <t>-888.656999246193 171.538909154625 -582.624380122278</t>
  </si>
  <si>
    <t>-863.839468088501 163.225631961344 -661.491282388624</t>
  </si>
  <si>
    <t>-882.778946765968 199.636126792466 -528.316684871398</t>
  </si>
  <si>
    <t>-838.992574653443 328.86473247313 -511.577955516846</t>
  </si>
  <si>
    <t>-701.906595591685 360.577762403633 -253.134804291383</t>
  </si>
  <si>
    <t>-461.064180222354 363.195945409143 -259.371470923348</t>
  </si>
  <si>
    <t>-896.127010873732 145.858943762834 -527.324908442654</t>
  </si>
  <si>
    <t>-930.53946009052 17.1900155290241 -493.29011664292</t>
  </si>
  <si>
    <t>-736.011222358362 84.6232548467342 -260.716489214721</t>
  </si>
  <si>
    <t>-839.962890552884 282.456934470084 -76.3546858620588</t>
  </si>
  <si>
    <t>-839.242004735709 322.500885897605 325.20553463626</t>
  </si>
  <si>
    <t>-863.397148188778 361.265716006237 770.933599017048</t>
  </si>
  <si>
    <t>-719.804809737123 387.078722942071 832.595542641006</t>
  </si>
  <si>
    <t>-839.737223843502 91.0328631883153 -66.5798105343375</t>
  </si>
  <si>
    <t>-817.29522781331 72.2672475954964 335.910984180622</t>
  </si>
  <si>
    <t>-841.343589246862 93.9514278820329 782.47484191067</t>
  </si>
  <si>
    <t>-751.06500235229 -14.3838771791097 854.589759108511</t>
  </si>
  <si>
    <t>9763-20170724T111051.218337400.bin</t>
  </si>
  <si>
    <t>-839.75843615285 186.824904257262 -70.4422628771156</t>
  </si>
  <si>
    <t>-868.734283413049 181.361383909521 -182.454723129428</t>
  </si>
  <si>
    <t>-881.369963489185 178.500340323995 -280.223803949906</t>
  </si>
  <si>
    <t>-888.418941228733 176.366777856776 -369.015634993537</t>
  </si>
  <si>
    <t>-890.718998129722 174.433070087753 -458.061855900532</t>
  </si>
  <si>
    <t>-888.942852039015 171.747401368852 -582.602864834555</t>
  </si>
  <si>
    <t>-864.151532754365 163.455319660867 -661.480242744792</t>
  </si>
  <si>
    <t>-883.042926797706 199.816290624443 -528.283024197979</t>
  </si>
  <si>
    <t>-839.273353747632 329.052446353232 -511.517867569041</t>
  </si>
  <si>
    <t>-702.960008621497 360.583355319145 -252.644106779693</t>
  </si>
  <si>
    <t>-462.106059811255 362.485544154053 -258.69349906834</t>
  </si>
  <si>
    <t>-896.405910379176 146.042156062315 -527.314015285876</t>
  </si>
  <si>
    <t>-930.862160233876 17.3797316682999 -493.302410169371</t>
  </si>
  <si>
    <t>-736.349205750296 84.8356630859216 -260.664413200035</t>
  </si>
  <si>
    <t>-840.065448332044 282.570706800446 -76.3697632232503</t>
  </si>
  <si>
    <t>-839.255423483598 322.612479131807 325.190511352616</t>
  </si>
  <si>
    <t>-863.430778626528 361.388612690982 770.926680541813</t>
  </si>
  <si>
    <t>-719.779828628415 386.91338198908 832.57229585517</t>
  </si>
  <si>
    <t>-839.812338758693 91.108792931243 -66.5785507209013</t>
  </si>
  <si>
    <t>-817.352907802062 72.3726359010989 335.912687252898</t>
  </si>
  <si>
    <t>-841.358912504766 93.9954262496085 782.480183214393</t>
  </si>
  <si>
    <t>-751.223313158313 -14.4541569328148 854.602153445223</t>
  </si>
  <si>
    <t>9763-20170724T111051.282004900.bin</t>
  </si>
  <si>
    <t>-840.027682554158 186.884202756614 -70.449086268251</t>
  </si>
  <si>
    <t>-869.13310952181 181.39984794095 -182.426820047716</t>
  </si>
  <si>
    <t>-881.865659501801 178.615172519062 -280.185583265578</t>
  </si>
  <si>
    <t>-888.993588831896 176.58719295401 -368.973689802839</t>
  </si>
  <si>
    <t>-891.361741364699 174.7956565568 -458.021001996354</t>
  </si>
  <si>
    <t>-889.668113143751 172.345480054747 -582.568053145842</t>
  </si>
  <si>
    <t>-864.920153808929 164.183808347316 -661.472635409815</t>
  </si>
  <si>
    <t>-883.745348030456 200.314815432142 -528.199296152855</t>
  </si>
  <si>
    <t>-840.071427512697 329.557549147168 -511.255383445277</t>
  </si>
  <si>
    <t>-705.746654110748 360.375759298497 -251.258642257571</t>
  </si>
  <si>
    <t>-464.862168920023 360.52739920347 -256.308099975519</t>
  </si>
  <si>
    <t>-897.081468864518 146.532504324153 -527.32278433453</t>
  </si>
  <si>
    <t>-931.507355148386 17.8318862485935 -493.438009666251</t>
  </si>
  <si>
    <t>-736.897173568215 85.1990709683332 -260.557492137924</t>
  </si>
  <si>
    <t>-840.437725493306 282.603650166513 -76.3841946499499</t>
  </si>
  <si>
    <t>-839.405225803009 322.676843970615 325.172487373409</t>
  </si>
  <si>
    <t>-863.359908712837 361.373091716704 770.911608960868</t>
  </si>
  <si>
    <t>-719.666457739678 386.719433397922 832.531601968231</t>
  </si>
  <si>
    <t>-839.947289965058 91.177959084393 -66.5697811752709</t>
  </si>
  <si>
    <t>-817.473098549643 72.449656896265 335.920993639848</t>
  </si>
  <si>
    <t>-841.40129451422 94.046720778796 782.484077369027</t>
  </si>
  <si>
    <t>-751.197121345285 -14.3439028674193 854.609058091466</t>
  </si>
  <si>
    <t>9763-20170724T111051.316091700.bin</t>
  </si>
  <si>
    <t>-840.097229011381 186.740727449509 -70.4719883477785</t>
  </si>
  <si>
    <t>-869.268077194921 181.264523332638 -182.433217747686</t>
  </si>
  <si>
    <t>-882.051255166998 178.521813682234 -280.186593491046</t>
  </si>
  <si>
    <t>-889.221100295959 176.545405818389 -368.972417285672</t>
  </si>
  <si>
    <t>-891.627031620739 174.818214664032 -458.01998020383</t>
  </si>
  <si>
    <t>-889.981266719119 172.472337104977 -582.569615593709</t>
  </si>
  <si>
    <t>-865.24916849499 164.392354276806 -661.487733771526</t>
  </si>
  <si>
    <t>-884.047866706394 200.398744044652 -528.180022341438</t>
  </si>
  <si>
    <t>-840.415086094559 329.639230067425 -511.12795308078</t>
  </si>
  <si>
    <t>-706.977805217263 360.183983255349 -250.642432179989</t>
  </si>
  <si>
    <t>-466.071970972007 358.850146274572 -254.318854974887</t>
  </si>
  <si>
    <t>-897.363263974821 146.610590326307 -527.34282345221</t>
  </si>
  <si>
    <t>-931.775238934186 17.8869032075454 -493.540810539625</t>
  </si>
  <si>
    <t>-737.092354442844 85.2229056872311 -260.654008247394</t>
  </si>
  <si>
    <t>-840.481374530901 282.358525071325 -76.3785181179554</t>
  </si>
  <si>
    <t>-839.391208957397 322.556236570245 325.165595023937</t>
  </si>
  <si>
    <t>-863.231186188287 361.20052512136 770.900006778146</t>
  </si>
  <si>
    <t>-719.648836294545 387.205333139439 832.504603880455</t>
  </si>
  <si>
    <t>-840.003291742284 91.0602884419 -66.5874330679458</t>
  </si>
  <si>
    <t>-817.510516978221 72.3776705085461 335.904448402818</t>
  </si>
  <si>
    <t>-841.439731767093 94.0487988715854 782.488424259997</t>
  </si>
  <si>
    <t>-751.283521887619 -14.3820117828009 854.612927281665</t>
  </si>
  <si>
    <t>9763-20170724T111051.381739900.bin</t>
  </si>
  <si>
    <t>-840.376267201068 186.436587551083 -70.5035025287808</t>
  </si>
  <si>
    <t>-869.658976201104 180.958998832745 -182.435436843035</t>
  </si>
  <si>
    <t>-882.525877352096 178.294507646189 -280.179976982089</t>
  </si>
  <si>
    <t>-889.763527400395 176.417417487986 -368.962434996549</t>
  </si>
  <si>
    <t>-892.228138247753 174.818463644539 -458.010955881108</t>
  </si>
  <si>
    <t>-890.653258329125 172.678993167564 -582.565108124489</t>
  </si>
  <si>
    <t>-865.961532361718 164.767586938855 -661.512932958156</t>
  </si>
  <si>
    <t>-884.693463789597 200.516371859876 -528.132600011411</t>
  </si>
  <si>
    <t>-841.030775684524 329.717507589931 -510.915792781872</t>
  </si>
  <si>
    <t>-709.258022250486 359.738296949764 -249.523354567899</t>
  </si>
  <si>
    <t>-468.368365900862 355.343861797719 -251.431065256678</t>
  </si>
  <si>
    <t>-897.999101450248 146.724730509194 -527.377151839264</t>
  </si>
  <si>
    <t>-932.500689534436 17.9850928971696 -493.707850227634</t>
  </si>
  <si>
    <t>-737.276755844149 84.7822414312459 -261.206782326252</t>
  </si>
  <si>
    <t>-840.772443689958 282.06384433262 -76.3862618623541</t>
  </si>
  <si>
    <t>-839.59445174645 322.487600449024 325.134907875085</t>
  </si>
  <si>
    <t>-863.167579343315 361.2478592718 770.868946997664</t>
  </si>
  <si>
    <t>-719.545179828584 387.014515737879 832.480182550251</t>
  </si>
  <si>
    <t>-840.326392492421 90.7278109073718 -66.6339433531936</t>
  </si>
  <si>
    <t>-817.85593975245 72.4379142179 335.877232579721</t>
  </si>
  <si>
    <t>-841.525315841375 94.0454989135842 782.493709872294</t>
  </si>
  <si>
    <t>-751.534632911145 -14.516834860503 854.626674951342</t>
  </si>
  <si>
    <t>9763-20170724T111051.412822400.bin</t>
  </si>
  <si>
    <t>-840.486926006622 186.223407249958 -70.5050003052144</t>
  </si>
  <si>
    <t>-869.806065432351 180.764140494926 -182.428228244918</t>
  </si>
  <si>
    <t>-882.717219483162 178.139252434145 -280.167912537072</t>
  </si>
  <si>
    <t>-889.999594488932 176.307637392864 -368.947840818877</t>
  </si>
  <si>
    <t>-892.512815744708 174.762588514663 -457.995734712064</t>
  </si>
  <si>
    <t>-891.009340274564 172.707905720225 -582.552271928028</t>
  </si>
  <si>
    <t>-866.354782745917 164.855392225588 -661.517707611558</t>
  </si>
  <si>
    <t>-885.013120510915 200.506771064363 -528.10445721844</t>
  </si>
  <si>
    <t>-841.291302373777 329.686673527913 -510.823464324343</t>
  </si>
  <si>
    <t>-710.062397094872 359.427090708157 -249.125749895367</t>
  </si>
  <si>
    <t>-469.193899967895 353.787646387277 -250.350124784037</t>
  </si>
  <si>
    <t>-898.328564397114 146.71725979159 -527.377797508204</t>
  </si>
  <si>
    <t>-932.878717181453 17.9742573545095 -493.772450246364</t>
  </si>
  <si>
    <t>-737.511287586578 84.5675051076355 -261.487557249952</t>
  </si>
  <si>
    <t>-840.859841772656 281.81345336745 -76.3811884303062</t>
  </si>
  <si>
    <t>-839.70065876291 322.388353001435 325.124791766134</t>
  </si>
  <si>
    <t>-863.069223127485 361.153762545256 770.853008103491</t>
  </si>
  <si>
    <t>-719.460468017314 386.980625959673 832.471515051003</t>
  </si>
  <si>
    <t>-840.460967435075 90.5998020385646 -66.6582496375091</t>
  </si>
  <si>
    <t>-818.004408989394 72.3640105666241 335.856122947087</t>
  </si>
  <si>
    <t>-841.561356615487 94.0481041745261 782.494645991088</t>
  </si>
  <si>
    <t>-751.514193103401 -14.4706130251689 854.622829731388</t>
  </si>
  <si>
    <t>9763-20170724T111051.483015800.bin</t>
  </si>
  <si>
    <t>-840.638730113062 185.871052623135 -70.4769211261734</t>
  </si>
  <si>
    <t>-870.022405237571 180.474012605625 -182.38633973653</t>
  </si>
  <si>
    <t>-883.03230922401 177.911227020014 -280.114681570405</t>
  </si>
  <si>
    <t>-890.420899941004 176.139406891614 -368.886859985643</t>
  </si>
  <si>
    <t>-893.056928239728 174.656873578576 -457.932233201625</t>
  </si>
  <si>
    <t>-891.742726554483 172.691959234817 -582.492534306123</t>
  </si>
  <si>
    <t>-867.16571292603 164.896107186471 -661.487433296557</t>
  </si>
  <si>
    <t>-885.619293700873 200.440786062612 -528.033037085129</t>
  </si>
  <si>
    <t>-841.637787386698 329.528033717527 -510.725500974673</t>
  </si>
  <si>
    <t>-711.094587535283 358.563826311533 -248.605908369075</t>
  </si>
  <si>
    <t>-470.305986346753 350.167288994358 -247.550660700398</t>
  </si>
  <si>
    <t>-899.022875263675 146.672435338511 -527.326295535038</t>
  </si>
  <si>
    <t>-933.814584756624 17.9815202834179 -493.782689424917</t>
  </si>
  <si>
    <t>-737.996304323245 84.0953500473893 -261.721772709738</t>
  </si>
  <si>
    <t>-840.879356954898 281.422260919939 -76.3178078474416</t>
  </si>
  <si>
    <t>-839.69879182768 322.231707128503 325.164288590822</t>
  </si>
  <si>
    <t>-863.003070695717 361.160302829368 770.881899287149</t>
  </si>
  <si>
    <t>-719.424843654941 387.193433570345 832.484238495832</t>
  </si>
  <si>
    <t>-840.767661669977 90.3049798893667 -66.6780286102828</t>
  </si>
  <si>
    <t>-818.348398573282 72.2555155846944 335.846843889702</t>
  </si>
  <si>
    <t>-841.625511720981 94.0704470890737 782.514119648214</t>
  </si>
  <si>
    <t>-751.733682040605 -14.5812011287408 854.636381355263</t>
  </si>
  <si>
    <t>9763-20170724T111051.514099400.bin</t>
  </si>
  <si>
    <t>-840.67444163584 185.698560258727 -70.4347469200245</t>
  </si>
  <si>
    <t>-870.092234979324 180.321069593327 -182.336058637963</t>
  </si>
  <si>
    <t>-883.143754630061 177.777506319668 -280.059383598208</t>
  </si>
  <si>
    <t>-890.574658786217 176.023452100036 -368.828440102364</t>
  </si>
  <si>
    <t>-893.257714599292 174.558848225521 -457.872729938784</t>
  </si>
  <si>
    <t>-892.013487939937 172.618736378874 -582.434001592833</t>
  </si>
  <si>
    <t>-867.481743577581 164.834289595315 -661.444336009406</t>
  </si>
  <si>
    <t>-885.822992071473 200.347509908811 -527.971959652766</t>
  </si>
  <si>
    <t>-841.66346154159 329.369464606415 -510.658909168164</t>
  </si>
  <si>
    <t>-711.650448994874 358.094599943248 -248.241964503664</t>
  </si>
  <si>
    <t>-470.934591608827 348.156589868837 -245.417680839757</t>
  </si>
  <si>
    <t>-899.299043776776 146.597244607631 -527.269480741693</t>
  </si>
  <si>
    <t>-934.264575989663 17.9422564831038 -493.731063289262</t>
  </si>
  <si>
    <t>-738.328449070962 83.9560609828377 -261.680008722649</t>
  </si>
  <si>
    <t>-840.806736007212 281.252403439005 -76.2813771774221</t>
  </si>
  <si>
    <t>-839.633641353808 322.195718219271 325.18708250996</t>
  </si>
  <si>
    <t>-863.034517524054 361.247837516838 770.89958546516</t>
  </si>
  <si>
    <t>-719.419365729034 387.1148931119 832.485870884295</t>
  </si>
  <si>
    <t>-840.901397711273 90.1273781828741 -66.6603450303261</t>
  </si>
  <si>
    <t>-818.567544854229 72.1857687955071 335.874042525639</t>
  </si>
  <si>
    <t>-841.714141115173 93.9890651927049 782.529290872187</t>
  </si>
  <si>
    <t>-751.687339392283 -14.5565359856446 854.642164672821</t>
  </si>
  <si>
    <t>9763-20170724T111051.584291000.bin</t>
  </si>
  <si>
    <t>-840.587946992341 185.462421977599 -70.4025589418623</t>
  </si>
  <si>
    <t>-870.053813763676 180.143701184109 -182.294095426876</t>
  </si>
  <si>
    <t>-883.163491265112 177.657355233395 -280.011042494268</t>
  </si>
  <si>
    <t>-890.653733977465 175.959338330854 -368.77621684659</t>
  </si>
  <si>
    <t>-893.402259977511 174.554241166492 -457.819549501313</t>
  </si>
  <si>
    <t>-892.256316301571 172.700105026649 -582.383029014603</t>
  </si>
  <si>
    <t>-867.794456390785 164.954251625768 -661.418743499841</t>
  </si>
  <si>
    <t>-885.951321646648 200.373318805566 -527.905915341708</t>
  </si>
  <si>
    <t>-841.417775583161 329.272004368925 -510.572623687574</t>
  </si>
  <si>
    <t>-712.807869393548 357.213218080366 -247.380695752313</t>
  </si>
  <si>
    <t>-472.309829029919 344.493080965785 -240.326112859302</t>
  </si>
  <si>
    <t>-899.570304854952 146.658721561549 -527.231690792898</t>
  </si>
  <si>
    <t>-934.884296211653 18.0993089412686 -493.718374335049</t>
  </si>
  <si>
    <t>-738.91257727828 83.7952485014594 -261.485351513545</t>
  </si>
  <si>
    <t>-840.53798749989 280.963358264545 -76.2421700920764</t>
  </si>
  <si>
    <t>-839.383555933696 322.018640882593 325.214922579998</t>
  </si>
  <si>
    <t>-862.994491765483 361.210966860358 770.90734182456</t>
  </si>
  <si>
    <t>-719.358329398448 387.038464682398 832.460833589259</t>
  </si>
  <si>
    <t>-841.004584033593 89.9476480950375 -66.6327417610166</t>
  </si>
  <si>
    <t>-818.948414725825 72.1098655902174 335.921582034014</t>
  </si>
  <si>
    <t>-841.786035543838 93.9857015838893 782.563216985651</t>
  </si>
  <si>
    <t>-751.859825059302 -14.6465357013335 854.671671271327</t>
  </si>
  <si>
    <t>9763-20170724T111051.616376000.bin</t>
  </si>
  <si>
    <t>-840.569494738887 185.3400675034 -70.40357674876</t>
  </si>
  <si>
    <t>-870.0415723083 180.045045626869 -182.294558397214</t>
  </si>
  <si>
    <t>-883.169653913886 177.590258399496 -280.009922261396</t>
  </si>
  <si>
    <t>-890.681230079744 175.92653465845 -368.773844348924</t>
  </si>
  <si>
    <t>-893.455818957381 174.560340958227 -457.816971659143</t>
  </si>
  <si>
    <t>-892.350775508264 172.766657902281 -582.381719621819</t>
  </si>
  <si>
    <t>-867.914315509409 165.037528221348 -661.42697368912</t>
  </si>
  <si>
    <t>-885.990811052652 200.403845680482 -527.892818234144</t>
  </si>
  <si>
    <t>-841.239060929139 329.213331059796 -510.520866198864</t>
  </si>
  <si>
    <t>-713.288917249277 356.71042409474 -246.960877092987</t>
  </si>
  <si>
    <t>-472.960186606784 342.529081503402 -237.378198087102</t>
  </si>
  <si>
    <t>-899.683531823272 146.707934327956 -527.241031689006</t>
  </si>
  <si>
    <t>-935.184534902847 18.1935509501664 -493.743661544217</t>
  </si>
  <si>
    <t>-739.209333937957 83.7036918603944 -261.309390791898</t>
  </si>
  <si>
    <t>-840.40322544326 280.843622681626 -76.2300273505117</t>
  </si>
  <si>
    <t>-839.274022312715 321.97334083368 325.219470856973</t>
  </si>
  <si>
    <t>-863.016921845387 361.284805186982 770.897044899044</t>
  </si>
  <si>
    <t>-719.331948955663 386.863991038056 832.440681749682</t>
  </si>
  <si>
    <t>-841.111349660301 89.8095567306013 -66.6164153134747</t>
  </si>
  <si>
    <t>-819.127145939119 72.0162302869498 335.943797479263</t>
  </si>
  <si>
    <t>-841.849849989019 93.9527253856795 782.589160809416</t>
  </si>
  <si>
    <t>-751.90177965728 -14.6685880167402 854.687138450977</t>
  </si>
  <si>
    <t>9763-20170724T111051.686084500.bin</t>
  </si>
  <si>
    <t>-840.443447397465 184.888460790899 -70.3891979361888</t>
  </si>
  <si>
    <t>-869.922904935695 179.637607318976 -182.280205780834</t>
  </si>
  <si>
    <t>-883.072331556353 177.249018204604 -279.994362759472</t>
  </si>
  <si>
    <t>-890.607950656972 175.656649703243 -368.757720492084</t>
  </si>
  <si>
    <t>-893.410694965165 174.372505062396 -457.801011712102</t>
  </si>
  <si>
    <t>-892.34964123804 172.704593200735 -582.367903822809</t>
  </si>
  <si>
    <t>-867.947368209131 164.996159849917 -661.42578630206</t>
  </si>
  <si>
    <t>-885.900324641384 200.269141704302 -527.852616212378</t>
  </si>
  <si>
    <t>-840.711988214632 328.915403474373 -510.368898508812</t>
  </si>
  <si>
    <t>-713.988506908964 355.316369892883 -246.105045518376</t>
  </si>
  <si>
    <t>-474.009592791709 338.81995572804 -232.363246218001</t>
  </si>
  <si>
    <t>-899.732860627066 146.608200138895 -527.251901569571</t>
  </si>
  <si>
    <t>-935.620947615145 18.1792423529168 -493.849266608332</t>
  </si>
  <si>
    <t>-739.664864472987 83.3296086256314 -260.944921970849</t>
  </si>
  <si>
    <t>-840.019822439677 280.35784326314 -76.2212411468187</t>
  </si>
  <si>
    <t>-839.005874385619 321.692500134166 325.20748800491</t>
  </si>
  <si>
    <t>-862.974495232553 361.258590725843 770.855355672189</t>
  </si>
  <si>
    <t>-719.272875705753 386.800629603419 832.375589724718</t>
  </si>
  <si>
    <t>-841.194805355845 89.3681480053438 -66.5913605570221</t>
  </si>
  <si>
    <t>-819.411285419436 71.7690753046272 335.988350005601</t>
  </si>
  <si>
    <t>-841.928792658777 93.9428884245494 782.630012654038</t>
  </si>
  <si>
    <t>-751.936768865712 -14.6547181414758 854.708525992091</t>
  </si>
  <si>
    <t>9763-20170724T111051.718673800.bin</t>
  </si>
  <si>
    <t>-840.311354749851 184.610073458551 -70.3727834270535</t>
  </si>
  <si>
    <t>-869.800340283981 179.376402874014 -182.262228366432</t>
  </si>
  <si>
    <t>-882.955492764543 177.006554085321 -279.975909675046</t>
  </si>
  <si>
    <t>-890.4956364646 175.432795928919 -368.739197083013</t>
  </si>
  <si>
    <t>-893.301874934959 174.167884455013 -457.782835732349</t>
  </si>
  <si>
    <t>-892.244072606514 172.526546063832 -582.350018585803</t>
  </si>
  <si>
    <t>-867.83897337272 164.824221206507 -661.407660216809</t>
  </si>
  <si>
    <t>-885.763835705708 200.071766511475 -527.828619603198</t>
  </si>
  <si>
    <t>-840.399084663068 328.651062149087 -510.308256421821</t>
  </si>
  <si>
    <t>-714.150565209757 354.589209069875 -245.771413238895</t>
  </si>
  <si>
    <t>-474.382900552067 337.255963329569 -229.587992480064</t>
  </si>
  <si>
    <t>-899.655373127899 146.426140430106 -527.239779297421</t>
  </si>
  <si>
    <t>-935.688986236762 18.0324112055923 -493.868351835987</t>
  </si>
  <si>
    <t>-739.750986237621 82.874985001019 -260.765014465634</t>
  </si>
  <si>
    <t>-839.807184958344 280.020012975415 -76.2028910488208</t>
  </si>
  <si>
    <t>-838.790915186887 321.557072109612 325.205054521462</t>
  </si>
  <si>
    <t>-862.934800682945 361.206856346687 770.830551002431</t>
  </si>
  <si>
    <t>-719.229376972842 386.748031498958 832.342084259155</t>
  </si>
  <si>
    <t>-841.140209897501 89.1529311842964 -66.577628942067</t>
  </si>
  <si>
    <t>-819.51275173789 71.5979111058787 336.01238517019</t>
  </si>
  <si>
    <t>-841.92054113984 94.0004621578519 782.646844542014</t>
  </si>
  <si>
    <t>-751.992539559385 -14.6539261304952 854.719758373339</t>
  </si>
  <si>
    <t>9763-20170724T111051.786468000.bin</t>
  </si>
  <si>
    <t>-840.079200212777 184.016326504442 -70.3359166105516</t>
  </si>
  <si>
    <t>-869.618551255935 178.785301398237 -182.21212011673</t>
  </si>
  <si>
    <t>-882.804527329474 176.432587229179 -279.922210318678</t>
  </si>
  <si>
    <t>-890.365501727589 174.878356697348 -368.683902570068</t>
  </si>
  <si>
    <t>-893.186207351901 173.635737931304 -457.72745773419</t>
  </si>
  <si>
    <t>-892.141686603431 172.026370701559 -582.295323526341</t>
  </si>
  <si>
    <t>-867.701526722789 164.360550429953 -661.345429109039</t>
  </si>
  <si>
    <t>-885.612432692765 199.546330185559 -527.766834506021</t>
  </si>
  <si>
    <t>-839.971045036451 328.023070795937 -510.189244628117</t>
  </si>
  <si>
    <t>-714.542795411724 353.261799804162 -245.194914347099</t>
  </si>
  <si>
    <t>-475.158298657072 335.017584883605 -224.872533945579</t>
  </si>
  <si>
    <t>-899.590296574633 145.923097467452 -527.191285780776</t>
  </si>
  <si>
    <t>-935.859471101661 17.5854656568245 -493.852949920411</t>
  </si>
  <si>
    <t>-739.594027505674 81.639262770901 -260.596525064985</t>
  </si>
  <si>
    <t>-839.484371328898 279.400373997132 -76.174852333867</t>
  </si>
  <si>
    <t>-838.319884743398 321.232629460726 325.202014063408</t>
  </si>
  <si>
    <t>-862.920569064528 361.203973043293 770.786345065716</t>
  </si>
  <si>
    <t>-719.231308086594 386.919070696177 832.264018510475</t>
  </si>
  <si>
    <t>-841.054243527346 88.6197426142007 -66.5416530154312</t>
  </si>
  <si>
    <t>-819.732847863676 71.203202696252 336.070703355124</t>
  </si>
  <si>
    <t>-841.94460834473 94.05464907643 782.691768260829</t>
  </si>
  <si>
    <t>-752.097576301869 -14.6776122800484 854.747975355449</t>
  </si>
  <si>
    <t>9763-20170724T111051.813539500.bin</t>
  </si>
  <si>
    <t>-839.980170321428 183.657447792132 -70.3043469906561</t>
  </si>
  <si>
    <t>-869.57846025096 178.426051615371 -182.165042040024</t>
  </si>
  <si>
    <t>-882.799387242378 176.070792943912 -279.870183418649</t>
  </si>
  <si>
    <t>-890.385518866742 174.512234193105 -368.629791322445</t>
  </si>
  <si>
    <t>-893.225546069369 173.262709276476 -457.672624929562</t>
  </si>
  <si>
    <t>-892.200996345925 171.640103560181 -582.240324972107</t>
  </si>
  <si>
    <t>-867.738389765317 163.996001814201 -661.285758218397</t>
  </si>
  <si>
    <t>-885.647426955556 199.16147767409 -527.715774658083</t>
  </si>
  <si>
    <t>-839.954105847874 327.621874314731 -510.144243355318</t>
  </si>
  <si>
    <t>-714.897312568355 352.663914636963 -244.955824452814</t>
  </si>
  <si>
    <t>-475.715359572153 334.247266089923 -222.511966389958</t>
  </si>
  <si>
    <t>-899.656364795351 145.546677359856 -527.132748202763</t>
  </si>
  <si>
    <t>-935.989933304027 17.2270546883001 -493.799199682542</t>
  </si>
  <si>
    <t>-739.42674299665 80.7342915490472 -260.513200601536</t>
  </si>
  <si>
    <t>-839.33580218481 279.025029399194 -76.162205856491</t>
  </si>
  <si>
    <t>-838.117586826403 320.95133868672 325.204622367587</t>
  </si>
  <si>
    <t>-862.847039056802 361.054744253739 770.764815234404</t>
  </si>
  <si>
    <t>-719.210956014861 387.140849498214 832.209853144841</t>
  </si>
  <si>
    <t>-841.017090132715 88.2576494681607 -66.523359813246</t>
  </si>
  <si>
    <t>-819.907673998912 70.9381946087215 336.104357894798</t>
  </si>
  <si>
    <t>-842.068884905853 93.9235781636057 782.72179949116</t>
  </si>
  <si>
    <t>-751.953518765639 -14.6064510296787 854.747504391339</t>
  </si>
  <si>
    <t>9763-20170724T111051.881725400.bin</t>
  </si>
  <si>
    <t>-839.663180575938 183.172569084866 -70.2873363453612</t>
  </si>
  <si>
    <t>-869.397115716389 177.920268682756 -182.110892014375</t>
  </si>
  <si>
    <t>-882.729016274209 175.542539015134 -279.800488649703</t>
  </si>
  <si>
    <t>-890.41368873992 173.960341382395 -368.551188968851</t>
  </si>
  <si>
    <t>-893.348748454403 172.682263458932 -457.590493587414</t>
  </si>
  <si>
    <t>-892.45468372106 171.014126779454 -582.158631707973</t>
  </si>
  <si>
    <t>-867.950251732241 163.422559805906 -661.196179166393</t>
  </si>
  <si>
    <t>-885.825526385068 198.550633935704 -527.650898525876</t>
  </si>
  <si>
    <t>-840.155047851464 327.02246637995 -510.137495176451</t>
  </si>
  <si>
    <t>-715.70223260083 352.034004215906 -244.662216218957</t>
  </si>
  <si>
    <t>-476.894996769279 333.57991351124 -218.557976057614</t>
  </si>
  <si>
    <t>-899.870692171251 144.945511389323 -527.033975700268</t>
  </si>
  <si>
    <t>-936.12452347869 16.6218429273886 -493.628950665234</t>
  </si>
  <si>
    <t>-737.693789114157 77.7222165899466 -260.793457694969</t>
  </si>
  <si>
    <t>-838.946864818018 278.533522256279 -76.1543895694701</t>
  </si>
  <si>
    <t>-837.822309452204 320.646971678721 325.193182233183</t>
  </si>
  <si>
    <t>-862.859149213229 361.099581321574 770.69274420686</t>
  </si>
  <si>
    <t>-719.160444146748 386.890269184647 832.115817065541</t>
  </si>
  <si>
    <t>-840.717853491422 87.7687529239684 -66.4888919274883</t>
  </si>
  <si>
    <t>-819.994659792215 70.527008667189 336.162214743807</t>
  </si>
  <si>
    <t>-842.160518492796 93.869523983049 782.764624770679</t>
  </si>
  <si>
    <t>-752.086283973424 -14.7123940029987 854.764048060503</t>
  </si>
  <si>
    <t>9763-20170724T111051.916818900.bin</t>
  </si>
  <si>
    <t>-839.452657430179 182.8643350941 -70.2888784106183</t>
  </si>
  <si>
    <t>-869.247133305095 177.59516968922 -182.095611728926</t>
  </si>
  <si>
    <t>-882.638815449656 175.196098610392 -279.776611579861</t>
  </si>
  <si>
    <t>-890.380562575615 173.591220182185 -368.521953714143</t>
  </si>
  <si>
    <t>-893.376415917364 172.286087335672 -457.558717944796</t>
  </si>
  <si>
    <t>-892.570726865684 170.57612035082 -582.12702317074</t>
  </si>
  <si>
    <t>-868.034687551567 163.023814024954 -661.158447368698</t>
  </si>
  <si>
    <t>-885.902876885955 198.130996387026 -527.633186365039</t>
  </si>
  <si>
    <t>-840.285428432274 326.632295850793 -510.157502976705</t>
  </si>
  <si>
    <t>-716.071016720776 351.712530544166 -244.577092636659</t>
  </si>
  <si>
    <t>-477.459816374459 333.278151855338 -216.725402208947</t>
  </si>
  <si>
    <t>-899.947834667285 144.526148498034 -526.988053664916</t>
  </si>
  <si>
    <t>-936.123787328511 16.1978466596197 -493.521613864472</t>
  </si>
  <si>
    <t>-736.2077118509 75.1889014898966 -261.392003281315</t>
  </si>
  <si>
    <t>-838.731508733963 278.225886079018 -76.1525718498989</t>
  </si>
  <si>
    <t>-837.606574082925 320.445255728662 325.183848272244</t>
  </si>
  <si>
    <t>-862.810493705908 361.007043762946 770.653418596631</t>
  </si>
  <si>
    <t>-719.14234063813 386.997715936323 832.063755826312</t>
  </si>
  <si>
    <t>-840.515165906066 87.4321772761764 -66.478410921654</t>
  </si>
  <si>
    <t>-819.984066949212 70.2952213681097 336.187113118528</t>
  </si>
  <si>
    <t>-842.198515162745 93.8567285938311 782.782835651777</t>
  </si>
  <si>
    <t>-752.084685291469 -14.7022816311883 854.767107224261</t>
  </si>
  <si>
    <t>9763-20170724T111051.980996700.bin</t>
  </si>
  <si>
    <t>-839.025258718113 182.277369401924 -70.2852073133422</t>
  </si>
  <si>
    <t>-868.901863435686 176.939470041864 -182.066622102089</t>
  </si>
  <si>
    <t>-882.38855377808 174.444193180838 -279.732179043343</t>
  </si>
  <si>
    <t>-890.226745816401 172.735257707945 -368.467090188789</t>
  </si>
  <si>
    <t>-893.330397847835 171.309868585069 -457.498495938181</t>
  </si>
  <si>
    <t>-892.687566401791 169.413571425746 -582.064870104526</t>
  </si>
  <si>
    <t>-868.044319523986 161.978912217584 -661.074077672265</t>
  </si>
  <si>
    <t>-885.978793330214 197.057981884451 -527.621322188336</t>
  </si>
  <si>
    <t>-840.586820131365 325.650960615603 -510.27965129376</t>
  </si>
  <si>
    <t>-716.842700768008 350.944943591553 -244.50011121848</t>
  </si>
  <si>
    <t>-478.599746974397 332.692018190594 -213.547211342908</t>
  </si>
  <si>
    <t>-899.962121952089 143.438265487208 -526.877302715682</t>
  </si>
  <si>
    <t>-935.900624413914 15.0687684339291 -493.289864130485</t>
  </si>
  <si>
    <t>-731.828535899669 66.7748122646885 -264.258890501625</t>
  </si>
  <si>
    <t>-838.401352471393 277.667966210082 -76.1559253352763</t>
  </si>
  <si>
    <t>-837.193044177769 320.159302721645 325.151576481013</t>
  </si>
  <si>
    <t>-862.788467045172 360.982375358023 770.568457416391</t>
  </si>
  <si>
    <t>-719.116718722454 387.006437972125 831.956771907543</t>
  </si>
  <si>
    <t>-839.982585282144 86.8362788072327 -66.4664065903013</t>
  </si>
  <si>
    <t>-819.861466480968 69.9522568855241 336.230421825503</t>
  </si>
  <si>
    <t>-842.20332578194 93.9019003782337 782.80590960163</t>
  </si>
  <si>
    <t>-752.225171140427 -14.7811389953981 854.77268123668</t>
  </si>
  <si>
    <t>9763-20170724T111052.015087000.bin</t>
  </si>
  <si>
    <t>-838.838178483739 182.040102213345 -70.2891899457644</t>
  </si>
  <si>
    <t>-868.722007587349 176.650514767329 -182.066341400382</t>
  </si>
  <si>
    <t>-882.237868764907 174.094713386432 -279.726224793327</t>
  </si>
  <si>
    <t>-890.11207857397 172.323442686517 -368.456645112131</t>
  </si>
  <si>
    <t>-893.261605124511 170.828543006774 -457.48536189208</t>
  </si>
  <si>
    <t>-892.693614691647 168.828743071771 -582.050503994233</t>
  </si>
  <si>
    <t>-867.985985917637 161.484499555738 -661.048040558261</t>
  </si>
  <si>
    <t>-885.981194538158 196.526025120771 -527.634276633872</t>
  </si>
  <si>
    <t>-840.721018490461 325.171395823014 -510.377005495988</t>
  </si>
  <si>
    <t>-717.158610132361 350.60655536058 -244.52626315131</t>
  </si>
  <si>
    <t>-479.068035078943 332.527155578599 -212.325294019971</t>
  </si>
  <si>
    <t>-899.905787925332 142.891938080752 -526.836610631742</t>
  </si>
  <si>
    <t>-935.773514649216 14.5033822778942 -493.210982258764</t>
  </si>
  <si>
    <t>-729.659923882645 61.3336258870645 -266.439339387307</t>
  </si>
  <si>
    <t>-838.284193655595 277.466521120044 -76.1703740806817</t>
  </si>
  <si>
    <t>-837.092408389319 320.023353814956 325.130241489277</t>
  </si>
  <si>
    <t>-862.775498027949 360.95367409499 770.526842588323</t>
  </si>
  <si>
    <t>-719.148648760988 387.276036339988 831.89201581531</t>
  </si>
  <si>
    <t>-839.733958038384 86.5490551875705 -66.4551923681036</t>
  </si>
  <si>
    <t>-819.738937615894 69.7803871768028 336.252695233975</t>
  </si>
  <si>
    <t>-842.206963912923 93.9171892584764 782.813231087202</t>
  </si>
  <si>
    <t>-752.158433294391 -14.7190528712126 854.762483989786</t>
  </si>
  <si>
    <t>9763-20170724T111052.083928500.bin</t>
  </si>
  <si>
    <t>-838.550382662509 181.790653197081 -70.3292000861653</t>
  </si>
  <si>
    <t>-868.387956860638 176.283659792598 -182.113043438844</t>
  </si>
  <si>
    <t>-881.941200008516 173.638503743088 -279.76528510933</t>
  </si>
  <si>
    <t>-889.880541530623 171.79018301644 -368.48837189363</t>
  </si>
  <si>
    <t>-893.125915912767 170.223653228584 -457.512235226422</t>
  </si>
  <si>
    <t>-892.724182014121 168.129370024433 -582.076592238131</t>
  </si>
  <si>
    <t>-867.870048559682 161.005255759951 -661.048456255785</t>
  </si>
  <si>
    <t>-885.993494614134 195.881918593376 -527.690820568213</t>
  </si>
  <si>
    <t>-840.915718063178 324.617110057984 -510.596023763689</t>
  </si>
  <si>
    <t>-717.445544678743 350.546938169512 -244.750224653743</t>
  </si>
  <si>
    <t>-479.706809811342 333.045795714452 -209.752640626732</t>
  </si>
  <si>
    <t>-899.808440084034 142.220021714412 -526.833017196113</t>
  </si>
  <si>
    <t>-935.697211294538 13.830058280701 -493.284081968033</t>
  </si>
  <si>
    <t>-725.636636679145 48.8652249528177 -270.926123309744</t>
  </si>
  <si>
    <t>-838.197634230951 277.263664835266 -76.2382730446533</t>
  </si>
  <si>
    <t>-837.047511779429 319.900218218187 325.05403257536</t>
  </si>
  <si>
    <t>-862.699896594517 360.838418349127 770.41952565922</t>
  </si>
  <si>
    <t>-719.122063332918 387.461921933023 831.769673153624</t>
  </si>
  <si>
    <t>-839.253494242422 86.2854664771271 -66.4604145731105</t>
  </si>
  <si>
    <t>-819.500165766729 69.5747028649798 336.261896730358</t>
  </si>
  <si>
    <t>-842.22049481375 93.9254229474077 782.809722908292</t>
  </si>
  <si>
    <t>-752.174281658987 -14.725471273825 854.740178582443</t>
  </si>
  <si>
    <t>9763-20170724T111052.116013500.bin</t>
  </si>
  <si>
    <t>-838.446247303519 181.786351154117 -70.3521606154645</t>
  </si>
  <si>
    <t>-868.226804998867 176.189979289755 -182.146810645064</t>
  </si>
  <si>
    <t>-881.779336917333 173.462598098306 -279.796825508391</t>
  </si>
  <si>
    <t>-889.737938202904 171.538226452372 -368.516649651322</t>
  </si>
  <si>
    <t>-893.022662158948 169.89369411132 -457.537600341751</t>
  </si>
  <si>
    <t>-892.696699422514 167.68889523076 -582.100277224875</t>
  </si>
  <si>
    <t>-867.751999647825 160.658982680412 -661.051947482198</t>
  </si>
  <si>
    <t>-885.953036841301 195.494822831857 -527.743386257044</t>
  </si>
  <si>
    <t>-840.952525309357 324.277954949465 -510.77864906655</t>
  </si>
  <si>
    <t>-717.505666096032 350.626459046451 -244.963271264721</t>
  </si>
  <si>
    <t>-479.947034823824 333.503870635123 -208.58334533071</t>
  </si>
  <si>
    <t>-899.727563248426 141.823624334795 -526.829465190577</t>
  </si>
  <si>
    <t>-935.672842017523 13.4550628343868 -493.272113590741</t>
  </si>
  <si>
    <t>-724.127178422553 42.6301867151728 -272.961039158466</t>
  </si>
  <si>
    <t>-838.15939179869 277.307333336569 -76.305859022621</t>
  </si>
  <si>
    <t>-837.152676931805 320.004513779643 324.980264171304</t>
  </si>
  <si>
    <t>-862.745495214734 360.965617114824 770.348408706733</t>
  </si>
  <si>
    <t>-719.120638067604 387.317176586605 831.706224538158</t>
  </si>
  <si>
    <t>-839.068099034491 86.2287942110852 -66.4584838293191</t>
  </si>
  <si>
    <t>-819.451210294441 69.5163553785851 336.270407539093</t>
  </si>
  <si>
    <t>-842.27649160958 93.8575473401834 782.813176205455</t>
  </si>
  <si>
    <t>-752.014153348703 -14.6277908729594 854.722305853044</t>
  </si>
  <si>
    <t>9763-20170724T111052.180863000.bin</t>
  </si>
  <si>
    <t>-838.265182351465 181.967826564074 -70.4285289704943</t>
  </si>
  <si>
    <t>-867.852479287121 176.206367803262 -182.265977294829</t>
  </si>
  <si>
    <t>-881.323283696943 173.26632794528 -279.921231684796</t>
  </si>
  <si>
    <t>-889.244636807651 171.121615988733 -368.639299820573</t>
  </si>
  <si>
    <t>-892.530451778016 169.230675311958 -457.655418829231</t>
  </si>
  <si>
    <t>-892.247080837305 166.655517317055 -582.211109420782</t>
  </si>
  <si>
    <t>-867.082653434373 159.782404562529 -661.106841334603</t>
  </si>
  <si>
    <t>-885.523959955696 194.632889954533 -527.939669583969</t>
  </si>
  <si>
    <t>-840.717021070095 323.535183055298 -511.374764017093</t>
  </si>
  <si>
    <t>-717.362485421503 350.683502350049 -245.596822793688</t>
  </si>
  <si>
    <t>-480.209699489669 334.4207753046 -206.290992371797</t>
  </si>
  <si>
    <t>-899.219477631683 140.944491720506 -526.860823388207</t>
  </si>
  <si>
    <t>-935.227986470566 12.6452718688229 -493.082540344903</t>
  </si>
  <si>
    <t>-721.719540189533 31.2027237278153 -276.144507485851</t>
  </si>
  <si>
    <t>-838.154504467301 277.494827279445 -76.4738409668383</t>
  </si>
  <si>
    <t>-837.181557956672 320.103820428582 324.821785171853</t>
  </si>
  <si>
    <t>-862.729060025115 360.980551894064 770.211619653536</t>
  </si>
  <si>
    <t>-719.112831996689 387.398502183541 831.560991572712</t>
  </si>
  <si>
    <t>-838.744944831432 86.4453656465316 -66.4626001455156</t>
  </si>
  <si>
    <t>-819.468018516206 69.5651629627141 336.275729145491</t>
  </si>
  <si>
    <t>-842.302584266887 93.8327977870886 782.818915024982</t>
  </si>
  <si>
    <t>-752.036088388677 -14.6531249738446 854.721808425438</t>
  </si>
  <si>
    <t>9763-20170724T111052.233510500.bin</t>
  </si>
  <si>
    <t>-838.161777905126 182.086466850424 -70.4810396552147</t>
  </si>
  <si>
    <t>-867.636890948784 176.259691452024 -182.344699856083</t>
  </si>
  <si>
    <t>-881.067365571292 173.192906763912 -280.001690420484</t>
  </si>
  <si>
    <t>-888.977595669839 170.905313719266 -368.717147904188</t>
  </si>
  <si>
    <t>-892.278711014947 168.844702538397 -457.728834611173</t>
  </si>
  <si>
    <t>-892.046348088297 166.004776461256 -582.278845088205</t>
  </si>
  <si>
    <t>-866.792692904178 159.184134816479 -661.150629748291</t>
  </si>
  <si>
    <t>-885.305781963386 194.098696998879 -528.069873522308</t>
  </si>
  <si>
    <t>-840.573223936939 323.068128403455 -511.763765041838</t>
  </si>
  <si>
    <t>-717.299376012494 350.706552046008 -245.999123076332</t>
  </si>
  <si>
    <t>-480.366925697299 334.957268075763 -205.183936756879</t>
  </si>
  <si>
    <t>-898.991499057395 140.410458639429 -526.871269606822</t>
  </si>
  <si>
    <t>-935.109945224381 12.1936942657708 -492.93696537837</t>
  </si>
  <si>
    <t>-721.354074821704 26.725051255235 -277.254629021678</t>
  </si>
  <si>
    <t>-838.073430349442 277.568735223037 -76.5550246492143</t>
  </si>
  <si>
    <t>-837.206706107835 320.12482177852 324.746459993347</t>
  </si>
  <si>
    <t>-862.718980873236 360.974832659571 770.138991836493</t>
  </si>
  <si>
    <t>-719.127801364512 387.548160330055 831.479686212437</t>
  </si>
  <si>
    <t>-838.593309960177 86.5869213115357 -66.4685441626597</t>
  </si>
  <si>
    <t>-819.479646785697 69.5777456854375 336.272101768685</t>
  </si>
  <si>
    <t>-842.311217585147 93.823586112936 782.823236824026</t>
  </si>
  <si>
    <t>-752.087988030282 -14.6961259447753 854.729694467033</t>
  </si>
  <si>
    <t>9763-20170724T111052.282139300.bin</t>
  </si>
  <si>
    <t>-837.779156469565 182.170182610691 -70.5590709260956</t>
  </si>
  <si>
    <t>-867.045912433804 176.193160556914 -182.469534827053</t>
  </si>
  <si>
    <t>-880.413488477236 172.860997571524 -280.126398913812</t>
  </si>
  <si>
    <t>-888.318501195931 170.281045723079 -368.834290677068</t>
  </si>
  <si>
    <t>-891.669245089768 167.876879732 -457.835611947119</t>
  </si>
  <si>
    <t>-891.564891205086 164.504637341738 -582.372430797159</t>
  </si>
  <si>
    <t>-866.131623228584 157.755055343383 -661.192724071307</t>
  </si>
  <si>
    <t>-884.776721526614 192.832038253422 -528.291170829456</t>
  </si>
  <si>
    <t>-840.290374295023 321.946850000476 -512.52896813563</t>
  </si>
  <si>
    <t>-716.730677282545 350.8197436343 -247.028286462003</t>
  </si>
  <si>
    <t>-480.050156820382 336.119927403241 -204.40110932345</t>
  </si>
  <si>
    <t>-898.444805858781 139.1451673522 -526.84885411116</t>
  </si>
  <si>
    <t>-934.640247742586 11.0793645968402 -492.415946008657</t>
  </si>
  <si>
    <t>-720.94706110863 18.9801850431395 -278.15106623465</t>
  </si>
  <si>
    <t>-837.74534611637 277.606767415291 -76.713179297211</t>
  </si>
  <si>
    <t>-837.23392099196 320.197384407349 324.585337854581</t>
  </si>
  <si>
    <t>-862.736590252428 361.032043099516 769.98062736915</t>
  </si>
  <si>
    <t>-719.119131313978 387.497075205601 831.306522208418</t>
  </si>
  <si>
    <t>-838.132546473043 86.6826611041984 -66.4677380670307</t>
  </si>
  <si>
    <t>-819.470873537365 69.5057545147852 336.28705369088</t>
  </si>
  <si>
    <t>-842.31819910287 93.8176923724177 782.837988577242</t>
  </si>
  <si>
    <t>-752.035952695487 -14.6604269727541 854.733276062748</t>
  </si>
  <si>
    <t>9763-20170724T111052.316230600.bin</t>
  </si>
  <si>
    <t>-837.530659277016 182.087347070067 -70.5897404331117</t>
  </si>
  <si>
    <t>-866.734637298268 176.032367569814 -182.512285319626</t>
  </si>
  <si>
    <t>-880.097197088906 172.567044309383 -280.165218682739</t>
  </si>
  <si>
    <t>-888.019847803086 169.84027309603 -368.867199410197</t>
  </si>
  <si>
    <t>-891.411443196432 167.263125281359 -457.862137273107</t>
  </si>
  <si>
    <t>-891.39000252704 163.623178169686 -582.3916007474</t>
  </si>
  <si>
    <t>-865.873591947573 156.891615900837 -661.186404377846</t>
  </si>
  <si>
    <t>-884.577151954416 192.069273769504 -528.375802275498</t>
  </si>
  <si>
    <t>-840.247057169318 321.27459691155 -512.887578366427</t>
  </si>
  <si>
    <t>-716.383098993878 350.865704324437 -247.607863381722</t>
  </si>
  <si>
    <t>-479.855089601906 337.047285864978 -203.853869249275</t>
  </si>
  <si>
    <t>-898.222232488794 138.380414959671 -526.808760787428</t>
  </si>
  <si>
    <t>-934.38383304363 10.3844408724112 -492.092713763443</t>
  </si>
  <si>
    <t>-720.705368064352 15.1583403490163 -277.593004306509</t>
  </si>
  <si>
    <t>-837.572465779477 277.474474947111 -76.7963247256397</t>
  </si>
  <si>
    <t>-837.127532857323 320.050110159767 324.503843026805</t>
  </si>
  <si>
    <t>-862.650633045397 360.880770097951 769.894568095997</t>
  </si>
  <si>
    <t>-719.147183759394 387.998102501741 831.202468932215</t>
  </si>
  <si>
    <t>-837.812467195315 86.6349328460765 -66.4731754843705</t>
  </si>
  <si>
    <t>-819.407064867212 69.4349287781638 336.292356675291</t>
  </si>
  <si>
    <t>-842.326954752596 93.7963470910177 782.838006156522</t>
  </si>
  <si>
    <t>-752.137370521682 -14.7574759279164 854.73536705234</t>
  </si>
  <si>
    <t>9763-20170724T111052.381990900.bin</t>
  </si>
  <si>
    <t>-837.226244878827 181.990562119813 -70.6849465868075</t>
  </si>
  <si>
    <t>-866.379394555908 175.80228138581 -182.613527505897</t>
  </si>
  <si>
    <t>-879.758394345125 172.069686674875 -280.254474483144</t>
  </si>
  <si>
    <t>-887.724968498701 169.038165587921 -368.94247137316</t>
  </si>
  <si>
    <t>-891.192398003978 166.094637177259 -457.923127260927</t>
  </si>
  <si>
    <t>-891.313599873806 161.877332684686 -582.434244972232</t>
  </si>
  <si>
    <t>-865.596171747324 155.146377780825 -661.163878415875</t>
  </si>
  <si>
    <t>-884.478134276643 190.583803689364 -528.559137069573</t>
  </si>
  <si>
    <t>-840.520217506077 319.965809891361 -513.545814588782</t>
  </si>
  <si>
    <t>-716.10170127598 351.013341627828 -248.692584668464</t>
  </si>
  <si>
    <t>-479.819220317115 338.397799392402 -203.279385089221</t>
  </si>
  <si>
    <t>-898.042445843845 136.882447532156 -526.727036023432</t>
  </si>
  <si>
    <t>-934.100635698699 8.98848663617855 -491.506375547996</t>
  </si>
  <si>
    <t>-720.648733777132 7.33464809702809 -274.761455570358</t>
  </si>
  <si>
    <t>-837.550702482946 277.459183265127 -76.9332493305635</t>
  </si>
  <si>
    <t>-837.223728531524 320.046196767927 324.365814094418</t>
  </si>
  <si>
    <t>-862.749417176216 361.083936838646 769.736492591401</t>
  </si>
  <si>
    <t>-719.151294384272 387.698581374794 831.043227438007</t>
  </si>
  <si>
    <t>-837.232342869449 86.4182785388175 -66.5016584741194</t>
  </si>
  <si>
    <t>-819.179149182906 69.3448401651426 336.285125824459</t>
  </si>
  <si>
    <t>-842.305293074204 93.7957626843563 782.818974518252</t>
  </si>
  <si>
    <t>-752.095619875144 -14.7362766563097 854.72379371217</t>
  </si>
  <si>
    <t>9763-20170724T111052.416083700.bin</t>
  </si>
  <si>
    <t>-837.054674964989 181.864234547286 -70.7436334291156</t>
  </si>
  <si>
    <t>-866.178236639913 175.607147273686 -182.67615030045</t>
  </si>
  <si>
    <t>-879.546678106533 171.752853886039 -280.313762191737</t>
  </si>
  <si>
    <t>-887.512221025769 168.584904614996 -368.997120610192</t>
  </si>
  <si>
    <t>-890.988096897962 165.478431045095 -457.971915155405</t>
  </si>
  <si>
    <t>-891.132220612216 161.006188659187 -582.474175607384</t>
  </si>
  <si>
    <t>-865.309065225046 154.288065061107 -661.169940504587</t>
  </si>
  <si>
    <t>-884.319316580003 189.831013027475 -528.659326845896</t>
  </si>
  <si>
    <t>-840.559497547393 319.299885720791 -513.829239745578</t>
  </si>
  <si>
    <t>-715.976598760912 350.859174914614 -249.113617878789</t>
  </si>
  <si>
    <t>-479.876206598057 338.877491593048 -202.595848295639</t>
  </si>
  <si>
    <t>-897.818334725274 136.117396264466 -526.714235534683</t>
  </si>
  <si>
    <t>-933.788747221085 8.25808221759962 -491.255691510034</t>
  </si>
  <si>
    <t>-721.008448527957 3.09378159685821 -272.868598933702</t>
  </si>
  <si>
    <t>-837.514759551754 277.358573747777 -76.9990655311934</t>
  </si>
  <si>
    <t>-837.304857466414 319.984039356441 324.296002376312</t>
  </si>
  <si>
    <t>-862.72469777617 361.052977186538 769.655493064153</t>
  </si>
  <si>
    <t>-719.121679112505 387.625852780842 830.969095839971</t>
  </si>
  <si>
    <t>-836.903455327426 86.2680753683389 -66.53349242673</t>
  </si>
  <si>
    <t>-818.998731649087 69.3070592131548 336.264776713289</t>
  </si>
  <si>
    <t>-842.219324778455 93.9045663721445 782.796415253667</t>
  </si>
  <si>
    <t>-752.184835222159 -14.7622524563258 854.717131209194</t>
  </si>
  <si>
    <t>9763-20170724T111052.481783000.bin</t>
  </si>
  <si>
    <t>-836.739246059734 181.696200015234 -70.8553846374105</t>
  </si>
  <si>
    <t>-865.767294343158 175.249390867809 -182.801880098959</t>
  </si>
  <si>
    <t>-879.070349738279 171.146928624785 -280.438284197096</t>
  </si>
  <si>
    <t>-886.985991817246 167.714535792523 -369.116441899651</t>
  </si>
  <si>
    <t>-890.423633149331 164.3039124433 -458.081482053099</t>
  </si>
  <si>
    <t>-890.528000274419 159.362913471632 -582.565990904256</t>
  </si>
  <si>
    <t>-864.518797947538 152.705033086073 -661.205704484693</t>
  </si>
  <si>
    <t>-883.779440707836 188.402168804551 -528.858471229988</t>
  </si>
  <si>
    <t>-840.365191266189 318.015857500321 -514.266650291063</t>
  </si>
  <si>
    <t>-715.685843835398 350.133578757453 -249.663698983828</t>
  </si>
  <si>
    <t>-479.841269319778 339.111854050666 -201.635848703119</t>
  </si>
  <si>
    <t>-897.184475350429 134.672654662006 -526.714676932847</t>
  </si>
  <si>
    <t>-933.161332480727 6.90493553332681 -490.94242763589</t>
  </si>
  <si>
    <t>-952.821108753911 0.289201974753269 -197.410583864723</t>
  </si>
  <si>
    <t>-837.510215503923 277.188905934812 -77.1619818092702</t>
  </si>
  <si>
    <t>-837.524699138481 319.990148149431 324.11445971633</t>
  </si>
  <si>
    <t>-862.680978121583 361.056089580892 769.473015477578</t>
  </si>
  <si>
    <t>-719.121789652193 387.783498683847 830.821984264276</t>
  </si>
  <si>
    <t>-836.307319376619 86.164206272405 -66.5663878683589</t>
  </si>
  <si>
    <t>-818.781243932968 69.1383994363387 336.245716412937</t>
  </si>
  <si>
    <t>-842.252263329807 93.8428313246109 782.780517033316</t>
  </si>
  <si>
    <t>-752.096026237154 -14.7329914941142 854.686115007271</t>
  </si>
  <si>
    <t>9763-20170724T111052.514872300.bin</t>
  </si>
  <si>
    <t>-836.620719602992 181.646037063569 -70.9141995373808</t>
  </si>
  <si>
    <t>-865.597567471366 175.099714611022 -182.868301957351</t>
  </si>
  <si>
    <t>-878.855239146076 170.879108747214 -280.505729170911</t>
  </si>
  <si>
    <t>-886.730275526193 167.324201397766 -369.182559250064</t>
  </si>
  <si>
    <t>-890.12872356391 163.773603705144 -458.143719114654</t>
  </si>
  <si>
    <t>-890.18028989633 158.618282359191 -582.619587084884</t>
  </si>
  <si>
    <t>-864.077080293092 152.000481016752 -661.231552466556</t>
  </si>
  <si>
    <t>-883.463844598025 187.752164151275 -528.9593175959</t>
  </si>
  <si>
    <t>-840.172040244975 317.415926461667 -514.466706159617</t>
  </si>
  <si>
    <t>-715.526177936493 349.832361271744 -249.884416613443</t>
  </si>
  <si>
    <t>-479.82456986078 339.280987168859 -201.055679928024</t>
  </si>
  <si>
    <t>-896.851406861061 134.021756507624 -526.728385942538</t>
  </si>
  <si>
    <t>-932.902871179652 6.30330285945865 -490.857476162091</t>
  </si>
  <si>
    <t>-954.575268232994 2.02475250644329 -197.424035808719</t>
  </si>
  <si>
    <t>-837.540683755322 277.056994621538 -77.2566636659071</t>
  </si>
  <si>
    <t>-837.532452320047 319.938703779464 324.011093977227</t>
  </si>
  <si>
    <t>-862.528085026164 360.798948618547 769.392050833714</t>
  </si>
  <si>
    <t>-719.103270484432 388.23956562694 830.74042284493</t>
  </si>
  <si>
    <t>-836.048523972129 86.185578768976 -66.5772354727358</t>
  </si>
  <si>
    <t>-818.66552973264 69.0828163560573 336.237837278413</t>
  </si>
  <si>
    <t>-842.240680689567 93.8457694190683 782.772892984017</t>
  </si>
  <si>
    <t>-752.084600752778 -14.736171138582 854.669766662971</t>
  </si>
  <si>
    <t>9763-20170724T111052.583073400.bin</t>
  </si>
  <si>
    <t>-836.54188823418 181.668926367091 -70.9758543824086</t>
  </si>
  <si>
    <t>-865.416088593679 174.978692963621 -182.948052098006</t>
  </si>
  <si>
    <t>-878.557662948076 170.565784628346 -280.592661106468</t>
  </si>
  <si>
    <t>-886.319295597725 166.804516118185 -369.271104047553</t>
  </si>
  <si>
    <t>-889.596280170195 163.012843273145 -458.226835354693</t>
  </si>
  <si>
    <t>-889.47297114677 157.48139709495 -582.686436301626</t>
  </si>
  <si>
    <t>-863.193080450347 150.931800197875 -661.24527198087</t>
  </si>
  <si>
    <t>-882.828464229131 186.776277978741 -529.105046304901</t>
  </si>
  <si>
    <t>-839.674906222713 316.508018221561 -514.776896240055</t>
  </si>
  <si>
    <t>-715.28805191694 349.190585817395 -250.105548940118</t>
  </si>
  <si>
    <t>-479.665981504944 338.738605872531 -200.871917624998</t>
  </si>
  <si>
    <t>-896.22595271367 133.054652322107 -526.730663693014</t>
  </si>
  <si>
    <t>-932.484554700967 5.43112667381365 -490.741693657907</t>
  </si>
  <si>
    <t>-957.933451819629 4.59201700817994 -197.581471633394</t>
  </si>
  <si>
    <t>-837.667714739353 277.094368455597 -77.4051306280501</t>
  </si>
  <si>
    <t>-837.54658376309 320.098313888243 323.849527820045</t>
  </si>
  <si>
    <t>-862.643268961702 361.04440898528 769.249185631912</t>
  </si>
  <si>
    <t>-719.140667839598 388.061534101761 830.604253962881</t>
  </si>
  <si>
    <t>-835.750965222823 86.1917930137338 -66.6026907172765</t>
  </si>
  <si>
    <t>-818.585700837231 69.0958403681811 336.222023073703</t>
  </si>
  <si>
    <t>-842.232803651348 93.816128094169 782.758755975021</t>
  </si>
  <si>
    <t>-752.10932427131 -14.7974009935301 854.648280902875</t>
  </si>
  <si>
    <t>9763-20170724T111052.615159100.bin</t>
  </si>
  <si>
    <t>-836.492139718257 181.58038234022 -71.0089088014571</t>
  </si>
  <si>
    <t>-865.337311093543 174.86061711061 -182.986775895688</t>
  </si>
  <si>
    <t>-878.432897081539 170.385641459223 -280.634775542877</t>
  </si>
  <si>
    <t>-886.145125890975 166.551480283158 -369.314264936292</t>
  </si>
  <si>
    <t>-889.366960276737 162.669739206629 -458.268136208432</t>
  </si>
  <si>
    <t>-889.159950998056 156.993260933682 -582.721134419699</t>
  </si>
  <si>
    <t>-862.803602548537 150.46915964566 -661.256506452428</t>
  </si>
  <si>
    <t>-882.538451682406 186.347751974974 -529.169474811536</t>
  </si>
  <si>
    <t>-839.381617885057 316.079034400658 -514.890178317025</t>
  </si>
  <si>
    <t>-715.222855189777 348.845253499256 -250.121755904256</t>
  </si>
  <si>
    <t>-479.600785399244 338.31323203375 -200.90694137449</t>
  </si>
  <si>
    <t>-895.963760102114 132.635022990738 -526.74179939125</t>
  </si>
  <si>
    <t>-932.364744812276 5.06386091043305 -490.717243178768</t>
  </si>
  <si>
    <t>-959.330515336661 5.29967424195956 -197.691660390928</t>
  </si>
  <si>
    <t>-837.611560671064 276.959134201532 -77.4528471593654</t>
  </si>
  <si>
    <t>-837.406693916728 320.029706026732 323.794631961215</t>
  </si>
  <si>
    <t>-862.653208545031 361.055522158832 769.181191470344</t>
  </si>
  <si>
    <t>-719.176117028681 388.216914219853 830.532373120968</t>
  </si>
  <si>
    <t>-835.706328391762 86.1508591290044 -66.6143085472454</t>
  </si>
  <si>
    <t>-818.581413231803 69.0680364071777 336.212655336251</t>
  </si>
  <si>
    <t>-842.20632595861 93.8373997073054 782.752874788555</t>
  </si>
  <si>
    <t>-752.009123281062 -14.719161171085 854.636243206766</t>
  </si>
  <si>
    <t>9763-20170724T111052.680387000.bin</t>
  </si>
  <si>
    <t>-836.444117240124 181.294051038031 -71.0472155212998</t>
  </si>
  <si>
    <t>-865.227833537667 174.545244251977 -183.039105699131</t>
  </si>
  <si>
    <t>-878.268592770792 170.006073337858 -280.691485959317</t>
  </si>
  <si>
    <t>-885.931876506575 166.096857926829 -369.371953005957</t>
  </si>
  <si>
    <t>-889.105715026242 162.122086504782 -458.323519760522</t>
  </si>
  <si>
    <t>-888.834629249585 156.295655365927 -582.769475950043</t>
  </si>
  <si>
    <t>-862.323915817358 149.842259770337 -661.258696974136</t>
  </si>
  <si>
    <t>-882.196075450516 185.703306123582 -529.24891131061</t>
  </si>
  <si>
    <t>-838.940736054841 315.414402910745 -515.018870729002</t>
  </si>
  <si>
    <t>-715.175431873985 347.936588024855 -250.036718813315</t>
  </si>
  <si>
    <t>-479.440149971842 336.777448572412 -201.506006019378</t>
  </si>
  <si>
    <t>-895.711753095834 132.016171253368 -526.764821083394</t>
  </si>
  <si>
    <t>-932.431291513947 4.56302378352029 -490.646732363157</t>
  </si>
  <si>
    <t>-961.142859771079 6.27810744896624 -197.791993544396</t>
  </si>
  <si>
    <t>-837.454311757193 276.544760049319 -77.5065675428658</t>
  </si>
  <si>
    <t>-837.13659178646 319.795806099711 323.721443947694</t>
  </si>
  <si>
    <t>-862.669211197433 361.064402717338 769.046806211965</t>
  </si>
  <si>
    <t>-719.162585456229 388.080624267916 830.392525566068</t>
  </si>
  <si>
    <t>-835.771288737058 86.0055322224798 -66.6037258565553</t>
  </si>
  <si>
    <t>-818.635325111564 68.8937168077209 336.221604843187</t>
  </si>
  <si>
    <t>-842.199984505127 93.8108850225208 782.757424098477</t>
  </si>
  <si>
    <t>-751.968322723789 -14.7256449694 854.627492222059</t>
  </si>
  <si>
    <t>9763-20170724T111052.713475200.bin</t>
  </si>
  <si>
    <t>-836.495789108534 181.162253119574 -71.054471706997</t>
  </si>
  <si>
    <t>-865.269030598009 174.416014430781 -183.049173126081</t>
  </si>
  <si>
    <t>-878.308143611015 169.863684168182 -280.701167479414</t>
  </si>
  <si>
    <t>-885.973190212849 165.936505729851 -369.380767866581</t>
  </si>
  <si>
    <t>-889.152659451299 161.936806032618 -458.330918409944</t>
  </si>
  <si>
    <t>-888.893354868379 156.067907457807 -582.774937487019</t>
  </si>
  <si>
    <t>-862.291598883799 149.659529377472 -661.237038182331</t>
  </si>
  <si>
    <t>-882.224491633868 185.487490310978 -529.264764628849</t>
  </si>
  <si>
    <t>-838.890030257121 315.170386292923 -515.0440090098</t>
  </si>
  <si>
    <t>-715.437334094229 347.652073235624 -249.910902987161</t>
  </si>
  <si>
    <t>-479.596210855789 335.867289291514 -202.04635407913</t>
  </si>
  <si>
    <t>-895.79049835257 131.813830964695 -526.761772840661</t>
  </si>
  <si>
    <t>-932.624856251294 4.40988255396815 -490.588701745988</t>
  </si>
  <si>
    <t>-961.559932323987 6.58492324644203 -197.759007640548</t>
  </si>
  <si>
    <t>-837.483882259349 276.384276432724 -77.5313065390693</t>
  </si>
  <si>
    <t>-837.101952667015 319.690410047966 323.690611785625</t>
  </si>
  <si>
    <t>-862.708898179453 361.137040370415 768.985077150094</t>
  </si>
  <si>
    <t>-719.156247629189 387.899935737731 830.333692542957</t>
  </si>
  <si>
    <t>-835.859578035762 85.9210769030351 -66.6139738952876</t>
  </si>
  <si>
    <t>-818.771636786302 68.841095949334 336.214701299036</t>
  </si>
  <si>
    <t>-842.168954820551 93.8305232664875 782.753103719218</t>
  </si>
  <si>
    <t>-751.952502995501 -14.7217985041093 854.619048855667</t>
  </si>
  <si>
    <t>9763-20170724T111052.783171400.bin</t>
  </si>
  <si>
    <t>-836.712191698646 180.712354311351 -71.0832722419699</t>
  </si>
  <si>
    <t>-865.522293315671 174.007749207337 -183.070920990151</t>
  </si>
  <si>
    <t>-878.580092618183 169.471793077214 -280.721195953003</t>
  </si>
  <si>
    <t>-886.257439161134 165.551495544757 -369.400045803204</t>
  </si>
  <si>
    <t>-889.444500347706 161.549367881647 -458.349749611937</t>
  </si>
  <si>
    <t>-889.191443671754 155.66686737191 -582.793218318453</t>
  </si>
  <si>
    <t>-862.363191145948 149.383517299745 -661.188211812655</t>
  </si>
  <si>
    <t>-882.481334306444 185.082538724717 -529.285979568979</t>
  </si>
  <si>
    <t>-839.031911949875 314.724022551535 -515.034019284829</t>
  </si>
  <si>
    <t>-716.742268572359 347.084721655739 -249.347702123337</t>
  </si>
  <si>
    <t>-480.529404164849 333.642336105273 -203.811818532311</t>
  </si>
  <si>
    <t>-896.124274957732 131.428288386949 -526.777596625173</t>
  </si>
  <si>
    <t>-933.157584859833 4.09898304394801 -490.542459436461</t>
  </si>
  <si>
    <t>-961.892684760315 6.4468249018455 -197.694281429534</t>
  </si>
  <si>
    <t>-837.595724893747 275.944810702803 -77.5547906748242</t>
  </si>
  <si>
    <t>-837.259659679473 319.452927532241 323.645411144947</t>
  </si>
  <si>
    <t>-862.807572543246 361.277976253029 768.892875927848</t>
  </si>
  <si>
    <t>-719.193823961099 387.750656134493 830.224652866873</t>
  </si>
  <si>
    <t>-836.183429094827 85.4640569482413 -66.6715906223183</t>
  </si>
  <si>
    <t>-819.119241757078 68.7267647253157 336.172518863109</t>
  </si>
  <si>
    <t>-842.175235441262 93.7476942346289 782.730886078152</t>
  </si>
  <si>
    <t>-751.962584860984 -14.794879019656 854.61612804296</t>
  </si>
  <si>
    <t>9763-20170724T111052.817256400.bin</t>
  </si>
  <si>
    <t>-836.783581103572 180.399079375534 -71.1026978280773</t>
  </si>
  <si>
    <t>-865.631764307873 173.72104243425 -183.082211447993</t>
  </si>
  <si>
    <t>-878.720418745134 169.224518623058 -280.730293806132</t>
  </si>
  <si>
    <t>-886.42396080354 165.346584983864 -369.408529429199</t>
  </si>
  <si>
    <t>-889.635614329834 161.39372278053 -458.359676229565</t>
  </si>
  <si>
    <t>-889.415349753369 155.587254895173 -582.806665389511</t>
  </si>
  <si>
    <t>-862.482856747148 149.389633784499 -661.172816869238</t>
  </si>
  <si>
    <t>-882.689623349752 184.969679362589 -529.283399338779</t>
  </si>
  <si>
    <t>-839.238135852259 314.603658732078 -514.967549450464</t>
  </si>
  <si>
    <t>-717.838763154341 346.716512558452 -248.84319719429</t>
  </si>
  <si>
    <t>-481.301905010621 332.277705443481 -205.338156326702</t>
  </si>
  <si>
    <t>-896.335039370323 131.314862708259 -526.804117371387</t>
  </si>
  <si>
    <t>-933.398523291254 3.98835188493877 -490.584488504558</t>
  </si>
  <si>
    <t>-961.880719371763 6.33618668642293 -197.711791954882</t>
  </si>
  <si>
    <t>-837.636004765995 275.547609454861 -77.5604865476797</t>
  </si>
  <si>
    <t>-837.281596020431 319.187760191337 323.625343485299</t>
  </si>
  <si>
    <t>-862.729881796739 361.104327167913 768.855248952547</t>
  </si>
  <si>
    <t>-719.206896023528 388.114242393587 830.164772518222</t>
  </si>
  <si>
    <t>-836.261345659354 85.2424626649427 -66.7048167419522</t>
  </si>
  <si>
    <t>-819.165302288583 68.6775380638878 336.145029136069</t>
  </si>
  <si>
    <t>-842.066998659341 93.8640088968723 782.713336942202</t>
  </si>
  <si>
    <t>-752.179762436684 -14.9285627084187 854.628142908997</t>
  </si>
  <si>
    <t>9763-20170724T111052.883437400.bin</t>
  </si>
  <si>
    <t>-837.006985536441 179.622414331795 -71.1073319760009</t>
  </si>
  <si>
    <t>-865.969465705175 172.958184447833 -183.058263881154</t>
  </si>
  <si>
    <t>-879.150156318884 168.517664030994 -280.696311295971</t>
  </si>
  <si>
    <t>-886.933047731381 164.706823818928 -369.370724169012</t>
  </si>
  <si>
    <t>-890.219092513717 160.837858244042 -458.322785830164</t>
  </si>
  <si>
    <t>-890.096275091503 155.166497693494 -582.776143814443</t>
  </si>
  <si>
    <t>-862.962819927881 149.131723597872 -661.085604502269</t>
  </si>
  <si>
    <t>-883.358774731426 184.498423485102 -529.226642709869</t>
  </si>
  <si>
    <t>-840.084068932356 314.171949200856 -514.708502835265</t>
  </si>
  <si>
    <t>-720.968935103376 345.775905246084 -247.493079324266</t>
  </si>
  <si>
    <t>-483.914768950839 329.36787544356 -207.65658727527</t>
  </si>
  <si>
    <t>-896.941693989965 130.825822665965 -526.794073049966</t>
  </si>
  <si>
    <t>-933.999881058327 3.45260549182512 -490.721328265611</t>
  </si>
  <si>
    <t>-962.089205039237 6.16680859958569 -197.813756172286</t>
  </si>
  <si>
    <t>-837.894945818239 274.717182027289 -77.5419178839466</t>
  </si>
  <si>
    <t>-837.502208474791 318.717640140851 323.604575658622</t>
  </si>
  <si>
    <t>-862.70226542983 361.025906473804 768.789945656856</t>
  </si>
  <si>
    <t>-719.176187787591 388.022961464463 830.098100140151</t>
  </si>
  <si>
    <t>-836.442439913006 84.4705589840005 -66.7364592287556</t>
  </si>
  <si>
    <t>-819.333492157539 68.2254767534669 336.125898477844</t>
  </si>
  <si>
    <t>-842.077569092836 93.7926704918264 782.705146428083</t>
  </si>
  <si>
    <t>-751.870980700539 -14.7379057751386 854.616303298492</t>
  </si>
  <si>
    <t>9763-20170724T111052.917527700.bin</t>
  </si>
  <si>
    <t>-837.054783236312 179.149126941365 -71.0958183537601</t>
  </si>
  <si>
    <t>-866.073034732192 172.487126023036 -183.032393406353</t>
  </si>
  <si>
    <t>-879.287920222862 168.07437034814 -280.667235780526</t>
  </si>
  <si>
    <t>-887.095808532232 164.298171557508 -369.340887786575</t>
  </si>
  <si>
    <t>-890.399556518306 160.473625388075 -458.29414831649</t>
  </si>
  <si>
    <t>-890.293214830889 154.87448030569 -582.750892797404</t>
  </si>
  <si>
    <t>-863.042522214434 148.93360873836 -661.026789180955</t>
  </si>
  <si>
    <t>-883.574329582438 184.181937427237 -529.18548216148</t>
  </si>
  <si>
    <t>-840.422789313549 313.878419064575 -514.562066439754</t>
  </si>
  <si>
    <t>-722.917036459841 345.386893720146 -246.623899480011</t>
  </si>
  <si>
    <t>-485.609130941942 328.156667060141 -208.689559024117</t>
  </si>
  <si>
    <t>-897.105625279667 130.494843293592 -526.781731122523</t>
  </si>
  <si>
    <t>-934.139044070653 3.08921467652772 -490.806683314347</t>
  </si>
  <si>
    <t>-962.065381102514 5.96122003485016 -197.88507772583</t>
  </si>
  <si>
    <t>-837.955448007061 274.251074446963 -77.5203611176701</t>
  </si>
  <si>
    <t>-837.630978505003 318.470878929672 323.602025803516</t>
  </si>
  <si>
    <t>-862.69201640653 361.011455753807 768.756875028389</t>
  </si>
  <si>
    <t>-719.188043409409 388.129444652159 830.063769816335</t>
  </si>
  <si>
    <t>-836.46791790978 83.9592904455644 -66.7449581999066</t>
  </si>
  <si>
    <t>-819.487719789824 68.0539924550221 336.136329151161</t>
  </si>
  <si>
    <t>-842.096503053524 93.7503429219901 782.713164211822</t>
  </si>
  <si>
    <t>-751.910328608582 -14.7991754263885 854.620804293942</t>
  </si>
  <si>
    <t>9763-20170724T111052.984239400.bin</t>
  </si>
  <si>
    <t>-837.153201195175 178.238404417568 -71.1261056130321</t>
  </si>
  <si>
    <t>-866.301034063745 171.570523058423 -183.028563557673</t>
  </si>
  <si>
    <t>-879.570145738686 167.190533708779 -280.657423786519</t>
  </si>
  <si>
    <t>-887.402521545926 163.459216128374 -369.330949244532</t>
  </si>
  <si>
    <t>-890.705237232529 159.695114843956 -458.286821068856</t>
  </si>
  <si>
    <t>-890.570055081469 154.197059237665 -582.747896392056</t>
  </si>
  <si>
    <t>-863.098427991176 148.444968262114 -660.960857729831</t>
  </si>
  <si>
    <t>-883.943532595125 183.481187475989 -529.158162428283</t>
  </si>
  <si>
    <t>-841.267658695648 313.319315785472 -514.317541117492</t>
  </si>
  <si>
    <t>-727.452380815672 345.029853008828 -244.814836749969</t>
  </si>
  <si>
    <t>-489.818344373411 326.858216448018 -209.448521034023</t>
  </si>
  <si>
    <t>-897.315502459808 129.75219114399 -526.79927548598</t>
  </si>
  <si>
    <t>-934.081980546659 2.22554116634592 -490.970864819482</t>
  </si>
  <si>
    <t>-961.953042308296 6.46319368542117 -198.060703817238</t>
  </si>
  <si>
    <t>-838.137819948958 273.454489054046 -77.5307078080292</t>
  </si>
  <si>
    <t>-837.883541655025 318.044787692949 323.550754283159</t>
  </si>
  <si>
    <t>-862.766462198799 361.213598565289 768.648350897419</t>
  </si>
  <si>
    <t>-719.219024027552 388.054444529419 829.975106586489</t>
  </si>
  <si>
    <t>-836.505742784299 83.0296319693284 -66.7863695031099</t>
  </si>
  <si>
    <t>-819.812323698401 67.7398617924691 336.130781824703</t>
  </si>
  <si>
    <t>-842.07111744516 93.7351111151102 782.710136667687</t>
  </si>
  <si>
    <t>-751.916584024739 -14.8377832917949 854.622307102201</t>
  </si>
  <si>
    <t>9763-20170724T111053.017326500.bin</t>
  </si>
  <si>
    <t>-837.121851993562 177.63676930389 -71.1331013177928</t>
  </si>
  <si>
    <t>-866.322175853851 170.949699453266 -183.020733095003</t>
  </si>
  <si>
    <t>-879.613532374267 166.574683733187 -280.646860371406</t>
  </si>
  <si>
    <t>-887.455470949858 162.85561505 -369.319861980552</t>
  </si>
  <si>
    <t>-890.757668928662 159.111804852985 -458.276735969674</t>
  </si>
  <si>
    <t>-890.610087159134 153.650027003295 -582.739496729737</t>
  </si>
  <si>
    <t>-863.043843332988 147.978687347423 -660.924990977741</t>
  </si>
  <si>
    <t>-884.028787613775 182.928312169015 -529.141075596051</t>
  </si>
  <si>
    <t>-841.598042018053 312.832378244305 -514.212492472993</t>
  </si>
  <si>
    <t>-729.857463641658 344.580254492122 -243.847325852045</t>
  </si>
  <si>
    <t>-492.045981223757 326.22120433289 -209.795105368158</t>
  </si>
  <si>
    <t>-897.321093511584 129.178728892836 -526.798154027188</t>
  </si>
  <si>
    <t>-933.958519746836 1.60358274726241 -491.019497694075</t>
  </si>
  <si>
    <t>-961.911756318441 5.97793333126037 -198.118965988428</t>
  </si>
  <si>
    <t>-838.09264458618 272.737087845049 -77.5124515602461</t>
  </si>
  <si>
    <t>-837.811658901763 317.600246526122 323.538568316769</t>
  </si>
  <si>
    <t>-862.674516591272 361.027941641406 768.617872738281</t>
  </si>
  <si>
    <t>-719.24591702788 388.522011065246 829.933834676393</t>
  </si>
  <si>
    <t>-836.446524823401 82.4777440779326 -66.7984857985145</t>
  </si>
  <si>
    <t>-819.883181125955 67.4078527263996 336.132321426102</t>
  </si>
  <si>
    <t>-842.066896130104 93.7085529336659 782.710011329793</t>
  </si>
  <si>
    <t>-751.874144461209 -14.8379057416087 854.614258001627</t>
  </si>
  <si>
    <t>9763-20170724T111053.052925700.bin</t>
  </si>
  <si>
    <t>-837.092300038096 176.998089894044 -71.1195198133897</t>
  </si>
  <si>
    <t>-866.329641243898 170.278187783014 -182.995526474614</t>
  </si>
  <si>
    <t>-879.65615513993 165.920994254527 -280.617561452921</t>
  </si>
  <si>
    <t>-887.530000718633 162.236036499181 -369.289303426012</t>
  </si>
  <si>
    <t>-890.862755353429 158.545530248084 -458.247144043654</t>
  </si>
  <si>
    <t>-890.755891183451 153.17895930492 -582.713982950513</t>
  </si>
  <si>
    <t>-863.119615456146 147.580760213117 -660.880006664165</t>
  </si>
  <si>
    <t>-884.19623111297 182.425818310556 -529.095833505456</t>
  </si>
  <si>
    <t>-842.033419779079 312.401437503585 -514.073130604434</t>
  </si>
  <si>
    <t>-732.158430646444 344.118910909409 -242.940957984026</t>
  </si>
  <si>
    <t>-494.223039393402 325.616905194363 -209.845278346651</t>
  </si>
  <si>
    <t>-897.409547945997 128.655402677007 -526.788885446269</t>
  </si>
  <si>
    <t>-933.899819907184 1.01190967803177 -491.091654130037</t>
  </si>
  <si>
    <t>-961.950274005935 5.27796503813943 -198.199010330182</t>
  </si>
  <si>
    <t>-838.054146690237 272.080269936906 -77.4927529716496</t>
  </si>
  <si>
    <t>-837.798507951378 317.205997043432 323.528795209247</t>
  </si>
  <si>
    <t>-862.650629416705 360.959998103071 768.571847874643</t>
  </si>
  <si>
    <t>-719.206712572952 388.350744962913 829.898110966623</t>
  </si>
  <si>
    <t>-836.437990705935 81.8151786795256 -66.7918339973879</t>
  </si>
  <si>
    <t>-820.022016909286 67.061229056897 336.156630844379</t>
  </si>
  <si>
    <t>-842.150839351793 93.5695090498357 782.729038085779</t>
  </si>
  <si>
    <t>-751.798489984772 -14.8587090516812 854.611541940978</t>
  </si>
  <si>
    <t>9763-20170724T111053.114088900.bin</t>
  </si>
  <si>
    <t>-837.014511361532 175.712850923644 -71.0975212993462</t>
  </si>
  <si>
    <t>-866.385176491744 168.973504419826 -182.937421688139</t>
  </si>
  <si>
    <t>-879.859302242215 164.703750428482 -280.54311558814</t>
  </si>
  <si>
    <t>-887.876107456482 161.14087779745 -369.206977868822</t>
  </si>
  <si>
    <t>-891.359370949322 157.617863429473 -458.16596962224</t>
  </si>
  <si>
    <t>-891.468495857232 152.533679590449 -582.644617505594</t>
  </si>
  <si>
    <t>-863.728712474835 147.043372652033 -660.781703744612</t>
  </si>
  <si>
    <t>-884.877715153035 181.673686831226 -528.972286925959</t>
  </si>
  <si>
    <t>-843.188608434297 311.773911733565 -513.702829679974</t>
  </si>
  <si>
    <t>-736.362791758259 343.288476114386 -241.33130368667</t>
  </si>
  <si>
    <t>-498.179106301824 324.492557959783 -210.24920433847</t>
  </si>
  <si>
    <t>-897.962971111271 127.86789109636 -526.76315159821</t>
  </si>
  <si>
    <t>-934.102988801218 0.0895380517445119 -491.220018019605</t>
  </si>
  <si>
    <t>-962.117895371124 3.74069203634826 -198.315560139034</t>
  </si>
  <si>
    <t>-837.969913800696 270.805572390586 -77.4483280064684</t>
  </si>
  <si>
    <t>-837.824399780535 316.543256237134 323.503970760301</t>
  </si>
  <si>
    <t>-862.725362604003 361.072628931985 768.464732429556</t>
  </si>
  <si>
    <t>-719.312559614215 388.589354690042 829.806729289354</t>
  </si>
  <si>
    <t>-836.400676904963 80.5609571383129 -66.7734547353158</t>
  </si>
  <si>
    <t>-820.291669625971 66.4881207103194 336.211811117546</t>
  </si>
  <si>
    <t>-842.102477180595 93.5792892875415 782.767085582502</t>
  </si>
  <si>
    <t>-751.912701694516 -15.0045369133472 854.618878943528</t>
  </si>
  <si>
    <t>9763-20170724T111053.182857000.bin</t>
  </si>
  <si>
    <t>-837.122271728925 174.277307465843 -71.059016558002</t>
  </si>
  <si>
    <t>-866.627612371194 167.552231101894 -182.864319579554</t>
  </si>
  <si>
    <t>-880.284673484652 163.368403931282 -280.448247022221</t>
  </si>
  <si>
    <t>-888.492044938812 159.916264644732 -369.099112285718</t>
  </si>
  <si>
    <t>-892.189350699463 156.540139463576 -458.055066029068</t>
  </si>
  <si>
    <t>-892.619734890495 151.700959392694 -582.542886776107</t>
  </si>
  <si>
    <t>-864.772059995304 146.25203106008 -660.644433372354</t>
  </si>
  <si>
    <t>-885.947686560555 180.749372810816 -528.83084009906</t>
  </si>
  <si>
    <t>-844.652259644022 310.964656563966 -513.391111314586</t>
  </si>
  <si>
    <t>-741.574272626163 341.637706866443 -239.483526763325</t>
  </si>
  <si>
    <t>-503.19219860133 322.365890314516 -210.270634308685</t>
  </si>
  <si>
    <t>-898.913016446879 126.911575570587 -526.693168963552</t>
  </si>
  <si>
    <t>-961.989571296797 2.06205674231887 -198.228237550287</t>
  </si>
  <si>
    <t>-838.01426021923 269.363609664854 -77.3801152957699</t>
  </si>
  <si>
    <t>-837.74485082064 315.701668422883 323.503103509474</t>
  </si>
  <si>
    <t>-862.78207543549 361.076299217278 768.377745359812</t>
  </si>
  <si>
    <t>-719.353727608775 388.501069640887 829.724832494989</t>
  </si>
  <si>
    <t>-836.591631476927 79.1452303312954 -66.772357808332</t>
  </si>
  <si>
    <t>-820.764263480023 65.8107494594697 336.249137183284</t>
  </si>
  <si>
    <t>-842.109374553637 93.4867595766195 782.808507783443</t>
  </si>
  <si>
    <t>-751.805944009818 -15.0295530503095 854.619296791003</t>
  </si>
  <si>
    <t>9763-20170724T111053.215954400.bin</t>
  </si>
  <si>
    <t>-837.237411716133 173.534917028515 -71.0175041809808</t>
  </si>
  <si>
    <t>-866.806718850865 166.81784461613 -182.80641116277</t>
  </si>
  <si>
    <t>-880.522427389216 162.666505840077 -280.383584280317</t>
  </si>
  <si>
    <t>-888.784161151375 159.256404970316 -369.03088825504</t>
  </si>
  <si>
    <t>-892.535567521257 155.935938036718 -457.986799054241</t>
  </si>
  <si>
    <t>-893.041330351796 151.191237846443 -582.477957781817</t>
  </si>
  <si>
    <t>-865.123312470203 145.80074447836 -660.558219543795</t>
  </si>
  <si>
    <t>-886.392548229634 180.212256974776 -528.748179276706</t>
  </si>
  <si>
    <t>-845.409909794249 310.510756824196 -513.210237949102</t>
  </si>
  <si>
    <t>-744.676611630167 340.487171801375 -238.355047427864</t>
  </si>
  <si>
    <t>-506.285825660806 320.755307508051 -209.520864326537</t>
  </si>
  <si>
    <t>-899.245376839398 126.346365119077 -526.642954659954</t>
  </si>
  <si>
    <t>-961.920631989753 1.3322804146319 -198.173488678499</t>
  </si>
  <si>
    <t>-838.080204055899 268.562846042719 -77.3301609831321</t>
  </si>
  <si>
    <t>-837.695247855044 315.153481926827 323.523671924297</t>
  </si>
  <si>
    <t>-862.687621767286 360.81212701847 768.348080662866</t>
  </si>
  <si>
    <t>-719.351390552755 388.751352003967 829.678487195865</t>
  </si>
  <si>
    <t>-836.763679717205 78.4616727260232 -66.75894463687</t>
  </si>
  <si>
    <t>-821.034491378516 65.4622454263681 336.277350584383</t>
  </si>
  <si>
    <t>-842.149825109487 93.3938565676262 782.823254224494</t>
  </si>
  <si>
    <t>-751.760896243941 -15.0621569937371 854.617424741419</t>
  </si>
  <si>
    <t>9763-20170724T111053.284662600.bin</t>
  </si>
  <si>
    <t>-837.722284441616 172.578822813219 -71.0165024022841</t>
  </si>
  <si>
    <t>-867.401635728694 165.801135611254 -182.772654758014</t>
  </si>
  <si>
    <t>-881.192456134489 161.708738614592 -280.341677853562</t>
  </si>
  <si>
    <t>-889.510415116426 158.396514789903 -368.98745167571</t>
  </si>
  <si>
    <t>-893.30469783451 155.220814255229 -457.946864509908</t>
  </si>
  <si>
    <t>-893.853127337503 150.72820038806 -582.447084862791</t>
  </si>
  <si>
    <t>-865.795904505369 145.515204385648 -660.48974850862</t>
  </si>
  <si>
    <t>-887.311099915828 179.669777824105 -528.661542462043</t>
  </si>
  <si>
    <t>-846.990986762738 310.130480247407 -512.804822380706</t>
  </si>
  <si>
    <t>-750.550217478274 339.265977854746 -236.324178380949</t>
  </si>
  <si>
    <t>-512.166016774879 319.39465856131 -207.532911791724</t>
  </si>
  <si>
    <t>-899.912178597391 125.740538153899 -526.659969085961</t>
  </si>
  <si>
    <t>-962.220751099272 0.00615188330948513 -198.422274479234</t>
  </si>
  <si>
    <t>-838.720995588857 267.556053680529 -77.288140455924</t>
  </si>
  <si>
    <t>-838.008520851311 314.746293609276 323.495136544336</t>
  </si>
  <si>
    <t>-862.862881763781 361.037300080804 768.224174564231</t>
  </si>
  <si>
    <t>-719.384106076135 388.203001600871 829.568638288616</t>
  </si>
  <si>
    <t>-837.050543127038 77.5770998973558 -66.7611707272473</t>
  </si>
  <si>
    <t>-821.534805248652 65.0805891087844 336.299323706456</t>
  </si>
  <si>
    <t>-842.047394907752 93.425105802226 782.850236391453</t>
  </si>
  <si>
    <t>-751.714581252123 -15.0886430423816 854.628218627503</t>
  </si>
  <si>
    <t>9763-20170724T111053.315746100.bin</t>
  </si>
  <si>
    <t>-837.904392073647 171.915048398827 -71.0333994283087</t>
  </si>
  <si>
    <t>-867.631749302839 165.071400895933 -182.772701992534</t>
  </si>
  <si>
    <t>-881.467219103303 161.004666920117 -280.336515077982</t>
  </si>
  <si>
    <t>-889.824565719861 157.747427964262 -368.980666545397</t>
  </si>
  <si>
    <t>-893.654854604187 154.659178315253 -457.941567009637</t>
  </si>
  <si>
    <t>-894.249462901794 150.323139563262 -582.447172814877</t>
  </si>
  <si>
    <t>-866.142454972395 145.20176599716 -660.477807049128</t>
  </si>
  <si>
    <t>-887.751132177598 179.211812163532 -528.62777800526</t>
  </si>
  <si>
    <t>-847.810370652716 309.777005674221 -512.603350506944</t>
  </si>
  <si>
    <t>-753.042556187087 338.500678002354 -235.501814739655</t>
  </si>
  <si>
    <t>-514.638419285763 318.703523488878 -206.823140520515</t>
  </si>
  <si>
    <t>-900.224410619688 125.250402124807 -526.689020617414</t>
  </si>
  <si>
    <t>-838.935886744464 266.77118720233 -77.2926885920105</t>
  </si>
  <si>
    <t>-838.153793711174 314.457255144965 323.431760847701</t>
  </si>
  <si>
    <t>-862.827487876918 360.946416981891 768.126739547413</t>
  </si>
  <si>
    <t>-719.439927793295 388.565153033839 829.481839535915</t>
  </si>
  <si>
    <t>-837.161431224717 76.9215475457399 -66.7721432871809</t>
  </si>
  <si>
    <t>-821.710971908075 64.758376810923 336.301066111844</t>
  </si>
  <si>
    <t>-842.090070216749 93.2936807811493 782.86183918239</t>
  </si>
  <si>
    <t>-751.521902918665 -15.03365237257 854.624973499753</t>
  </si>
  <si>
    <t>9763-20170724T111053.381457800.bin</t>
  </si>
  <si>
    <t>-838.332320257479 170.610603613639 -71.0364520979339</t>
  </si>
  <si>
    <t>-868.149930827757 163.67190738306 -182.745966587289</t>
  </si>
  <si>
    <t>-882.085113519363 159.599967099235 -280.295294236737</t>
  </si>
  <si>
    <t>-890.539019479661 156.366243267882 -368.93114758538</t>
  </si>
  <si>
    <t>-894.47091315381 153.331544991071 -457.889438490152</t>
  </si>
  <si>
    <t>-895.21120926226 149.1011181719 -582.397907793486</t>
  </si>
  <si>
    <t>-867.005825783406 144.110667864013 -660.401575819721</t>
  </si>
  <si>
    <t>-888.760519280605 177.969435640665 -528.56193400794</t>
  </si>
  <si>
    <t>-849.567214692554 308.735217977635 -512.419395669203</t>
  </si>
  <si>
    <t>-758.0147682768 336.913374162943 -234.183217716031</t>
  </si>
  <si>
    <t>-519.565795110431 316.92146104567 -206.019892538719</t>
  </si>
  <si>
    <t>-901.010458506604 123.956020546361 -526.653902956935</t>
  </si>
  <si>
    <t>-839.638540338482 265.498182246069 -77.3176988428966</t>
  </si>
  <si>
    <t>-838.64765992203 313.86472089302 323.324746117608</t>
  </si>
  <si>
    <t>-862.896232557774 361.017363287963 767.954126272478</t>
  </si>
  <si>
    <t>-719.551772655412 388.803772224598 829.334299692297</t>
  </si>
  <si>
    <t>-837.409358278003 75.6630609880681 -66.8084488989111</t>
  </si>
  <si>
    <t>-822.045045933669 64.3355131086637 336.292395049959</t>
  </si>
  <si>
    <t>-842.026184709879 93.2329219650264 782.876385675</t>
  </si>
  <si>
    <t>-751.345930451426 -15.0079986065912 854.628236266735</t>
  </si>
  <si>
    <t>9763-20170724T111053.413542800.bin</t>
  </si>
  <si>
    <t>-838.615049857544 170.08753586681 -71.0461815958482</t>
  </si>
  <si>
    <t>-868.479327921972 163.139338966291 -182.74247062729</t>
  </si>
  <si>
    <t>-882.478126434735 159.066571043106 -280.282835214131</t>
  </si>
  <si>
    <t>-890.998562554242 155.835668899066 -368.912400739581</t>
  </si>
  <si>
    <t>-895.006477877437 152.808080413339 -457.867475738353</t>
  </si>
  <si>
    <t>-895.862042756926 148.593462657372 -582.375846453</t>
  </si>
  <si>
    <t>-867.614431717526 143.640679045215 -660.366514715841</t>
  </si>
  <si>
    <t>-889.412916045468 177.466534634767 -528.542133371818</t>
  </si>
  <si>
    <t>-850.567544315532 308.339403900701 -512.406057357006</t>
  </si>
  <si>
    <t>-760.393849742494 336.394980459173 -233.707570360673</t>
  </si>
  <si>
    <t>-521.938562931382 315.990926113643 -205.894472397263</t>
  </si>
  <si>
    <t>-901.558260607596 123.429661190527 -526.629487034401</t>
  </si>
  <si>
    <t>-840.052493876378 265.022933053469 -77.3273092989912</t>
  </si>
  <si>
    <t>-839.073962895161 313.614250250118 323.28790396116</t>
  </si>
  <si>
    <t>-862.981966238166 361.150250956512 767.892016090694</t>
  </si>
  <si>
    <t>-719.635003314132 388.901843913566 829.282291205876</t>
  </si>
  <si>
    <t>-837.598162301994 75.1585350426449 -66.8326038867517</t>
  </si>
  <si>
    <t>-822.243294776625 64.1639992006958 336.277790254182</t>
  </si>
  <si>
    <t>-841.994182703719 93.204126257227 782.876848589417</t>
  </si>
  <si>
    <t>-751.35185313511 -15.069533639627 854.627230713143</t>
  </si>
  <si>
    <t>9763-20170724T111053.484235500.bin</t>
  </si>
  <si>
    <t>-839.118975435664 169.183122575826 -71.072411201213</t>
  </si>
  <si>
    <t>-869.100228865581 162.190497384125 -182.734510205879</t>
  </si>
  <si>
    <t>-883.243910013838 158.110302595265 -280.253625196587</t>
  </si>
  <si>
    <t>-891.912881024356 154.88441005783 -368.868959253652</t>
  </si>
  <si>
    <t>-896.084810725081 151.876407522831 -457.81719296498</t>
  </si>
  <si>
    <t>-897.185974470158 147.704723287492 -582.32499427486</t>
  </si>
  <si>
    <t>-868.8680649812 142.784664539623 -660.292404514238</t>
  </si>
  <si>
    <t>-890.70471691796 176.576012102491 -528.494193111299</t>
  </si>
  <si>
    <t>-852.364843889648 307.592946526775 -512.318434805611</t>
  </si>
  <si>
    <t>-764.893498676691 335.357647034476 -232.731206896524</t>
  </si>
  <si>
    <t>-526.406872496794 314.282112076622 -205.696622675979</t>
  </si>
  <si>
    <t>-902.698129140339 122.505251310411 -526.576376089751</t>
  </si>
  <si>
    <t>-840.647438066342 264.041800109112 -77.3204450167883</t>
  </si>
  <si>
    <t>-839.717760915032 313.048360645376 323.244369083881</t>
  </si>
  <si>
    <t>-862.967353877336 361.044271349307 767.813269857799</t>
  </si>
  <si>
    <t>-719.730915228689 389.34423319014 829.211318251128</t>
  </si>
  <si>
    <t>-837.968739722833 74.2928989979087 -66.8704265218714</t>
  </si>
  <si>
    <t>-822.623259577025 63.7980058619878 336.253695210365</t>
  </si>
  <si>
    <t>-841.9452554801 93.1134260602448 782.878002230174</t>
  </si>
  <si>
    <t>-751.111950800255 -15.0100639402826 854.613075895474</t>
  </si>
  <si>
    <t>9763-20170724T111053.516322300.bin</t>
  </si>
  <si>
    <t>-839.332040427336 168.796312644969 -71.07122357854</t>
  </si>
  <si>
    <t>-869.377752059408 161.771327493226 -182.713969091292</t>
  </si>
  <si>
    <t>-883.575970687546 157.690605761523 -280.225178666743</t>
  </si>
  <si>
    <t>-892.292459698966 154.474192634416 -368.836151392644</t>
  </si>
  <si>
    <t>-896.510455483136 151.486244596681 -457.782898471919</t>
  </si>
  <si>
    <t>-897.673230072188 147.354249142269 -582.291470735472</t>
  </si>
  <si>
    <t>-869.322622054815 142.443301535463 -660.247539124934</t>
  </si>
  <si>
    <t>-891.200096817478 176.215955063264 -528.454653597116</t>
  </si>
  <si>
    <t>-853.0981499098 307.306344492009 -512.25673557367</t>
  </si>
  <si>
    <t>-767.001539598916 334.654686676209 -232.201999915119</t>
  </si>
  <si>
    <t>-528.505373232237 313.238419742968 -205.524141793151</t>
  </si>
  <si>
    <t>-903.123286897707 122.129350074867 -526.548189287474</t>
  </si>
  <si>
    <t>-840.942757360944 263.643146793562 -77.3137115693058</t>
  </si>
  <si>
    <t>-839.969757296542 312.863854308314 323.224689755108</t>
  </si>
  <si>
    <t>-863.018719469463 361.090728264146 767.774641704208</t>
  </si>
  <si>
    <t>-719.783152990724 389.373866062828 829.182359780927</t>
  </si>
  <si>
    <t>-838.093437321477 73.9058742633388 -66.8762923186256</t>
  </si>
  <si>
    <t>-822.796280363548 63.7159334911221 336.257529302707</t>
  </si>
  <si>
    <t>-841.88449911772 93.1243370023335 782.886074653968</t>
  </si>
  <si>
    <t>-751.218609167759 -15.1378895708444 854.62386937804</t>
  </si>
  <si>
    <t>9763-20170724T111053.580496100.bin</t>
  </si>
  <si>
    <t>-839.713699534907 168.159215643905 -71.0937116991878</t>
  </si>
  <si>
    <t>-869.858715025893 161.04358410302 -182.704077827748</t>
  </si>
  <si>
    <t>-884.134708902537 156.922072973653 -280.202166035027</t>
  </si>
  <si>
    <t>-892.917491907688 153.683451998379 -368.805881620332</t>
  </si>
  <si>
    <t>-897.196850270256 150.689628471676 -457.749485837377</t>
  </si>
  <si>
    <t>-898.439023874535 146.56622758866 -582.257570594805</t>
  </si>
  <si>
    <t>-870.07321148773 141.688477896211 -660.210215631663</t>
  </si>
  <si>
    <t>-892.036208820686 175.447102099377 -528.42255192779</t>
  </si>
  <si>
    <t>-854.618089126889 306.730098838661 -512.246616307245</t>
  </si>
  <si>
    <t>-771.147973609285 333.766739542583 -231.367594278807</t>
  </si>
  <si>
    <t>-532.663689958849 311.51120326 -205.275095441124</t>
  </si>
  <si>
    <t>-903.748586752786 121.314600808698 -526.512925537632</t>
  </si>
  <si>
    <t>-841.529037577881 262.970689900512 -77.3225661753402</t>
  </si>
  <si>
    <t>-840.396077020451 312.516340783376 323.175372203821</t>
  </si>
  <si>
    <t>-863.014008822533 360.971953914866 767.694843273354</t>
  </si>
  <si>
    <t>-719.782581374143 389.228621405934 829.124388335823</t>
  </si>
  <si>
    <t>-838.244509260022 73.2970953649378 -66.8925007508706</t>
  </si>
  <si>
    <t>-823.03938551179 63.4750388535244 336.253883046898</t>
  </si>
  <si>
    <t>-841.792896919135 93.0673683998111 782.888304189982</t>
  </si>
  <si>
    <t>-751.016194141216 -15.1057178275951 854.6201137267</t>
  </si>
  <si>
    <t>9763-20170724T111053.613584000.bin</t>
  </si>
  <si>
    <t>-839.853537580751 167.833565443252 -71.1041510830602</t>
  </si>
  <si>
    <t>-870.038809496771 160.696728528589 -182.702268574571</t>
  </si>
  <si>
    <t>-884.351954616058 156.552563186966 -280.193862702115</t>
  </si>
  <si>
    <t>-893.169708304946 153.291745113075 -368.793370821826</t>
  </si>
  <si>
    <t>-897.485188225762 150.274565323014 -457.73440959733</t>
  </si>
  <si>
    <t>-898.779676998044 146.118338605623 -582.240842431504</t>
  </si>
  <si>
    <t>-870.418038434241 141.266195077746 -660.196532531904</t>
  </si>
  <si>
    <t>-892.411860122372 175.025706084889 -528.41587735404</t>
  </si>
  <si>
    <t>-855.342012747732 306.416553756505 -512.281843382905</t>
  </si>
  <si>
    <t>-773.122492139915 333.460115833823 -231.035144822005</t>
  </si>
  <si>
    <t>-534.633399356776 310.787317246841 -205.349876392468</t>
  </si>
  <si>
    <t>-904.008464663957 120.868914081453 -526.487466412146</t>
  </si>
  <si>
    <t>-841.755003638024 262.605619277294 -77.3091792553255</t>
  </si>
  <si>
    <t>-840.594894476948 312.360644648084 323.162722572132</t>
  </si>
  <si>
    <t>-863.035967226716 360.962139899608 767.661127778029</t>
  </si>
  <si>
    <t>-719.834732988773 389.359867649027 829.096021777926</t>
  </si>
  <si>
    <t>-838.312541408971 72.9732613019737 -66.9046382784519</t>
  </si>
  <si>
    <t>-823.114789235057 63.3269234210006 336.246266102412</t>
  </si>
  <si>
    <t>-841.797728002536 92.9678673919939 782.893849659387</t>
  </si>
  <si>
    <t>-750.83301368207 -15.0559237575753 854.612485910237</t>
  </si>
  <si>
    <t>9763-20170724T111053.686302100.bin</t>
  </si>
  <si>
    <t>-840.056118636292 167.26948000918 -71.1126863990922</t>
  </si>
  <si>
    <t>-870.312558416895 160.051021811656 -182.686347934223</t>
  </si>
  <si>
    <t>-884.681902950838 155.851840389123 -280.167304381676</t>
  </si>
  <si>
    <t>-893.547882385539 152.545903839234 -368.760238316999</t>
  </si>
  <si>
    <t>-897.908785190104 149.490602159469 -457.697903996963</t>
  </si>
  <si>
    <t>-899.263416724198 145.289331462689 -582.202113120516</t>
  </si>
  <si>
    <t>-870.886917485725 140.499571656394 -660.156302160242</t>
  </si>
  <si>
    <t>-892.986596330215 174.241154147394 -528.390326295009</t>
  </si>
  <si>
    <t>-856.593946610762 305.831952410258 -512.361157927921</t>
  </si>
  <si>
    <t>-777.080127942604 332.827167236985 -230.332687969027</t>
  </si>
  <si>
    <t>-538.601720522968 309.207921213803 -205.410910142952</t>
  </si>
  <si>
    <t>-904.347974589027 120.035169036024 -526.437655453196</t>
  </si>
  <si>
    <t>-842.224970688328 262.015307683281 -77.3221485807787</t>
  </si>
  <si>
    <t>-840.989439191945 312.009678252058 323.119770975637</t>
  </si>
  <si>
    <t>-863.023082613193 360.846652337972 767.596152136124</t>
  </si>
  <si>
    <t>-719.917108427232 389.698562686647 829.042120240017</t>
  </si>
  <si>
    <t>-838.252027121299 72.4346983033192 -66.9404006715037</t>
  </si>
  <si>
    <t>-823.14835025378 63.1580322571513 336.222727059615</t>
  </si>
  <si>
    <t>-841.693130876033 92.8927296097486 782.875817143066</t>
  </si>
  <si>
    <t>-750.773746162567 -15.1662112137906 854.599130937077</t>
  </si>
  <si>
    <t>9763-20170724T111053.719390300.bin</t>
  </si>
  <si>
    <t>-840.170795895787 167.053428385716 -71.1081700604351</t>
  </si>
  <si>
    <t>-870.469247000985 159.79558125256 -182.667794834985</t>
  </si>
  <si>
    <t>-884.854730474438 155.573789810916 -280.145436126651</t>
  </si>
  <si>
    <t>-893.727729803407 152.251160373362 -368.736984172343</t>
  </si>
  <si>
    <t>-898.086838154601 149.184159508302 -457.674182589735</t>
  </si>
  <si>
    <t>-899.429628345342 144.971165505885 -582.178397106264</t>
  </si>
  <si>
    <t>-871.039734786197 140.221382206935 -660.130120294308</t>
  </si>
  <si>
    <t>-893.224630996992 173.941816310264 -528.36834785747</t>
  </si>
  <si>
    <t>-857.200652525886 305.638847191888 -512.361757307921</t>
  </si>
  <si>
    <t>-778.790289562453 332.720530705188 -230.032929461454</t>
  </si>
  <si>
    <t>-540.310380211908 308.62780225312 -205.583604937314</t>
  </si>
  <si>
    <t>-904.452875366156 119.70842023018 -526.412084649508</t>
  </si>
  <si>
    <t>-842.514933919038 261.81969028844 -77.3203144794821</t>
  </si>
  <si>
    <t>-841.218617942715 311.933779835952 323.106417476293</t>
  </si>
  <si>
    <t>-863.092052056723 360.920543468057 767.581271792062</t>
  </si>
  <si>
    <t>-720.020687889054 389.939370426849 829.028853156451</t>
  </si>
  <si>
    <t>-838.204780379787 72.2511873462754 -66.9554712224989</t>
  </si>
  <si>
    <t>-823.130683403904 63.0731308369213 336.211047892347</t>
  </si>
  <si>
    <t>-841.647837983683 92.8386069453204 782.86442199265</t>
  </si>
  <si>
    <t>-750.724933383243 -15.2154527895473 854.590425982772</t>
  </si>
  <si>
    <t>9763-20170724T111053.782064100.bin</t>
  </si>
  <si>
    <t>-840.535427309466 166.707883605458 -71.1235255924358</t>
  </si>
  <si>
    <t>-870.876676295771 159.359773784895 -182.665644920893</t>
  </si>
  <si>
    <t>-885.290490431977 155.080596412949 -280.136496830256</t>
  </si>
  <si>
    <t>-894.184978716916 151.711109245862 -368.724317380752</t>
  </si>
  <si>
    <t>-898.561057565792 148.603636700122 -457.659201717032</t>
  </si>
  <si>
    <t>-899.922722618862 144.341024125651 -582.161423219245</t>
  </si>
  <si>
    <t>-871.481867596218 139.671992095662 -660.099548718955</t>
  </si>
  <si>
    <t>-893.844804317267 173.36070884745 -528.363403184661</t>
  </si>
  <si>
    <t>-858.554529132045 305.258825373153 -512.383490458431</t>
  </si>
  <si>
    <t>-782.752539458687 332.442540919878 -229.35290535974</t>
  </si>
  <si>
    <t>-544.28652339858 307.6202205797 -205.505842529622</t>
  </si>
  <si>
    <t>-904.802331535058 119.072836955625 -526.384968702465</t>
  </si>
  <si>
    <t>-843.246202070393 261.488870715949 -77.2792941638722</t>
  </si>
  <si>
    <t>-841.715653796272 311.880940121154 323.111757327737</t>
  </si>
  <si>
    <t>-863.213324144047 361.024280815704 767.58009035198</t>
  </si>
  <si>
    <t>-720.126092871733 389.931512701836 829.042502584731</t>
  </si>
  <si>
    <t>-838.191360938961 71.8838863867595 -66.9792293309159</t>
  </si>
  <si>
    <t>-823.041428350152 62.8336875703999 336.187261126128</t>
  </si>
  <si>
    <t>-841.552732903157 92.7572269295924 782.85294441494</t>
  </si>
  <si>
    <t>-750.45153263256 -15.157715530423 854.562413190668</t>
  </si>
  <si>
    <t>9763-20170724T111053.815152700.bin</t>
  </si>
  <si>
    <t>-840.725245604983 166.624140479608 -71.1026914914145</t>
  </si>
  <si>
    <t>-871.09077921854 159.216141168952 -182.634252992152</t>
  </si>
  <si>
    <t>-885.527522255298 154.912356775167 -280.10064846832</t>
  </si>
  <si>
    <t>-894.443062388488 151.530297445011 -368.685838145815</t>
  </si>
  <si>
    <t>-898.839884340789 148.421224486586 -457.619592053603</t>
  </si>
  <si>
    <t>-900.22909720031 144.167956740008 -582.121934363184</t>
  </si>
  <si>
    <t>-871.762658798462 139.56159487082 -660.05429758865</t>
  </si>
  <si>
    <t>-894.212664861683 173.198411509586 -528.322761864316</t>
  </si>
  <si>
    <t>-859.321738424432 305.198388479042 -512.314031817054</t>
  </si>
  <si>
    <t>-784.779789383906 332.236525790576 -228.934931697545</t>
  </si>
  <si>
    <t>-546.298058732913 307.282604768949 -205.386381868196</t>
  </si>
  <si>
    <t>-905.022732883419 118.880940878486 -526.346435959191</t>
  </si>
  <si>
    <t>-843.677038921607 261.404004548087 -77.2461621550864</t>
  </si>
  <si>
    <t>-841.984824410485 311.982637782643 323.12069614076</t>
  </si>
  <si>
    <t>-863.332944271857 361.175329632993 767.582782001822</t>
  </si>
  <si>
    <t>-720.161254007106 389.635499366333 829.05758968593</t>
  </si>
  <si>
    <t>-838.107438465656 71.7951156178178 -66.9873255693986</t>
  </si>
  <si>
    <t>-822.977400984044 62.8472222778782 336.182188725562</t>
  </si>
  <si>
    <t>-841.397060244394 92.8702065957737 782.839867133928</t>
  </si>
  <si>
    <t>-750.596152240187 -15.2952434764138 854.552815560903</t>
  </si>
  <si>
    <t>9763-20170724T111053.883864000.bin</t>
  </si>
  <si>
    <t>-841.087089999423 166.16493852881 -71.0914833701401</t>
  </si>
  <si>
    <t>-871.541657369941 158.643911071991 -182.591211048416</t>
  </si>
  <si>
    <t>-886.047526846988 154.320268767828 -280.046520162526</t>
  </si>
  <si>
    <t>-895.019519350672 150.948845337365 -368.626331465354</t>
  </si>
  <si>
    <t>-899.465932661663 147.881267054428 -457.559121142409</t>
  </si>
  <si>
    <t>-900.915149201154 143.718779712407 -582.063782185423</t>
  </si>
  <si>
    <t>-872.40416931047 139.291271742333 -659.990094265175</t>
  </si>
  <si>
    <t>-895.026662527552 172.740071250656 -528.245620057834</t>
  </si>
  <si>
    <t>-860.956574853537 304.943744132052 -512.135351138976</t>
  </si>
  <si>
    <t>-788.640114913464 331.887475318852 -228.171329707585</t>
  </si>
  <si>
    <t>-550.191492993353 306.443909734463 -204.811512948646</t>
  </si>
  <si>
    <t>-905.528151756008 118.360556995392 -526.305197531102</t>
  </si>
  <si>
    <t>-844.45749675146 260.897221585119 -77.2120174883089</t>
  </si>
  <si>
    <t>-842.495409521732 311.782830488115 323.114702413377</t>
  </si>
  <si>
    <t>-863.340453167413 361.053576521589 767.581755575137</t>
  </si>
  <si>
    <t>-720.266259421407 390.000734565951 829.05679843305</t>
  </si>
  <si>
    <t>-838.059927473123 71.36016715903 -67.0235136087737</t>
  </si>
  <si>
    <t>-823.061103189768 62.7907938518342 336.159122450618</t>
  </si>
  <si>
    <t>-841.265724033374 92.8139874012982 782.816108648515</t>
  </si>
  <si>
    <t>-750.476301419909 -15.3575467678074 854.534219268457</t>
  </si>
  <si>
    <t>9763-20170724T111053.917953700.bin</t>
  </si>
  <si>
    <t>-841.30985870453 165.947486084662 -71.1153505868923</t>
  </si>
  <si>
    <t>-871.814067200216 158.360938943938 -182.597021371741</t>
  </si>
  <si>
    <t>-886.368893551018 154.018800037766 -280.044181391804</t>
  </si>
  <si>
    <t>-895.386904663397 150.64469233617 -368.61926463251</t>
  </si>
  <si>
    <t>-899.879686022452 147.589108585922 -457.55023818346</t>
  </si>
  <si>
    <t>-901.394381258648 143.459344776945 -582.055120628421</t>
  </si>
  <si>
    <t>-872.879289318241 139.126055109338 -659.985342643726</t>
  </si>
  <si>
    <t>-895.552364888053 172.480705112708 -528.231915320389</t>
  </si>
  <si>
    <t>-861.913381679825 304.79580949339 -512.11736678868</t>
  </si>
  <si>
    <t>-790.679846071345 332.060446032464 -227.910255364626</t>
  </si>
  <si>
    <t>-552.316274509042 305.743175982179 -204.64929629185</t>
  </si>
  <si>
    <t>-905.903382643897 118.0723071201 -526.30129931376</t>
  </si>
  <si>
    <t>-844.944040460618 260.660619703185 -77.2113552622658</t>
  </si>
  <si>
    <t>-842.806589920221 311.686188618453 323.096656691654</t>
  </si>
  <si>
    <t>-863.349473272434 361.019239243128 767.56817854263</t>
  </si>
  <si>
    <t>-720.320122095685 390.171775326588 829.050075979311</t>
  </si>
  <si>
    <t>-838.032998259932 71.1831858262808 -67.0568495160005</t>
  </si>
  <si>
    <t>-822.997872445713 62.7484409961153 336.127279467475</t>
  </si>
  <si>
    <t>-841.180443933197 92.7998102565875 782.79466658378</t>
  </si>
  <si>
    <t>-750.428140619644 -15.3922723647629 854.52889779974</t>
  </si>
  <si>
    <t>9763-20170724T111053.982453400.bin</t>
  </si>
  <si>
    <t>-841.851757497079 165.462169227259 -71.1560436245512</t>
  </si>
  <si>
    <t>-872.483682414723 157.754955826487 -182.594384691159</t>
  </si>
  <si>
    <t>-887.189048893614 153.394719963942 -280.018126411627</t>
  </si>
  <si>
    <t>-896.356965620874 150.036324995881 -368.578458487427</t>
  </si>
  <si>
    <t>-901.011373085527 147.031744208617 -457.502830255796</t>
  </si>
  <si>
    <t>-902.762415745356 143.010970411606 -582.008223880733</t>
  </si>
  <si>
    <t>-874.305761535034 138.912711134131 -659.97256465546</t>
  </si>
  <si>
    <t>-896.97948214172 172.015773464326 -528.169598671857</t>
  </si>
  <si>
    <t>-864.197353637716 304.545076983517 -512.074201623566</t>
  </si>
  <si>
    <t>-795.405562096287 332.759674174407 -227.35875465478</t>
  </si>
  <si>
    <t>-557.291363364583 304.340976249412 -204.017132775285</t>
  </si>
  <si>
    <t>-907.004591416976 117.545000350786 -526.269374435307</t>
  </si>
  <si>
    <t>-846.030601904348 260.226216762242 -77.2327931848093</t>
  </si>
  <si>
    <t>-843.584525149483 311.49965132957 323.041705929609</t>
  </si>
  <si>
    <t>-863.387650736818 361.105657628504 767.495514555143</t>
  </si>
  <si>
    <t>-720.434015099556 390.558904158199 829.010791379137</t>
  </si>
  <si>
    <t>-838.025261499645 70.6531578517311 -67.1187723039253</t>
  </si>
  <si>
    <t>-822.858501530918 62.5702945041448 336.067683860702</t>
  </si>
  <si>
    <t>-841.090784505707 92.6640274557421 782.744777052576</t>
  </si>
  <si>
    <t>-750.084749166701 -15.2998450389759 854.50109757014</t>
  </si>
  <si>
    <t>9763-20170724T111054.015541900.bin</t>
  </si>
  <si>
    <t>-842.028367682435 165.265587141323 -71.1832550373525</t>
  </si>
  <si>
    <t>-872.745123765355 157.501253980093 -182.594206325207</t>
  </si>
  <si>
    <t>-887.549083711547 153.14453964697 -280.00334824739</t>
  </si>
  <si>
    <t>-896.814540655123 149.809297709555 -368.554239460361</t>
  </si>
  <si>
    <t>-901.574781973631 146.849887934299 -457.474671862953</t>
  </si>
  <si>
    <t>-903.480267038873 142.915045023361 -581.980432084807</t>
  </si>
  <si>
    <t>-875.084334276777 138.955967810678 -659.974150509275</t>
  </si>
  <si>
    <t>-897.721059376798 171.899012688153 -528.128128897969</t>
  </si>
  <si>
    <t>-865.385939115964 304.539460125399 -512.033509832271</t>
  </si>
  <si>
    <t>-797.812272809644 333.072586211463 -227.058339029394</t>
  </si>
  <si>
    <t>-559.817074706723 303.681824578321 -203.704956668372</t>
  </si>
  <si>
    <t>-907.562438670255 117.393870439073 -526.254989499688</t>
  </si>
  <si>
    <t>-846.51635060684 260.044079885355 -77.2388032295087</t>
  </si>
  <si>
    <t>-844.042204051861 311.480308868539 323.014735154218</t>
  </si>
  <si>
    <t>-863.434607166709 361.232974085901 767.450230035631</t>
  </si>
  <si>
    <t>-720.505336248012 390.742686782105 828.99428796515</t>
  </si>
  <si>
    <t>-837.871355557986 70.4827572473109 -67.1703289418643</t>
  </si>
  <si>
    <t>-822.660646533695 62.5864252885262 336.01816293861</t>
  </si>
  <si>
    <t>-840.942661197601 92.7384804591179 782.700701713637</t>
  </si>
  <si>
    <t>-750.187407724831 -15.4114884255614 854.494682335182</t>
  </si>
  <si>
    <t>9763-20170724T111054.086738900.bin</t>
  </si>
  <si>
    <t>-842.484514952718 164.787159527272 -71.2275402612737</t>
  </si>
  <si>
    <t>-873.406579015897 156.871964481436 -182.571125922617</t>
  </si>
  <si>
    <t>-888.455086771462 152.547289783069 -279.944158867845</t>
  </si>
  <si>
    <t>-897.964543008872 149.303289973701 -368.472623649601</t>
  </si>
  <si>
    <t>-902.987827840975 146.501926063951 -457.383568748827</t>
  </si>
  <si>
    <t>-905.278208647138 142.858565284111 -581.891792524884</t>
  </si>
  <si>
    <t>-877.062569401715 139.25270612171 -659.967984718742</t>
  </si>
  <si>
    <t>-899.590226923662 171.758513327332 -527.986810046548</t>
  </si>
  <si>
    <t>-868.393143632328 304.660795410533 -511.788929488222</t>
  </si>
  <si>
    <t>-803.108213535889 333.519402063779 -226.313363127969</t>
  </si>
  <si>
    <t>-565.2730659224 302.562931880914 -203.3567510686</t>
  </si>
  <si>
    <t>-908.950834847732 117.165195248186 -526.21702094577</t>
  </si>
  <si>
    <t>-847.771305819523 259.621778993762 -77.2292388133054</t>
  </si>
  <si>
    <t>-845.195297800872 311.338236632464 322.987508149074</t>
  </si>
  <si>
    <t>-863.392371821459 361.313961025353 767.406113741391</t>
  </si>
  <si>
    <t>-720.529943680891 390.958225659533 829.041194481135</t>
  </si>
  <si>
    <t>-837.533267909791 69.9297951074936 -67.2847156380049</t>
  </si>
  <si>
    <t>-822.177767593282 62.4508021637689 335.90618388827</t>
  </si>
  <si>
    <t>-840.73147877515 92.7745305040453 782.607389056391</t>
  </si>
  <si>
    <t>-750.145343204141 -15.4864067798508 854.44776112846</t>
  </si>
  <si>
    <t>9763-20170724T111054.114813900.bin</t>
  </si>
  <si>
    <t>-842.794345687435 164.369100066022 -71.2376644505405</t>
  </si>
  <si>
    <t>-873.842373066204 156.346059171931 -182.538416807193</t>
  </si>
  <si>
    <t>-889.022971085722 152.029352777502 -279.891267345778</t>
  </si>
  <si>
    <t>-898.658398585522 148.830283385467 -368.407752367842</t>
  </si>
  <si>
    <t>-903.811710944728 146.114299533214 -457.313916856582</t>
  </si>
  <si>
    <t>-906.286990706253 142.633241559828 -581.823185228021</t>
  </si>
  <si>
    <t>-878.166464214645 139.250039692053 -659.94388636417</t>
  </si>
  <si>
    <t>-900.671887291857 171.488746827758 -527.886713950708</t>
  </si>
  <si>
    <t>-870.190144652207 304.547962646425 -511.596681463213</t>
  </si>
  <si>
    <t>-805.899395353242 333.582734803323 -225.91351387117</t>
  </si>
  <si>
    <t>-568.127239400847 301.912285316193 -203.278645076576</t>
  </si>
  <si>
    <t>-909.723482424819 116.841327200061 -526.178939682545</t>
  </si>
  <si>
    <t>-848.576000754128 259.246036377626 -77.2023334721214</t>
  </si>
  <si>
    <t>-845.900378319172 311.172998897265 322.986428113975</t>
  </si>
  <si>
    <t>-863.378726827303 361.41935983134 767.396863240503</t>
  </si>
  <si>
    <t>-720.615412585265 391.414014587855 829.09178702886</t>
  </si>
  <si>
    <t>-837.367712231997 69.4463500793368 -67.3392393689421</t>
  </si>
  <si>
    <t>-821.99209676742 62.273388519523 335.856498677013</t>
  </si>
  <si>
    <t>-840.67013282284 92.7328152836189 782.56091935474</t>
  </si>
  <si>
    <t>-749.96862613646 -15.4202772507697 854.417746312385</t>
  </si>
  <si>
    <t>9763-20170724T111054.185565800.bin</t>
  </si>
  <si>
    <t>-843.622502258646 163.22827354724 -71.262249170504</t>
  </si>
  <si>
    <t>-874.881081857938 154.92392792224 -182.483410122473</t>
  </si>
  <si>
    <t>-890.270306035219 150.591707106388 -279.802811780591</t>
  </si>
  <si>
    <t>-900.097863784691 147.463679425315 -368.300633290793</t>
  </si>
  <si>
    <t>-905.443033095641 144.909176073264 -457.200370482601</t>
  </si>
  <si>
    <t>-908.180994788255 141.748985537901 -581.712691699871</t>
  </si>
  <si>
    <t>-880.208236031865 138.892240914444 -659.907303635248</t>
  </si>
  <si>
    <t>-902.816020041508 170.523133440657 -527.707458144248</t>
  </si>
  <si>
    <t>-874.074896256989 303.933328157745 -511.185199443979</t>
  </si>
  <si>
    <t>-811.722446462592 333.462700526547 -225.123452344519</t>
  </si>
  <si>
    <t>-574.027190473056 300.701037981716 -203.247814758423</t>
  </si>
  <si>
    <t>-911.136226130258 115.755764998836 -526.134474509851</t>
  </si>
  <si>
    <t>-850.520287757217 258.23392404971 -77.1288698174162</t>
  </si>
  <si>
    <t>-847.540012464359 310.832894112625 322.970040142129</t>
  </si>
  <si>
    <t>-863.281310598962 361.510496887035 767.410630678752</t>
  </si>
  <si>
    <t>-720.705459881604 392.158765357126 829.21774764487</t>
  </si>
  <si>
    <t>-837.078755146561 68.1702125401807 -67.4264965123838</t>
  </si>
  <si>
    <t>-821.814331409683 61.8456465406744 335.787725997189</t>
  </si>
  <si>
    <t>-840.533727958539 92.6878882120745 782.484765827227</t>
  </si>
  <si>
    <t>-749.715661843172 -15.3507315586712 854.366721568218</t>
  </si>
  <si>
    <t>9763-20170724T111054.217641700.bin</t>
  </si>
  <si>
    <t>-844.037860295691 162.548452611063 -71.2464122491928</t>
  </si>
  <si>
    <t>-875.355697319481 154.060853427996 -182.437081469535</t>
  </si>
  <si>
    <t>-890.817435760926 149.711350422754 -279.744241635234</t>
  </si>
  <si>
    <t>-900.715127970795 146.621354085777 -368.235653656251</t>
  </si>
  <si>
    <t>-906.131627462923 144.160831395087 -457.133482133723</t>
  </si>
  <si>
    <t>-908.968742656798 141.191244004674 -581.648335717712</t>
  </si>
  <si>
    <t>-881.056533592981 138.633851040674 -659.875019585666</t>
  </si>
  <si>
    <t>-903.766867428812 169.913263656282 -527.599598328881</t>
  </si>
  <si>
    <t>-875.975304134204 303.509374085259 -510.91649823145</t>
  </si>
  <si>
    <t>-814.727567923924 333.133412600753 -224.62578102472</t>
  </si>
  <si>
    <t>-577.00933143136 300.114113990794 -203.397593083382</t>
  </si>
  <si>
    <t>-911.67370936439 115.082312888468 -526.111715542077</t>
  </si>
  <si>
    <t>-851.537478744828 257.542604470745 -77.0525635934487</t>
  </si>
  <si>
    <t>-848.367452721559 310.633421013271 322.979936115717</t>
  </si>
  <si>
    <t>-863.225534314391 361.486178068632 767.449075905696</t>
  </si>
  <si>
    <t>-720.752975895407 392.530595124467 829.296348232828</t>
  </si>
  <si>
    <t>-836.871131417805 67.5365592813423 -67.4554866898615</t>
  </si>
  <si>
    <t>-821.783039366063 61.5937227191303 335.771095435751</t>
  </si>
  <si>
    <t>-840.488898299552 92.6442465046039 782.464731045394</t>
  </si>
  <si>
    <t>-749.732320642823 -15.4419883267419 854.353157262424</t>
  </si>
  <si>
    <t>9763-20170724T111054.285424200.bin</t>
  </si>
  <si>
    <t>-844.918962322688 160.863429545652 -71.1097332204687</t>
  </si>
  <si>
    <t>-876.340917106209 152.011982272874 -182.242674945711</t>
  </si>
  <si>
    <t>-891.94500508215 147.647745224071 -279.526418564079</t>
  </si>
  <si>
    <t>-901.983353298976 144.657152969775 -368.005445714711</t>
  </si>
  <si>
    <t>-907.547088814035 142.415214415047 -456.900044448966</t>
  </si>
  <si>
    <t>-910.591166401892 139.877766131577 -581.41955971516</t>
  </si>
  <si>
    <t>-882.776986045543 137.947303400239 -659.698931473228</t>
  </si>
  <si>
    <t>-905.739473152071 168.472253340617 -527.270556847139</t>
  </si>
  <si>
    <t>-880.01934002954 302.426435675549 -510.155074435524</t>
  </si>
  <si>
    <t>-820.655760699535 331.750084266535 -223.436983760514</t>
  </si>
  <si>
    <t>-582.782732588615 299.262261265888 -203.143659985963</t>
  </si>
  <si>
    <t>-912.763752395278 113.516361965622 -525.97895072941</t>
  </si>
  <si>
    <t>-853.64801793629 255.684764755666 -76.8110366425803</t>
  </si>
  <si>
    <t>-850.141747525409 310.014339606912 323.052282447542</t>
  </si>
  <si>
    <t>-863.163973541285 361.497521986275 767.510770089235</t>
  </si>
  <si>
    <t>-720.84887663929 393.082977203847 829.447151782575</t>
  </si>
  <si>
    <t>-836.5358206385 65.9980069983385 -67.4640989132893</t>
  </si>
  <si>
    <t>-821.975180102273 60.8707913730427 335.79313621465</t>
  </si>
  <si>
    <t>-840.41089519807 92.5624204162264 782.464682611696</t>
  </si>
  <si>
    <t>-749.428715605277 -15.3505894068476 854.327935004473</t>
  </si>
  <si>
    <t>9763-20170724T111054.318512800.bin</t>
  </si>
  <si>
    <t>-845.346741955271 159.812875220677 -71.010980962121</t>
  </si>
  <si>
    <t>-876.814247484597 150.786294502668 -182.116918297549</t>
  </si>
  <si>
    <t>-892.484359131946 146.413669307038 -279.389719612181</t>
  </si>
  <si>
    <t>-902.588626643143 143.469026846816 -367.86267786879</t>
  </si>
  <si>
    <t>-908.222461462275 141.331005157847 -456.755531282095</t>
  </si>
  <si>
    <t>-911.365367750342 138.999374383209 -581.276495506612</t>
  </si>
  <si>
    <t>-883.582546020836 137.373374190404 -659.574055690675</t>
  </si>
  <si>
    <t>-906.695243416186 167.532160072278 -527.079077756069</t>
  </si>
  <si>
    <t>-882.024074934392 301.654347540305 -509.732254551722</t>
  </si>
  <si>
    <t>-823.392635140937 330.638267531305 -222.829149490269</t>
  </si>
  <si>
    <t>-585.402632922616 298.856839835407 -202.788080137594</t>
  </si>
  <si>
    <t>-913.269100431978 112.518430704153 -525.882926843267</t>
  </si>
  <si>
    <t>-854.641514210301 254.444896154195 -76.6340744642376</t>
  </si>
  <si>
    <t>-850.973292319147 309.539641039825 323.123105866959</t>
  </si>
  <si>
    <t>-863.145045796493 361.474630618859 767.566672324408</t>
  </si>
  <si>
    <t>-720.914089003818 393.38427323687 829.529980689511</t>
  </si>
  <si>
    <t>-836.387279304666 65.1237597870754 -67.4323689161822</t>
  </si>
  <si>
    <t>-822.104220646176 60.391163889959 335.839532721212</t>
  </si>
  <si>
    <t>-840.35991854006 92.5427273631126 782.484771450968</t>
  </si>
  <si>
    <t>-749.306608236 -15.3228611653226 854.329153875244</t>
  </si>
  <si>
    <t>9763-20170724T111054.383333700.bin</t>
  </si>
  <si>
    <t>-846.056571208144 157.246742839963 -70.779236873335</t>
  </si>
  <si>
    <t>-877.588317525454 147.847957715732 -181.836211349576</t>
  </si>
  <si>
    <t>-893.379804350385 143.415185336788 -279.086442189608</t>
  </si>
  <si>
    <t>-903.612684810642 140.513192111956 -367.546173060339</t>
  </si>
  <si>
    <t>-909.388503746842 138.522501534719 -456.433263352375</t>
  </si>
  <si>
    <t>-912.740440052859 136.507253780599 -580.954402794905</t>
  </si>
  <si>
    <t>-885.002577367505 135.448107232443 -659.277547891874</t>
  </si>
  <si>
    <t>-908.415964092456 164.951252600227 -526.681404809057</t>
  </si>
  <si>
    <t>-885.819845539093 299.397748340339 -509.008157076607</t>
  </si>
  <si>
    <t>-828.216753643119 328.056566063326 -221.864104320134</t>
  </si>
  <si>
    <t>-590.053090720272 297.6706952739 -201.724129563996</t>
  </si>
  <si>
    <t>-914.115147849726 109.836837424833 -525.636151248662</t>
  </si>
  <si>
    <t>-856.496876469835 251.510894842747 -76.2444587106946</t>
  </si>
  <si>
    <t>-852.332501155508 308.253545363826 323.27732110519</t>
  </si>
  <si>
    <t>-863.057199235122 361.229520684501 767.660412840758</t>
  </si>
  <si>
    <t>-721.065040965853 394.138746487296 829.647983171344</t>
  </si>
  <si>
    <t>-835.904691987531 62.9151055152975 -67.3493734774535</t>
  </si>
  <si>
    <t>-822.62719081057 59.3263201313448 335.968717682901</t>
  </si>
  <si>
    <t>-840.324257297267 92.3778213052492 782.554636171751</t>
  </si>
  <si>
    <t>-749.127910891021 -15.387296156126 854.367845604477</t>
  </si>
  <si>
    <t>9763-20170724T111054.417425500.bin</t>
  </si>
  <si>
    <t>-846.382100426711 155.791043719544 -70.6420333754315</t>
  </si>
  <si>
    <t>-877.954846727464 146.233805361859 -181.673791489093</t>
  </si>
  <si>
    <t>-893.802944452422 141.756501757725 -278.912893142202</t>
  </si>
  <si>
    <t>-904.092377760994 138.848875492867 -367.365745336213</t>
  </si>
  <si>
    <t>-909.928791608815 136.889539137909 -456.24965100024</t>
  </si>
  <si>
    <t>-913.367304464906 134.958462770767 -580.769820052755</t>
  </si>
  <si>
    <t>-885.633522931797 134.133003196214 -659.097061184377</t>
  </si>
  <si>
    <t>-909.21722941568 163.386917531796 -526.475198138648</t>
  </si>
  <si>
    <t>-887.648152488879 297.984623351882 -508.690458827045</t>
  </si>
  <si>
    <t>-830.330457576028 326.823665701963 -221.507233454768</t>
  </si>
  <si>
    <t>-592.136062691211 296.882174194143 -201.067496690864</t>
  </si>
  <si>
    <t>-914.491065645637 108.229612960428 -525.4741833583</t>
  </si>
  <si>
    <t>-857.302091898434 249.868088103888 -76.0323496408672</t>
  </si>
  <si>
    <t>-852.85855378198 307.461975866712 323.364571103144</t>
  </si>
  <si>
    <t>-863.066620159933 361.156756623825 767.684404062409</t>
  </si>
  <si>
    <t>-721.224246073194 394.705634348472 829.672134853101</t>
  </si>
  <si>
    <t>-835.791685134487 61.6291257844114 -67.2687187222597</t>
  </si>
  <si>
    <t>-822.861966796741 58.7297188951047 336.066321648458</t>
  </si>
  <si>
    <t>-840.200959931217 92.4303319045189 782.599514411865</t>
  </si>
  <si>
    <t>-749.000729551685 -15.3406970802694 854.399305878342</t>
  </si>
  <si>
    <t>9763-20170724T111054.483608900.bin</t>
  </si>
  <si>
    <t>-847.262207271415 152.810556943497 -70.3298956815161</t>
  </si>
  <si>
    <t>-878.942959727503 142.951565801035 -181.304389954478</t>
  </si>
  <si>
    <t>-894.883093888229 138.379469953609 -278.52403288683</t>
  </si>
  <si>
    <t>-905.249888251717 135.44613726234 -366.967078742007</t>
  </si>
  <si>
    <t>-911.1550523212 133.527317209469 -455.84737193438</t>
  </si>
  <si>
    <t>-914.678369069484 131.72293058132 -580.366937417676</t>
  </si>
  <si>
    <t>-886.956946236427 131.307842650288 -658.701932064698</t>
  </si>
  <si>
    <t>-910.895524074607 160.132006459007 -526.035307349769</t>
  </si>
  <si>
    <t>-891.248569727711 294.99403356077 -508.125467508578</t>
  </si>
  <si>
    <t>-834.622177216494 324.479131627318 -220.87081248416</t>
  </si>
  <si>
    <t>-596.380460533838 295.081464201312 -200.194067655936</t>
  </si>
  <si>
    <t>-915.360362885576 104.901902636605 -525.108678767203</t>
  </si>
  <si>
    <t>-859.115516160269 246.533651840974 -75.5786481059722</t>
  </si>
  <si>
    <t>-854.003952412348 305.759861866565 323.571382210898</t>
  </si>
  <si>
    <t>-863.164830564566 361.04313300013 767.715175629584</t>
  </si>
  <si>
    <t>-721.488491381235 395.291115030268 829.700440366494</t>
  </si>
  <si>
    <t>-835.812966727808 59.0128336817816 -67.1179068258915</t>
  </si>
  <si>
    <t>-823.495243183453 57.4292340559332 336.243539475447</t>
  </si>
  <si>
    <t>-840.143820264379 92.233220647563 782.703938636928</t>
  </si>
  <si>
    <t>-748.670118338716 -15.3325531560681 854.463413919561</t>
  </si>
  <si>
    <t>9763-20170724T111054.516695000.bin</t>
  </si>
  <si>
    <t>-847.918678593041 151.393448346916 -70.1837808627785</t>
  </si>
  <si>
    <t>-879.644526082143 141.457367585997 -181.138567381941</t>
  </si>
  <si>
    <t>-895.620104964364 136.877408039683 -278.352136933666</t>
  </si>
  <si>
    <t>-906.016681891256 133.959498391986 -366.79207499962</t>
  </si>
  <si>
    <t>-911.948745120953 132.08324522573 -455.671367789806</t>
  </si>
  <si>
    <t>-915.505588188026 130.368671443688 -580.191343404229</t>
  </si>
  <si>
    <t>-887.822694453153 130.155409066948 -658.540915060081</t>
  </si>
  <si>
    <t>-911.910345431238 158.754274617424 -525.834746579794</t>
  </si>
  <si>
    <t>-893.184410412601 293.743370747995 -507.845853983036</t>
  </si>
  <si>
    <t>-836.807131929028 323.495180883576 -220.569578522683</t>
  </si>
  <si>
    <t>-598.50474130595 294.692201581473 -199.756011904552</t>
  </si>
  <si>
    <t>-915.970544635188 103.492012063017 -524.957759846038</t>
  </si>
  <si>
    <t>-860.160860556777 245.015669846417 -75.358263234556</t>
  </si>
  <si>
    <t>-854.873191339557 305.097752043452 323.661598896625</t>
  </si>
  <si>
    <t>-863.357569836188 361.273249540471 767.680279868565</t>
  </si>
  <si>
    <t>-721.580816737356 395.039608144807 829.700841238042</t>
  </si>
  <si>
    <t>-836.102972667304 57.7333713700286 -67.0477040512559</t>
  </si>
  <si>
    <t>-823.970913314256 56.8210341738927 336.32143690816</t>
  </si>
  <si>
    <t>-840.077579778176 92.1669038407649 782.747564185099</t>
  </si>
  <si>
    <t>-748.547918492312 -15.358556837984 854.496356745892</t>
  </si>
  <si>
    <t>9763-20170724T111054.582404800.bin</t>
  </si>
  <si>
    <t>-849.563160661035 147.832944717603 -69.986555492987</t>
  </si>
  <si>
    <t>-881.405151063948 137.79148444861 -180.898484431365</t>
  </si>
  <si>
    <t>-897.453709897729 133.269307109583 -278.102728336213</t>
  </si>
  <si>
    <t>-907.902330555641 130.463855673011 -366.540294326822</t>
  </si>
  <si>
    <t>-913.870478983545 128.767717165156 -455.420768308086</t>
  </si>
  <si>
    <t>-917.458686775209 127.379743838133 -579.943955563588</t>
  </si>
  <si>
    <t>-889.912294981556 127.637336902016 -658.34118281093</t>
  </si>
  <si>
    <t>-914.234219055343 155.648237788483 -525.503122597693</t>
  </si>
  <si>
    <t>-897.166970945878 290.827736486483 -507.267018018988</t>
  </si>
  <si>
    <t>-841.140401490985 320.613310516614 -219.925674638804</t>
  </si>
  <si>
    <t>-602.655889673847 293.719791775632 -198.648992712202</t>
  </si>
  <si>
    <t>-917.525234237976 100.332606767094 -524.791729825087</t>
  </si>
  <si>
    <t>-862.197055438583 241.182699503036 -74.9574271973341</t>
  </si>
  <si>
    <t>-856.306459660427 303.390473072753 323.728067784923</t>
  </si>
  <si>
    <t>-863.347491061958 361.129444422102 767.540333608757</t>
  </si>
  <si>
    <t>-721.761561986069 395.577011916872 829.621000108177</t>
  </si>
  <si>
    <t>-837.329461968998 54.3266389629744 -66.9841162019979</t>
  </si>
  <si>
    <t>-825.294197425697 55.3429053336017 336.38763220289</t>
  </si>
  <si>
    <t>-840.09300613562 91.7512408557227 782.792789556288</t>
  </si>
  <si>
    <t>-748.173808920473 -15.4336967246759 854.5531030306</t>
  </si>
  <si>
    <t>9763-20170724T111054.617497700.bin</t>
  </si>
  <si>
    <t>-850.440786057743 145.727324654687 -69.857446514575</t>
  </si>
  <si>
    <t>-882.390208181925 135.673926357806 -180.737594965857</t>
  </si>
  <si>
    <t>-898.465719586897 131.20073873446 -277.939527223715</t>
  </si>
  <si>
    <t>-908.911460094391 128.464387391046 -366.379613826454</t>
  </si>
  <si>
    <t>-914.848591131681 126.866433686108 -455.264057264273</t>
  </si>
  <si>
    <t>-918.364545201826 125.647922713642 -579.79097384557</t>
  </si>
  <si>
    <t>-890.91969040775 126.178661689306 -658.222721790274</t>
  </si>
  <si>
    <t>-915.355313746109 153.852921770527 -525.304904318126</t>
  </si>
  <si>
    <t>-899.108792405038 289.125015573276 -507.008171239342</t>
  </si>
  <si>
    <t>-843.444403110561 319.224753494022 -219.629097269721</t>
  </si>
  <si>
    <t>-604.882674762249 293.422538045273 -197.870670811048</t>
  </si>
  <si>
    <t>-918.279446167838 98.5154210999481 -524.680816683175</t>
  </si>
  <si>
    <t>-863.143595153614 238.962099446419 -74.7379429990812</t>
  </si>
  <si>
    <t>-856.718154608447 302.423086369197 323.741816507895</t>
  </si>
  <si>
    <t>-863.395645653217 361.090027844759 767.478749387006</t>
  </si>
  <si>
    <t>-721.905282422105 395.927964342279 829.560474204999</t>
  </si>
  <si>
    <t>-838.082995914662 52.339152930394 -66.949220183486</t>
  </si>
  <si>
    <t>-826.021862195494 54.5226477167698 336.417138267569</t>
  </si>
  <si>
    <t>-840.032832604813 91.6077837484308 782.803322089907</t>
  </si>
  <si>
    <t>-748.052934801555 -15.5083344049121 854.58871316377</t>
  </si>
  <si>
    <t>9763-20170724T111054.681734300.bin</t>
  </si>
  <si>
    <t>-852.979314927593 140.868859832697 -69.4098689434912</t>
  </si>
  <si>
    <t>-885.006336011068 130.985185419051 -180.282835457324</t>
  </si>
  <si>
    <t>-900.869837906914 126.645140146159 -277.525727078234</t>
  </si>
  <si>
    <t>-911.017990314273 124.037717430671 -366.004284534722</t>
  </si>
  <si>
    <t>-916.554232988362 122.589566979333 -454.917144974541</t>
  </si>
  <si>
    <t>-919.403635847341 121.61193668654 -579.463214079489</t>
  </si>
  <si>
    <t>-892.114007149794 122.858518830012 -657.940979711691</t>
  </si>
  <si>
    <t>-917.114525113817 149.730650016622 -524.89770397066</t>
  </si>
  <si>
    <t>-902.68957630287 285.236386439723 -506.868026249837</t>
  </si>
  <si>
    <t>-848.722200673554 316.836550513158 -219.326507883209</t>
  </si>
  <si>
    <t>-610.108377937328 292.932797596379 -196.023005074159</t>
  </si>
  <si>
    <t>-919.184852546222 94.3535520324544 -524.415623492329</t>
  </si>
  <si>
    <t>-865.253290543383 234.053022748133 -74.1281735156761</t>
  </si>
  <si>
    <t>-856.99897713466 300.446240004645 323.839719377558</t>
  </si>
  <si>
    <t>-863.625526833802 360.996131561883 767.41592588751</t>
  </si>
  <si>
    <t>-722.262983948287 396.46454441307 829.43136050075</t>
  </si>
  <si>
    <t>-840.955122046248 47.3566139795371 -66.7249047818068</t>
  </si>
  <si>
    <t>-827.778832647485 52.6130311847123 336.578236829448</t>
  </si>
  <si>
    <t>-840.028631301683 91.1730450607824 782.87652060439</t>
  </si>
  <si>
    <t>-747.58170298206 -15.5387970500092 854.664309778906</t>
  </si>
  <si>
    <t>9763-20170724T111054.714822500.bin</t>
  </si>
  <si>
    <t>-855.139098615813 137.966018710107 -69.1090990164996</t>
  </si>
  <si>
    <t>-887.30683841675 128.334212062284 -179.963503769386</t>
  </si>
  <si>
    <t>-902.844804214142 124.034360497744 -277.260781963601</t>
  </si>
  <si>
    <t>-912.527545717263 121.406637081881 -365.790905524605</t>
  </si>
  <si>
    <t>-917.432837586813 119.889626052388 -454.739648917055</t>
  </si>
  <si>
    <t>-919.230596228267 118.772850688207 -579.304162136545</t>
  </si>
  <si>
    <t>-891.87611906906 120.438332816352 -657.751534419822</t>
  </si>
  <si>
    <t>-917.63432359835 146.96057783281 -524.749360602813</t>
  </si>
  <si>
    <t>-904.20721542282 282.623543039602 -507.178234063583</t>
  </si>
  <si>
    <t>-852.244656976215 315.893229631595 -219.455914506393</t>
  </si>
  <si>
    <t>-613.682962599623 293.100911741319 -194.561266049608</t>
  </si>
  <si>
    <t>-919.244678343904 91.5681670446038 -524.22958572374</t>
  </si>
  <si>
    <t>-866.778788540568 231.39438293742 -73.7845413407896</t>
  </si>
  <si>
    <t>-856.82087224683 299.387532945001 323.874125244821</t>
  </si>
  <si>
    <t>-863.75269969419 360.857723823169 767.379366154259</t>
  </si>
  <si>
    <t>-722.360225872398 396.298655779076 829.342624782453</t>
  </si>
  <si>
    <t>-843.899902939136 44.3199273361124 -66.4803695384685</t>
  </si>
  <si>
    <t>-829.038572407291 51.5932191438619 336.732800109206</t>
  </si>
  <si>
    <t>-840.023754548357 90.9717787325262 782.941575227836</t>
  </si>
  <si>
    <t>-747.342661023851 -15.5360501679488 854.729702695981</t>
  </si>
  <si>
    <t>9763-20170724T111054.782811300.bin</t>
  </si>
  <si>
    <t>-861.707821607921 132.523892582072 -68.5525714086708</t>
  </si>
  <si>
    <t>-893.946746831545 123.639383178518 -179.448634345213</t>
  </si>
  <si>
    <t>-908.006281493478 119.252964766324 -276.966512920236</t>
  </si>
  <si>
    <t>-915.754794439542 116.28592667477 -365.676288240393</t>
  </si>
  <si>
    <t>-918.142011933461 114.182583910683 -454.716177644346</t>
  </si>
  <si>
    <t>-915.825998506692 112.002502768984 -579.258092460098</t>
  </si>
  <si>
    <t>-887.910843318886 114.448694750407 -657.487168093636</t>
  </si>
  <si>
    <t>-916.37693287904 140.662849020691 -524.929491397163</t>
  </si>
  <si>
    <t>-904.900717908911 276.756079632445 -509.254009731767</t>
  </si>
  <si>
    <t>-860.5511651204 314.665557164504 -220.83205755654</t>
  </si>
  <si>
    <t>-622.180404743774 295.024457984863 -191.770911720702</t>
  </si>
  <si>
    <t>-917.313354651267 85.2608180323859 -523.977172651234</t>
  </si>
  <si>
    <t>-871.011193446402 225.914608360443 -73.0418266505436</t>
  </si>
  <si>
    <t>-855.695402014065 297.785747045384 323.763755336911</t>
  </si>
  <si>
    <t>-864.119264622276 360.928828822457 766.993182245441</t>
  </si>
  <si>
    <t>-722.655803833678 396.087356901048 828.955545361143</t>
  </si>
  <si>
    <t>-852.684244766674 39.0189906139522 -65.8636148455405</t>
  </si>
  <si>
    <t>-833.179773412037 49.8656998766774 337.071303301275</t>
  </si>
  <si>
    <t>-839.981201272037 90.6229543693771 783.08527878146</t>
  </si>
  <si>
    <t>-747.172787280758 -15.7348322364742 854.931680863059</t>
  </si>
  <si>
    <t>9763-20170724T111054.814896700.bin</t>
  </si>
  <si>
    <t>-865.441201580971 129.853749728284 -68.303235172964</t>
  </si>
  <si>
    <t>-897.009195116015 121.31208395546 -179.419087406315</t>
  </si>
  <si>
    <t>-909.843313821967 116.818921315838 -277.100948702247</t>
  </si>
  <si>
    <t>-916.233655954177 113.607916051566 -365.910262148806</t>
  </si>
  <si>
    <t>-917.020678698397 111.118322662367 -454.968779787535</t>
  </si>
  <si>
    <t>-912.222883122173 108.255597431213 -579.426068024709</t>
  </si>
  <si>
    <t>-883.980437022292 110.959252685686 -657.529058035348</t>
  </si>
  <si>
    <t>-913.922895600986 137.21434890466 -525.27988325777</t>
  </si>
  <si>
    <t>-903.25916044587 273.543091309325 -510.89887379038</t>
  </si>
  <si>
    <t>-863.884425192756 313.9867124319 -222.099453540641</t>
  </si>
  <si>
    <t>-625.670220843449 296.092853922301 -190.719594139102</t>
  </si>
  <si>
    <t>-914.745400097186 81.8162713392858 -524.037184982389</t>
  </si>
  <si>
    <t>-873.335531089231 222.688186836901 -72.566678175382</t>
  </si>
  <si>
    <t>-854.586991883757 297.744019301145 323.50123007527</t>
  </si>
  <si>
    <t>-864.414442874135 361.260039759919 766.585531309066</t>
  </si>
  <si>
    <t>-722.689824627806 395.202748308965 828.628685082345</t>
  </si>
  <si>
    <t>-857.574208323009 37.0727249097495 -65.5579974233268</t>
  </si>
  <si>
    <t>-836.2609473032 49.1955881538875 337.248963581961</t>
  </si>
  <si>
    <t>-840.076041356065 90.320643445325 783.23965784783</t>
  </si>
  <si>
    <t>-747.044401881216 -15.8468596990097 855.078937156124</t>
  </si>
  <si>
    <t>9763-20170724T111054.883082300.bin</t>
  </si>
  <si>
    <t>-870.464740554397 123.45749524344 -67.5496620655382</t>
  </si>
  <si>
    <t>-899.796761579607 115.315773183963 -179.306277968536</t>
  </si>
  <si>
    <t>-909.829489090695 110.53573425383 -277.302004144173</t>
  </si>
  <si>
    <t>-913.351667220762 106.823793923385 -366.251847314463</t>
  </si>
  <si>
    <t>-910.950562131697 103.594011912111 -455.257567734633</t>
  </si>
  <si>
    <t>-901.378624807823 99.4507865337769 -579.40274471236</t>
  </si>
  <si>
    <t>-872.318165750429 102.172698726729 -657.204508141447</t>
  </si>
  <si>
    <t>-905.130591250337 128.965079710145 -525.661366000027</t>
  </si>
  <si>
    <t>-895.362909902183 265.566953127814 -513.335481610457</t>
  </si>
  <si>
    <t>-865.642419403773 311.058784542717 -224.132453099097</t>
  </si>
  <si>
    <t>-627.88001109589 296.279620283968 -188.056208678829</t>
  </si>
  <si>
    <t>-906.051213402744 73.5830041912177 -523.884019673442</t>
  </si>
  <si>
    <t>-875.111528030542 214.532506712015 -71.624240172093</t>
  </si>
  <si>
    <t>-850.782672592535 298.252598119324 322.398226282472</t>
  </si>
  <si>
    <t>-864.985582074587 361.561937590995 765.398100810862</t>
  </si>
  <si>
    <t>-723.031612242717 394.443683135271 827.488330759713</t>
  </si>
  <si>
    <t>-865.327869162798 32.5414450924295 -64.7522337959764</t>
  </si>
  <si>
    <t>-843.000126202339 47.91819564056 337.888711321032</t>
  </si>
  <si>
    <t>-840.466111636492 89.4533473131801 783.830606206394</t>
  </si>
  <si>
    <t>-746.979622329876 -16.3831348491658 855.567579496668</t>
  </si>
  <si>
    <t>9763-20170724T111054.920180800.bin</t>
  </si>
  <si>
    <t>-871.570386339017 119.49878538066 -66.7500271778318</t>
  </si>
  <si>
    <t>-899.765567790354 111.659103059153 -178.820645268885</t>
  </si>
  <si>
    <t>-908.492811294845 106.843103330115 -276.939428529838</t>
  </si>
  <si>
    <t>-910.712600374176 102.981490762037 -365.924895331176</t>
  </si>
  <si>
    <t>-906.894507625233 99.4844005478849 -454.87097105405</t>
  </si>
  <si>
    <t>-895.22930593926 94.8443480959008 -578.819483165335</t>
  </si>
  <si>
    <t>-865.680523904328 97.4539509924984 -656.44093350516</t>
  </si>
  <si>
    <t>-899.844292105273 124.572619374508 -525.26356803901</t>
  </si>
  <si>
    <t>-890.329117452694 261.228312280912 -513.500149398792</t>
  </si>
  <si>
    <t>-864.865253336661 308.299935324186 -224.14394224612</t>
  </si>
  <si>
    <t>-627.295690414481 294.894137617871 -186.303799169957</t>
  </si>
  <si>
    <t>-900.880565535485 69.1995137667213 -523.288131502926</t>
  </si>
  <si>
    <t>-874.840494402735 209.808601546737 -70.9535463229629</t>
  </si>
  <si>
    <t>-847.957225317285 298.265880206548 321.865980612178</t>
  </si>
  <si>
    <t>-865.333961135839 361.728625841928 764.613661450533</t>
  </si>
  <si>
    <t>-723.26293027525 394.10326176955 826.702688711836</t>
  </si>
  <si>
    <t>-867.913456724284 29.3788417792298 -64.2254682369455</t>
  </si>
  <si>
    <t>-846.331925264797 47.1557864944098 338.35729928464</t>
  </si>
  <si>
    <t>-840.618683113488 89.0110023032853 784.224359829068</t>
  </si>
  <si>
    <t>-746.959099479407 -16.7257365763794 855.882908744243</t>
  </si>
  <si>
    <t>9763-20170724T111054.985366300.bin</t>
  </si>
  <si>
    <t>-872.740225178012 110.682597561901 -64.6253499794703</t>
  </si>
  <si>
    <t>-899.41269450029 103.583405889867 -177.116995980397</t>
  </si>
  <si>
    <t>-906.119757946519 99.088901460389 -275.409885592829</t>
  </si>
  <si>
    <t>-906.237541934385 95.3833534458531 -364.429603770443</t>
  </si>
  <si>
    <t>-900.052818013356 91.9017970768386 -453.243227099555</t>
  </si>
  <si>
    <t>-884.817846864887 87.1311871750395 -576.79866156148</t>
  </si>
  <si>
    <t>-854.151393108102 89.836821403248 -653.982071588539</t>
  </si>
  <si>
    <t>-890.951752317601 116.915562929671 -523.426606541325</t>
  </si>
  <si>
    <t>-882.117007151463 253.595300991463 -511.75081731585</t>
  </si>
  <si>
    <t>-863.907896124617 301.707835469018 -222.018438498477</t>
  </si>
  <si>
    <t>-626.367590005156 291.062693821174 -183.13232954583</t>
  </si>
  <si>
    <t>-892.09234769418 61.5452724059483 -521.429388467761</t>
  </si>
  <si>
    <t>-874.600856949059 199.727648436932 -68.7273842919648</t>
  </si>
  <si>
    <t>-840.279339032805 297.478036858256 321.300357857592</t>
  </si>
  <si>
    <t>-866.314338670544 362.439241654155 762.911932208529</t>
  </si>
  <si>
    <t>-723.909300208594 393.149799755441 825.080518133451</t>
  </si>
  <si>
    <t>-871.322846601041 21.6445777955892 -62.890775908702</t>
  </si>
  <si>
    <t>-850.869341538478 43.6880518817657 339.539892734225</t>
  </si>
  <si>
    <t>-840.553300686414 88.3372093072389 784.866382407785</t>
  </si>
  <si>
    <t>-746.771461147171 -17.3874773111252 856.382466556973</t>
  </si>
  <si>
    <t>9763-20170724T111055.018445000.bin</t>
  </si>
  <si>
    <t>-873.49141395455 105.368774252579 -63.3398146287616</t>
  </si>
  <si>
    <t>-899.735431403713 98.7662304536498 -175.962532234949</t>
  </si>
  <si>
    <t>-905.750399480077 94.649540642064 -274.316563784585</t>
  </si>
  <si>
    <t>-905.114920035177 91.2588921984598 -363.346587100146</t>
  </si>
  <si>
    <t>-898.053465361525 88.0611092822401 -452.105526333873</t>
  </si>
  <si>
    <t>-881.468685419689 83.6509813754524 -575.500543786078</t>
  </si>
  <si>
    <t>-850.272137744054 86.5397039983527 -652.464538779654</t>
  </si>
  <si>
    <t>-888.207035285715 113.279975992535 -522.114815451498</t>
  </si>
  <si>
    <t>-879.783648754095 249.957045635872 -509.998419312107</t>
  </si>
  <si>
    <t>-864.398077256353 297.370206884731 -219.987193940549</t>
  </si>
  <si>
    <t>-626.702272561578 288.145142657709 -181.692711464714</t>
  </si>
  <si>
    <t>-889.326502524358 57.9032686915184 -520.286178093254</t>
  </si>
  <si>
    <t>-874.785078748274 193.855415755095 -67.0987122347716</t>
  </si>
  <si>
    <t>-835.570021222757 296.082068265922 321.316681961393</t>
  </si>
  <si>
    <t>-866.604877471557 362.312922020141 762.086967162745</t>
  </si>
  <si>
    <t>-724.18276383761 392.752744281376 824.35012412874</t>
  </si>
  <si>
    <t>-872.883152116408 16.8560796538754 -62.0918347423079</t>
  </si>
  <si>
    <t>-853.557444591941 41.4148544686332 340.248905180625</t>
  </si>
  <si>
    <t>-840.499631736499 87.9846669473573 785.167088922531</t>
  </si>
  <si>
    <t>-746.581092087462 -17.6908427613257 856.576665638772</t>
  </si>
  <si>
    <t>9763-20170724T111055.081619600.bin</t>
  </si>
  <si>
    <t>-874.843979719071 94.1018673610315 -60.6182311806793</t>
  </si>
  <si>
    <t>-901.030136106916 88.6681759705834 -173.316834069353</t>
  </si>
  <si>
    <t>-906.428557891508 85.5938969605436 -271.744858855091</t>
  </si>
  <si>
    <t>-905.006671875196 83.144802466702 -360.796633999125</t>
  </si>
  <si>
    <t>-896.934950954112 80.8798278750805 -449.498185150071</t>
  </si>
  <si>
    <t>-878.709795432319 77.7544873883357 -572.700747034385</t>
  </si>
  <si>
    <t>-846.574931857089 81.1634169923927 -649.256325503316</t>
  </si>
  <si>
    <t>-886.240671349669 106.827394331843 -519.115770312168</t>
  </si>
  <si>
    <t>-878.639553244834 243.413895620539 -505.58619565312</t>
  </si>
  <si>
    <t>-866.93132279177 287.797855553274 -214.924487085867</t>
  </si>
  <si>
    <t>-628.826139253604 281.293958372766 -178.669547346451</t>
  </si>
  <si>
    <t>-887.218666011641 51.43229467129 -517.855126863104</t>
  </si>
  <si>
    <t>-875.381138226634 181.441202554679 -63.1330334185177</t>
  </si>
  <si>
    <t>-825.688934949026 292.147078758708 321.74307481783</t>
  </si>
  <si>
    <t>-867.284283979958 361.597052490272 760.683154331879</t>
  </si>
  <si>
    <t>-724.9274057464 391.792824190927 823.213473381211</t>
  </si>
  <si>
    <t>-875.339377267727 6.49760702064805 -60.3814682213427</t>
  </si>
  <si>
    <t>-857.92242529858 36.1661528725831 341.702011194779</t>
  </si>
  <si>
    <t>-840.462212164964 87.0825839002737 785.822809253832</t>
  </si>
  <si>
    <t>-745.976062881053 -18.2663532587057 856.965099128969</t>
  </si>
  <si>
    <t>9763-20170724T111055.114708800.bin</t>
  </si>
  <si>
    <t>-875.37122688076 88.5322878138186 -59.3014105994197</t>
  </si>
  <si>
    <t>-901.841486387522 83.6206579912982 -171.957623866228</t>
  </si>
  <si>
    <t>-907.266152905148 81.065465783322 -270.398869822925</t>
  </si>
  <si>
    <t>-905.778778684856 79.1093956101272 -359.461792387296</t>
  </si>
  <si>
    <t>-897.550896018999 77.3584479153992 -448.160577948984</t>
  </si>
  <si>
    <t>-879.014812605868 74.9709021045469 -571.333368662005</t>
  </si>
  <si>
    <t>-846.493252614906 78.6626539026342 -647.712285365346</t>
  </si>
  <si>
    <t>-886.721629273097 103.72295054721 -517.600378539594</t>
  </si>
  <si>
    <t>-879.398253596789 240.240369565292 -503.227847453986</t>
  </si>
  <si>
    <t>-868.47091183253 282.87703197682 -212.274438514315</t>
  </si>
  <si>
    <t>-630.166762472217 277.546559138769 -177.152894721215</t>
  </si>
  <si>
    <t>-887.621513884061 48.3201144586387 -516.661901497677</t>
  </si>
  <si>
    <t>-875.398564193814 175.507657552967 -61.2901107586466</t>
  </si>
  <si>
    <t>-821.952568517888 289.946759782392 321.987690185304</t>
  </si>
  <si>
    <t>-867.635949617973 361.045599388114 760.04446053488</t>
  </si>
  <si>
    <t>-725.34090250189 391.061876785253 822.80151914372</t>
  </si>
  <si>
    <t>-876.253265775129 1.26769136582061 -59.5328813689255</t>
  </si>
  <si>
    <t>-859.85559179068 33.5352646693723 342.393193036668</t>
  </si>
  <si>
    <t>-840.350769889597 86.7004795927614 786.126204858099</t>
  </si>
  <si>
    <t>-745.562683578675 -18.4605956196206 857.145290855429</t>
  </si>
  <si>
    <t>9763-20170724T111055.181891600.bin</t>
  </si>
  <si>
    <t>-874.737902139884 79.7322460859591 -57.8796307503779</t>
  </si>
  <si>
    <t>-902.132941723393 75.243581752221 -170.332233137824</t>
  </si>
  <si>
    <t>-908.155602621513 73.435778071374 -268.75531208385</t>
  </si>
  <si>
    <t>-907.117602156697 72.3048361773922 -357.838925710341</t>
  </si>
  <si>
    <t>-899.243182708761 71.524432893445 -446.583752969198</t>
  </si>
  <si>
    <t>-881.095735385757 70.6414875400492 -569.834309366306</t>
  </si>
  <si>
    <t>-848.020979372682 74.9553924593092 -645.942657884123</t>
  </si>
  <si>
    <t>-888.695053273984 98.7361248707239 -515.739344186319</t>
  </si>
  <si>
    <t>-881.828101446644 235.081951535299 -499.604494428177</t>
  </si>
  <si>
    <t>-870.812511206385 274.278995885343 -208.171034604007</t>
  </si>
  <si>
    <t>-632.129159645649 270.922556781539 -175.462552355609</t>
  </si>
  <si>
    <t>-889.468155380736 43.3240964965948 -515.456298412259</t>
  </si>
  <si>
    <t>-874.408650557126 166.659549912978 -59.527430423409</t>
  </si>
  <si>
    <t>-818.301032475012 285.79905417033 321.933310531843</t>
  </si>
  <si>
    <t>-867.676250736732 359.33289817567 758.469863569605</t>
  </si>
  <si>
    <t>-725.860763256204 390.40004888405 821.79780900861</t>
  </si>
  <si>
    <t>-861.596552262884 28.7464124119288 343.239080614817</t>
  </si>
  <si>
    <t>-839.863764064059 86.0521263477704 786.414958926556</t>
  </si>
  <si>
    <t>-744.895627744227 -19.0186727737969 857.326777679724</t>
  </si>
  <si>
    <t>9763-20170724T111055.214979800.bin</t>
  </si>
  <si>
    <t>-873.857228303218 76.7180357310103 -57.9335876346794</t>
  </si>
  <si>
    <t>-901.901654576783 72.0631921439722 -170.219178070355</t>
  </si>
  <si>
    <t>-908.434229190815 70.4546886111084 -268.613298992214</t>
  </si>
  <si>
    <t>-907.828131437665 69.6377754401369 -357.704270921711</t>
  </si>
  <si>
    <t>-900.350829036709 69.3034684057166 -446.486187540189</t>
  </si>
  <si>
    <t>-882.717626713448 69.1799104132929 -569.81453175504</t>
  </si>
  <si>
    <t>-849.446098958543 73.8469581804866 -645.816073620156</t>
  </si>
  <si>
    <t>-890.144721963725 96.9413559890877 -515.5239155597</t>
  </si>
  <si>
    <t>-883.597786911409 233.198360003517 -498.585325349002</t>
  </si>
  <si>
    <t>-872.061365647695 270.906747285197 -206.975620830817</t>
  </si>
  <si>
    <t>-633.231272338725 268.588416620976 -175.262961954502</t>
  </si>
  <si>
    <t>-890.809699533416 41.5273255622942 -515.563491875063</t>
  </si>
  <si>
    <t>-873.669952648346 164.022348901657 -59.7663358802719</t>
  </si>
  <si>
    <t>-817.981716900016 284.111887746825 321.458060123301</t>
  </si>
  <si>
    <t>-867.476191064333 358.408968662919 757.693969142847</t>
  </si>
  <si>
    <t>-725.936274824351 390.189482541552 821.283702592528</t>
  </si>
  <si>
    <t>-861.267766748534 26.476877928641 343.331074659933</t>
  </si>
  <si>
    <t>-839.650110131924 85.6117891919721 786.408964797783</t>
  </si>
  <si>
    <t>-744.347617709988 -19.1808985808743 857.28372038255</t>
  </si>
  <si>
    <t>9763-20170724T111055.283801500.bin</t>
  </si>
  <si>
    <t>-872.483553262654 72.0638417773362 -58.6110128277636</t>
  </si>
  <si>
    <t>-901.760058810733 66.7700320791032 -170.553331780859</t>
  </si>
  <si>
    <t>-909.414775554415 65.2977849290596 -268.868683009079</t>
  </si>
  <si>
    <t>-909.829053597937 64.8694630777186 -357.963421235416</t>
  </si>
  <si>
    <t>-903.364979183971 65.1875805507393 -446.824949198528</t>
  </si>
  <si>
    <t>-887.130017873338 66.2478565088973 -570.340554650749</t>
  </si>
  <si>
    <t>-853.642359077415 71.5702237660394 -646.204122970914</t>
  </si>
  <si>
    <t>-894.136671041375 93.4887345175011 -515.731440361542</t>
  </si>
  <si>
    <t>-888.632711190796 229.628956030236 -497.4735852747</t>
  </si>
  <si>
    <t>-875.412452946999 265.078018206751 -205.652035521124</t>
  </si>
  <si>
    <t>-636.254098030791 265.166435111931 -176.426222074078</t>
  </si>
  <si>
    <t>-894.412044611855 38.0738541031055 -516.243277726207</t>
  </si>
  <si>
    <t>-873.592270052925 160.525661654549 -61.0899935985735</t>
  </si>
  <si>
    <t>-818.976132046874 280.135474062924 320.440155769149</t>
  </si>
  <si>
    <t>-866.380044198855 356.072721511302 756.487642972588</t>
  </si>
  <si>
    <t>-725.760768589719 390.589526723017 820.690669851034</t>
  </si>
  <si>
    <t>-859.569727967067 22.994796306562 343.040785789704</t>
  </si>
  <si>
    <t>-838.988694205559 85.0702485379074 786.124601150866</t>
  </si>
  <si>
    <t>-743.378465178968 -19.4590445798531 856.97391302051</t>
  </si>
  <si>
    <t>9763-20170724T111055.315886100.bin</t>
  </si>
  <si>
    <t>-871.716290010298 69.9654536661583 -58.8988916693455</t>
  </si>
  <si>
    <t>-901.567478858142 64.3684900465414 -170.674564769022</t>
  </si>
  <si>
    <t>-909.792661855599 62.8913099679867 -268.943715301649</t>
  </si>
  <si>
    <t>-910.744029032905 62.5555461553045 -358.034774870739</t>
  </si>
  <si>
    <t>-904.833915441478 63.0640493044543 -446.933887340607</t>
  </si>
  <si>
    <t>-889.384773185884 64.4904522458737 -570.546677852805</t>
  </si>
  <si>
    <t>-855.887990354568 70.1029535684415 -646.385147613155</t>
  </si>
  <si>
    <t>-896.197177103403 91.5698901854694 -515.832768404607</t>
  </si>
  <si>
    <t>-891.490195386466 227.687041712573 -497.146358443014</t>
  </si>
  <si>
    <t>-877.21420638186 262.314313318509 -205.275903354461</t>
  </si>
  <si>
    <t>-637.919212420186 263.802137585191 -177.230199056808</t>
  </si>
  <si>
    <t>-896.16895086638 36.1555427544276 -516.468855787648</t>
  </si>
  <si>
    <t>-873.555160342773 158.747653173818 -61.5102187029701</t>
  </si>
  <si>
    <t>-819.207189087392 277.884558873796 320.206156878437</t>
  </si>
  <si>
    <t>-865.924798741266 354.992755080767 756.292575947794</t>
  </si>
  <si>
    <t>-725.662439882309 390.733821360368 820.607222228635</t>
  </si>
  <si>
    <t>-858.351009618478 21.3775988254997 342.818059473932</t>
  </si>
  <si>
    <t>-838.588668616343 84.9147722258263 785.895935964292</t>
  </si>
  <si>
    <t>-743.031813575791 -19.6542879289518 856.758272417449</t>
  </si>
  <si>
    <t>9763-20170724T111055.384333700.bin</t>
  </si>
  <si>
    <t>-870.160194501044 65.491361735259 -58.7459315841882</t>
  </si>
  <si>
    <t>-900.983261735521 59.5887279276062 -170.241807321613</t>
  </si>
  <si>
    <t>-910.21991016823 58.0910417682317 -268.420621351067</t>
  </si>
  <si>
    <t>-912.147143640745 57.8306491915955 -357.496282712569</t>
  </si>
  <si>
    <t>-907.266934250678 58.5155267972964 -446.456693329817</t>
  </si>
  <si>
    <t>-893.306586434407 60.2963925956033 -570.241764641796</t>
  </si>
  <si>
    <t>-859.92456991994 66.3440899591824 -646.097478038229</t>
  </si>
  <si>
    <t>-899.850185596097 87.2165282819419 -515.416675971665</t>
  </si>
  <si>
    <t>-897.075605687662 223.309194499381 -496.21679503975</t>
  </si>
  <si>
    <t>-880.504021535251 257.174972345627 -204.378273968932</t>
  </si>
  <si>
    <t>-640.97563126199 260.697301325518 -178.59857194638</t>
  </si>
  <si>
    <t>-899.049103869742 31.8088886357277 -516.123551265379</t>
  </si>
  <si>
    <t>-873.457959821906 154.770733180656 -60.9568842269289</t>
  </si>
  <si>
    <t>-818.93028978639 274.437975243264 320.567867939149</t>
  </si>
  <si>
    <t>-866.134802236492 353.964268669968 756.528628875433</t>
  </si>
  <si>
    <t>-726.053475381483 390.704630776663 820.674510662181</t>
  </si>
  <si>
    <t>-856.124566257319 17.9760982744397 342.700019364919</t>
  </si>
  <si>
    <t>-838.03309151511 84.2993065504284 785.595525558896</t>
  </si>
  <si>
    <t>-741.779652928326 -19.669886587139 856.397412833584</t>
  </si>
  <si>
    <t>9763-20170724T111055.415415500.bin</t>
  </si>
  <si>
    <t>-869.234830979256 63.0626955108946 -58.3829177041929</t>
  </si>
  <si>
    <t>-900.412110763321 57.1350141068929 -169.778873016154</t>
  </si>
  <si>
    <t>-910.052569613356 55.6519128167342 -267.91925236411</t>
  </si>
  <si>
    <t>-912.382390314356 55.4203963561386 -356.985338876228</t>
  </si>
  <si>
    <t>-907.941495462612 56.1554137429034 -445.968277125601</t>
  </si>
  <si>
    <t>-894.630337465485 58.0315969498342 -569.823527284099</t>
  </si>
  <si>
    <t>-861.334413034276 64.2551339806578 -645.70288419585</t>
  </si>
  <si>
    <t>-901.082882835507 84.9062355097249 -514.965199218911</t>
  </si>
  <si>
    <t>-899.245783970769 220.990600218285 -495.626426654314</t>
  </si>
  <si>
    <t>-881.931497142895 254.821175235874 -203.827048909249</t>
  </si>
  <si>
    <t>-642.346713309149 258.955741254194 -178.669915477809</t>
  </si>
  <si>
    <t>-899.893149282848 29.5055948556137 -515.676662244014</t>
  </si>
  <si>
    <t>-872.825422678933 152.311042025484 -60.3014365814067</t>
  </si>
  <si>
    <t>-817.823268195 272.548622108718 320.975880066849</t>
  </si>
  <si>
    <t>-866.495548215569 353.766531860239 756.458846986371</t>
  </si>
  <si>
    <t>-726.446980233168 390.613247877572 820.614949234721</t>
  </si>
  <si>
    <t>-855.283151282409 16.4221866877488 342.81173463729</t>
  </si>
  <si>
    <t>-837.784168353005 83.9804085775081 785.554414968202</t>
  </si>
  <si>
    <t>-741.178381011345 -19.6942137743736 856.308747152003</t>
  </si>
  <si>
    <t>9763-20170724T111055.481311900.bin</t>
  </si>
  <si>
    <t>-867.658217297358 59.3760533999853 -57.7561638974231</t>
  </si>
  <si>
    <t>-899.293057511975 53.2352610355942 -169.011557414024</t>
  </si>
  <si>
    <t>-909.493526783943 51.7501693482654 -267.095176948423</t>
  </si>
  <si>
    <t>-912.390837885606 51.5876995282938 -356.144707876055</t>
  </si>
  <si>
    <t>-908.575207210257 52.4693721314807 -445.155440320366</t>
  </si>
  <si>
    <t>-896.192927703648 54.6340636525215 -569.102203656599</t>
  </si>
  <si>
    <t>-863.034628900538 61.1723698968185 -645.015469812708</t>
  </si>
  <si>
    <t>-902.572200942683 81.3721333907306 -514.168693629406</t>
  </si>
  <si>
    <t>-902.325724880204 217.441946566696 -494.676973689028</t>
  </si>
  <si>
    <t>-884.734533774853 251.375423527361 -202.906156003844</t>
  </si>
  <si>
    <t>-645.067418193489 255.670626516405 -178.571013642492</t>
  </si>
  <si>
    <t>-900.711189903298 25.9907164866545 -514.950022162485</t>
  </si>
  <si>
    <t>-872.362634563704 148.113526410019 -59.1902202842965</t>
  </si>
  <si>
    <t>-813.593595203618 271.538843068963 320.503114361721</t>
  </si>
  <si>
    <t>-868.135846531152 352.820673843855 755.161271532197</t>
  </si>
  <si>
    <t>-728.224289483312 388.835953019892 820.08436157576</t>
  </si>
  <si>
    <t>-853.457668084383 13.4157793588311 343.155445141544</t>
  </si>
  <si>
    <t>-837.249910977192 83.4179656686802 785.553142598092</t>
  </si>
  <si>
    <t>-740.257389054729 -19.9358721620324 856.248055556819</t>
  </si>
  <si>
    <t>9763-20170724T111055.515403700.bin</t>
  </si>
  <si>
    <t>-872.421025991658 60.6878276149587 -57.2492325108824</t>
  </si>
  <si>
    <t>-904.090733905017 54.5335989935829 -168.493916068154</t>
  </si>
  <si>
    <t>-914.39609899977 53.0936390765114 -266.567274635664</t>
  </si>
  <si>
    <t>-917.417730838521 52.9927729184947 -355.612743558394</t>
  </si>
  <si>
    <t>-913.75435345235 53.9594021026601 -444.629026916506</t>
  </si>
  <si>
    <t>-901.613960708025 56.2680236775036 -568.597120729162</t>
  </si>
  <si>
    <t>-868.496632852867 62.9486479945053 -644.515728448015</t>
  </si>
  <si>
    <t>-908.041944704244 82.9368307365357 -513.635659359844</t>
  </si>
  <si>
    <t>-908.390296353767 218.97807383295 -494.072362932073</t>
  </si>
  <si>
    <t>-890.749946487917 252.992496306577 -202.313791715264</t>
  </si>
  <si>
    <t>-651.04148848092 256.912944791283 -178.325026375735</t>
  </si>
  <si>
    <t>-905.870416790136 27.5673841644675 -514.454154930703</t>
  </si>
  <si>
    <t>-882.173587548825 151.449817074703 -58.34140048273</t>
  </si>
  <si>
    <t>-818.766447542941 277.802142595737 319.639104318516</t>
  </si>
  <si>
    <t>-887.76668361045 359.697600157614 754.031857564032</t>
  </si>
  <si>
    <t>-748.164214297181 395.995813513247 819.460593053433</t>
  </si>
  <si>
    <t>-855.473121567526 13.521903277554 343.42445063782</t>
  </si>
  <si>
    <t>-837.160387243343 83.1117192897273 785.651898420474</t>
  </si>
  <si>
    <t>-739.965470229085 -20.0847960314118 856.298397579208</t>
  </si>
  <si>
    <t>9763-20170724T111055.581105800.bin</t>
  </si>
  <si>
    <t>-889.494069140575 70.3354335788072 -56.836616972303</t>
  </si>
  <si>
    <t>-921.087274194249 64.1975584134138 -168.103921938322</t>
  </si>
  <si>
    <t>-931.375377419002 62.8084645396416 -266.179858517518</t>
  </si>
  <si>
    <t>-934.40118267887 62.7666683031953 -355.225279644818</t>
  </si>
  <si>
    <t>-930.761455948629 63.8112253413715 -444.241539350688</t>
  </si>
  <si>
    <t>-918.674889076185 66.2506183633172 -568.212533128398</t>
  </si>
  <si>
    <t>-885.539164439237 73.1772868402777 -644.100891446664</t>
  </si>
  <si>
    <t>-925.37126592251 92.8489386411461 -513.248891935004</t>
  </si>
  <si>
    <t>-926.671203320306 228.889615633857 -493.649398576502</t>
  </si>
  <si>
    <t>-907.767364234867 263.509564754083 -202.041272730833</t>
  </si>
  <si>
    <t>-667.882016569438 266.564993612625 -179.755804956313</t>
  </si>
  <si>
    <t>-922.616157565914 37.5054717267803 -514.069231030782</t>
  </si>
  <si>
    <t>-908.596336920561 165.295522116178 -57.7299815831122</t>
  </si>
  <si>
    <t>-831.326857189315 297.886634854412 315.504028541215</t>
  </si>
  <si>
    <t>-924.390573155209 366.293654438448 748.539103520558</t>
  </si>
  <si>
    <t>-785.239951451983 401.93673079341 815.277418310105</t>
  </si>
  <si>
    <t>-863.529856348739 17.6955711995788 343.600968853925</t>
  </si>
  <si>
    <t>-837.267910383473 82.8841592232943 785.700346940607</t>
  </si>
  <si>
    <t>-739.786587253272 -20.0904599327787 856.275810822157</t>
  </si>
  <si>
    <t>9763-20170724T111055.617196200.bin</t>
  </si>
  <si>
    <t>-891.604106732198 73.1796700164355 -57.0995923983641</t>
  </si>
  <si>
    <t>-923.100179759741 67.1278718771086 -168.399211492292</t>
  </si>
  <si>
    <t>-933.319239820356 65.7664752750047 -266.482635283834</t>
  </si>
  <si>
    <t>-936.290417400058 65.7339578911274 -355.529825211357</t>
  </si>
  <si>
    <t>-932.605221164721 66.7760352149962 -444.544314307778</t>
  </si>
  <si>
    <t>-920.465061860953 69.2022941665405 -568.510384504751</t>
  </si>
  <si>
    <t>-887.287086233624 76.1927123849023 -644.374406869383</t>
  </si>
  <si>
    <t>-927.294257528645 95.8008867630097 -513.563124099987</t>
  </si>
  <si>
    <t>-928.854230023206 231.848976867978 -494.033898832504</t>
  </si>
  <si>
    <t>-908.267816398405 267.135897085086 -202.619608630013</t>
  </si>
  <si>
    <t>-668.328100436824 271.13888174656 -181.084684265923</t>
  </si>
  <si>
    <t>-924.320622002907 40.46828654716 -514.354832189881</t>
  </si>
  <si>
    <t>-910.817237627545 168.160823875268 -58.1981606665374</t>
  </si>
  <si>
    <t>-825.407653931207 300.834102306975 313.228374969438</t>
  </si>
  <si>
    <t>-926.459296743876 357.348172333342 745.791444086096</t>
  </si>
  <si>
    <t>-787.61169964257 392.894331965744 813.208963298101</t>
  </si>
  <si>
    <t>-864.070171069672 18.8084163475651 343.419245630471</t>
  </si>
  <si>
    <t>-837.370738710698 82.8462039527349 785.65148105875</t>
  </si>
  <si>
    <t>-739.816894376071 -20.0638399997529 856.220889093586</t>
  </si>
  <si>
    <t>9763-20170724T111055.664826300.bin</t>
  </si>
  <si>
    <t>-889.204800787138 75.8403642216417 -57.8074844846557</t>
  </si>
  <si>
    <t>-920.559175196996 69.9402360828185 -169.155221992629</t>
  </si>
  <si>
    <t>-930.715729616424 68.5528574011273 -267.244838490303</t>
  </si>
  <si>
    <t>-933.659687964651 68.4415454243522 -356.292888692883</t>
  </si>
  <si>
    <t>-929.978606834166 69.3542753376164 -445.309085769458</t>
  </si>
  <si>
    <t>-917.878468791208 71.5516061626822 -569.283074985657</t>
  </si>
  <si>
    <t>-884.686694454168 78.4474443090426 -645.14991348739</t>
  </si>
  <si>
    <t>-924.731851598008 98.2493284114994 -514.387117127344</t>
  </si>
  <si>
    <t>-926.339151813547 234.354301146814 -495.128991096428</t>
  </si>
  <si>
    <t>-901.606164959718 271.382133481091 -204.25372931098</t>
  </si>
  <si>
    <t>-661.468867833785 276.987293336014 -185.451463053854</t>
  </si>
  <si>
    <t>-921.674319582009 42.9198352944936 -515.069303772176</t>
  </si>
  <si>
    <t>-907.286590672201 170.513063135246 -59.1780183410151</t>
  </si>
  <si>
    <t>-812.392328440122 300.010410585025 311.065442895977</t>
  </si>
  <si>
    <t>-921.364864993065 335.843647334187 743.816985767796</t>
  </si>
  <si>
    <t>-782.920654535453 372.349725325388 811.550508284364</t>
  </si>
  <si>
    <t>-861.451314175966 19.3220261995284 342.979138657589</t>
  </si>
  <si>
    <t>-837.379705148484 82.9871344201329 785.524859338557</t>
  </si>
  <si>
    <t>-739.98622526299 -20.0456585109937 856.13645679636</t>
  </si>
  <si>
    <t>9763-20170724T111055.717968200.bin</t>
  </si>
  <si>
    <t>-883.958913869755 77.7138363827712 -58.6003293102607</t>
  </si>
  <si>
    <t>-915.061202440474 71.9421218246798 -170.025438191023</t>
  </si>
  <si>
    <t>-925.090375719048 70.4722466716848 -268.127021910966</t>
  </si>
  <si>
    <t>-927.959203224444 70.2115967286695 -357.177228412489</t>
  </si>
  <si>
    <t>-924.246144934375 70.8986735048125 -446.194043587271</t>
  </si>
  <si>
    <t>-912.14798431363 72.7016213029565 -570.174586042575</t>
  </si>
  <si>
    <t>-878.900667732098 79.3200306560948 -646.041846469377</t>
  </si>
  <si>
    <t>-918.865296670529 99.5810948879262 -515.35049870809</t>
  </si>
  <si>
    <t>-919.680483501491 235.766012502521 -496.558067267786</t>
  </si>
  <si>
    <t>-889.551784916053 275.358172421876 -206.530556502944</t>
  </si>
  <si>
    <t>-649.214674050955 282.004387216585 -190.887546897852</t>
  </si>
  <si>
    <t>-916.078213114753 44.2356086517648 -515.883313903049</t>
  </si>
  <si>
    <t>-901.054209360375 172.145197205523 -60.0564396401356</t>
  </si>
  <si>
    <t>-800.650815248564 296.01930207097 310.657723428183</t>
  </si>
  <si>
    <t>-913.183367647437 308.410467239016 743.94714502223</t>
  </si>
  <si>
    <t>-775.029507260599 346.150864627957 811.596592796201</t>
  </si>
  <si>
    <t>-856.598484153771 19.1941389931535 342.539066059573</t>
  </si>
  <si>
    <t>-837.236179085445 83.2615627697369 785.352774374074</t>
  </si>
  <si>
    <t>-740.356218144176 -20.1922297102228 856.055719596653</t>
  </si>
  <si>
    <t>9763-20170724T111055.781926300.bin</t>
  </si>
  <si>
    <t>-876.559001339838 80.094445386891 -59.3797165453631</t>
  </si>
  <si>
    <t>-907.321625492068 74.5434366472 -170.910296854501</t>
  </si>
  <si>
    <t>-917.154083146264 72.9844040988182 -269.030262066868</t>
  </si>
  <si>
    <t>-919.889265863844 72.521598248547 -358.08399099294</t>
  </si>
  <si>
    <t>-916.087993634888 72.8740899735326 -447.098897332775</t>
  </si>
  <si>
    <t>-903.916720282152 74.06372899198 -571.079851330528</t>
  </si>
  <si>
    <t>-870.551761628847 80.1654214289379 -646.938730444978</t>
  </si>
  <si>
    <t>-910.317741591762 101.229109683303 -516.358955879118</t>
  </si>
  <si>
    <t>-909.332741944766 237.476157653992 -498.215092273099</t>
  </si>
  <si>
    <t>-869.29140542755 281.992127052245 -210.107133015312</t>
  </si>
  <si>
    <t>-628.667215116604 289.176687704231 -200.144162363292</t>
  </si>
  <si>
    <t>-908.227752274011 45.8513749734484 -516.68506441624</t>
  </si>
  <si>
    <t>-893.051220847996 174.645654573714 -60.7070991579391</t>
  </si>
  <si>
    <t>-789.71167236115 289.364519975022 312.140290666987</t>
  </si>
  <si>
    <t>-899.353873894793 268.470457908063 745.896736418396</t>
  </si>
  <si>
    <t>-761.934547393744 308.823959894223 813.534011024401</t>
  </si>
  <si>
    <t>-849.40069528941 18.8085650904632 342.055418045739</t>
  </si>
  <si>
    <t>-836.869809680974 83.7641058134886 785.098637572159</t>
  </si>
  <si>
    <t>-740.686233733719 -20.252171976359 855.927164745391</t>
  </si>
  <si>
    <t>9763-20170724T111055.815008500.bin</t>
  </si>
  <si>
    <t>-873.167419562823 81.6974716388841 -59.5908144747337</t>
  </si>
  <si>
    <t>-903.755834789939 76.2991342050855 -171.176843781182</t>
  </si>
  <si>
    <t>-913.482006437069 74.7286937263411 -269.307330904393</t>
  </si>
  <si>
    <t>-916.141024068474 74.1908208421364 -358.36286612474</t>
  </si>
  <si>
    <t>-912.285311263899 74.3968685979148 -447.375855370731</t>
  </si>
  <si>
    <t>-900.061601325972 75.3014992858239 -571.354005393097</t>
  </si>
  <si>
    <t>-866.648651471389 81.1456832771096 -647.212184887308</t>
  </si>
  <si>
    <t>-906.297307358083 102.598836432834 -516.679617430699</t>
  </si>
  <si>
    <t>-904.327345259555 238.871360766936 -498.761884119189</t>
  </si>
  <si>
    <t>-857.728959864615 285.875221015453 -212.038278111911</t>
  </si>
  <si>
    <t>-616.983961332858 292.8848970668 -205.430598466209</t>
  </si>
  <si>
    <t>-904.583976431771 47.2078319311881 -516.91502215335</t>
  </si>
  <si>
    <t>-889.29005559905 176.267120034032 -60.8572752463519</t>
  </si>
  <si>
    <t>-786.381328638036 286.640167858745 313.418292483696</t>
  </si>
  <si>
    <t>-894.261214846237 251.714455896045 746.807309574092</t>
  </si>
  <si>
    <t>-757.585201661268 294.47418213222 814.47216600686</t>
  </si>
  <si>
    <t>-845.591964529466 18.7557612208989 341.91134141132</t>
  </si>
  <si>
    <t>-836.655692751044 84.060594541817 785.021720006663</t>
  </si>
  <si>
    <t>-740.889598257586 -20.3076337077782 855.89763309005</t>
  </si>
  <si>
    <t>9763-20170724T111055.883206400.bin</t>
  </si>
  <si>
    <t>-865.999424429615 84.1634561165188 -59.7315891947021</t>
  </si>
  <si>
    <t>-896.371220118872 79.0608521237214 -171.390748732909</t>
  </si>
  <si>
    <t>-905.971663533013 77.534445075592 -269.5341571158</t>
  </si>
  <si>
    <t>-908.544628104915 76.9370842985782 -358.591857918401</t>
  </si>
  <si>
    <t>-904.631968012356 76.9700628345008 -447.602734223706</t>
  </si>
  <si>
    <t>-892.361236796409 77.5034554067438 -571.57835179165</t>
  </si>
  <si>
    <t>-858.86737692602 82.9675447370191 -647.429102084457</t>
  </si>
  <si>
    <t>-898.255564547848 104.973340422246 -516.952482712879</t>
  </si>
  <si>
    <t>-894.327820176193 241.236737312478 -499.268491812646</t>
  </si>
  <si>
    <t>-833.481143816946 291.47907792764 -215.782065201437</t>
  </si>
  <si>
    <t>-592.619200017278 297.255222188978 -214.019110583667</t>
  </si>
  <si>
    <t>-897.266348758254 49.5642409646534 -517.093110966502</t>
  </si>
  <si>
    <t>-882.1214170281 178.903472215245 -60.8664882332372</t>
  </si>
  <si>
    <t>-781.192862945819 280.241755909043 316.490913992999</t>
  </si>
  <si>
    <t>-883.928020952831 232.438242541371 749.883551216172</t>
  </si>
  <si>
    <t>-749.412159059604 281.311737770061 817.737449781192</t>
  </si>
  <si>
    <t>-836.570981021524 17.6373257734981 341.871273858463</t>
  </si>
  <si>
    <t>-836.251786379201 84.526466937843 784.826539188389</t>
  </si>
  <si>
    <t>-740.953779165838 -20.2015862589155 855.803055613694</t>
  </si>
  <si>
    <t>9763-20170724T111055.916295700.bin</t>
  </si>
  <si>
    <t>-861.828827614528 84.628269939838 -59.7104660874838</t>
  </si>
  <si>
    <t>-892.15947024217 79.6159103185623 -171.384812799146</t>
  </si>
  <si>
    <t>-901.752080297111 78.1415682680195 -269.530010282682</t>
  </si>
  <si>
    <t>-904.329161594231 77.5743110425988 -358.587691224963</t>
  </si>
  <si>
    <t>-900.431348396242 77.6136512387661 -447.599059313258</t>
  </si>
  <si>
    <t>-888.192475344784 78.1265361488795 -571.578072468304</t>
  </si>
  <si>
    <t>-854.663701116244 83.487634500591 -647.420808554721</t>
  </si>
  <si>
    <t>-893.904051431194 105.607946467223 -516.938710652199</t>
  </si>
  <si>
    <t>-888.988918127131 241.821802780325 -499.108161506353</t>
  </si>
  <si>
    <t>-821.377613840411 292.627098250498 -217.259339960255</t>
  </si>
  <si>
    <t>-580.488766978393 297.45645889501 -217.424590167038</t>
  </si>
  <si>
    <t>-893.252181648799 50.1938321993448 -517.103472220051</t>
  </si>
  <si>
    <t>-877.464599683358 179.216003463682 -61.0677503758523</t>
  </si>
  <si>
    <t>-780.127426520826 275.431652654076 318.567183821732</t>
  </si>
  <si>
    <t>-879.154273799897 229.827699577513 753.115125963282</t>
  </si>
  <si>
    <t>-745.21881106849 281.343074444692 820.157963872291</t>
  </si>
  <si>
    <t>-830.432871170861 16.3608900060294 341.999821115292</t>
  </si>
  <si>
    <t>-835.973515206896 84.8148401779595 784.663830483592</t>
  </si>
  <si>
    <t>-740.917914953812 -20.0802324588126 855.718542076076</t>
  </si>
  <si>
    <t>9763-20170724T111055.981475600.bin</t>
  </si>
  <si>
    <t>-855.630026364942 85.9705876373851 -59.6984299015425</t>
  </si>
  <si>
    <t>-886.21961289358 80.5927182025871 -171.285101220525</t>
  </si>
  <si>
    <t>-895.965411564167 79.0860904253095 -269.414627618239</t>
  </si>
  <si>
    <t>-898.643454131204 78.5936679578576 -358.469874518114</t>
  </si>
  <si>
    <t>-894.804674001338 78.8000176832561 -447.483623459001</t>
  </si>
  <si>
    <t>-882.602037776786 79.6345011727867 -571.464456274564</t>
  </si>
  <si>
    <t>-848.988656510499 84.9731520119162 -647.271113682124</t>
  </si>
  <si>
    <t>-887.989649246631 106.975723849274 -516.721929621798</t>
  </si>
  <si>
    <t>-881.495158392347 243.071764087842 -498.448735115865</t>
  </si>
  <si>
    <t>-803.960528203061 291.718634016438 -218.782643585929</t>
  </si>
  <si>
    <t>-563.073450800893 296.509994803597 -219.912746364436</t>
  </si>
  <si>
    <t>-887.95374399228 51.5588440630008 -517.091379857257</t>
  </si>
  <si>
    <t>-873.196960444382 183.023153434793 -61.4411579301135</t>
  </si>
  <si>
    <t>-781.386928132665 267.566296788481 322.327031406183</t>
  </si>
  <si>
    <t>-880.035587449295 225.901502772809 757.295059583928</t>
  </si>
  <si>
    <t>-744.6107441546 277.062725604426 821.559608871831</t>
  </si>
  <si>
    <t>-814.113167545137 12.0527266062563 342.8665166446</t>
  </si>
  <si>
    <t>-835.693686941597 85.0132272541805 784.152955475433</t>
  </si>
  <si>
    <t>-740.42219478219 -19.5579033273189 855.395646759954</t>
  </si>
  <si>
    <t>9763-20170724T111056.015565900.bin</t>
  </si>
  <si>
    <t>-854.856132614313 86.1144151290928 -58.9269856849974</t>
  </si>
  <si>
    <t>-885.470765353476 80.5540440462073 -170.497818980171</t>
  </si>
  <si>
    <t>-895.170504809882 79.0183289299216 -268.631543606145</t>
  </si>
  <si>
    <t>-897.776762924521 78.5498012535559 -357.688904707843</t>
  </si>
  <si>
    <t>-893.834144124793 78.8260302372237 -446.697969080751</t>
  </si>
  <si>
    <t>-881.451677577921 79.803416373722 -570.659739428305</t>
  </si>
  <si>
    <t>-847.740964169868 85.175311440511 -646.421126057495</t>
  </si>
  <si>
    <t>-886.764338405671 107.081014405161 -515.878203098666</t>
  </si>
  <si>
    <t>-879.665614787395 243.154941964861 -497.511220598173</t>
  </si>
  <si>
    <t>-800.897726561538 289.431523747253 -217.787594794799</t>
  </si>
  <si>
    <t>-560.016606776938 294.580330698968 -218.626627246478</t>
  </si>
  <si>
    <t>-887.036991888254 51.665595471633 -516.342471711519</t>
  </si>
  <si>
    <t>-872.564213262024 185.276493168231 -61.5366649381634</t>
  </si>
  <si>
    <t>-785.53861251218 263.016742210224 324.776318000221</t>
  </si>
  <si>
    <t>-880.533870756191 225.50455090271 760.280785706745</t>
  </si>
  <si>
    <t>-744.662669699165 277.111773404005 823.232599617685</t>
  </si>
  <si>
    <t>-802.908110334566 7.77364177890377 344.019106679669</t>
  </si>
  <si>
    <t>-835.599664300962 85.147050278641 783.652012389524</t>
  </si>
  <si>
    <t>-740.218795338527 -19.2008767427446 855.075214589993</t>
  </si>
  <si>
    <t>9763-20170724T111056.082295500.bin</t>
  </si>
  <si>
    <t>-855.044116046375 76.9679955069128 -52.9294490260936</t>
  </si>
  <si>
    <t>-884.580936760683 71.0296421267276 -164.770879419055</t>
  </si>
  <si>
    <t>-893.359087233665 69.2605506971854 -262.987434930883</t>
  </si>
  <si>
    <t>-895.137029666555 68.6266904367317 -352.064205149237</t>
  </si>
  <si>
    <t>-890.373717086601 68.7797454797683 -441.033572728225</t>
  </si>
  <si>
    <t>-876.853959921653 69.6298905592407 -564.877417426274</t>
  </si>
  <si>
    <t>-842.64625200964 74.9368135482009 -640.419996337693</t>
  </si>
  <si>
    <t>-882.322089582031 96.9594972523478 -510.137047486567</t>
  </si>
  <si>
    <t>-874.155746593557 233.075338035186 -491.98079106072</t>
  </si>
  <si>
    <t>-802.012833751682 273.724549316356 -209.608273082947</t>
  </si>
  <si>
    <t>-561.199597756678 281.283098393384 -207.942599170388</t>
  </si>
  <si>
    <t>-883.284694631416 41.5518958785901 -510.622483174208</t>
  </si>
  <si>
    <t>-869.774253134461 186.479873135965 -57.8775637320971</t>
  </si>
  <si>
    <t>-792.837852119352 251.188256579478 332.952726826582</t>
  </si>
  <si>
    <t>-880.829556184457 223.944868927441 768.11882984132</t>
  </si>
  <si>
    <t>-744.619465844569 276.796724903787 829.280872213067</t>
  </si>
  <si>
    <t>-773.92817725237 -7.94162954106423 348.447870613364</t>
  </si>
  <si>
    <t>-834.629739036061 84.7234424701201 780.225273815849</t>
  </si>
  <si>
    <t>-738.729062824565 -17.3201002843543 854.235088751399</t>
  </si>
  <si>
    <t>9763-20170724T111056.116387300.bin</t>
  </si>
  <si>
    <t>-854.229249016306 65.4589722416895 -48.3447845199023</t>
  </si>
  <si>
    <t>-882.850425950935 59.0757030055656 -160.399661541937</t>
  </si>
  <si>
    <t>-890.735498739737 57.1185684096795 -258.688162061939</t>
  </si>
  <si>
    <t>-891.662282681244 56.3886104529415 -347.777299627125</t>
  </si>
  <si>
    <t>-886.005310427778 56.5133686129561 -436.694119911299</t>
  </si>
  <si>
    <t>-871.193660446096 57.3909317646689 -560.389996561844</t>
  </si>
  <si>
    <t>-836.494506317517 62.749036594676 -635.70455788536</t>
  </si>
  <si>
    <t>-877.073188548667 84.7051129133406 -505.684602501694</t>
  </si>
  <si>
    <t>-868.261776819361 220.705089702204 -487.408649177636</t>
  </si>
  <si>
    <t>-803.501420600339 258.278552277488 -202.829188145169</t>
  </si>
  <si>
    <t>-562.77403715037 268.000975890994 -200.235767826598</t>
  </si>
  <si>
    <t>-878.350055180556 29.3044211360643 -506.230457405367</t>
  </si>
  <si>
    <t>-866.825184279703 183.515586539231 -53.9319220060793</t>
  </si>
  <si>
    <t>-792.676629152893 245.038060995583 337.95020766948</t>
  </si>
  <si>
    <t>-880.758960064314 222.759444557903 771.917652778014</t>
  </si>
  <si>
    <t>-744.87333460279 277.020567371495 832.564964826592</t>
  </si>
  <si>
    <t>-759.171451416034 -16.2424210920635 348.715418456279</t>
  </si>
  <si>
    <t>-833.319501375855 82.8461801492595 775.225994316393</t>
  </si>
  <si>
    <t>-737.278047156689 -14.9064433498033 854.647259622897</t>
  </si>
  <si>
    <t>9763-20170724T111056.185176200.bin</t>
  </si>
  <si>
    <t>-855.150750374602 44.7613042610406 -38.1359374659131</t>
  </si>
  <si>
    <t>-882.029629070616 38.7129366656627 -150.640098157827</t>
  </si>
  <si>
    <t>-888.036977594992 37.2059362869204 -249.069222710383</t>
  </si>
  <si>
    <t>-887.118179642043 36.9304402241069 -338.160757380756</t>
  </si>
  <si>
    <t>-879.473059191075 37.5478194000889 -426.926930250393</t>
  </si>
  <si>
    <t>-861.743314437903 39.1429340031159 -550.231083403869</t>
  </si>
  <si>
    <t>-825.655711311228 45.0591895319349 -624.848185998312</t>
  </si>
  <si>
    <t>-868.934392987951 66.1396842930549 -495.524771414978</t>
  </si>
  <si>
    <t>-860.475583437418 202.128353861844 -476.786594598401</t>
  </si>
  <si>
    <t>-812.287465793133 232.910758948158 -188.13185978905</t>
  </si>
  <si>
    <t>-571.858057363542 246.280752331854 -180.021419986899</t>
  </si>
  <si>
    <t>-870.156161968987 10.7422989217666 -496.417183151877</t>
  </si>
  <si>
    <t>-871.368953338922 173.398557705984 -45.1763120852429</t>
  </si>
  <si>
    <t>-796.869066240382 227.936839103693 347.67233018527</t>
  </si>
  <si>
    <t>-880.429847480457 219.560535014436 781.485113210952</t>
  </si>
  <si>
    <t>-743.810708383616 272.775741277121 841.406804428505</t>
  </si>
  <si>
    <t>-713.054703122895 -50.800784674921 347.987400839169</t>
  </si>
  <si>
    <t>-830.748268182017 67.2594733711171 754.952512069278</t>
  </si>
  <si>
    <t>-736.489723844741 -11.6476261493835 854.833920430331</t>
  </si>
  <si>
    <t>9763-20170724T111056.212247700.bin</t>
  </si>
  <si>
    <t>-856.529522647434 31.7566697961902 -34.7191800542129</t>
  </si>
  <si>
    <t>-882.775918926016 25.794180961806 -147.377110857315</t>
  </si>
  <si>
    <t>-888.122534864125 24.5015157703997 -245.847445549674</t>
  </si>
  <si>
    <t>-886.560786766691 24.4796965137998 -334.930496228342</t>
  </si>
  <si>
    <t>-878.229902779099 25.41471759462 -423.632106960375</t>
  </si>
  <si>
    <t>-859.498791685281 27.523396608542 -546.780478124965</t>
  </si>
  <si>
    <t>-822.637275760451 33.8123245974416 -620.98763749449</t>
  </si>
  <si>
    <t>-867.298802507726 54.295754074672 -492.047288429577</t>
  </si>
  <si>
    <t>-859.851768218123 190.26136249937 -472.699431983586</t>
  </si>
  <si>
    <t>-819.184660042762 218.298840672549 -182.610855805725</t>
  </si>
  <si>
    <t>-578.935151048324 232.723980213535 -171.524617204123</t>
  </si>
  <si>
    <t>-875.390975139651 167.210776300878 -42.2769417321703</t>
  </si>
  <si>
    <t>-802.302432557119 217.997090730001 351.33897190674</t>
  </si>
  <si>
    <t>-880.038241484713 217.851378391673 786.351764427504</t>
  </si>
  <si>
    <t>-742.951160242293 270.016675954505 846.127572737521</t>
  </si>
  <si>
    <t>-693.520562429629 -68.3511127905738 344.165704113169</t>
  </si>
  <si>
    <t>-828.30212984936 54.3755113093825 741.132532745806</t>
  </si>
  <si>
    <t>-736.821073464161 -10.3743486053886 853.052005332057</t>
  </si>
  <si>
    <t>9763-20170724T111056.283447800.bin</t>
  </si>
  <si>
    <t>-861.244993553464 79.4995842679405 -38.3670354985896</t>
  </si>
  <si>
    <t>-886.654187685486 73.3638856901052 -151.207483300625</t>
  </si>
  <si>
    <t>-891.258966761583 72.6021921438196 -249.720672686348</t>
  </si>
  <si>
    <t>-889.006957014776 73.3228087781513 -338.786098545521</t>
  </si>
  <si>
    <t>-879.962845240371 75.2672993356678 -427.40140914937</t>
  </si>
  <si>
    <t>-860.20751438079 79.0642422167107 -550.348943376456</t>
  </si>
  <si>
    <t>-821.685187661168 86.5338537511611 -623.596965775188</t>
  </si>
  <si>
    <t>-869.025100603414 105.089519892706 -495.410454574611</t>
  </si>
  <si>
    <t>-864.865014225165 240.800242821374 -474.849710874032</t>
  </si>
  <si>
    <t>-835.219339048354 265.630833247288 -183.137743406132</t>
  </si>
  <si>
    <t>-595.365132622158 281.92078264868 -167.152717585518</t>
  </si>
  <si>
    <t>-868.776681949091 49.6973544104735 -497.081221452524</t>
  </si>
  <si>
    <t>-877.025627621917 190.050753529978 -43.5152491332001</t>
  </si>
  <si>
    <t>-808.50251523932 238.224838981041 351.248507042178</t>
  </si>
  <si>
    <t>-879.723890843665 216.241610183648 788.786298698999</t>
  </si>
  <si>
    <t>-742.862212814096 268.715086182394 848.808357059328</t>
  </si>
  <si>
    <t>-680.645179003782 23.0279631607027 327.834351678107</t>
  </si>
  <si>
    <t>-835.457493054965 182.673325045797 717.704374743038</t>
  </si>
  <si>
    <t>-750.051656570177 126.695381556676 838.781348960286</t>
  </si>
  <si>
    <t>9763-20170724T111056.316527500.bin</t>
  </si>
  <si>
    <t>-862.011363879183 109.426698648654 -42.1842026509122</t>
  </si>
  <si>
    <t>-887.2383120813 103.323102607486 -155.067173716344</t>
  </si>
  <si>
    <t>-891.701576961128 103.001330552324 -253.589449629318</t>
  </si>
  <si>
    <t>-889.317544844331 104.269841715689 -342.645251048339</t>
  </si>
  <si>
    <t>-880.132953742977 106.910999552851 -431.228106916027</t>
  </si>
  <si>
    <t>-860.169619126086 111.832129670472 -554.102222872383</t>
  </si>
  <si>
    <t>-820.934833914751 120.136672149194 -626.880651436563</t>
  </si>
  <si>
    <t>-869.441518927702 137.352273250709 -499.001739423036</t>
  </si>
  <si>
    <t>-867.419740905744 273.075528242347 -477.729897848117</t>
  </si>
  <si>
    <t>-841.286504036237 295.870317527906 -185.5164648314</t>
  </si>
  <si>
    <t>-601.678857093592 314.166352291835 -168.071900670327</t>
  </si>
  <si>
    <t>-868.467462302645 81.9809119326073 -501.061003444214</t>
  </si>
  <si>
    <t>-736.132544566997 9.48962571925449 -268.056443256377</t>
  </si>
  <si>
    <t>-878.106767135914 205.123557683779 -45.6096055678642</t>
  </si>
  <si>
    <t>-811.428616840476 252.647648573078 349.548796984057</t>
  </si>
  <si>
    <t>-879.570201034629 216.266010010618 788.885744537694</t>
  </si>
  <si>
    <t>-742.954957416025 268.921538595094 849.30926838722</t>
  </si>
  <si>
    <t>-846.727147287744 22.6520883549128 -42.8551313589909</t>
  </si>
  <si>
    <t>-680.801220313607 62.3196453402034 322.862924528694</t>
  </si>
  <si>
    <t>-830.258073954605 190.226126374437 724.862397398118</t>
  </si>
  <si>
    <t>-745.613243061882 128.196500848206 843.499926036799</t>
  </si>
  <si>
    <t>9763-20170724T111056.381288500.bin</t>
  </si>
  <si>
    <t>-855.93310882184 125.821427560651 -47.7973927907838</t>
  </si>
  <si>
    <t>-880.912011136086 118.926844774461 -160.689942445767</t>
  </si>
  <si>
    <t>-885.408713210126 119.24664266944 -259.210706385191</t>
  </si>
  <si>
    <t>-883.114880493442 121.578814936655 -348.24741418835</t>
  </si>
  <si>
    <t>-874.06264200466 125.763071762929 -436.784386746943</t>
  </si>
  <si>
    <t>-854.311174077691 133.322780207182 -559.55875464248</t>
  </si>
  <si>
    <t>-814.517742302779 143.603951758473 -631.779267859098</t>
  </si>
  <si>
    <t>-864.396345727273 157.630468880809 -504.054482083756</t>
  </si>
  <si>
    <t>-867.042576462412 293.167207317278 -480.925943099193</t>
  </si>
  <si>
    <t>-845.23127019816 310.341717520076 -187.97453887505</t>
  </si>
  <si>
    <t>-606.189672044224 333.792807017833 -168.998814286643</t>
  </si>
  <si>
    <t>-861.609668841475 102.361478735031 -507.009192721695</t>
  </si>
  <si>
    <t>-732.315132434251 29.1545633991927 -269.951944467471</t>
  </si>
  <si>
    <t>-875.303028863099 212.657810983839 -50.0779180876532</t>
  </si>
  <si>
    <t>-814.909999020478 259.56690219915 346.16299179085</t>
  </si>
  <si>
    <t>-879.07721169812 216.568961792274 787.581038182647</t>
  </si>
  <si>
    <t>-742.937000866474 269.773731321938 848.591986701706</t>
  </si>
  <si>
    <t>-837.241213195192 35.0284977442739 -46.7477279687845</t>
  </si>
  <si>
    <t>-675.032902496866 61.9718984969918 321.786179251356</t>
  </si>
  <si>
    <t>-801.64499064436 102.922509430986 749.851670028031</t>
  </si>
  <si>
    <t>-711.880888093486 23.1442325775943 853.123762525363</t>
  </si>
  <si>
    <t>9763-20170724T111056.414376000.bin</t>
  </si>
  <si>
    <t>-849.57933324486 122.494184109769 -49.2355036462408</t>
  </si>
  <si>
    <t>-874.660770490742 114.546174520563 -162.036075071941</t>
  </si>
  <si>
    <t>-879.535230048229 114.919507433983 -260.538714897906</t>
  </si>
  <si>
    <t>-877.668042427613 117.662261225112 -349.57371457478</t>
  </si>
  <si>
    <t>-869.111433025861 122.620087399584 -438.119950571357</t>
  </si>
  <si>
    <t>-850.109753416245 131.633085992969 -560.914471144982</t>
  </si>
  <si>
    <t>-810.53142437935 143.016069023471 -633.088021416702</t>
  </si>
  <si>
    <t>-860.440728143999 155.25236144657 -505.158768789722</t>
  </si>
  <si>
    <t>-865.700531585683 290.479352669702 -480.79933505141</t>
  </si>
  <si>
    <t>-844.428283237603 304.664034767535 -187.648220550782</t>
  </si>
  <si>
    <t>-605.85640784519 332.371630055034 -168.501580223166</t>
  </si>
  <si>
    <t>-856.501873970881 100.081436722501 -508.598673506702</t>
  </si>
  <si>
    <t>-727.151929892443 26.234685850291 -270.966807837327</t>
  </si>
  <si>
    <t>-871.609942319141 210.366621769876 -51.8827042655161</t>
  </si>
  <si>
    <t>-815.963340196954 257.300573568601 345.049684904068</t>
  </si>
  <si>
    <t>-878.902384450415 216.773048137487 786.964043084593</t>
  </si>
  <si>
    <t>-743.033674465362 270.408098451835 848.203264539782</t>
  </si>
  <si>
    <t>-827.762532456043 29.2074466197064 -47.7122545882278</t>
  </si>
  <si>
    <t>-668.157799377093 53.606918491218 322.133191652652</t>
  </si>
  <si>
    <t>-771.439541424371 53.6684823424253 758.810084639551</t>
  </si>
  <si>
    <t>-673.505205801365 -28.5926219597427 852.240652226501</t>
  </si>
  <si>
    <t>9763-20170724T111056.484671000.bin</t>
  </si>
  <si>
    <t>-834.910086395239 112.856529210782 -51.6664943547905</t>
  </si>
  <si>
    <t>-860.04658837604 102.404649480516 -164.250434976216</t>
  </si>
  <si>
    <t>-866.007038262523 102.583956411285 -262.693774370608</t>
  </si>
  <si>
    <t>-865.476809403255 105.920999399437 -351.726499689971</t>
  </si>
  <si>
    <t>-858.578313949194 112.264636937 -440.329145171914</t>
  </si>
  <si>
    <t>-842.195446978 124.044424783729 -563.266723013874</t>
  </si>
  <si>
    <t>-803.681901392872 137.724100965557 -635.61711469515</t>
  </si>
  <si>
    <t>-852.713490230402 146.284412761675 -506.981110488464</t>
  </si>
  <si>
    <t>-864.058150463549 280.541124674673 -479.627863549462</t>
  </si>
  <si>
    <t>-839.525867591362 289.592712004401 -186.52815368788</t>
  </si>
  <si>
    <t>-602.350090565502 327.607465294963 -167.730479337651</t>
  </si>
  <si>
    <t>-846.096278507472 91.4368970985834 -511.354674653895</t>
  </si>
  <si>
    <t>-712.421750906583 17.1322265668855 -275.509621657496</t>
  </si>
  <si>
    <t>-864.017708262587 203.426522049166 -54.8650413862774</t>
  </si>
  <si>
    <t>-816.275525626479 249.955827989213 343.142960725347</t>
  </si>
  <si>
    <t>-878.564139042953 217.183685723869 785.839712968684</t>
  </si>
  <si>
    <t>-743.074633913291 271.271467531434 847.519636968339</t>
  </si>
  <si>
    <t>-803.08592794433 20.3266129071503 -52.6187834637741</t>
  </si>
  <si>
    <t>-672.594196255584 49.7186243015572 328.120942675153</t>
  </si>
  <si>
    <t>-732.50145661539 -4.41044082498775 769.303025007582</t>
  </si>
  <si>
    <t>-617.912105186338 -76.0391439929233 851.922278807452</t>
  </si>
  <si>
    <t>9763-20170724T111056.515752800.bin</t>
  </si>
  <si>
    <t>-829.388474453135 109.512693186755 -53.294987285819</t>
  </si>
  <si>
    <t>-854.522822923721 98.0458172304516 -165.78048853164</t>
  </si>
  <si>
    <t>-861.059695086115 98.1463909206741 -264.18734687524</t>
  </si>
  <si>
    <t>-861.257806346122 101.731839314985 -353.211804795743</t>
  </si>
  <si>
    <t>-855.283311564361 108.659051154649 -441.837829153419</t>
  </si>
  <si>
    <t>-840.380925578952 121.611599313374 -564.845773573495</t>
  </si>
  <si>
    <t>-802.503054400921 136.477748741859 -637.297608041844</t>
  </si>
  <si>
    <t>-850.922204916655 143.228300959643 -508.322252343871</t>
  </si>
  <si>
    <t>-865.313638447675 276.841519915368 -479.626000377638</t>
  </si>
  <si>
    <t>-838.791954721209 284.312949212654 -186.654974896076</t>
  </si>
  <si>
    <t>-602.61241980714 327.971119993815 -167.570744104554</t>
  </si>
  <si>
    <t>-842.955522711381 88.5952224593138 -513.109739283606</t>
  </si>
  <si>
    <t>-704.501390456183 13.9342169773672 -278.376866898834</t>
  </si>
  <si>
    <t>-861.372575545009 200.13734481979 -56.4784179872998</t>
  </si>
  <si>
    <t>-817.601784992338 246.03074674463 342.059585283063</t>
  </si>
  <si>
    <t>-878.433572475776 217.387867042141 785.386266710352</t>
  </si>
  <si>
    <t>-743.003217229587 271.378746511841 847.280665928869</t>
  </si>
  <si>
    <t>-797.238583889836 19.5667376210972 -53.7082057693679</t>
  </si>
  <si>
    <t>-684.500928369479 48.6810114733203 332.681722667683</t>
  </si>
  <si>
    <t>-737.422968172607 -10.9213312650063 773.984665978188</t>
  </si>
  <si>
    <t>-617.48367290413 -77.9044875066304 852.820413787984</t>
  </si>
  <si>
    <t>9763-20170724T111056.585944100.bin</t>
  </si>
  <si>
    <t>-822.686850519438 104.851855843806 -56.2155251127908</t>
  </si>
  <si>
    <t>-847.861389566136 92.2040185091978 -168.56547197097</t>
  </si>
  <si>
    <t>-855.408100309467 92.3382761065664 -266.899990192385</t>
  </si>
  <si>
    <t>-856.878858999203 96.377979780731 -355.893022930619</t>
  </si>
  <si>
    <t>-852.521363335552 104.212116086796 -444.537711982157</t>
  </si>
  <si>
    <t>-840.219337217156 118.917618340712 -567.636140295131</t>
  </si>
  <si>
    <t>-803.628402619595 135.952378334679 -640.272009625733</t>
  </si>
  <si>
    <t>-850.746477070797 139.542943119516 -510.740572955436</t>
  </si>
  <si>
    <t>-870.350692903525 272.16496554793 -480.469913735205</t>
  </si>
  <si>
    <t>-842.0932605198 276.549187568898 -187.598657822445</t>
  </si>
  <si>
    <t>-608.640335899893 332.189258229512 -166.271699356847</t>
  </si>
  <si>
    <t>-840.519213625917 85.3501561296107 -516.192538860901</t>
  </si>
  <si>
    <t>-691.126907239974 10.2300266889793 -284.148808274049</t>
  </si>
  <si>
    <t>-857.082348868881 193.925353314316 -59.3776279850675</t>
  </si>
  <si>
    <t>-823.873705997963 237.622376409514 340.425317154865</t>
  </si>
  <si>
    <t>-878.270213139745 217.585946649198 784.865349360892</t>
  </si>
  <si>
    <t>-743.258669560753 272.331552700223 847.01161861388</t>
  </si>
  <si>
    <t>-792.857915982194 16.5593462072811 -54.0414470986922</t>
  </si>
  <si>
    <t>-696.170189453874 32.4152028644339 337.436187939518</t>
  </si>
  <si>
    <t>-736.841146248469 -27.360083898222 779.38466823903</t>
  </si>
  <si>
    <t>-614.331355912829 -95.3745736664728 853.226926576289</t>
  </si>
  <si>
    <t>9763-20170724T111056.615021600.bin</t>
  </si>
  <si>
    <t>-818.933108730389 103.435600460109 -57.5014276340444</t>
  </si>
  <si>
    <t>-844.165961024918 90.3368801787169 -169.786525024936</t>
  </si>
  <si>
    <t>-852.208428329744 90.4176413782538 -268.081887884436</t>
  </si>
  <si>
    <t>-854.290252984096 94.537671866065 -357.059072672475</t>
  </si>
  <si>
    <t>-850.698113881982 102.58886756824 -445.718604972513</t>
  </si>
  <si>
    <t>-839.618443465983 117.744134923295 -568.878525131299</t>
  </si>
  <si>
    <t>-803.638764406787 135.569767093842 -641.629758706171</t>
  </si>
  <si>
    <t>-850.04771051374 138.074746087993 -511.859079021703</t>
  </si>
  <si>
    <t>-871.728400161785 270.325456996822 -481.279052450147</t>
  </si>
  <si>
    <t>-842.929928510566 273.710729983651 -188.44740008932</t>
  </si>
  <si>
    <t>-610.967429561933 334.679514859928 -165.488339527912</t>
  </si>
  <si>
    <t>-838.940664595003 84.0754343113408 -517.504734463215</t>
  </si>
  <si>
    <t>-684.546528567989 9.42177051336557 -287.52411461128</t>
  </si>
  <si>
    <t>-853.866735089296 191.602613880153 -60.7840601084939</t>
  </si>
  <si>
    <t>-828.645775825774 233.278649583926 339.817545428885</t>
  </si>
  <si>
    <t>-878.100065482988 217.566379766803 784.669553950729</t>
  </si>
  <si>
    <t>-743.436349033096 273.015578643395 846.946389525438</t>
  </si>
  <si>
    <t>-787.03143409972 17.3953325129755 -54.4299640065128</t>
  </si>
  <si>
    <t>-678.142712002036 15.8330735261693 334.151470061045</t>
  </si>
  <si>
    <t>-713.298725775681 -45.24662898118 776.687577670634</t>
  </si>
  <si>
    <t>-591.690454043138 -115.51882010087 849.903353887819</t>
  </si>
  <si>
    <t>9763-20170724T111056.680198300.bin</t>
  </si>
  <si>
    <t>-805.820657629896 100.002847736287 -59.8426803902039</t>
  </si>
  <si>
    <t>-831.032242301905 85.9154344591043 -172.012871061125</t>
  </si>
  <si>
    <t>-839.842436872831 85.5770375659763 -270.241851577215</t>
  </si>
  <si>
    <t>-842.906965763312 89.4811566042658 -359.200198167746</t>
  </si>
  <si>
    <t>-840.574096249871 97.4958565248521 -447.905129403178</t>
  </si>
  <si>
    <t>-831.527558653219 112.792394928372 -571.213594073113</t>
  </si>
  <si>
    <t>-796.608303779318 131.545423493252 -644.247924712506</t>
  </si>
  <si>
    <t>-841.797604487893 132.894237184095 -514.08440811304</t>
  </si>
  <si>
    <t>-866.909910176235 264.476341011429 -483.207359799311</t>
  </si>
  <si>
    <t>-835.426512212818 267.992807314205 -190.653678428658</t>
  </si>
  <si>
    <t>-605.719387712661 336.460481621503 -166.206792326542</t>
  </si>
  <si>
    <t>-829.219265823078 79.2281106220717 -519.819053612232</t>
  </si>
  <si>
    <t>-667.679227653902 7.44033972738907 -295.007828785351</t>
  </si>
  <si>
    <t>-845.096785680538 187.826327315472 -63.2260454553972</t>
  </si>
  <si>
    <t>-836.175870948589 223.225447270513 338.671936812179</t>
  </si>
  <si>
    <t>-877.784440507997 217.302032255875 784.519430232171</t>
  </si>
  <si>
    <t>-743.854930409766 274.452911729042 846.840950330663</t>
  </si>
  <si>
    <t>-763.647185008288 11.0523145590055 -59.7699873017133</t>
  </si>
  <si>
    <t>-664.145160528626 4.88259861618781 331.27475067844</t>
  </si>
  <si>
    <t>-693.429577133224 -51.684681889783 774.660880592957</t>
  </si>
  <si>
    <t>-571.018401673382 -121.904410352921 846.577444124333</t>
  </si>
  <si>
    <t>9763-20170724T111056.731334900.bin</t>
  </si>
  <si>
    <t>-800.237016778605 98.6631004768637 -61.1337899943927</t>
  </si>
  <si>
    <t>-825.462641327845 84.3352867803401 -173.270374974651</t>
  </si>
  <si>
    <t>-834.535329710129 83.8009172295347 -271.474525059098</t>
  </si>
  <si>
    <t>-837.933588031915 87.5300138483358 -360.428422662555</t>
  </si>
  <si>
    <t>-836.029169579056 95.3795830867875 -449.158214588793</t>
  </si>
  <si>
    <t>-827.678366044267 110.459157299392 -572.542636534478</t>
  </si>
  <si>
    <t>-793.087634752223 129.415147112486 -645.68064988298</t>
  </si>
  <si>
    <t>-837.932402406198 130.591109768974 -515.421098461992</t>
  </si>
  <si>
    <t>-864.192693580992 261.954490592702 -484.58681197797</t>
  </si>
  <si>
    <t>-831.104927436532 266.30704996346 -192.221520021822</t>
  </si>
  <si>
    <t>-602.152058238758 337.347856762827 -168.040550423584</t>
  </si>
  <si>
    <t>-824.77378400778 77.0553630838008 -521.073394348953</t>
  </si>
  <si>
    <t>-661.164224425557 7.28747580864865 -298.073681146921</t>
  </si>
  <si>
    <t>-841.24532598201 185.911950524568 -64.2899961185949</t>
  </si>
  <si>
    <t>-839.660751263098 218.077405305894 337.975532761421</t>
  </si>
  <si>
    <t>-877.36129493284 217.113784928113 784.249185049425</t>
  </si>
  <si>
    <t>-743.984301827501 275.482896289361 846.626747830401</t>
  </si>
  <si>
    <t>-757.866134631239 11.5215876527805 -61.3298838832499</t>
  </si>
  <si>
    <t>-667.561441123238 3.52949830362058 331.907755734204</t>
  </si>
  <si>
    <t>-691.877904727413 -50.4368120326471 775.794588578676</t>
  </si>
  <si>
    <t>-568.571933530106 -119.554138477149 847.249226027713</t>
  </si>
  <si>
    <t>9763-20170724T111056.782472500.bin</t>
  </si>
  <si>
    <t>-793.314514471146 95.4685172667209 -62.9198918009981</t>
  </si>
  <si>
    <t>-818.646254563846 80.7667874630411 -174.984016319391</t>
  </si>
  <si>
    <t>-828.181818866385 79.8958390842872 -273.142027495284</t>
  </si>
  <si>
    <t>-832.138122316413 83.3081752557737 -362.085553798907</t>
  </si>
  <si>
    <t>-830.928601324268 90.8365331480327 -450.855431874577</t>
  </si>
  <si>
    <t>-823.686373400363 105.466666788806 -574.36376503433</t>
  </si>
  <si>
    <t>-789.438899361636 124.593071647669 -647.619057837813</t>
  </si>
  <si>
    <t>-833.841258687679 125.705939185694 -517.262484476404</t>
  </si>
  <si>
    <t>-861.888561003375 256.821015431895 -486.834611899464</t>
  </si>
  <si>
    <t>-826.81240317301 262.47767463682 -194.723483855291</t>
  </si>
  <si>
    <t>-599.190227307753 338.291216476761 -172.557531387494</t>
  </si>
  <si>
    <t>-819.905568175504 72.3517184658895 -522.765292159203</t>
  </si>
  <si>
    <t>-652.733395616677 7.99981613376076 -299.610408922845</t>
  </si>
  <si>
    <t>-836.759004552671 181.635112547896 -65.2876678861631</t>
  </si>
  <si>
    <t>-842.549636097372 209.694770160416 337.246547191194</t>
  </si>
  <si>
    <t>-876.984825993599 216.721873336637 784.308009381251</t>
  </si>
  <si>
    <t>-744.212643479171 276.653514219769 846.493400897656</t>
  </si>
  <si>
    <t>-751.473760591505 9.07635567759917 -61.8619319575719</t>
  </si>
  <si>
    <t>-673.113206140567 -2.8082309665524 333.831136872971</t>
  </si>
  <si>
    <t>-692.52148667729 -50.5716946225714 778.083012044328</t>
  </si>
  <si>
    <t>-568.44558556806 -118.905010069589 848.956117324281</t>
  </si>
  <si>
    <t>9763-20170724T111056.814557500.bin</t>
  </si>
  <si>
    <t>-790.577058738463 92.1327014407561 -63.347449528241</t>
  </si>
  <si>
    <t>-815.876911265741 77.3405794624778 -175.406938351317</t>
  </si>
  <si>
    <t>-825.540988347684 76.2913008977375 -273.550485206144</t>
  </si>
  <si>
    <t>-829.673989055453 79.4971587899099 -362.49354862197</t>
  </si>
  <si>
    <t>-828.701306787151 86.777677441687 -451.287099004261</t>
  </si>
  <si>
    <t>-821.850971895238 101.017723293426 -574.863362692557</t>
  </si>
  <si>
    <t>-787.661486011761 120.14493769056 -648.145483762382</t>
  </si>
  <si>
    <t>-831.992465112816 121.394146789762 -517.808539471836</t>
  </si>
  <si>
    <t>-860.892326437539 252.387538958052 -487.649571076199</t>
  </si>
  <si>
    <t>-824.981193287686 258.928765050161 -195.658367901349</t>
  </si>
  <si>
    <t>-597.971454530554 336.780753034492 -174.291497078135</t>
  </si>
  <si>
    <t>-817.738365794197 68.1085578568218 -523.158715311027</t>
  </si>
  <si>
    <t>-650.445003369444 6.39178044356413 -299.419582024341</t>
  </si>
  <si>
    <t>-834.678700542942 178.226760504288 -65.4475351009877</t>
  </si>
  <si>
    <t>-842.437295914189 204.882919375524 337.148960588442</t>
  </si>
  <si>
    <t>-876.915523667862 216.312805902402 784.485207290609</t>
  </si>
  <si>
    <t>-744.298912408714 276.778147006598 846.485452011248</t>
  </si>
  <si>
    <t>-746.787890958707 4.99942877666535 -62.5523195165355</t>
  </si>
  <si>
    <t>-675.944187252088 -4.69230497513399 334.614999135318</t>
  </si>
  <si>
    <t>-692.254153146978 -50.8118181658981 779.02735303396</t>
  </si>
  <si>
    <t>-567.409716562676 -117.970077787287 849.673744183404</t>
  </si>
  <si>
    <t>9763-20170724T111056.887316500.bin</t>
  </si>
  <si>
    <t>-782.257854580173 84.3094213827781 -63.4667086026252</t>
  </si>
  <si>
    <t>-807.368417984699 69.4780434605841 -175.563620433711</t>
  </si>
  <si>
    <t>-817.07532929428 68.1245981107331 -273.699222622116</t>
  </si>
  <si>
    <t>-821.328839487119 70.936827828401 -362.650091871777</t>
  </si>
  <si>
    <t>-820.561032957571 77.710106081985 -451.485679836187</t>
  </si>
  <si>
    <t>-814.08447402419 91.1236100264382 -575.174589460571</t>
  </si>
  <si>
    <t>-779.872392141895 110.286326639968 -648.436862893951</t>
  </si>
  <si>
    <t>-824.369301917093 111.797151390073 -518.252500551054</t>
  </si>
  <si>
    <t>-854.825737752556 242.588053880844 -488.808704733522</t>
  </si>
  <si>
    <t>-818.625723880975 251.35307278721 -196.911451291463</t>
  </si>
  <si>
    <t>-592.106180736996 330.961853344432 -176.858128413515</t>
  </si>
  <si>
    <t>-809.49944997405 58.6447077986322 -523.238051329905</t>
  </si>
  <si>
    <t>-644.219074956596 1.68890396928873 -297.441212123412</t>
  </si>
  <si>
    <t>-826.466869687642 170.492251812601 -64.9284011906074</t>
  </si>
  <si>
    <t>-839.470603061782 197.352273692359 337.519255814172</t>
  </si>
  <si>
    <t>-876.671502318041 215.215609654934 784.702009942357</t>
  </si>
  <si>
    <t>-744.285559783952 276.597964390854 846.293493331071</t>
  </si>
  <si>
    <t>-678.321817246125 -10.3307376885291 335.566613680277</t>
  </si>
  <si>
    <t>-692.2998144456 -51.2801929034504 781.147236335503</t>
  </si>
  <si>
    <t>-566.387640045403 -116.725529051063 851.505608334002</t>
  </si>
  <si>
    <t>9763-20170724T111056.915391600.bin</t>
  </si>
  <si>
    <t>-778.095752324105 81.0995952987073 -63.5518055557812</t>
  </si>
  <si>
    <t>-803.147790763387 66.1192966432327 -175.641934211505</t>
  </si>
  <si>
    <t>-812.889556997682 64.6064896598759 -273.771939389126</t>
  </si>
  <si>
    <t>-817.204481817384 67.2563755302153 -362.724641263775</t>
  </si>
  <si>
    <t>-816.527140100106 73.8508145910146 -451.574450550956</t>
  </si>
  <si>
    <t>-810.206574431128 86.9969598564089 -575.300132852028</t>
  </si>
  <si>
    <t>-775.951589513472 106.207521422614 -648.529640888399</t>
  </si>
  <si>
    <t>-820.579734337274 107.749521670589 -518.422826582308</t>
  </si>
  <si>
    <t>-851.812315513994 238.402924670874 -489.227493244262</t>
  </si>
  <si>
    <t>-815.723928473323 248.141781388108 -197.347424826275</t>
  </si>
  <si>
    <t>-588.945809966475 327.379012163035 -178.798605653833</t>
  </si>
  <si>
    <t>-805.396268787974 54.6744085283544 -523.286457785791</t>
  </si>
  <si>
    <t>-821.985161565087 167.062351057825 -64.8069426023635</t>
  </si>
  <si>
    <t>-837.149146612965 195.176083893622 337.47947348371</t>
  </si>
  <si>
    <t>-876.574768811748 214.633994801359 784.394638051503</t>
  </si>
  <si>
    <t>-744.462653514583 276.816621539184 845.770703710759</t>
  </si>
  <si>
    <t>-676.676640970036 -13.577154417897 335.698708920925</t>
  </si>
  <si>
    <t>-692.29075331946 -51.3042398724613 781.624318729541</t>
  </si>
  <si>
    <t>-566.167215216524 -116.427102593893 851.903734486012</t>
  </si>
  <si>
    <t>9763-20170724T111056.986139600.bin</t>
  </si>
  <si>
    <t>-772.190129406742 75.7161250343229 -63.362156973188</t>
  </si>
  <si>
    <t>-797.055722230721 60.3752443836174 -175.444927381119</t>
  </si>
  <si>
    <t>-806.824935591446 58.5847161030256 -273.567438061445</t>
  </si>
  <si>
    <t>-811.232143926051 60.9893906181301 -362.522658563073</t>
  </si>
  <si>
    <t>-810.713753421165 67.3496773763322 -451.390643186645</t>
  </si>
  <si>
    <t>-804.681369997733 80.1814682012196 -575.163704159146</t>
  </si>
  <si>
    <t>-770.383562791764 99.5638691052 -648.327916236014</t>
  </si>
  <si>
    <t>-815.261484009426 100.98152249539 -518.341905100583</t>
  </si>
  <si>
    <t>-848.266549105791 231.258069205063 -489.482055788198</t>
  </si>
  <si>
    <t>-812.093231296526 242.323013205642 -197.659686927321</t>
  </si>
  <si>
    <t>-584.876800002753 321.010307199775 -182.434130944576</t>
  </si>
  <si>
    <t>-799.410304278452 48.0881533887864 -523.052843092253</t>
  </si>
  <si>
    <t>-815.470298039583 160.847806191658 -64.8332717818917</t>
  </si>
  <si>
    <t>-832.795261242851 191.303047264051 337.195302346515</t>
  </si>
  <si>
    <t>-876.42132726171 213.439510803364 783.256172864067</t>
  </si>
  <si>
    <t>-744.567445427028 276.521287313369 844.268531414055</t>
  </si>
  <si>
    <t>-672.050348935661 -19.2909369044378 335.836292708482</t>
  </si>
  <si>
    <t>-692.194736076188 -51.4078493995767 781.980926330285</t>
  </si>
  <si>
    <t>-565.621543047579 -115.803970934506 852.121088382837</t>
  </si>
  <si>
    <t>9763-20170724T111057.014212900.bin</t>
  </si>
  <si>
    <t>-769.672501116955 73.3897382347709 -63.2875891189343</t>
  </si>
  <si>
    <t>-794.471163162583 58.0247388592447 -175.382067227261</t>
  </si>
  <si>
    <t>-804.260539622463 56.2084183550292 -273.50202190234</t>
  </si>
  <si>
    <t>-808.718100177563 58.5875652577156 -362.455348512011</t>
  </si>
  <si>
    <t>-808.282403912014 64.9242991788587 -451.325611131832</t>
  </si>
  <si>
    <t>-802.400308785174 77.726847368112 -575.108834694778</t>
  </si>
  <si>
    <t>-768.103138271056 97.28015870429 -648.227835636226</t>
  </si>
  <si>
    <t>-813.085059543237 98.4887333020802 -518.292710812661</t>
  </si>
  <si>
    <t>-846.950914977736 228.550345677371 -489.457527281889</t>
  </si>
  <si>
    <t>-810.578348081105 240.116386931512 -197.679400703733</t>
  </si>
  <si>
    <t>-582.977010824322 318.114312291701 -184.840206568281</t>
  </si>
  <si>
    <t>-796.892392093151 45.6972989800438 -522.983248053572</t>
  </si>
  <si>
    <t>-812.788251181169 158.04205705741 -64.8909337192086</t>
  </si>
  <si>
    <t>-830.883450200269 189.188707781608 337.050724773199</t>
  </si>
  <si>
    <t>-876.111431168315 212.54481749931 782.650644362049</t>
  </si>
  <si>
    <t>-744.721882105621 276.699985261152 843.545840581084</t>
  </si>
  <si>
    <t>-670.304200789137 -21.6029154401012 335.951639266816</t>
  </si>
  <si>
    <t>-692.102369405977 -51.4172700687081 782.049618584339</t>
  </si>
  <si>
    <t>-565.401768749451 -115.609621539209 852.146357314887</t>
  </si>
  <si>
    <t>9763-20170724T111057.084134800.bin</t>
  </si>
  <si>
    <t>-763.99099510998 68.6437084259037 -63.6256736753468</t>
  </si>
  <si>
    <t>-788.559550853234 53.039144982034 -175.737677716321</t>
  </si>
  <si>
    <t>-798.401909654733 51.105066520312 -273.850096159184</t>
  </si>
  <si>
    <t>-803.004141896123 53.415094238142 -362.797902041723</t>
  </si>
  <si>
    <t>-802.810689736622 59.7284498512422 -451.67061436536</t>
  </si>
  <si>
    <t>-797.367086323438 72.5509946608918 -575.47187083504</t>
  </si>
  <si>
    <t>-763.05417979143 92.4757243684239 -648.483317041661</t>
  </si>
  <si>
    <t>-808.137696717976 93.2161201666959 -518.636578198262</t>
  </si>
  <si>
    <t>-843.432511743807 222.897434413816 -489.632460683611</t>
  </si>
  <si>
    <t>-806.192111493768 234.717260262419 -197.973814800669</t>
  </si>
  <si>
    <t>-578.237220704892 312.097974948518 -187.993145608066</t>
  </si>
  <si>
    <t>-791.387179733042 40.6006241888194 -523.349559133729</t>
  </si>
  <si>
    <t>-806.887168910961 152.69816151748 -65.3096994847537</t>
  </si>
  <si>
    <t>-826.55658587987 185.168982337436 336.453224530766</t>
  </si>
  <si>
    <t>-874.566578478544 209.828675231103 781.362596327887</t>
  </si>
  <si>
    <t>-744.621693010612 276.885140162774 842.231403372088</t>
  </si>
  <si>
    <t>-668.828798243357 -25.0882329939309 336.147425910385</t>
  </si>
  <si>
    <t>-691.984602242176 -51.7338605854675 782.256022358815</t>
  </si>
  <si>
    <t>-564.746683473353 -115.016144667762 852.20707322302</t>
  </si>
  <si>
    <t>9763-20170724T111057.117227900.bin</t>
  </si>
  <si>
    <t>-761.891762708588 66.2673052243622 -64.0728010304819</t>
  </si>
  <si>
    <t>-786.328751546788 50.3835026885263 -176.174399365611</t>
  </si>
  <si>
    <t>-796.199224766814 48.3232597730057 -274.28141147589</t>
  </si>
  <si>
    <t>-800.877095018781 50.5633859648642 -363.227189370678</t>
  </si>
  <si>
    <t>-800.806109913015 56.852961188109 -452.101639642961</t>
  </si>
  <si>
    <t>-795.579937411985 69.6910033773243 -575.910705145747</t>
  </si>
  <si>
    <t>-761.29567222892 89.7628839954609 -648.895297171476</t>
  </si>
  <si>
    <t>-806.362167747275 90.3140810008626 -519.062250606711</t>
  </si>
  <si>
    <t>-842.201154782512 219.796241763551 -489.94396472218</t>
  </si>
  <si>
    <t>-804.670828045202 231.838177894585 -198.331783623624</t>
  </si>
  <si>
    <t>-576.259991785346 308.096218409364 -190.323006096818</t>
  </si>
  <si>
    <t>-789.397322994616 37.7691492193753 -523.794584349027</t>
  </si>
  <si>
    <t>-805.676343567783 150.098176990266 -65.8946780975344</t>
  </si>
  <si>
    <t>-825.685681908801 182.838338381698 335.829563198441</t>
  </si>
  <si>
    <t>-875.327990467453 207.269435085044 780.522590200462</t>
  </si>
  <si>
    <t>-746.321127727882 276.022596557234 841.494572649134</t>
  </si>
  <si>
    <t>-669.112529972004 -26.526544937481 336.101183238983</t>
  </si>
  <si>
    <t>-691.948722172555 -52.0261365407814 782.353264682213</t>
  </si>
  <si>
    <t>-564.318383342921 -114.615938601962 852.212331008804</t>
  </si>
  <si>
    <t>9763-20170724T111057.180394400.bin</t>
  </si>
  <si>
    <t>-765.890419553749 60.831125869021 -65.3802324106189</t>
  </si>
  <si>
    <t>-790.330268213583 44.6019703965781 -177.431819486617</t>
  </si>
  <si>
    <t>-800.34424705937 42.3767631780165 -275.520626425698</t>
  </si>
  <si>
    <t>-805.201016197404 44.519050832329 -364.459108688671</t>
  </si>
  <si>
    <t>-805.355987785814 50.7665682233478 -453.3364883224</t>
  </si>
  <si>
    <t>-800.49100198309 63.6060225282636 -577.160091757444</t>
  </si>
  <si>
    <t>-766.222650615475 83.8611895032582 -650.101440211676</t>
  </si>
  <si>
    <t>-811.32237696857 84.1594212875839 -520.295756489726</t>
  </si>
  <si>
    <t>-848.20129556393 213.306402209493 -490.982545335256</t>
  </si>
  <si>
    <t>-809.929680304848 225.159979183043 -199.458990250131</t>
  </si>
  <si>
    <t>-581.091241594717 300.276940161365 -193.029318446201</t>
  </si>
  <si>
    <t>-793.941054521252 31.7525871563785 -525.046991711605</t>
  </si>
  <si>
    <t>-815.132865714316 142.945924857842 -67.7039970629316</t>
  </si>
  <si>
    <t>-834.93715757312 175.331907206126 334.059113126836</t>
  </si>
  <si>
    <t>-884.832617848197 196.711589944003 778.60977083567</t>
  </si>
  <si>
    <t>-759.734609844661 272.313266624726 839.619345267258</t>
  </si>
  <si>
    <t>-672.785705543035 -30.2045745346882 335.456661828844</t>
  </si>
  <si>
    <t>-691.935599427182 -52.4667909292232 782.09606311109</t>
  </si>
  <si>
    <t>-563.538954598133 -113.59006229046 851.849453111716</t>
  </si>
  <si>
    <t>9763-20170724T111057.219498600.bin</t>
  </si>
  <si>
    <t>-766.832674079166 59.6594245839201 -65.9881955528381</t>
  </si>
  <si>
    <t>-791.431734389435 43.2824041517761 -177.983264470731</t>
  </si>
  <si>
    <t>-801.613683255142 40.9789754540757 -276.053051895916</t>
  </si>
  <si>
    <t>-806.632577872181 43.0708647466013 -364.983783489861</t>
  </si>
  <si>
    <t>-806.960201983615 49.2909773738052 -453.862647343741</t>
  </si>
  <si>
    <t>-802.346777951282 62.1173092680738 -577.697177950516</t>
  </si>
  <si>
    <t>-768.071737715529 82.4331091658169 -650.618736429691</t>
  </si>
  <si>
    <t>-813.16757015475 82.6423914729385 -520.820669629488</t>
  </si>
  <si>
    <t>-850.535859819298 211.631305737967 -491.389121498535</t>
  </si>
  <si>
    <t>-811.823414403923 223.538549357717 -199.926021087011</t>
  </si>
  <si>
    <t>-582.558606734625 297.452037669069 -194.888051208149</t>
  </si>
  <si>
    <t>-795.586015345031 30.3035924844135 -525.58667141182</t>
  </si>
  <si>
    <t>-816.315188036593 141.642283959001 -68.4506335303736</t>
  </si>
  <si>
    <t>-836.837390550354 173.899933898237 333.286813221802</t>
  </si>
  <si>
    <t>-885.551270540027 195.154143190458 777.990910728872</t>
  </si>
  <si>
    <t>-761.908067853961 273.152571152345 838.948562918689</t>
  </si>
  <si>
    <t>-672.586139318017 -31.501821916981 335.047919497381</t>
  </si>
  <si>
    <t>-691.893467634424 -52.3999284017502 781.83533968662</t>
  </si>
  <si>
    <t>-563.599325927717 -113.723286656465 851.601619302114</t>
  </si>
  <si>
    <t>9763-20170724T111057.281675600.bin</t>
  </si>
  <si>
    <t>-766.093371451356 58.6233010848587 -66.6941474804551</t>
  </si>
  <si>
    <t>-791.099886756679 42.1149701167574 -178.5797098287</t>
  </si>
  <si>
    <t>-801.763511922639 39.70736446812 -276.595668015045</t>
  </si>
  <si>
    <t>-807.269300106427 41.7106675858481 -365.49964852611</t>
  </si>
  <si>
    <t>-808.13519615777 47.8532244409093 -454.380291851029</t>
  </si>
  <si>
    <t>-804.326663242435 60.5861292067689 -578.251860806087</t>
  </si>
  <si>
    <t>-769.923823213089 80.9258977118252 -651.106383169374</t>
  </si>
  <si>
    <t>-814.958308078982 81.0939344183375 -521.33352279762</t>
  </si>
  <si>
    <t>-853.147454310343 209.761680336323 -491.603250710662</t>
  </si>
  <si>
    <t>-812.946577774386 221.771372084598 -200.345921028651</t>
  </si>
  <si>
    <t>-583.064607728457 293.890234621583 -198.301747469069</t>
  </si>
  <si>
    <t>-797.046655922692 28.8720312835462 -526.15068921317</t>
  </si>
  <si>
    <t>-816.202829046576 140.891667373448 -68.9369949062597</t>
  </si>
  <si>
    <t>-838.683711558953 173.194525330406 332.692031752146</t>
  </si>
  <si>
    <t>-887.595981682147 195.308837260044 777.490339916409</t>
  </si>
  <si>
    <t>-765.401101954451 275.704570380805 838.25396987156</t>
  </si>
  <si>
    <t>-671.811907970029 -33.2565112866928 334.445037473397</t>
  </si>
  <si>
    <t>-691.859289166029 -52.2636683927467 781.407835463226</t>
  </si>
  <si>
    <t>-563.547444591783 -113.576664559446 851.150756474786</t>
  </si>
  <si>
    <t>9763-20170724T111057.314761600.bin</t>
  </si>
  <si>
    <t>-765.167946596174 58.5759579192513 -66.8822089741612</t>
  </si>
  <si>
    <t>-790.399479594401 42.0615945033201 -178.716387070091</t>
  </si>
  <si>
    <t>-801.321829805555 39.6298070062671 -276.703165444856</t>
  </si>
  <si>
    <t>-807.088775418497 41.6060987332698 -365.591252002939</t>
  </si>
  <si>
    <t>-808.244012904459 47.7194816066512 -454.470602950645</t>
  </si>
  <si>
    <t>-804.868940399153 60.4116673872632 -578.359020598041</t>
  </si>
  <si>
    <t>-770.390318125927 80.7355025246402 -651.18195783099</t>
  </si>
  <si>
    <t>-815.372619795816 80.9141792292635 -521.414723868776</t>
  </si>
  <si>
    <t>-853.843745617974 209.449864827183 -491.4960448699</t>
  </si>
  <si>
    <t>-812.735279350853 221.549340752996 -200.369021385225</t>
  </si>
  <si>
    <t>-582.701618400433 293.206883098412 -199.572220767107</t>
  </si>
  <si>
    <t>-797.335272855844 28.7388377677771 -526.26869742117</t>
  </si>
  <si>
    <t>-815.625343822982 140.861821523575 -68.9777656796249</t>
  </si>
  <si>
    <t>-838.007815977167 173.069054164999 332.664329716277</t>
  </si>
  <si>
    <t>-887.285445007444 195.496924461784 777.449750962855</t>
  </si>
  <si>
    <t>-764.458980530809 275.06221849829 838.033379592552</t>
  </si>
  <si>
    <t>-672.149685169374 -33.6417645499091 334.244852866771</t>
  </si>
  <si>
    <t>-691.879056429446 -52.2762165169445 781.230921467701</t>
  </si>
  <si>
    <t>-563.538067637598 -113.540738774258 850.96277880095</t>
  </si>
  <si>
    <t>9763-20170724T111057.384499100.bin</t>
  </si>
  <si>
    <t>-764.424208122337 58.7476186227868 -67.3502849283885</t>
  </si>
  <si>
    <t>-790.183864656982 42.0952318436107 -179.043512995332</t>
  </si>
  <si>
    <t>-801.612705872126 39.5594421269202 -276.970101157468</t>
  </si>
  <si>
    <t>-807.861977389251 41.4546663508813 -365.827259082586</t>
  </si>
  <si>
    <t>-809.525572685686 47.5054926528924 -454.702592250284</t>
  </si>
  <si>
    <t>-806.888856600112 60.1347187054612 -578.615477721146</t>
  </si>
  <si>
    <t>-772.263038180389 80.3714057321813 -651.392924954482</t>
  </si>
  <si>
    <t>-817.129535915897 80.640157198884 -521.62448334137</t>
  </si>
  <si>
    <t>-855.773378790635 209.042610603753 -491.339381161815</t>
  </si>
  <si>
    <t>-812.969067768249 221.530753476827 -200.473416054463</t>
  </si>
  <si>
    <t>-582.601213369532 292.099221471015 -201.755158254759</t>
  </si>
  <si>
    <t>-798.968814974714 28.5144236486067 -526.550689838192</t>
  </si>
  <si>
    <t>-815.026490807241 140.823158749019 -69.1270760004998</t>
  </si>
  <si>
    <t>-836.302962894968 173.426125331438 332.543197681267</t>
  </si>
  <si>
    <t>-887.116109133172 195.494330449966 777.358156645241</t>
  </si>
  <si>
    <t>-763.933977667658 274.740134532757 837.636973008542</t>
  </si>
  <si>
    <t>-672.862483657241 -33.6216917352031 333.970353584539</t>
  </si>
  <si>
    <t>-691.941305666482 -52.2569366699961 781.023917618257</t>
  </si>
  <si>
    <t>-563.488223449047 -113.28889755435 850.753286391854</t>
  </si>
  <si>
    <t>9763-20170724T111057.417587300.bin</t>
  </si>
  <si>
    <t>-763.776410500641 58.6234521334877 -67.4836400631181</t>
  </si>
  <si>
    <t>-789.821126255533 41.8468504351326 -179.092154754562</t>
  </si>
  <si>
    <t>-801.500371023368 39.2316429732819 -276.987039274779</t>
  </si>
  <si>
    <t>-807.977843290575 41.0687229398163 -365.829061356489</t>
  </si>
  <si>
    <t>-809.871084485596 47.0760128698034 -454.703004721876</t>
  </si>
  <si>
    <t>-807.556771271741 59.6610800052267 -578.626638860356</t>
  </si>
  <si>
    <t>-772.825083108022 79.8245843432946 -651.373865249241</t>
  </si>
  <si>
    <t>-817.649766264581 80.1864486509744 -521.616610881476</t>
  </si>
  <si>
    <t>-856.223420212981 208.595645636719 -491.254585968075</t>
  </si>
  <si>
    <t>-812.703063666142 221.216082360112 -200.500442762157</t>
  </si>
  <si>
    <t>-582.104935324436 291.010539816709 -202.496236816981</t>
  </si>
  <si>
    <t>-799.500409264118 28.0594476721772 -526.571346288004</t>
  </si>
  <si>
    <t>-814.223864580529 140.61454312332 -69.1394603114184</t>
  </si>
  <si>
    <t>-835.373841659586 174.066041200444 332.467741547423</t>
  </si>
  <si>
    <t>-887.079482105853 195.432991669272 777.268448888055</t>
  </si>
  <si>
    <t>-763.645386378146 274.367464148118 837.440573128546</t>
  </si>
  <si>
    <t>-672.194977378503 -33.605215432046 333.845766492207</t>
  </si>
  <si>
    <t>-691.918713978705 -52.1380542142783 780.904940466168</t>
  </si>
  <si>
    <t>-563.556025003691 -113.294974865484 850.691124255668</t>
  </si>
  <si>
    <t>9763-20170724T111057.482787300.bin</t>
  </si>
  <si>
    <t>-762.958152321043 58.4193121587759 -67.2931871335041</t>
  </si>
  <si>
    <t>-789.549338969245 41.3883325499351 -178.734177983859</t>
  </si>
  <si>
    <t>-801.639904028261 38.5863190543769 -276.573963984191</t>
  </si>
  <si>
    <t>-808.463231125852 40.2684935833204 -365.393155132222</t>
  </si>
  <si>
    <t>-810.673897713295 46.1334511559908 -454.269148859187</t>
  </si>
  <si>
    <t>-808.772009408803 58.5322645554502 -578.218665470861</t>
  </si>
  <si>
    <t>-773.746934568741 78.4778426758689 -650.885296646339</t>
  </si>
  <si>
    <t>-818.618691165073 79.1627802801977 -521.203438883244</t>
  </si>
  <si>
    <t>-856.793095985263 207.696539320692 -490.865492064843</t>
  </si>
  <si>
    <t>-812.174652406401 220.647409403695 -200.292428983532</t>
  </si>
  <si>
    <t>-581.082758101446 288.767661664839 -202.956883851451</t>
  </si>
  <si>
    <t>-800.599229123588 26.9895623105913 -526.145909396961</t>
  </si>
  <si>
    <t>-813.570694514398 140.404027808678 -69.0541458315682</t>
  </si>
  <si>
    <t>-834.040441655467 175.608989415237 332.438402912497</t>
  </si>
  <si>
    <t>-887.06186486661 195.442937858468 777.115360401977</t>
  </si>
  <si>
    <t>-763.504354990047 274.297261877821 837.138734818698</t>
  </si>
  <si>
    <t>-670.143712230181 -33.4183751257824 333.749613494418</t>
  </si>
  <si>
    <t>-691.853457034551 -51.7862816910788 780.712038030063</t>
  </si>
  <si>
    <t>-563.89074548759 -113.621533831024 850.635259468361</t>
  </si>
  <si>
    <t>9763-20170724T111057.518891400.bin</t>
  </si>
  <si>
    <t>-762.916913974396 58.546585101466 -67.1550275229266</t>
  </si>
  <si>
    <t>-789.765019678043 41.4151476836337 -178.518977306214</t>
  </si>
  <si>
    <t>-802.02253289782 38.5116271004831 -276.335056886507</t>
  </si>
  <si>
    <t>-808.974712166437 40.0953399263044 -365.145997960567</t>
  </si>
  <si>
    <t>-811.291547731085 45.8545842285789 -454.026208766213</t>
  </si>
  <si>
    <t>-809.513580028042 58.0970414031885 -577.993114147248</t>
  </si>
  <si>
    <t>-774.332386451101 77.9024479823433 -650.62268063094</t>
  </si>
  <si>
    <t>-819.259542952226 78.8141530399394 -520.992073603315</t>
  </si>
  <si>
    <t>-857.117919426987 207.450313694739 -490.716053186147</t>
  </si>
  <si>
    <t>-811.914010516574 220.738468532484 -200.248777889293</t>
  </si>
  <si>
    <t>-580.544777742071 287.890963589496 -203.367374583617</t>
  </si>
  <si>
    <t>-801.332067384119 26.6052234306808 -525.890871386472</t>
  </si>
  <si>
    <t>-813.538036919379 140.699035838423 -68.9996876494159</t>
  </si>
  <si>
    <t>-833.660403398286 176.357199069384 332.470453280784</t>
  </si>
  <si>
    <t>-887.099067389614 195.588630874084 777.094768852465</t>
  </si>
  <si>
    <t>-763.493922771037 274.382521936616 837.099974373827</t>
  </si>
  <si>
    <t>-669.624772228853 -33.2145892330509 333.800303002539</t>
  </si>
  <si>
    <t>-691.830463642352 -51.5645476339666 780.652420764124</t>
  </si>
  <si>
    <t>-564.027887960247 -113.677044502111 850.622989803264</t>
  </si>
  <si>
    <t>9763-20170724T111057.583123100.bin</t>
  </si>
  <si>
    <t>-763.240329014239 59.1449704325082 -67.1288277553859</t>
  </si>
  <si>
    <t>-790.437330561841 41.9396296558707 -178.39661528042</t>
  </si>
  <si>
    <t>-802.965280310259 38.8664856546629 -276.173201851326</t>
  </si>
  <si>
    <t>-810.15572377155 40.2589397161919 -364.968460350813</t>
  </si>
  <si>
    <t>-812.705304492252 45.7891444561765 -453.856939712241</t>
  </si>
  <si>
    <t>-811.249945123059 57.6744996880425 -577.862746032046</t>
  </si>
  <si>
    <t>-775.817454246644 77.21412201362 -650.442067188014</t>
  </si>
  <si>
    <t>-820.759341200009 78.5855605339998 -520.892544896631</t>
  </si>
  <si>
    <t>-857.907061872673 207.470101540519 -490.804667216863</t>
  </si>
  <si>
    <t>-810.929362020734 222.144253465156 -200.685756268563</t>
  </si>
  <si>
    <t>-578.906778701509 286.881715769469 -205.726545991703</t>
  </si>
  <si>
    <t>-803.021400822334 26.303179941513 -525.695200678252</t>
  </si>
  <si>
    <t>-813.721455413418 141.719695936069 -69.0355448402466</t>
  </si>
  <si>
    <t>-833.934465147006 177.008661004587 332.462598790819</t>
  </si>
  <si>
    <t>-887.107168250343 195.893091100124 777.09730986455</t>
  </si>
  <si>
    <t>-763.402017445263 274.496458028132 837.14613762518</t>
  </si>
  <si>
    <t>-670.256950412396 -32.4578391113891 333.901114047544</t>
  </si>
  <si>
    <t>-691.891365153646 -51.6102834568687 780.591894397391</t>
  </si>
  <si>
    <t>-564.07113525386 -113.617294038231 850.623414601015</t>
  </si>
  <si>
    <t>9763-20170724T111057.618216700.bin</t>
  </si>
  <si>
    <t>-763.553655820852 59.4155407079693 -67.2140433469864</t>
  </si>
  <si>
    <t>-790.962438225192 42.2086486375028 -178.429674549646</t>
  </si>
  <si>
    <t>-803.640755846357 39.0655562624079 -276.184637561564</t>
  </si>
  <si>
    <t>-810.957933843938 40.3706533132076 -364.970769260912</t>
  </si>
  <si>
    <t>-813.627239760688 45.7893907897569 -453.862607183185</t>
  </si>
  <si>
    <t>-812.332512808129 57.4953479984515 -577.887255860799</t>
  </si>
  <si>
    <t>-776.799195127779 76.8859925122547 -650.457177510192</t>
  </si>
  <si>
    <t>-821.708999023109 78.5085606332996 -520.932623175473</t>
  </si>
  <si>
    <t>-858.412412461334 207.552380981095 -490.956039282327</t>
  </si>
  <si>
    <t>-810.282194821118 223.276042855225 -201.081161141234</t>
  </si>
  <si>
    <t>-577.893103560263 286.547575194259 -207.632588884807</t>
  </si>
  <si>
    <t>-804.095649983909 26.1798077407811 -525.68776305839</t>
  </si>
  <si>
    <t>-813.9817138842 142.181665190378 -69.1098764267647</t>
  </si>
  <si>
    <t>-834.602783456361 176.982669180169 332.410161690758</t>
  </si>
  <si>
    <t>-887.086932288873 196.108167685748 777.128090623622</t>
  </si>
  <si>
    <t>-763.456231779912 274.752107763035 837.276860396889</t>
  </si>
  <si>
    <t>-670.777195709499 -32.1026213735468 333.847636671455</t>
  </si>
  <si>
    <t>-691.949100096082 -51.6982206789744 780.569430684389</t>
  </si>
  <si>
    <t>-564.043021268485 -113.504647680334 850.621700181036</t>
  </si>
  <si>
    <t>9763-20170724T111057.684438900.bin</t>
  </si>
  <si>
    <t>-764.958309528575 59.9638710402901 -67.2955800412324</t>
  </si>
  <si>
    <t>-792.679694155268 42.8536651090144 -178.448583306894</t>
  </si>
  <si>
    <t>-805.535716457689 39.6583855456324 -276.178713148216</t>
  </si>
  <si>
    <t>-812.984573990028 40.8658239348133 -364.955415952084</t>
  </si>
  <si>
    <t>-815.757137263469 46.1347080447472 -453.853060939564</t>
  </si>
  <si>
    <t>-814.579904436022 57.5766821564102 -577.903447476341</t>
  </si>
  <si>
    <t>-778.805590046832 76.6661492677786 -650.435095410243</t>
  </si>
  <si>
    <t>-823.733762327415 78.7666146646029 -520.978013459971</t>
  </si>
  <si>
    <t>-859.319928549744 208.178201587405 -491.258865451057</t>
  </si>
  <si>
    <t>-808.758897095127 225.600769475208 -201.895515019176</t>
  </si>
  <si>
    <t>-576.036833363989 287.597883811044 -208.805250436436</t>
  </si>
  <si>
    <t>-806.461746048331 26.316655454038 -525.651923048097</t>
  </si>
  <si>
    <t>-815.204790472597 143.220655193383 -69.2413197889933</t>
  </si>
  <si>
    <t>-836.281745636076 176.91248673993 332.349643839334</t>
  </si>
  <si>
    <t>-886.910194581453 196.689992342157 777.276458801132</t>
  </si>
  <si>
    <t>-763.134174647844 274.904218573442 837.685896547729</t>
  </si>
  <si>
    <t>-671.673108758062 -31.5725582673235 333.6857237837</t>
  </si>
  <si>
    <t>-692.050735817065 -51.5572696364311 780.506908045994</t>
  </si>
  <si>
    <t>-564.282043397039 -113.599404949078 850.601258880621</t>
  </si>
  <si>
    <t>9763-20170724T111057.716523200.bin</t>
  </si>
  <si>
    <t>-765.985637194713 60.3041297493182 -67.3498505095162</t>
  </si>
  <si>
    <t>-793.819507773728 43.2666200696558 -178.485913992894</t>
  </si>
  <si>
    <t>-806.729049590639 40.098770154571 -276.209711739316</t>
  </si>
  <si>
    <t>-814.20915013834 41.3169776857521 -364.983753015949</t>
  </si>
  <si>
    <t>-816.996409002522 46.5811854222093 -453.881136885981</t>
  </si>
  <si>
    <t>-815.822370414976 57.9992385730252 -577.933760192536</t>
  </si>
  <si>
    <t>-779.931781055479 76.9731769088994 -650.438304720974</t>
  </si>
  <si>
    <t>-824.882061987858 79.2301685560547 -521.008707622223</t>
  </si>
  <si>
    <t>-859.906493616853 208.807067206829 -491.318477424891</t>
  </si>
  <si>
    <t>-807.883631442733 227.298349353659 -202.280446583779</t>
  </si>
  <si>
    <t>-575.055076168817 288.83268178062 -209.716659398507</t>
  </si>
  <si>
    <t>-807.795728430071 26.7193487630093 -525.680263588481</t>
  </si>
  <si>
    <t>-816.129700614502 143.730449075195 -69.3306762861205</t>
  </si>
  <si>
    <t>-836.952399763034 176.986965806974 332.309863925151</t>
  </si>
  <si>
    <t>-886.909338072394 196.922541171723 777.231409509886</t>
  </si>
  <si>
    <t>-763.079305194382 274.990315921072 837.720248058226</t>
  </si>
  <si>
    <t>-672.09078223501 -31.3826066440329 333.609360202937</t>
  </si>
  <si>
    <t>-692.133283870709 -51.5642472780892 780.465840148052</t>
  </si>
  <si>
    <t>-564.3695033055 -113.606760896966 850.568832895598</t>
  </si>
  <si>
    <t>9763-20170724T111057.785968300.bin</t>
  </si>
  <si>
    <t>-767.266101060123 61.0332942187638 -67.4505877534422</t>
  </si>
  <si>
    <t>-795.320639855534 44.0313731566912 -178.536679390254</t>
  </si>
  <si>
    <t>-808.333474237819 40.8695605626399 -276.247118549033</t>
  </si>
  <si>
    <t>-815.873625471445 42.0845208646847 -365.015927704963</t>
  </si>
  <si>
    <t>-818.68742965621 47.3336760387906 -453.913482723423</t>
  </si>
  <si>
    <t>-817.514884317678 58.7180463947179 -577.969141377976</t>
  </si>
  <si>
    <t>-781.395271066477 77.4557026355747 -650.421305423669</t>
  </si>
  <si>
    <t>-826.449037114688 80.0044088783047 -521.044941426614</t>
  </si>
  <si>
    <t>-860.731906089964 209.791730048012 -491.381850345641</t>
  </si>
  <si>
    <t>-804.876117312566 230.793475920059 -203.23217112181</t>
  </si>
  <si>
    <t>-572.153577911109 292.286558871625 -213.704883715576</t>
  </si>
  <si>
    <t>-809.61219468919 27.4124666758844 -525.711908235852</t>
  </si>
  <si>
    <t>-816.982713887551 144.523864963815 -69.4148682277961</t>
  </si>
  <si>
    <t>-837.41099400115 177.674238542702 332.254678795052</t>
  </si>
  <si>
    <t>-886.91412801832 197.28584055605 777.313908542507</t>
  </si>
  <si>
    <t>-762.745336362103 274.760262725362 837.870643621445</t>
  </si>
  <si>
    <t>-672.688580810734 -30.7258629664175 333.51512728521</t>
  </si>
  <si>
    <t>-692.268393209657 -51.3892299419804 780.375401134463</t>
  </si>
  <si>
    <t>-564.749355174905 -113.881410033998 850.524791542501</t>
  </si>
  <si>
    <t>9763-20170724T111057.819053700.bin</t>
  </si>
  <si>
    <t>-767.370024431584 61.226331456659 -67.4487365300932</t>
  </si>
  <si>
    <t>-795.522943930698 44.2215881705774 -178.509328996118</t>
  </si>
  <si>
    <t>-808.570853208939 41.0386039179448 -276.214360269532</t>
  </si>
  <si>
    <t>-816.123242762391 42.2266855503372 -364.982696526475</t>
  </si>
  <si>
    <t>-818.92915652766 47.4400232456342 -453.882585219943</t>
  </si>
  <si>
    <t>-817.725045784809 58.7635736832872 -577.943604614111</t>
  </si>
  <si>
    <t>-781.483444693132 77.391920177643 -650.363029819593</t>
  </si>
  <si>
    <t>-826.622001812278 80.0940697750807 -521.029967946317</t>
  </si>
  <si>
    <t>-860.624084239551 209.956900331342 -491.395881317961</t>
  </si>
  <si>
    <t>-802.638003611005 232.215179856018 -203.761843218194</t>
  </si>
  <si>
    <t>-570.007633575377 293.760965598799 -215.849567234554</t>
  </si>
  <si>
    <t>-809.887707747569 27.4672107569418 -525.670995181414</t>
  </si>
  <si>
    <t>-816.96317003381 144.823925508064 -69.4017389372515</t>
  </si>
  <si>
    <t>-837.208550057504 177.989093488903 332.275839859688</t>
  </si>
  <si>
    <t>-886.804648840627 197.332010480687 777.368488728921</t>
  </si>
  <si>
    <t>-762.62964169095 274.777278352828 837.949096944907</t>
  </si>
  <si>
    <t>-672.793435044366 -30.4369456283353 333.488767984908</t>
  </si>
  <si>
    <t>-692.33726388883 -51.3645283700582 780.348301146356</t>
  </si>
  <si>
    <t>-564.795752556708 -113.790945515489 850.515342391459</t>
  </si>
  <si>
    <t>9763-20170724T111057.881772300.bin</t>
  </si>
  <si>
    <t>-767.250034171027 61.5868608843566 -67.340282533058</t>
  </si>
  <si>
    <t>-795.62223454508 44.6271056861542 -178.352158540724</t>
  </si>
  <si>
    <t>-808.728305110354 41.4417416939377 -276.049356905548</t>
  </si>
  <si>
    <t>-816.280741112378 42.6096998879975 -364.817811187772</t>
  </si>
  <si>
    <t>-819.034701713353 47.7815936514003 -453.721680225887</t>
  </si>
  <si>
    <t>-817.703761958274 59.0226173159135 -577.788904295377</t>
  </si>
  <si>
    <t>-781.261170708944 77.49054949836 -650.148513231019</t>
  </si>
  <si>
    <t>-826.551499910182 80.4245393217298 -520.894248100239</t>
  </si>
  <si>
    <t>-859.957459940034 210.471418489913 -491.406321663498</t>
  </si>
  <si>
    <t>-798.015112852316 235.527607095113 -204.829087126185</t>
  </si>
  <si>
    <t>-565.538594762782 297.088432918532 -219.520858803697</t>
  </si>
  <si>
    <t>-810.027269975201 27.7274940630423 -525.491644505509</t>
  </si>
  <si>
    <t>-816.732900282347 145.534325032188 -69.2847254102811</t>
  </si>
  <si>
    <t>-836.725401236321 178.493229147154 332.422469068181</t>
  </si>
  <si>
    <t>-886.739799184755 197.51930033095 777.520295161782</t>
  </si>
  <si>
    <t>-762.427813702259 274.728774057971 838.12186707157</t>
  </si>
  <si>
    <t>-672.424749710732 -30.0646024699204 333.46734530412</t>
  </si>
  <si>
    <t>-692.494255121617 -51.3494851959215 780.309495445215</t>
  </si>
  <si>
    <t>-564.991760071495 -113.818496528626 850.50947176002</t>
  </si>
  <si>
    <t>9763-20170724T111057.915862300.bin</t>
  </si>
  <si>
    <t>-767.209025911319 61.8553850558469 -67.2422174841976</t>
  </si>
  <si>
    <t>-795.629310931178 44.902048725472 -178.242673320075</t>
  </si>
  <si>
    <t>-808.725735531688 41.7053983613864 -275.940788481698</t>
  </si>
  <si>
    <t>-816.249587374544 42.8556106396964 -364.711885428026</t>
  </si>
  <si>
    <t>-818.953842859273 48.0001722470902 -453.618901127547</t>
  </si>
  <si>
    <t>-817.531708327381 59.1918402093488 -577.689573060848</t>
  </si>
  <si>
    <t>-781.00828721636 77.6071503037638 -650.021642655084</t>
  </si>
  <si>
    <t>-826.362543740905 80.6345578216046 -520.807866240725</t>
  </si>
  <si>
    <t>-859.480673616439 210.786543225638 -491.442037495811</t>
  </si>
  <si>
    <t>-795.726252273886 237.249007359386 -205.388986032616</t>
  </si>
  <si>
    <t>-563.246951548729 298.514959349114 -221.220204417422</t>
  </si>
  <si>
    <t>-809.952645657362 27.8992912304011 -525.376753577263</t>
  </si>
  <si>
    <t>-816.592191798981 145.891624556561 -69.2011083796766</t>
  </si>
  <si>
    <t>-836.493192344302 178.683941465456 332.524244242751</t>
  </si>
  <si>
    <t>-886.526301225756 197.418802962697 777.630069939038</t>
  </si>
  <si>
    <t>-762.312101727272 274.797515181828 838.215883693491</t>
  </si>
  <si>
    <t>-672.219393071813 -30.0085243509398 333.526061371992</t>
  </si>
  <si>
    <t>-692.591323689439 -51.4014409385331 780.307069108392</t>
  </si>
  <si>
    <t>-565.079939045422 -113.846897713123 850.511923294439</t>
  </si>
  <si>
    <t>9763-20170724T111057.984070100.bin</t>
  </si>
  <si>
    <t>-767.014102874108 62.7932511375748 -67.0978768953793</t>
  </si>
  <si>
    <t>-795.447085427159 45.8421089844383 -178.095437898941</t>
  </si>
  <si>
    <t>-808.503167922506 42.5982949951181 -275.797354599201</t>
  </si>
  <si>
    <t>-815.970185175143 43.6851814489823 -364.574145353761</t>
  </si>
  <si>
    <t>-818.596252309716 48.742296801202 -453.488478355805</t>
  </si>
  <si>
    <t>-817.042821451478 59.7848211573382 -577.570971306934</t>
  </si>
  <si>
    <t>-780.413696441438 78.1513166720674 -649.862046293158</t>
  </si>
  <si>
    <t>-825.820185314735 81.3306184891758 -520.719796086401</t>
  </si>
  <si>
    <t>-858.335354992021 211.685058912414 -491.572780506381</t>
  </si>
  <si>
    <t>-791.602590835828 240.470757062417 -206.424964782948</t>
  </si>
  <si>
    <t>-558.987247803934 301.057221828495 -222.862707887365</t>
  </si>
  <si>
    <t>-809.632678447843 28.5204156894047 -525.217015136213</t>
  </si>
  <si>
    <t>-816.2047554151 146.810090830989 -69.0483593529082</t>
  </si>
  <si>
    <t>-836.048470221286 179.513831171112 332.687111677641</t>
  </si>
  <si>
    <t>-886.457649436893 197.450475763418 777.847541772984</t>
  </si>
  <si>
    <t>-762.012672654146 274.529221582916 838.342334016551</t>
  </si>
  <si>
    <t>-672.208868076086 -29.6342206773434 333.683455487937</t>
  </si>
  <si>
    <t>-692.711188648445 -51.1796954307667 780.327034985085</t>
  </si>
  <si>
    <t>-565.394317973945 -113.982062975062 850.566501210201</t>
  </si>
  <si>
    <t>9763-20170724T111058.017156900.bin</t>
  </si>
  <si>
    <t>-766.847251976055 63.3310078763084 -67.0203117908246</t>
  </si>
  <si>
    <t>-795.242885655267 46.3860715749001 -178.028248579671</t>
  </si>
  <si>
    <t>-808.259441213784 43.1341574625062 -275.735380685395</t>
  </si>
  <si>
    <t>-815.688270757241 44.2087137342319 -364.51540406704</t>
  </si>
  <si>
    <t>-818.274251888822 49.2475733137258 -453.431913921257</t>
  </si>
  <si>
    <t>-816.662425298284 60.2584994252402 -577.516531249226</t>
  </si>
  <si>
    <t>-780.007697947056 78.6240461364273 -649.79491557364</t>
  </si>
  <si>
    <t>-825.421293015587 81.8323162038869 -520.673161947728</t>
  </si>
  <si>
    <t>-857.67312275858 212.256233235928 -491.582495585578</t>
  </si>
  <si>
    <t>-789.858823701456 241.672503918052 -206.754219962396</t>
  </si>
  <si>
    <t>-557.182136137034 301.94146812546 -223.491319880922</t>
  </si>
  <si>
    <t>-809.321951295399 28.9938834712357 -525.152926844247</t>
  </si>
  <si>
    <t>-815.964240863343 147.388979026853 -68.9906224425447</t>
  </si>
  <si>
    <t>-835.621906777456 180.132420436318 332.750696134591</t>
  </si>
  <si>
    <t>-886.437515302548 197.400196630992 777.964145398211</t>
  </si>
  <si>
    <t>-761.913085360638 274.417412141599 838.37328398826</t>
  </si>
  <si>
    <t>-672.252644930617 -29.4369966336499 333.766980199449</t>
  </si>
  <si>
    <t>-692.756250861313 -50.9854044514159 780.353587066259</t>
  </si>
  <si>
    <t>-565.566780494365 -114.035579071597 850.601864954296</t>
  </si>
  <si>
    <t>9763-20170724T111058.085844300.bin</t>
  </si>
  <si>
    <t>-766.710063999194 64.4356591875417 -66.9434534016827</t>
  </si>
  <si>
    <t>-795.055798094575 47.5113637222084 -177.967321983693</t>
  </si>
  <si>
    <t>-807.979597941054 44.3203279496256 -275.68858932745</t>
  </si>
  <si>
    <t>-815.304623311023 45.4684700333096 -364.476357717925</t>
  </si>
  <si>
    <t>-817.766339467018 50.598420589095 -453.391247292056</t>
  </si>
  <si>
    <t>-815.959876094239 61.7541283842293 -577.460175564483</t>
  </si>
  <si>
    <t>-779.29512049308 80.1928474899319 -649.714916375695</t>
  </si>
  <si>
    <t>-824.742840756235 83.2811393379293 -520.602847869117</t>
  </si>
  <si>
    <t>-856.561503461364 213.800481778181 -491.453161575271</t>
  </si>
  <si>
    <t>-786.999758450152 243.154011329558 -207.040328108718</t>
  </si>
  <si>
    <t>-554.365908253654 303.29895720811 -224.786518517183</t>
  </si>
  <si>
    <t>-808.767046187871 30.4088366773908 -525.124386447562</t>
  </si>
  <si>
    <t>-815.773656710585 148.540857899479 -68.9716421172808</t>
  </si>
  <si>
    <t>-834.493027810389 181.004499683047 332.837189227124</t>
  </si>
  <si>
    <t>-886.073598630922 197.131013899164 778.075958864749</t>
  </si>
  <si>
    <t>-761.638602757579 274.440196395529 838.296973665729</t>
  </si>
  <si>
    <t>-672.574564905018 -29.0285277755502 333.896852925316</t>
  </si>
  <si>
    <t>-692.914988082905 -50.8929766073834 780.412614887998</t>
  </si>
  <si>
    <t>-565.74260973777 -113.998695414362 850.641511993848</t>
  </si>
  <si>
    <t>9763-20170724T111058.118956100.bin</t>
  </si>
  <si>
    <t>-766.607564083049 64.9002859281095 -66.9749331125608</t>
  </si>
  <si>
    <t>-794.952534643222 48.0126842913455 -178.004794669716</t>
  </si>
  <si>
    <t>-807.823637872233 44.8852809894461 -275.734954924836</t>
  </si>
  <si>
    <t>-815.080849407842 46.1045135849085 -364.527439280543</t>
  </si>
  <si>
    <t>-817.454143109414 51.3178334454979 -453.439756369734</t>
  </si>
  <si>
    <t>-815.502546951538 62.6025449747822 -577.494912598058</t>
  </si>
  <si>
    <t>-778.829450271026 81.1126120233534 -649.727006033693</t>
  </si>
  <si>
    <t>-824.319953488849 84.0800788980105 -520.624055089422</t>
  </si>
  <si>
    <t>-855.89283167956 214.644411161659 -491.383989046903</t>
  </si>
  <si>
    <t>-785.432741752429 243.778481129269 -207.169830462251</t>
  </si>
  <si>
    <t>-552.824350718142 303.863521387065 -225.447478319628</t>
  </si>
  <si>
    <t>-808.403090490991 31.1932461193128 -525.184599153487</t>
  </si>
  <si>
    <t>-815.449515386884 148.945009997607 -69.0223414114577</t>
  </si>
  <si>
    <t>-834.10892375257 181.302177024498 332.797929183722</t>
  </si>
  <si>
    <t>-885.938183012503 196.973231772301 777.975707453311</t>
  </si>
  <si>
    <t>-761.245636837432 273.905344500293 838.146337276889</t>
  </si>
  <si>
    <t>-672.609893932467 -28.843152848021 333.906574291877</t>
  </si>
  <si>
    <t>-693.003382802602 -50.8465101808692 780.427993925396</t>
  </si>
  <si>
    <t>-565.996535450652 -114.281467149905 850.659991126721</t>
  </si>
  <si>
    <t>9763-20170724T111058.182649300.bin</t>
  </si>
  <si>
    <t>-766.31207250373 65.6891377940419 -67.048012425705</t>
  </si>
  <si>
    <t>-794.561240984583 48.9166914930975 -178.119465276474</t>
  </si>
  <si>
    <t>-807.296050779895 45.9201282709341 -275.871755070945</t>
  </si>
  <si>
    <t>-814.406817578768 47.269539217692 -364.674122864055</t>
  </si>
  <si>
    <t>-816.610210556884 52.6222661533761 -453.582706555345</t>
  </si>
  <si>
    <t>-814.396831603145 64.1097539520242 -577.614817266369</t>
  </si>
  <si>
    <t>-777.719166131069 82.7976619736128 -649.798751757556</t>
  </si>
  <si>
    <t>-823.252106743768 85.5185726463665 -520.723975863642</t>
  </si>
  <si>
    <t>-854.281906920678 216.190304700116 -491.380516852133</t>
  </si>
  <si>
    <t>-782.080503252741 245.424796685227 -207.61391535036</t>
  </si>
  <si>
    <t>-549.532718369732 305.43555425993 -226.878643454713</t>
  </si>
  <si>
    <t>-807.489566169728 32.5906996480853 -525.34483655052</t>
  </si>
  <si>
    <t>-814.835797460514 149.780885056914 -69.1464197085795</t>
  </si>
  <si>
    <t>-833.738096204772 181.738776086413 332.694406727271</t>
  </si>
  <si>
    <t>-885.776320431983 196.895841931033 777.815671128166</t>
  </si>
  <si>
    <t>-761.399629608848 274.394118547421 837.91345124422</t>
  </si>
  <si>
    <t>-672.340996694189 -28.6209047519751 333.869760181806</t>
  </si>
  <si>
    <t>-693.151848418094 -50.6672227690422 780.408209719227</t>
  </si>
  <si>
    <t>-566.220196707019 -114.254946442587 850.638154314412</t>
  </si>
  <si>
    <t>9763-20170724T111058.213733600.bin</t>
  </si>
  <si>
    <t>-766.159344568467 65.9548938042049 -67.0539110218531</t>
  </si>
  <si>
    <t>-794.35890322875 49.2647093090854 -178.150426166872</t>
  </si>
  <si>
    <t>-807.022689733469 46.3391041614877 -275.914016441264</t>
  </si>
  <si>
    <t>-814.058589192782 47.7516604557445 -364.721397069894</t>
  </si>
  <si>
    <t>-816.175531883089 53.1658359933185 -453.628392586245</t>
  </si>
  <si>
    <t>-813.829369297029 64.7359587374131 -577.650299387515</t>
  </si>
  <si>
    <t>-777.167631516729 83.512857699548 -649.819355334261</t>
  </si>
  <si>
    <t>-822.704436093624 86.1189378171725 -520.752881823524</t>
  </si>
  <si>
    <t>-853.475313111903 216.839668269091 -491.357598358686</t>
  </si>
  <si>
    <t>-780.41663082047 246.245699136124 -207.828205023813</t>
  </si>
  <si>
    <t>-547.918033979543 306.240249623984 -227.725672027206</t>
  </si>
  <si>
    <t>-807.019339070648 33.1700003215292 -525.395813709989</t>
  </si>
  <si>
    <t>-814.588895742447 150.070104380958 -69.1742034821151</t>
  </si>
  <si>
    <t>-833.583730729177 181.8526030824 332.676276282872</t>
  </si>
  <si>
    <t>-885.644022361573 196.809334324023 777.77847597077</t>
  </si>
  <si>
    <t>-761.090897232948 274.057545780967 837.83323563599</t>
  </si>
  <si>
    <t>-672.203401726546 -28.6008188750543 333.84980019322</t>
  </si>
  <si>
    <t>-693.245791162301 -50.6538636954895 780.396000450617</t>
  </si>
  <si>
    <t>-566.394926475452 -114.402070928808 850.62658809851</t>
  </si>
  <si>
    <t>9763-20170724T111058.283067300.bin</t>
  </si>
  <si>
    <t>-765.839758711738 66.2828648244422 -67.0714962837509</t>
  </si>
  <si>
    <t>-793.928046705759 49.7739062653363 -178.223363372211</t>
  </si>
  <si>
    <t>-806.410068081212 47.0161989422177 -276.015242175629</t>
  </si>
  <si>
    <t>-813.246148401087 48.5831482202952 -364.835573313848</t>
  </si>
  <si>
    <t>-815.128856860094 54.1514968743891 -453.7382671659</t>
  </si>
  <si>
    <t>-812.419130631019 65.9343413735392 -577.732741578356</t>
  </si>
  <si>
    <t>-775.787461606029 84.8712835206798 -649.87533037709</t>
  </si>
  <si>
    <t>-821.398911589775 87.2377210221512 -520.822024431583</t>
  </si>
  <si>
    <t>-851.869516876461 218.009941068371 -491.341478339111</t>
  </si>
  <si>
    <t>-777.547020490645 247.318798067598 -208.130613895763</t>
  </si>
  <si>
    <t>-545.289915463379 307.678594046251 -229.675072322234</t>
  </si>
  <si>
    <t>-805.824071291215 34.2607079994482 -525.515888535649</t>
  </si>
  <si>
    <t>-814.203212177998 150.584201011206 -69.2094551306122</t>
  </si>
  <si>
    <t>-833.04026821323 182.062873752688 332.672313077108</t>
  </si>
  <si>
    <t>-885.385038295985 196.623969030114 777.743009222943</t>
  </si>
  <si>
    <t>-760.84767501072 273.980456957292 837.690636854561</t>
  </si>
  <si>
    <t>-672.178890209569 -28.5264296317278 333.805525010087</t>
  </si>
  <si>
    <t>-693.412243732866 -50.5798102599122 780.349563362142</t>
  </si>
  <si>
    <t>-566.705886032554 -114.595121361437 850.597654458796</t>
  </si>
  <si>
    <t>9763-20170724T111058.317161900.bin</t>
  </si>
  <si>
    <t>-765.620465020838 66.3764717329395 -67.0918294979683</t>
  </si>
  <si>
    <t>-793.664178874038 49.9633932083298 -178.269098644272</t>
  </si>
  <si>
    <t>-806.062477881046 47.2912956499395 -276.073934613012</t>
  </si>
  <si>
    <t>-812.805030031428 48.9364591843319 -364.900054145332</t>
  </si>
  <si>
    <t>-814.576571539854 54.5823735469835 -453.800095495946</t>
  </si>
  <si>
    <t>-811.693474263111 66.4720513526731 -577.780510263177</t>
  </si>
  <si>
    <t>-775.089763847377 85.4702169322854 -649.92129527577</t>
  </si>
  <si>
    <t>-820.729795057726 87.7329843266552 -520.862871460518</t>
  </si>
  <si>
    <t>-851.114803164411 218.514311936332 -491.306854014885</t>
  </si>
  <si>
    <t>-776.425938541987 247.426365788155 -208.151642444062</t>
  </si>
  <si>
    <t>-544.321526051968 308.0361044925 -230.621411897533</t>
  </si>
  <si>
    <t>-805.194028872728 34.7468321247661 -525.582882233838</t>
  </si>
  <si>
    <t>-813.862132298183 150.746882922011 -69.1991368718947</t>
  </si>
  <si>
    <t>-832.674593406784 182.15998021899 332.688870921465</t>
  </si>
  <si>
    <t>-885.287066164121 196.54359024783 777.733591009258</t>
  </si>
  <si>
    <t>-760.852603139146 274.119363241217 837.611383184537</t>
  </si>
  <si>
    <t>-672.185454977011 -28.6210853753446 333.780635484489</t>
  </si>
  <si>
    <t>-693.532305936936 -50.7035611121755 780.335756868363</t>
  </si>
  <si>
    <t>-566.648986507488 -114.379566715789 850.573014269158</t>
  </si>
  <si>
    <t>9763-20170724T111058.380843500.bin</t>
  </si>
  <si>
    <t>-764.934976983335 66.6681288088221 -67.0844150749623</t>
  </si>
  <si>
    <t>-792.899113650889 50.3864739735423 -178.301028643575</t>
  </si>
  <si>
    <t>-805.194268349178 47.8705946592595 -276.12305685434</t>
  </si>
  <si>
    <t>-811.828974047062 49.6733227651521 -364.954225503004</t>
  </si>
  <si>
    <t>-813.476531356623 55.4914165801847 -453.845697086337</t>
  </si>
  <si>
    <t>-810.404581759935 67.6357925347152 -577.796898245964</t>
  </si>
  <si>
    <t>-773.862616068606 86.7508649576534 -649.937768792888</t>
  </si>
  <si>
    <t>-819.492991755087 88.7898631290873 -520.847461991778</t>
  </si>
  <si>
    <t>-849.72493808188 219.543294045234 -491.05846952997</t>
  </si>
  <si>
    <t>-775.03983530699 247.509833121074 -207.807224440332</t>
  </si>
  <si>
    <t>-543.147560774989 308.261966489868 -232.013894588109</t>
  </si>
  <si>
    <t>-804.020059384879 35.7934480054182 -525.656540343467</t>
  </si>
  <si>
    <t>-812.927749798894 151.029256370937 -69.1488156267573</t>
  </si>
  <si>
    <t>-831.724691885909 182.351704644936 332.747032984537</t>
  </si>
  <si>
    <t>-885.004488216921 196.274831028965 777.713119224287</t>
  </si>
  <si>
    <t>-760.396235791651 273.674855835451 837.457578241533</t>
  </si>
  <si>
    <t>-671.719815757348 -28.6644668293607 333.742698238143</t>
  </si>
  <si>
    <t>-693.687903589133 -50.6051295072057 780.2954929551</t>
  </si>
  <si>
    <t>-566.989025852262 -114.616265525092 850.561203948452</t>
  </si>
  <si>
    <t>9763-20170724T111058.420949900.bin</t>
  </si>
  <si>
    <t>-764.583363901756 66.8335166955289 -67.0453296342574</t>
  </si>
  <si>
    <t>-792.562009526392 50.6149856385769 -178.267559008</t>
  </si>
  <si>
    <t>-804.857904947489 48.1759489637125 -276.091315053124</t>
  </si>
  <si>
    <t>-811.488654047225 50.057347121955 -364.921243573223</t>
  </si>
  <si>
    <t>-813.12688589606 55.9621731244924 -453.806972197479</t>
  </si>
  <si>
    <t>-810.035443976347 68.2361716328332 -577.744913477162</t>
  </si>
  <si>
    <t>-773.530744696473 87.4072098345769 -649.889880069631</t>
  </si>
  <si>
    <t>-819.117611346469 89.3351210042551 -520.774189833983</t>
  </si>
  <si>
    <t>-849.274518600216 220.074054408096 -490.829851812009</t>
  </si>
  <si>
    <t>-774.704132870472 247.457482456847 -207.491575206701</t>
  </si>
  <si>
    <t>-542.889780235064 308.245046384273 -232.350056708692</t>
  </si>
  <si>
    <t>-803.674304505466 36.3350839832997 -525.637737005116</t>
  </si>
  <si>
    <t>-812.457380623271 151.190831977497 -69.1073111505468</t>
  </si>
  <si>
    <t>-831.385058294447 182.36485827321 332.793918826876</t>
  </si>
  <si>
    <t>-884.871823923424 196.185510958866 777.726020749475</t>
  </si>
  <si>
    <t>-760.087498089712 273.334507913662 837.426861613202</t>
  </si>
  <si>
    <t>-671.465973614572 -28.6708117955909 333.732455995045</t>
  </si>
  <si>
    <t>-693.757390131193 -50.5352172468215 780.276909651505</t>
  </si>
  <si>
    <t>-567.159812613425 -114.729175079541 850.558437275841</t>
  </si>
  <si>
    <t>9763-20170724T111058.480619400.bin</t>
  </si>
  <si>
    <t>-763.991940307825 66.9607622420522 -67.0183355122938</t>
  </si>
  <si>
    <t>-792.045927189885 50.8134807912156 -178.23191313223</t>
  </si>
  <si>
    <t>-804.445560075696 48.4903804351866 -276.045711007559</t>
  </si>
  <si>
    <t>-811.18302373357 50.4993309869883 -364.864516912085</t>
  </si>
  <si>
    <t>-812.941136904638 56.5543935664741 -453.737994800746</t>
  </si>
  <si>
    <t>-810.028798701088 69.0619765568167 -577.656930710039</t>
  </si>
  <si>
    <t>-773.654684134579 88.3525832342807 -649.836052358786</t>
  </si>
  <si>
    <t>-819.007883279234 90.0594717710005 -520.632350793818</t>
  </si>
  <si>
    <t>-848.920796312441 220.778207034757 -490.33194559955</t>
  </si>
  <si>
    <t>-774.396697272264 246.880951230197 -206.860598756545</t>
  </si>
  <si>
    <t>-542.708935784112 307.755482145606 -232.666860597975</t>
  </si>
  <si>
    <t>-803.612837378729 37.0566854836829 -525.620357629669</t>
  </si>
  <si>
    <t>-811.723357555509 151.38200299526 -68.997729213634</t>
  </si>
  <si>
    <t>-830.955908719588 182.293277679795 332.909327478163</t>
  </si>
  <si>
    <t>-884.673738496744 196.11391328219 777.778982333807</t>
  </si>
  <si>
    <t>-759.886975442673 273.316551526115 837.405373745276</t>
  </si>
  <si>
    <t>-671.232830080627 -28.7692324555273 333.726589866576</t>
  </si>
  <si>
    <t>-693.911238848881 -50.4752937007295 780.261304200792</t>
  </si>
  <si>
    <t>-567.361969314313 -114.756062963227 850.550157519633</t>
  </si>
  <si>
    <t>9763-20170724T111058.518714800.bin</t>
  </si>
  <si>
    <t>-763.835237625571 66.9341797290535 -67.0247505094862</t>
  </si>
  <si>
    <t>-791.924502297766 50.7923298471187 -178.230141525405</t>
  </si>
  <si>
    <t>-804.390488079018 48.5004219054558 -276.0361511027</t>
  </si>
  <si>
    <t>-811.200527072345 50.5476369670791 -364.848834463388</t>
  </si>
  <si>
    <t>-813.042328000088 56.6504993805888 -453.71725610256</t>
  </si>
  <si>
    <t>-810.257931452402 69.2347930924484 -577.631272649274</t>
  </si>
  <si>
    <t>-773.966512228891 88.5653490368045 -649.841346699318</t>
  </si>
  <si>
    <t>-819.164805024777 90.2006333841264 -520.58388478508</t>
  </si>
  <si>
    <t>-848.943454103365 220.903342602559 -490.113916085708</t>
  </si>
  <si>
    <t>-774.2374909783 246.468591904504 -206.641300741331</t>
  </si>
  <si>
    <t>-542.60248760097 307.447586937812 -232.672960434336</t>
  </si>
  <si>
    <t>-803.801767306089 37.1934815906111 -525.621860509736</t>
  </si>
  <si>
    <t>-811.60616011397 151.391088378224 -68.969545988484</t>
  </si>
  <si>
    <t>-830.777109659936 182.253268388847 332.944193021832</t>
  </si>
  <si>
    <t>-884.601268064652 196.124963378501 777.807160840306</t>
  </si>
  <si>
    <t>-760.033032725384 273.69565333903 837.413163936831</t>
  </si>
  <si>
    <t>-671.200280558969 -28.7637301300597 333.717987312237</t>
  </si>
  <si>
    <t>-693.975487902551 -50.362316369163 780.256644673095</t>
  </si>
  <si>
    <t>-567.574288818887 -114.923676875529 850.555162167376</t>
  </si>
  <si>
    <t>9763-20170724T111058.580887200.bin</t>
  </si>
  <si>
    <t>-763.589717701635 66.66996409375 -67.0135617513942</t>
  </si>
  <si>
    <t>-791.784246106556 50.5065790216549 -178.189213008083</t>
  </si>
  <si>
    <t>-804.382401786552 48.2651075211697 -275.979373028229</t>
  </si>
  <si>
    <t>-811.325006253738 50.3846570905234 -364.780026480759</t>
  </si>
  <si>
    <t>-813.309157768855 56.5855461587726 -453.638658396153</t>
  </si>
  <si>
    <t>-810.731796144396 69.3323634718136 -577.540611145736</t>
  </si>
  <si>
    <t>-774.669950819375 88.7240867870751 -649.849232342152</t>
  </si>
  <si>
    <t>-819.526148115672 90.2284075311272 -520.449999793995</t>
  </si>
  <si>
    <t>-849.036350927771 220.921569423576 -489.674683897755</t>
  </si>
  <si>
    <t>-773.542345798006 245.898286415629 -206.358678002593</t>
  </si>
  <si>
    <t>-541.948619851137 306.986987278636 -232.501414382931</t>
  </si>
  <si>
    <t>-804.20586257542 37.2179937403271 -525.584880033192</t>
  </si>
  <si>
    <t>-811.321817750428 151.16674795719 -68.9134031159634</t>
  </si>
  <si>
    <t>-830.533867343469 181.988108211003 333.001485629872</t>
  </si>
  <si>
    <t>-884.396034970105 196.135330516497 777.858803356958</t>
  </si>
  <si>
    <t>-759.884201601547 273.764529036459 837.506134553256</t>
  </si>
  <si>
    <t>-671.207956250782 -28.9616192759049 333.718810089604</t>
  </si>
  <si>
    <t>-694.144014740819 -50.3078320552977 780.266831305692</t>
  </si>
  <si>
    <t>-567.682928259935 -114.773065942979 850.545843059168</t>
  </si>
  <si>
    <t>9763-20170724T111058.612971800.bin</t>
  </si>
  <si>
    <t>-763.564725836123 66.5342667145587 -66.9990264222093</t>
  </si>
  <si>
    <t>-791.816553958762 50.3777764348924 -178.161236591815</t>
  </si>
  <si>
    <t>-804.470128514808 48.1618426816831 -275.944829782031</t>
  </si>
  <si>
    <t>-811.464311767136 50.3115340524341 -364.740629155935</t>
  </si>
  <si>
    <t>-813.500335273745 56.5498054172722 -453.595428771907</t>
  </si>
  <si>
    <t>-810.995514207577 69.35545472487 -577.492861920921</t>
  </si>
  <si>
    <t>-775.057115198075 88.7658992862866 -649.857984116696</t>
  </si>
  <si>
    <t>-819.749166464327 90.2263072296214 -520.386929823663</t>
  </si>
  <si>
    <t>-849.12582050807 220.927943784289 -489.516543149366</t>
  </si>
  <si>
    <t>-772.917414860766 246.050501876056 -206.404512624754</t>
  </si>
  <si>
    <t>-541.339373215534 307.187390076567 -232.573413178084</t>
  </si>
  <si>
    <t>-804.446115323974 37.2144178770741 -525.556604364613</t>
  </si>
  <si>
    <t>-811.228557641696 151.054363073888 -68.8638851078582</t>
  </si>
  <si>
    <t>-830.542069239785 181.876530546494 333.046098765794</t>
  </si>
  <si>
    <t>-884.305405565284 196.215622597023 777.908497593146</t>
  </si>
  <si>
    <t>-759.910184068233 273.980884446486 837.621507813692</t>
  </si>
  <si>
    <t>-671.297634656754 -29.0652300243432 333.720807607223</t>
  </si>
  <si>
    <t>-694.248792063091 -50.3591479333916 780.282054253842</t>
  </si>
  <si>
    <t>-567.743951491471 -114.756772306724 850.544288252565</t>
  </si>
  <si>
    <t>9763-20170724T111058.686182200.bin</t>
  </si>
  <si>
    <t>-763.574641625205 66.1396688673708 -66.9621670817758</t>
  </si>
  <si>
    <t>-791.868797231085 49.9913091370317 -178.114788390097</t>
  </si>
  <si>
    <t>-804.629946142909 47.7999988400511 -275.884960561359</t>
  </si>
  <si>
    <t>-811.747317718855 49.9787183089538 -364.670321925065</t>
  </si>
  <si>
    <t>-813.931309945812 56.2525150242136 -453.519107863322</t>
  </si>
  <si>
    <t>-811.658140855881 69.1150868336426 -577.414967730911</t>
  </si>
  <si>
    <t>-775.933660190811 88.5313688670353 -649.884308993524</t>
  </si>
  <si>
    <t>-820.29745942963 89.9619997093928 -520.282756295005</t>
  </si>
  <si>
    <t>-849.523232476349 220.662833958087 -489.306926060424</t>
  </si>
  <si>
    <t>-770.485548625615 247.451425438461 -207.125063350992</t>
  </si>
  <si>
    <t>-539.143669693991 309.023242846783 -234.341344827094</t>
  </si>
  <si>
    <t>-805.019943339903 36.9479404495105 -525.506344946174</t>
  </si>
  <si>
    <t>-810.95572792591 150.629470101226 -68.7355498405454</t>
  </si>
  <si>
    <t>-830.759261457207 181.749571733191 333.127652416503</t>
  </si>
  <si>
    <t>-884.11632730581 196.433736985417 778.004009134056</t>
  </si>
  <si>
    <t>-759.66306580132 273.944602033336 837.92667411644</t>
  </si>
  <si>
    <t>-671.553589089663 -29.3516797878001 333.741020499788</t>
  </si>
  <si>
    <t>-694.478596155232 -50.5837911127803 780.331894199025</t>
  </si>
  <si>
    <t>-567.811155345544 -114.702191013219 850.556105650084</t>
  </si>
  <si>
    <t>9763-20170724T111058.716262900.bin</t>
  </si>
  <si>
    <t>-763.716373035129 65.9909475146792 -66.931652501187</t>
  </si>
  <si>
    <t>-792.015099121009 49.8353740401535 -178.081922013098</t>
  </si>
  <si>
    <t>-804.846673053716 47.6388838619264 -275.842909124789</t>
  </si>
  <si>
    <t>-812.053076879919 49.8135907301667 -364.62115172763</t>
  </si>
  <si>
    <t>-814.35115910493 56.0846233272246 -453.46722759329</t>
  </si>
  <si>
    <t>-812.262466104941 68.9447047407002 -577.366721649494</t>
  </si>
  <si>
    <t>-776.624764522704 88.3680601850679 -649.876699806136</t>
  </si>
  <si>
    <t>-820.807750692705 89.7949571032391 -520.221627424072</t>
  </si>
  <si>
    <t>-849.889906488156 220.519518746787 -489.197390697748</t>
  </si>
  <si>
    <t>-768.965301473685 248.512230975359 -207.668003013929</t>
  </si>
  <si>
    <t>-537.858846759191 310.482089111863 -235.958159268199</t>
  </si>
  <si>
    <t>-805.555491720712 36.7761443990344 -525.467554088288</t>
  </si>
  <si>
    <t>-811.127211662283 150.487956225139 -68.7060043077503</t>
  </si>
  <si>
    <t>-830.812880359156 181.740351606885 333.152721135233</t>
  </si>
  <si>
    <t>-884.051917326358 196.546395269921 778.038938582785</t>
  </si>
  <si>
    <t>-759.552782396349 273.931642398038 838.028773980743</t>
  </si>
  <si>
    <t>-671.795109235362 -29.3746814856968 333.763461261541</t>
  </si>
  <si>
    <t>-694.547137718965 -50.5358289977246 780.356844403887</t>
  </si>
  <si>
    <t>-567.882450142619 -114.668280875062 850.573442597462</t>
  </si>
  <si>
    <t>9763-20170724T111058.783042300.bin</t>
  </si>
  <si>
    <t>-763.952612200221 65.7526688808234 -66.830282374877</t>
  </si>
  <si>
    <t>-792.363888231075 49.5989440388494 -177.952166919761</t>
  </si>
  <si>
    <t>-805.420695451642 47.3888577032135 -275.682959301704</t>
  </si>
  <si>
    <t>-812.883223036827 49.5484672285434 -364.440276536483</t>
  </si>
  <si>
    <t>-815.488593044886 55.8029369914457 -453.27924264882</t>
  </si>
  <si>
    <t>-813.881866030916 68.6405531462351 -577.188104866988</t>
  </si>
  <si>
    <t>-778.326182004294 88.0599339833589 -649.739594040009</t>
  </si>
  <si>
    <t>-822.181443276219 89.5079786690403 -520.013161890874</t>
  </si>
  <si>
    <t>-850.979897419122 220.311636116172 -489.037423653594</t>
  </si>
  <si>
    <t>-765.744394990313 250.960374484537 -209.061148183837</t>
  </si>
  <si>
    <t>-535.268972780368 314.055396634046 -239.900778424214</t>
  </si>
  <si>
    <t>-806.996369221548 36.4747336459354 -525.310637057511</t>
  </si>
  <si>
    <t>-811.170442864938 150.251812257431 -68.6319569043249</t>
  </si>
  <si>
    <t>-830.960252444668 181.679634334837 333.207981024633</t>
  </si>
  <si>
    <t>-883.879990746503 196.568157383108 778.073154833903</t>
  </si>
  <si>
    <t>-759.298970925447 273.800547542551 838.090608674884</t>
  </si>
  <si>
    <t>-672.137119532434 -29.4680821796078 333.787649829732</t>
  </si>
  <si>
    <t>-694.691796307867 -50.5508191582701 780.389305293891</t>
  </si>
  <si>
    <t>-567.997881918579 -114.630960226363 850.600714860029</t>
  </si>
  <si>
    <t>9763-20170724T111058.816130100.bin</t>
  </si>
  <si>
    <t>-763.966448617775 65.6853642072424 -66.81538790963</t>
  </si>
  <si>
    <t>-792.461045112644 49.4999779008258 -177.911290043479</t>
  </si>
  <si>
    <t>-805.650831937727 47.2549571542195 -275.623387397517</t>
  </si>
  <si>
    <t>-813.258822900109 49.3823794466834 -364.369337868137</t>
  </si>
  <si>
    <t>-816.035141202976 55.6053536666586 -453.205227182764</t>
  </si>
  <si>
    <t>-814.69324346859 68.4015554401058 -577.121663042801</t>
  </si>
  <si>
    <t>-779.149207920039 87.80340065461 -649.683191229089</t>
  </si>
  <si>
    <t>-822.865202475315 89.2896892603735 -519.935679167415</t>
  </si>
  <si>
    <t>-851.546906443071 220.139442441453 -489.036377384565</t>
  </si>
  <si>
    <t>-764.430142978921 252.161414456354 -209.79372607257</t>
  </si>
  <si>
    <t>-534.300535075653 315.704699317067 -242.251604865776</t>
  </si>
  <si>
    <t>-807.702467467972 36.2515971690582 -525.248505518924</t>
  </si>
  <si>
    <t>-811.134782350947 150.173810261082 -68.6096727052171</t>
  </si>
  <si>
    <t>-830.814206016241 181.80615919506 333.21970457885</t>
  </si>
  <si>
    <t>-883.831636154866 196.566723756799 778.069850757032</t>
  </si>
  <si>
    <t>-759.29145091836 273.894820310677 838.047890808707</t>
  </si>
  <si>
    <t>-672.198276579588 -29.5249459460788 333.802476735525</t>
  </si>
  <si>
    <t>-694.766758731692 -50.5917595814519 780.402576424185</t>
  </si>
  <si>
    <t>-568.054332840284 -114.638201681104 850.611886489886</t>
  </si>
  <si>
    <t>9763-20170724T111058.884853800.bin</t>
  </si>
  <si>
    <t>-763.787839582769 65.518635715257 -66.8281274119672</t>
  </si>
  <si>
    <t>-792.482680782449 49.210294897136 -177.854467594205</t>
  </si>
  <si>
    <t>-805.953694770007 46.8196069641945 -275.524713907466</t>
  </si>
  <si>
    <t>-813.859915203424 48.8020190502375 -364.247906439449</t>
  </si>
  <si>
    <t>-816.979205547563 54.8693072266947 -453.083161285644</t>
  </si>
  <si>
    <t>-816.162299454311 67.4390365636905 -577.027162213895</t>
  </si>
  <si>
    <t>-780.646060353907 86.726793447805 -649.633195533588</t>
  </si>
  <si>
    <t>-824.102388930991 88.4285598754695 -519.845890879565</t>
  </si>
  <si>
    <t>-852.792639283714 219.347828719822 -489.203712661058</t>
  </si>
  <si>
    <t>-763.949893159005 253.360081839758 -210.741344075531</t>
  </si>
  <si>
    <t>-534.321973430928 316.473469593433 -247.326701301503</t>
  </si>
  <si>
    <t>-808.940884636256 35.3868628210084 -525.125108584285</t>
  </si>
  <si>
    <t>-811.087551005136 149.887443270937 -68.6344498916537</t>
  </si>
  <si>
    <t>-830.154769161092 182.0379361466 333.183306622446</t>
  </si>
  <si>
    <t>-883.674698929302 196.416318815772 778.020006229681</t>
  </si>
  <si>
    <t>-759.209249284468 273.969870461543 837.861964954582</t>
  </si>
  <si>
    <t>-672.062713844829 -29.5966402917229 333.824048467743</t>
  </si>
  <si>
    <t>-694.880786776779 -50.5384065958465 780.393651172443</t>
  </si>
  <si>
    <t>-568.216360967573 -114.655956826687 850.624453379491</t>
  </si>
  <si>
    <t>9763-20170724T111058.916939200.bin</t>
  </si>
  <si>
    <t>-763.447705181296 65.3802289200617 -66.8371224601344</t>
  </si>
  <si>
    <t>-792.242878165281 48.9887442872969 -177.825304708094</t>
  </si>
  <si>
    <t>-805.842966872123 46.5008120585048 -275.475226955858</t>
  </si>
  <si>
    <t>-813.883799495359 48.3855036128243 -364.188397883108</t>
  </si>
  <si>
    <t>-817.154166939983 54.3464295960889 -453.025429497172</t>
  </si>
  <si>
    <t>-816.567023517686 66.7593433124903 -576.986652849456</t>
  </si>
  <si>
    <t>-781.079997626669 85.971978254383 -649.626608023893</t>
  </si>
  <si>
    <t>-824.41906779396 87.8161450273228 -519.817920040799</t>
  </si>
  <si>
    <t>-853.230712850675 218.743357764803 -489.347512606283</t>
  </si>
  <si>
    <t>-764.813271971987 253.316099167967 -210.818720817576</t>
  </si>
  <si>
    <t>-535.253248598141 315.498823122372 -249.371760724098</t>
  </si>
  <si>
    <t>-809.231609350297 34.777911843295 -525.056954157924</t>
  </si>
  <si>
    <t>-810.823398001623 149.646352257284 -68.6344955975341</t>
  </si>
  <si>
    <t>-829.631947070905 182.108140637508 333.170349493877</t>
  </si>
  <si>
    <t>-883.553656004519 196.279765208375 777.978866845404</t>
  </si>
  <si>
    <t>-758.919270329826 273.623235067259 837.741668054851</t>
  </si>
  <si>
    <t>-671.750701462722 -29.5878726619744 333.831381300102</t>
  </si>
  <si>
    <t>-694.924721947073 -50.4661194988694 780.383547923837</t>
  </si>
  <si>
    <t>-568.361367092276 -114.762632971326 850.632935811751</t>
  </si>
  <si>
    <t>9763-20170724T111058.980222700.bin</t>
  </si>
  <si>
    <t>-762.753411865258 64.9531130377063 -66.8311015098482</t>
  </si>
  <si>
    <t>-791.78130125024 48.3674619025892 -177.729743360791</t>
  </si>
  <si>
    <t>-805.691081252794 45.6874139998372 -275.330920985294</t>
  </si>
  <si>
    <t>-814.05457795715 47.3902121602 -364.017991413134</t>
  </si>
  <si>
    <t>-817.69094510121 53.1635245871144 -452.853171037864</t>
  </si>
  <si>
    <t>-817.658273351449 65.3104145647521 -576.842163079435</t>
  </si>
  <si>
    <t>-782.291407606489 84.3808183866731 -649.578179189516</t>
  </si>
  <si>
    <t>-825.315375365939 86.4725298309404 -519.685867501166</t>
  </si>
  <si>
    <t>-854.350477390103 217.369201039516 -489.320290456157</t>
  </si>
  <si>
    <t>-767.895506070003 251.726684441238 -210.149649989987</t>
  </si>
  <si>
    <t>-538.18002755611 311.665647290524 -251.246519646845</t>
  </si>
  <si>
    <t>-810.029724817477 33.4576276978851 -524.875631270739</t>
  </si>
  <si>
    <t>-810.30037551883 149.118456875733 -68.6115992704212</t>
  </si>
  <si>
    <t>-828.775823889594 182.12376622918 333.164367024837</t>
  </si>
  <si>
    <t>-883.373079892285 196.092187384177 777.894251613233</t>
  </si>
  <si>
    <t>-758.663288561341 273.423497368999 837.514454659317</t>
  </si>
  <si>
    <t>-671.112602130192 -29.7054397199076 333.847631498319</t>
  </si>
  <si>
    <t>-695.066329426466 -50.590755227583 780.362879554697</t>
  </si>
  <si>
    <t>-568.389228086535 -114.652955088422 850.62127410057</t>
  </si>
  <si>
    <t>9763-20170724T111059.012309500.bin</t>
  </si>
  <si>
    <t>-762.529530864839 64.8102697318591 -66.808190948148</t>
  </si>
  <si>
    <t>-791.655715266745 48.1318667391847 -177.667167488256</t>
  </si>
  <si>
    <t>-805.722688589621 45.3714666712362 -275.243541090751</t>
  </si>
  <si>
    <t>-814.257159639932 47.0017455079387 -363.915780387689</t>
  </si>
  <si>
    <t>-818.091930554809 52.7043269585506 -452.747187840548</t>
  </si>
  <si>
    <t>-818.364681805947 64.7552372066275 -576.745279358954</t>
  </si>
  <si>
    <t>-783.059650697976 83.7600023511218 -649.528359790972</t>
  </si>
  <si>
    <t>-825.913145098393 85.9526795953398 -519.587411060551</t>
  </si>
  <si>
    <t>-855.05482498582 216.813864490716 -489.182177629274</t>
  </si>
  <si>
    <t>-769.921779958482 250.146540633277 -209.48165990936</t>
  </si>
  <si>
    <t>-540.29519555139 309.371254971613 -252.085129310833</t>
  </si>
  <si>
    <t>-810.576340319633 32.9518817579196 -524.772220095366</t>
  </si>
  <si>
    <t>-810.135770153736 148.927186071471 -68.594721017296</t>
  </si>
  <si>
    <t>-828.546764837843 182.112563078826 333.169343468324</t>
  </si>
  <si>
    <t>-883.31308385727 196.058218269207 777.865562430278</t>
  </si>
  <si>
    <t>-758.77573798508 273.704396159552 837.437627960805</t>
  </si>
  <si>
    <t>-670.856859793292 -29.7255418219511 333.843645576527</t>
  </si>
  <si>
    <t>-695.105753006245 -50.4885397200333 780.350681502527</t>
  </si>
  <si>
    <t>-568.479694250208 -114.644031579102 850.616344321449</t>
  </si>
  <si>
    <t>9763-20170724T111059.080052500.bin</t>
  </si>
  <si>
    <t>-762.261329913576 64.6020781095899 -66.7846228330668</t>
  </si>
  <si>
    <t>-791.582492940563 47.7058819419258 -177.559138279507</t>
  </si>
  <si>
    <t>-805.952215376586 44.8010134230458 -275.087317741423</t>
  </si>
  <si>
    <t>-814.811939937215 46.3205735439897 -363.729361074193</t>
  </si>
  <si>
    <t>-819.022557942882 51.9355623687484 -452.549406966758</t>
  </si>
  <si>
    <t>-819.871846582875 63.8910884879037 -576.55410341973</t>
  </si>
  <si>
    <t>-784.725761228754 82.8452369148931 -649.42728388679</t>
  </si>
  <si>
    <t>-827.229774997936 85.1106606160297 -519.379729972775</t>
  </si>
  <si>
    <t>-856.6706049045 215.875515879525 -488.872621815343</t>
  </si>
  <si>
    <t>-774.349908792343 246.699761786225 -208.044678206025</t>
  </si>
  <si>
    <t>-544.917449362865 304.764585321237 -253.213186151867</t>
  </si>
  <si>
    <t>-811.766182042011 32.1494683577835 -524.591684406325</t>
  </si>
  <si>
    <t>-809.948793899333 148.63706715786 -68.5757226335852</t>
  </si>
  <si>
    <t>-828.285575315824 182.011848012071 333.176176554312</t>
  </si>
  <si>
    <t>-883.19303687049 196.037800417555 777.822699438216</t>
  </si>
  <si>
    <t>-758.61987772548 273.66600024115 837.343365630563</t>
  </si>
  <si>
    <t>-670.48243112856 -29.7767503456198 333.870788014176</t>
  </si>
  <si>
    <t>-695.21876697297 -50.4328633027117 780.358273097577</t>
  </si>
  <si>
    <t>-568.624509310522 -114.66156993753 850.614051255785</t>
  </si>
  <si>
    <t>9763-20170724T111059.113140700.bin</t>
  </si>
  <si>
    <t>-762.272745619731 64.4397237519902 -66.7812990521315</t>
  </si>
  <si>
    <t>-791.675755014751 47.4391534482365 -177.518211845639</t>
  </si>
  <si>
    <t>-806.184013089435 44.4694516739792 -275.023839893544</t>
  </si>
  <si>
    <t>-815.194807504269 45.9415065163826 -363.651625168681</t>
  </si>
  <si>
    <t>-819.582450349986 51.522015277676 -452.465132365137</t>
  </si>
  <si>
    <t>-820.70512809325 63.4441506261924 -576.470823631137</t>
  </si>
  <si>
    <t>-785.660423106135 82.4016986324677 -649.39210505735</t>
  </si>
  <si>
    <t>-827.969100186439 84.6698019806286 -519.286808274102</t>
  </si>
  <si>
    <t>-857.560561390962 215.3883467918 -488.725411131494</t>
  </si>
  <si>
    <t>-776.368911524419 245.475319353988 -207.488868731538</t>
  </si>
  <si>
    <t>-547.023673108839 303.211282962686 -253.512442999054</t>
  </si>
  <si>
    <t>-812.453087633797 31.7258587367382 -524.51738773996</t>
  </si>
  <si>
    <t>-809.9644109812 148.431289319414 -68.5911075121975</t>
  </si>
  <si>
    <t>-828.263100972407 181.85402648195 333.158473219494</t>
  </si>
  <si>
    <t>-883.088476709656 195.988315794655 777.800361255989</t>
  </si>
  <si>
    <t>-758.316672611735 273.301244802621 837.315486609344</t>
  </si>
  <si>
    <t>-670.448586909555 -29.8306327424257 333.880267660067</t>
  </si>
  <si>
    <t>-695.274838635926 -50.3923901949606 780.374463533204</t>
  </si>
  <si>
    <t>-568.730531967116 -114.730826584636 850.619563111351</t>
  </si>
  <si>
    <t>9763-20170724T111059.180888400.bin</t>
  </si>
  <si>
    <t>-762.417793315108 63.8742038266182 -66.8354894714967</t>
  </si>
  <si>
    <t>-791.915138990896 46.6697870768203 -177.515745841678</t>
  </si>
  <si>
    <t>-806.633814744151 43.5748540435843 -274.985917066048</t>
  </si>
  <si>
    <t>-815.883800732264 44.9547306314244 -363.590631642562</t>
  </si>
  <si>
    <t>-820.557078456575 50.4664374428708 -452.393822434352</t>
  </si>
  <si>
    <t>-822.126020687113 62.3179960097023 -576.401501802092</t>
  </si>
  <si>
    <t>-787.264210084189 81.3017911159236 -649.403659636744</t>
  </si>
  <si>
    <t>-829.235639517639 83.5610324726449 -519.204488440725</t>
  </si>
  <si>
    <t>-859.079375646116 214.196753351368 -488.537686055637</t>
  </si>
  <si>
    <t>-779.054889483032 243.261779210533 -206.859705029539</t>
  </si>
  <si>
    <t>-549.79473825462 300.604673502576 -253.789146223189</t>
  </si>
  <si>
    <t>-813.635462578101 30.644301257611 -524.459199559038</t>
  </si>
  <si>
    <t>-810.103943068494 147.845154171712 -68.6389394301863</t>
  </si>
  <si>
    <t>-828.49116444121 181.480222743824 333.088819072359</t>
  </si>
  <si>
    <t>-882.98270649495 196.058930076793 777.741388003199</t>
  </si>
  <si>
    <t>-758.478418872262 273.774526758875 837.291826300727</t>
  </si>
  <si>
    <t>-670.662619893497 -30.0322123290757 333.906535066254</t>
  </si>
  <si>
    <t>-695.409723058507 -50.4471631945873 780.414289312806</t>
  </si>
  <si>
    <t>-568.716881782068 -114.528522150158 850.626629011917</t>
  </si>
  <si>
    <t>9763-20170724T111059.217987900.bin</t>
  </si>
  <si>
    <t>-762.564738083464 63.5438804726987 -66.8538747657163</t>
  </si>
  <si>
    <t>-792.089111125762 46.2719413499303 -177.516571170838</t>
  </si>
  <si>
    <t>-806.861209249558 43.1404536756099 -274.977507704469</t>
  </si>
  <si>
    <t>-816.169658859061 44.4958395114968 -363.576282652711</t>
  </si>
  <si>
    <t>-820.911901161617 49.9920974006959 -452.376930871388</t>
  </si>
  <si>
    <t>-822.586834267636 61.8318035648431 -576.384282746896</t>
  </si>
  <si>
    <t>-787.820754582787 80.8588302927833 -649.420683051848</t>
  </si>
  <si>
    <t>-829.665381019921 83.0750629484646 -519.183595497695</t>
  </si>
  <si>
    <t>-859.574740595069 213.675365384368 -488.448390685708</t>
  </si>
  <si>
    <t>-779.855449931192 242.18331827335 -206.626897182676</t>
  </si>
  <si>
    <t>-550.487985181823 299.295863385385 -253.31303487529</t>
  </si>
  <si>
    <t>-814.034033614162 30.168168143869 -524.44598933803</t>
  </si>
  <si>
    <t>-810.201810982607 147.49284157629 -68.6735310679475</t>
  </si>
  <si>
    <t>-828.694652249661 181.227560168876 333.041129092495</t>
  </si>
  <si>
    <t>-882.920477235232 196.098454274807 777.707008490859</t>
  </si>
  <si>
    <t>-758.395987990593 273.749186327917 837.300041611698</t>
  </si>
  <si>
    <t>-670.756695885019 -30.1588080363117 333.90038922589</t>
  </si>
  <si>
    <t>-695.482450282462 -50.5226867622434 780.436260729474</t>
  </si>
  <si>
    <t>-568.696565369173 -114.433693215143 850.636032237558</t>
  </si>
  <si>
    <t>9763-20170724T111059.283683700.bin</t>
  </si>
  <si>
    <t>-762.900697558941 62.9163025422104 -66.8967636623573</t>
  </si>
  <si>
    <t>-792.418762659317 45.5403361665412 -177.544739560419</t>
  </si>
  <si>
    <t>-807.202274180944 42.4269432300953 -275.004497202507</t>
  </si>
  <si>
    <t>-816.523455842215 43.841073689925 -363.601206818107</t>
  </si>
  <si>
    <t>-821.278217683412 49.4384092960777 -452.394721516045</t>
  </si>
  <si>
    <t>-822.968998103537 61.462901642436 -576.38403807656</t>
  </si>
  <si>
    <t>-788.371058016088 80.6661009786199 -649.454418646446</t>
  </si>
  <si>
    <t>-830.076673693777 82.610409855628 -519.151405105292</t>
  </si>
  <si>
    <t>-860.121826806258 213.142465772693 -488.215765602425</t>
  </si>
  <si>
    <t>-779.955800878072 240.560503929112 -206.412842755473</t>
  </si>
  <si>
    <t>-550.832515549302 298.093821413966 -253.775648917325</t>
  </si>
  <si>
    <t>-814.37307598811 29.7328059515348 -524.493646192158</t>
  </si>
  <si>
    <t>-810.557287888848 146.82496700214 -68.7476820696493</t>
  </si>
  <si>
    <t>-829.351302015915 180.640645596223 332.9461408357</t>
  </si>
  <si>
    <t>-882.832303471798 196.259074161762 777.653776099668</t>
  </si>
  <si>
    <t>-758.362160038118 273.912353121197 837.356900438046</t>
  </si>
  <si>
    <t>-671.12136053251 -30.4135466451553 333.88489515606</t>
  </si>
  <si>
    <t>-695.575527981864 -50.4261304762367 780.471107032602</t>
  </si>
  <si>
    <t>-568.835346722067 -114.445595873031 850.654808734683</t>
  </si>
  <si>
    <t>9763-20170724T111059.315773300.bin</t>
  </si>
  <si>
    <t>-762.997958891199 62.5244415674324 -66.9348706447778</t>
  </si>
  <si>
    <t>-792.528268336795 45.0828154802848 -177.569330767863</t>
  </si>
  <si>
    <t>-807.312920512413 41.9727280157977 -275.029007065372</t>
  </si>
  <si>
    <t>-816.628364589439 43.4124266619169 -363.62580825521</t>
  </si>
  <si>
    <t>-821.368797699363 49.0567546534444 -452.417183206293</t>
  </si>
  <si>
    <t>-823.028976599166 61.1688859519777 -576.398467853105</t>
  </si>
  <si>
    <t>-788.465165468333 80.4584732952953 -649.462189562532</t>
  </si>
  <si>
    <t>-830.161462257858 82.2725787099257 -519.152779839288</t>
  </si>
  <si>
    <t>-860.292348069111 212.769027515143 -488.14754191198</t>
  </si>
  <si>
    <t>-779.561211339195 240.086510357196 -206.496309934141</t>
  </si>
  <si>
    <t>-550.815297465219 298.26847470286 -254.880389024246</t>
  </si>
  <si>
    <t>-814.435322911725 29.405324991777 -524.528072721398</t>
  </si>
  <si>
    <t>-810.639168027278 146.368831048358 -68.7875675818207</t>
  </si>
  <si>
    <t>-829.650810281569 180.313163669796 332.885122108161</t>
  </si>
  <si>
    <t>-882.736065464631 196.254811734379 777.621850606155</t>
  </si>
  <si>
    <t>-757.859758458808 273.22189161786 837.364900650012</t>
  </si>
  <si>
    <t>-671.316404799234 -30.6122803679336 333.882450090229</t>
  </si>
  <si>
    <t>-695.649457452554 -50.5163668925961 780.493670539878</t>
  </si>
  <si>
    <t>-568.859042102178 -114.450211167598 850.664985511453</t>
  </si>
  <si>
    <t>9763-20170724T111059.384457100.bin</t>
  </si>
  <si>
    <t>-763.190309409637 61.5880821404985 -66.9895958433071</t>
  </si>
  <si>
    <t>-792.823626341065 44.0730554342499 -177.584820577765</t>
  </si>
  <si>
    <t>-807.652087647843 40.9770405535728 -275.038300190993</t>
  </si>
  <si>
    <t>-816.984933402103 42.4580422685972 -363.632569274265</t>
  </si>
  <si>
    <t>-821.718124221703 48.1712225389088 -452.419891248015</t>
  </si>
  <si>
    <t>-823.341600524172 60.406440474098 -576.3897018211</t>
  </si>
  <si>
    <t>-788.732809663233 79.8532398776611 -649.390167315317</t>
  </si>
  <si>
    <t>-830.502303414398 81.4500002961036 -519.125309755669</t>
  </si>
  <si>
    <t>-860.736273715859 211.91269220397 -488.07642556865</t>
  </si>
  <si>
    <t>-778.800412117669 239.758478517233 -206.824981944485</t>
  </si>
  <si>
    <t>-550.64427865738 299.04532994073 -256.631260644723</t>
  </si>
  <si>
    <t>-814.751974599251 28.5946190881432 -524.54804437112</t>
  </si>
  <si>
    <t>-810.875818521069 145.491793695487 -68.8389552113588</t>
  </si>
  <si>
    <t>-830.040518734076 179.794284699242 332.796128542738</t>
  </si>
  <si>
    <t>-882.689322909437 196.343856329268 777.548194089367</t>
  </si>
  <si>
    <t>-758.147866323265 273.83592548798 837.311611374968</t>
  </si>
  <si>
    <t>-671.747891323171 -31.1305421703873 333.865644178689</t>
  </si>
  <si>
    <t>-695.780931539999 -50.6308558265644 780.538385841439</t>
  </si>
  <si>
    <t>-568.814748146264 -114.251939799494 850.675603619844</t>
  </si>
  <si>
    <t>9763-20170724T111059.415539700.bin</t>
  </si>
  <si>
    <t>-763.205697704614 61.0615735921106 -66.9807866974069</t>
  </si>
  <si>
    <t>-792.912146421377 43.5452421461446 -177.55625772174</t>
  </si>
  <si>
    <t>-807.762664964053 40.4708698588443 -275.007051320742</t>
  </si>
  <si>
    <t>-817.09877460966 41.9804389643373 -363.600559755788</t>
  </si>
  <si>
    <t>-821.819083701413 47.7311704675071 -452.386194028409</t>
  </si>
  <si>
    <t>-823.406777858147 60.0279292531891 -576.350204584984</t>
  </si>
  <si>
    <t>-788.737722533869 79.5375263744013 -649.305436435961</t>
  </si>
  <si>
    <t>-830.590121525401 81.0411884544496 -519.077683907199</t>
  </si>
  <si>
    <t>-860.849340492088 211.490169608686 -488.015853368303</t>
  </si>
  <si>
    <t>-778.455889017333 239.615352073823 -206.926139721475</t>
  </si>
  <si>
    <t>-550.525279074123 299.364206053762 -257.210856918089</t>
  </si>
  <si>
    <t>-814.825865484088 28.1921755580297 -524.521953617128</t>
  </si>
  <si>
    <t>-810.815056682797 145.023366983792 -68.8405782656586</t>
  </si>
  <si>
    <t>-829.90013734452 179.53063386286 332.780676386244</t>
  </si>
  <si>
    <t>-882.627628362353 196.294826260077 777.504678036222</t>
  </si>
  <si>
    <t>-757.998458470304 273.661107172334 837.248506366655</t>
  </si>
  <si>
    <t>-671.916768054011 -31.4741169194972 333.86643154885</t>
  </si>
  <si>
    <t>-695.870790229754 -50.7850620651088 780.569199566363</t>
  </si>
  <si>
    <t>-568.815017204047 -114.258975450113 850.677579312901</t>
  </si>
  <si>
    <t>9763-20170724T111059.484670300.bin</t>
  </si>
  <si>
    <t>-763.448490167189 60.2764700337389 -67.0046972680294</t>
  </si>
  <si>
    <t>-793.284241162643 42.7566010855585 -177.544651959034</t>
  </si>
  <si>
    <t>-808.197202033856 39.7578042785944 -274.988388668731</t>
  </si>
  <si>
    <t>-817.569584640702 41.3695285577746 -363.57628132473</t>
  </si>
  <si>
    <t>-822.30598806753 47.2560027972354 -452.352082341452</t>
  </si>
  <si>
    <t>-823.894315117214 59.7778911468881 -576.293587206681</t>
  </si>
  <si>
    <t>-789.164202565707 79.3777946330206 -649.195609799983</t>
  </si>
  <si>
    <t>-831.095188492661 80.6817786456695 -518.983206725156</t>
  </si>
  <si>
    <t>-861.397118444642 211.079658793811 -487.726811850929</t>
  </si>
  <si>
    <t>-778.136044384142 239.289448544585 -206.901136013969</t>
  </si>
  <si>
    <t>-550.548909856961 299.918514681646 -257.685896600818</t>
  </si>
  <si>
    <t>-815.29539504563 27.8534685463474 -524.522936549873</t>
  </si>
  <si>
    <t>-810.931115143223 144.280851573942 -68.8420385119955</t>
  </si>
  <si>
    <t>-829.675197897564 179.071773474646 332.770883763734</t>
  </si>
  <si>
    <t>-882.558581583797 196.260847632453 777.437277400902</t>
  </si>
  <si>
    <t>-758.07685102849 273.894376676761 837.142092168626</t>
  </si>
  <si>
    <t>-672.420384531185 -31.9246840202809 333.869798082766</t>
  </si>
  <si>
    <t>-695.984979781866 -50.8384944497686 780.607208039746</t>
  </si>
  <si>
    <t>-568.886139787747 -114.262478437257 850.68281701339</t>
  </si>
  <si>
    <t>9763-20170724T111059.517757400.bin</t>
  </si>
  <si>
    <t>-763.614755447314 60.0579298561515 -67.0390038909813</t>
  </si>
  <si>
    <t>-793.483105326193 42.5200076270576 -177.567359920841</t>
  </si>
  <si>
    <t>-808.418218841705 39.5518147999701 -275.008626049704</t>
  </si>
  <si>
    <t>-817.806555458538 41.2094871177214 -363.593906215846</t>
  </si>
  <si>
    <t>-822.553786729922 47.1606065632373 -452.364920136045</t>
  </si>
  <si>
    <t>-824.152438019398 59.7919375827141 -576.295173874931</t>
  </si>
  <si>
    <t>-789.417896110099 79.4003613622235 -649.19279417491</t>
  </si>
  <si>
    <t>-831.342066267594 80.6472664883736 -518.965673729874</t>
  </si>
  <si>
    <t>-861.578257142021 211.03447318931 -487.594998916178</t>
  </si>
  <si>
    <t>-777.94478189044 238.991567480961 -206.854851512444</t>
  </si>
  <si>
    <t>-550.459656242112 299.952753749224 -257.699625687022</t>
  </si>
  <si>
    <t>-815.556021131852 27.8198349134782 -524.553450521352</t>
  </si>
  <si>
    <t>-810.936450616543 143.996884551136 -68.8525749938486</t>
  </si>
  <si>
    <t>-829.788013307369 178.91406502519 332.744342918811</t>
  </si>
  <si>
    <t>-882.48421670705 196.244214644862 777.412305805983</t>
  </si>
  <si>
    <t>-758.049392420641 273.925086997315 837.152538106469</t>
  </si>
  <si>
    <t>-672.67302178475 -31.9925804381483 333.857863112733</t>
  </si>
  <si>
    <t>-696.000049367309 -50.7217555248865 780.612459985764</t>
  </si>
  <si>
    <t>-568.907339835803 -114.159905442327 850.686410642865</t>
  </si>
  <si>
    <t>9763-20170724T111059.582683100.bin</t>
  </si>
  <si>
    <t>-764.039920506297 59.8001628182001 -67.0562197930329</t>
  </si>
  <si>
    <t>-793.878306688895 42.2729944820258 -177.594438036014</t>
  </si>
  <si>
    <t>-808.823236725087 39.3515480438764 -275.035524884453</t>
  </si>
  <si>
    <t>-818.232949581956 41.067014663347 -363.617437019873</t>
  </si>
  <si>
    <t>-823.012290999166 47.0903309815285 -452.381882728466</t>
  </si>
  <si>
    <t>-824.666273039589 59.8371863048351 -576.299461168121</t>
  </si>
  <si>
    <t>-789.939621879209 79.4033888944045 -649.212147308771</t>
  </si>
  <si>
    <t>-831.77209021911 80.6563007049144 -518.946347470119</t>
  </si>
  <si>
    <t>-861.646931562473 211.082827897789 -487.424314439412</t>
  </si>
  <si>
    <t>-777.517366108651 238.425706504545 -206.771911927478</t>
  </si>
  <si>
    <t>-550.356536289946 299.935076539342 -258.39996310675</t>
  </si>
  <si>
    <t>-816.104512404301 27.7996777178701 -524.592561933573</t>
  </si>
  <si>
    <t>-811.189738340473 143.800848999701 -68.9294750722374</t>
  </si>
  <si>
    <t>-830.254132600427 178.675804203335 332.661004413158</t>
  </si>
  <si>
    <t>-882.44488844886 196.403341320206 777.378907098164</t>
  </si>
  <si>
    <t>-758.062638194016 274.089806897439 837.22153056111</t>
  </si>
  <si>
    <t>-673.277386014057 -32.0331251874186 333.884247223149</t>
  </si>
  <si>
    <t>-696.156592950051 -50.9841198558627 780.686914560267</t>
  </si>
  <si>
    <t>-568.844890215096 -114.027088038529 850.720026831283</t>
  </si>
  <si>
    <t>9763-20170724T111059.614766600.bin</t>
  </si>
  <si>
    <t>-764.248826638576 59.8096955476094 -67.0628981906372</t>
  </si>
  <si>
    <t>-794.114194799371 42.295771903423 -177.595792973975</t>
  </si>
  <si>
    <t>-809.089572025778 39.3851821150656 -275.032659884473</t>
  </si>
  <si>
    <t>-818.52842502604 41.1101249630669 -363.611219322393</t>
  </si>
  <si>
    <t>-823.338100403081 47.1411630934617 -452.373449601002</t>
  </si>
  <si>
    <t>-825.034651722899 59.8964322381967 -576.28974596452</t>
  </si>
  <si>
    <t>-790.315424683517 79.4065272618 -649.220962869857</t>
  </si>
  <si>
    <t>-832.078091753499 80.7241173076291 -518.93193460032</t>
  </si>
  <si>
    <t>-861.693526466913 211.206230682456 -487.370961672822</t>
  </si>
  <si>
    <t>-777.130076858622 238.106211655051 -206.80623559084</t>
  </si>
  <si>
    <t>-550.087487197838 299.711453406735 -258.839114502959</t>
  </si>
  <si>
    <t>-816.497761953947 27.8428118619486 -524.588670863226</t>
  </si>
  <si>
    <t>-811.332966693121 143.846322905206 -68.9591802557998</t>
  </si>
  <si>
    <t>-830.461975620833 178.574787563613 332.64098188975</t>
  </si>
  <si>
    <t>-882.447192490883 196.540043345097 777.3795831154</t>
  </si>
  <si>
    <t>-758.021336627036 274.105508724262 837.288516876378</t>
  </si>
  <si>
    <t>-673.409361196002 -31.8806927885726 333.883976831039</t>
  </si>
  <si>
    <t>-696.156651072141 -50.8250475184009 780.688065621289</t>
  </si>
  <si>
    <t>-569.003494723536 -114.164709750334 850.741150449054</t>
  </si>
  <si>
    <t>9763-20170724T111059.684536600.bin</t>
  </si>
  <si>
    <t>-764.344587084244 59.8082514204198 -67.0138821662847</t>
  </si>
  <si>
    <t>-794.30874020914 42.2945178603431 -177.520298650205</t>
  </si>
  <si>
    <t>-809.336348923577 39.3395325042179 -274.947658886887</t>
  </si>
  <si>
    <t>-818.810859439142 41.00634856846 -363.523553359984</t>
  </si>
  <si>
    <t>-823.643864637865 46.9598172604096 -452.289794759603</t>
  </si>
  <si>
    <t>-825.359895496 59.5854727832398 -576.218985124365</t>
  </si>
  <si>
    <t>-790.683510060165 79.0076483067387 -649.194087199986</t>
  </si>
  <si>
    <t>-832.311651238419 80.4970610728128 -518.880720894432</t>
  </si>
  <si>
    <t>-861.439225665898 211.108746684558 -487.404714171874</t>
  </si>
  <si>
    <t>-776.047001317022 237.526974563953 -207.045223680847</t>
  </si>
  <si>
    <t>-548.966265976187 298.535131337761 -259.611131298643</t>
  </si>
  <si>
    <t>-816.897813852965 27.5618228532926 -524.487070751846</t>
  </si>
  <si>
    <t>-811.067096264175 143.989743217809 -68.9379441803378</t>
  </si>
  <si>
    <t>-830.690260056909 178.607107333758 332.647925354248</t>
  </si>
  <si>
    <t>-882.376519033941 196.707949782607 777.384873852253</t>
  </si>
  <si>
    <t>-757.927841974468 274.15104436409 837.404580302788</t>
  </si>
  <si>
    <t>-673.281320647973 -31.7421313684258 333.893897546076</t>
  </si>
  <si>
    <t>-696.218792919787 -50.8727152437032 780.685925442429</t>
  </si>
  <si>
    <t>-569.042732063835 -114.133812926477 850.76841800463</t>
  </si>
  <si>
    <t>9763-20170724T111059.718626200.bin</t>
  </si>
  <si>
    <t>-764.435674197164 59.852207393561 -67.0056633611883</t>
  </si>
  <si>
    <t>-794.434073990314 42.3650718906883 -177.506889614858</t>
  </si>
  <si>
    <t>-809.468946599048 39.380916682454 -274.932306483422</t>
  </si>
  <si>
    <t>-818.942544311283 41.0006138146482 -363.509281835996</t>
  </si>
  <si>
    <t>-823.768080073625 46.885347328152 -452.280459679274</t>
  </si>
  <si>
    <t>-825.467619157331 59.392334028631 -576.221868897868</t>
  </si>
  <si>
    <t>-790.839876471259 78.7984285841599 -649.224324362754</t>
  </si>
  <si>
    <t>-832.382586298407 80.3717539969839 -518.903895798153</t>
  </si>
  <si>
    <t>-861.269185755139 211.054834050906 -487.52113542173</t>
  </si>
  <si>
    <t>-775.57907161904 237.494785186254 -207.254689989087</t>
  </si>
  <si>
    <t>-548.544155080264 298.356366471722 -260.187704344939</t>
  </si>
  <si>
    <t>-817.057064770296 27.405564431544 -524.458875619357</t>
  </si>
  <si>
    <t>-811.10792399259 144.205871309518 -68.9538285656498</t>
  </si>
  <si>
    <t>-830.71641720955 178.607087305665 332.65134455264</t>
  </si>
  <si>
    <t>-882.389620923421 196.81885998567 777.381692470858</t>
  </si>
  <si>
    <t>-757.928465403857 274.216470090731 837.433926279365</t>
  </si>
  <si>
    <t>-673.20927429995 -31.6461847029941 333.897834842071</t>
  </si>
  <si>
    <t>-696.224991269518 -50.8315653365084 780.678646594115</t>
  </si>
  <si>
    <t>-569.08320314674 -114.142797104001 850.778111626416</t>
  </si>
  <si>
    <t>9763-20170724T111059.784806500.bin</t>
  </si>
  <si>
    <t>-764.88252003599 59.8883982120756 -66.9829911830872</t>
  </si>
  <si>
    <t>-794.942015522123 42.517815354001 -177.485905358154</t>
  </si>
  <si>
    <t>-809.989795566811 39.5390346715431 -274.909536239049</t>
  </si>
  <si>
    <t>-819.463374768477 41.1270578073386 -363.486960817948</t>
  </si>
  <si>
    <t>-824.279021527227 46.9428080901598 -452.263397957371</t>
  </si>
  <si>
    <t>-825.955720009621 59.3141289324149 -576.218787836966</t>
  </si>
  <si>
    <t>-791.553054249818 78.7591758627614 -649.317206005688</t>
  </si>
  <si>
    <t>-832.794725596184 80.3808763736715 -518.923683689744</t>
  </si>
  <si>
    <t>-861.227305685663 211.209798811804 -487.712463751531</t>
  </si>
  <si>
    <t>-774.540793007527 237.93322030768 -207.779401514672</t>
  </si>
  <si>
    <t>-547.652740428919 298.660239636575 -261.491090151817</t>
  </si>
  <si>
    <t>-817.640994282734 27.3592824857737 -524.420603012741</t>
  </si>
  <si>
    <t>-811.46254994298 144.553897309886 -68.9688101274078</t>
  </si>
  <si>
    <t>-830.88203152973 178.425259708725 332.690588364883</t>
  </si>
  <si>
    <t>-882.34758587541 196.906716735751 777.416061953016</t>
  </si>
  <si>
    <t>-757.831372820557 274.191292925441 837.499987791764</t>
  </si>
  <si>
    <t>-673.370628044008 -31.5994491132174 333.884371392428</t>
  </si>
  <si>
    <t>-696.345912941936 -51.0991374262837 780.679301066792</t>
  </si>
  <si>
    <t>-568.895512476614 -113.804169879324 850.763362975755</t>
  </si>
  <si>
    <t>9763-20170724T111059.816891800.bin</t>
  </si>
  <si>
    <t>-765.151996476548 60.036346771225 -66.9667402701286</t>
  </si>
  <si>
    <t>-795.204358374416 42.7314716080959 -177.481954269197</t>
  </si>
  <si>
    <t>-810.208869701548 39.7679736093883 -274.912723940088</t>
  </si>
  <si>
    <t>-819.631084357428 41.3534676962286 -363.495669199711</t>
  </si>
  <si>
    <t>-824.383306862764 47.1494493892242 -452.276650111451</t>
  </si>
  <si>
    <t>-825.960366415982 59.4756651434918 -576.23796376102</t>
  </si>
  <si>
    <t>-791.741326191141 78.9690912811448 -649.409464764681</t>
  </si>
  <si>
    <t>-832.805144570811 80.5747833759665 -518.955421901906</t>
  </si>
  <si>
    <t>-861.044882378629 211.468968930227 -487.849423226225</t>
  </si>
  <si>
    <t>-773.687100155888 238.670680283778 -208.171174643398</t>
  </si>
  <si>
    <t>-546.968975968005 299.315763511846 -262.686696940745</t>
  </si>
  <si>
    <t>-817.727787302741 27.5282048802201 -524.421938379952</t>
  </si>
  <si>
    <t>-811.636402961445 144.821237120719 -68.9748819596913</t>
  </si>
  <si>
    <t>-831.1223228956 178.345249670312 332.710468092192</t>
  </si>
  <si>
    <t>-882.287335191556 196.906809270035 777.456862881668</t>
  </si>
  <si>
    <t>-757.640975899252 273.970554967972 837.554884885164</t>
  </si>
  <si>
    <t>-673.542887182286 -31.4545782247546 333.883860497286</t>
  </si>
  <si>
    <t>-696.378200195782 -51.04566949695 780.67367929551</t>
  </si>
  <si>
    <t>-568.959347942048 -113.809931490312 850.761824401573</t>
  </si>
  <si>
    <t>9763-20170724T111059.881067400.bin</t>
  </si>
  <si>
    <t>-765.788401398662 60.7035781857512 -66.9932303930674</t>
  </si>
  <si>
    <t>-795.794718184436 43.5004878593118 -177.536913255831</t>
  </si>
  <si>
    <t>-810.654887985646 40.5591554674857 -274.990373050737</t>
  </si>
  <si>
    <t>-819.906400108315 42.1367280788691 -363.591429996068</t>
  </si>
  <si>
    <t>-824.448896223351 47.8936941025986 -452.385995497256</t>
  </si>
  <si>
    <t>-825.693021452293 60.1310782473001 -576.359828650356</t>
  </si>
  <si>
    <t>-791.979582062625 79.7115183709598 -649.742677323811</t>
  </si>
  <si>
    <t>-832.613834412337 81.2931285133818 -519.109766075176</t>
  </si>
  <si>
    <t>-860.514560441603 212.32275780888 -488.260471942224</t>
  </si>
  <si>
    <t>-771.531904461068 240.909134403641 -209.233370361056</t>
  </si>
  <si>
    <t>-545.459852909765 301.890303851864 -266.009657246007</t>
  </si>
  <si>
    <t>-817.677219120681 28.1988780967827 -524.500557642698</t>
  </si>
  <si>
    <t>-812.265381184129 145.603364926681 -69.0044975546574</t>
  </si>
  <si>
    <t>-831.841638164475 178.36729728753 332.739157587286</t>
  </si>
  <si>
    <t>-882.245965004555 197.020074990917 777.581629724843</t>
  </si>
  <si>
    <t>-757.71263206209 274.246872023813 837.704889297402</t>
  </si>
  <si>
    <t>-673.86993927042 -31.0674118002612 333.860789783928</t>
  </si>
  <si>
    <t>-696.454889411189 -51.0314031944533 780.649512695919</t>
  </si>
  <si>
    <t>-569.129947932767 -113.962747229955 850.758828407142</t>
  </si>
  <si>
    <t>9763-20170724T111059.913153800.bin</t>
  </si>
  <si>
    <t>-766.071987177785 61.2027281907863 -67.0005770734813</t>
  </si>
  <si>
    <t>-796.040748877742 44.0497873630911 -177.562252380376</t>
  </si>
  <si>
    <t>-810.816989442822 41.1074174222776 -275.028394034537</t>
  </si>
  <si>
    <t>-819.973354402465 42.6652367280744 -363.639868667542</t>
  </si>
  <si>
    <t>-824.401273649388 48.3824278063403 -452.442720564045</t>
  </si>
  <si>
    <t>-825.466929577575 60.5416672725933 -576.425891620238</t>
  </si>
  <si>
    <t>-792.126223885239 80.16086813112 -649.968326818333</t>
  </si>
  <si>
    <t>-832.428638094754 81.751431155817 -519.198290543123</t>
  </si>
  <si>
    <t>-860.155116519901 212.844043285352 -488.483080102358</t>
  </si>
  <si>
    <t>-770.532646023353 242.132547130361 -209.733851140071</t>
  </si>
  <si>
    <t>-544.682219292137 303.286895426135 -267.202321101177</t>
  </si>
  <si>
    <t>-817.567568821932 28.630545875531 -524.535697854731</t>
  </si>
  <si>
    <t>-812.479679498353 146.10228130265 -69.0167643210741</t>
  </si>
  <si>
    <t>-832.128293829823 178.554427040351 332.748637774765</t>
  </si>
  <si>
    <t>-882.184947817696 197.01598718375 777.651279584258</t>
  </si>
  <si>
    <t>-757.443610974592 273.906594805758 837.773693119507</t>
  </si>
  <si>
    <t>-674.013283654867 -30.7995966669691 333.847836695686</t>
  </si>
  <si>
    <t>-696.45999568047 -50.8875336323222 780.628844496558</t>
  </si>
  <si>
    <t>-569.234511272806 -113.997085110107 850.758765306254</t>
  </si>
  <si>
    <t>9763-20170724T111059.982976300.bin</t>
  </si>
  <si>
    <t>-766.428903692758 62.3198313159733 -67.0133604869103</t>
  </si>
  <si>
    <t>-796.228758186011 45.2501753592251 -177.633615087637</t>
  </si>
  <si>
    <t>-810.772920117128 42.3874086350793 -275.136933651381</t>
  </si>
  <si>
    <t>-819.684129096123 44.0186386826931 -363.772084505935</t>
  </si>
  <si>
    <t>-823.831751496673 49.8072826550456 -452.583909186839</t>
  </si>
  <si>
    <t>-824.468842598551 62.0624149927557 -576.560448808812</t>
  </si>
  <si>
    <t>-792.081938889874 81.8285343589896 -650.489047072678</t>
  </si>
  <si>
    <t>-831.555931517463 83.2478171085049 -519.339356934394</t>
  </si>
  <si>
    <t>-859.036022843384 214.409208534923 -488.686361915953</t>
  </si>
  <si>
    <t>-769.078852065765 243.62308241001 -210.037053842583</t>
  </si>
  <si>
    <t>-543.589705592529 305.433830132512 -268.21794119872</t>
  </si>
  <si>
    <t>-816.82091364957 30.0913615090508 -524.669536449252</t>
  </si>
  <si>
    <t>-812.744720240331 147.255212573611 -69.069431825161</t>
  </si>
  <si>
    <t>-832.221858418678 179.377245711438 332.730842886531</t>
  </si>
  <si>
    <t>-882.104700390164 196.993030475583 777.728491899134</t>
  </si>
  <si>
    <t>-757.43762334111 274.048894602538 837.793276010432</t>
  </si>
  <si>
    <t>-674.314874473133 -30.3464698559164 333.846885567588</t>
  </si>
  <si>
    <t>-696.519555170717 -50.8433275649122 780.590481242986</t>
  </si>
  <si>
    <t>-569.360745146501 -114.069056670995 850.736104188655</t>
  </si>
  <si>
    <t>9763-20170724T111100.017066300.bin</t>
  </si>
  <si>
    <t>-766.660650685301 63.0235398228833 -67.0351485892893</t>
  </si>
  <si>
    <t>-796.321695164111 45.9963789431044 -177.699167113511</t>
  </si>
  <si>
    <t>-810.721399060023 43.208993741529 -275.226234627879</t>
  </si>
  <si>
    <t>-819.490759938451 44.9226812515458 -363.873853126982</t>
  </si>
  <si>
    <t>-823.484780918513 50.8069340593706 -452.6865368995</t>
  </si>
  <si>
    <t>-823.894265012066 63.2083160081252 -576.64955281191</t>
  </si>
  <si>
    <t>-792.080826328559 83.0645988789151 -650.802599115391</t>
  </si>
  <si>
    <t>-831.06412936401 84.3325430263899 -519.416011183368</t>
  </si>
  <si>
    <t>-858.50186624289 215.478119684258 -488.665143322126</t>
  </si>
  <si>
    <t>-768.713136318617 244.048877190532 -209.89467197545</t>
  </si>
  <si>
    <t>-543.342749153597 306.169385795609 -268.204695945663</t>
  </si>
  <si>
    <t>-816.364060160274 31.169926575822 -524.782939626963</t>
  </si>
  <si>
    <t>-812.972468840023 147.862663764562 -69.118516537914</t>
  </si>
  <si>
    <t>-832.174924197805 179.825995149226 332.707618164846</t>
  </si>
  <si>
    <t>-882.025466420384 196.895913800929 777.73014063448</t>
  </si>
  <si>
    <t>-757.298878913956 273.895860388641 837.743104285499</t>
  </si>
  <si>
    <t>-674.636115565948 -30.0034047488721 333.847108656691</t>
  </si>
  <si>
    <t>-696.546332880703 -50.7836212266386 780.572853996926</t>
  </si>
  <si>
    <t>-569.489933773 -114.201992135193 850.730246134983</t>
  </si>
  <si>
    <t>9763-20170724T111100.084604800.bin</t>
  </si>
  <si>
    <t>-767.34566235374 64.4485741984499 -67.0601738295142</t>
  </si>
  <si>
    <t>-796.728515916511 47.6314825556597 -177.830432793403</t>
  </si>
  <si>
    <t>-810.810586715869 45.067842853693 -275.409982576484</t>
  </si>
  <si>
    <t>-819.263040746057 47.0017809519395 -364.083948062046</t>
  </si>
  <si>
    <t>-822.912502470939 53.1234669664454 -452.89528541438</t>
  </si>
  <si>
    <t>-822.812301999934 65.8736600718926 -576.823535637675</t>
  </si>
  <si>
    <t>-792.110601576664 85.9020491291303 -651.397550085632</t>
  </si>
  <si>
    <t>-830.196258928838 86.8425527109739 -519.56014949345</t>
  </si>
  <si>
    <t>-857.640320435741 217.936392865463 -488.565756756119</t>
  </si>
  <si>
    <t>-768.505704072284 244.526913559615 -209.389921646254</t>
  </si>
  <si>
    <t>-543.590985274647 308.098935759915 -267.894788044446</t>
  </si>
  <si>
    <t>-815.516709990889 33.6833683349614 -525.017591837195</t>
  </si>
  <si>
    <t>-813.454181995595 149.119302286288 -69.177018816914</t>
  </si>
  <si>
    <t>-832.483598206184 180.513586863993 332.702229275689</t>
  </si>
  <si>
    <t>-881.907350741581 196.871466669531 777.791251657855</t>
  </si>
  <si>
    <t>-757.119788843905 273.796072055737 837.773938028299</t>
  </si>
  <si>
    <t>-674.927004454483 -29.1606545097129 333.792103521005</t>
  </si>
  <si>
    <t>-696.592586716625 -50.5767904334132 780.54316734843</t>
  </si>
  <si>
    <t>-569.701713543332 -114.304046467974 850.720678357303</t>
  </si>
  <si>
    <t>9763-20170724T111100.117693400.bin</t>
  </si>
  <si>
    <t>-767.636802903306 65.0043679093415 -67.0432256441958</t>
  </si>
  <si>
    <t>-796.882800370818 48.3253084193643 -177.870569922295</t>
  </si>
  <si>
    <t>-810.807213363451 45.8913938175297 -275.476145259861</t>
  </si>
  <si>
    <t>-819.102853482468 47.9469416195675 -364.162102226435</t>
  </si>
  <si>
    <t>-822.581406837505 54.1941386185385 -452.971601417186</t>
  </si>
  <si>
    <t>-822.229258098796 67.1236686498219 -576.880899701882</t>
  </si>
  <si>
    <t>-792.060345466373 87.2343594814829 -651.649924159724</t>
  </si>
  <si>
    <t>-829.724430251671 88.0110858958355 -519.602108297924</t>
  </si>
  <si>
    <t>-857.15443166137 219.078861327558 -488.480379971438</t>
  </si>
  <si>
    <t>-768.419229353738 244.625914425539 -209.079888364125</t>
  </si>
  <si>
    <t>-543.720069352021 309.233780093596 -267.277752305928</t>
  </si>
  <si>
    <t>-815.044445547986 34.8569214948839 -525.106850344406</t>
  </si>
  <si>
    <t>-813.706304929118 149.709793894297 -69.1460920523383</t>
  </si>
  <si>
    <t>-832.779416461897 180.804171566649 332.754405639311</t>
  </si>
  <si>
    <t>-881.895065399228 196.951044859654 777.872230157888</t>
  </si>
  <si>
    <t>-757.224198357518 274.063917651052 837.856093376879</t>
  </si>
  <si>
    <t>-675.012945577472 -28.9034248973235 333.761336214121</t>
  </si>
  <si>
    <t>-696.64119514521 -50.6031351444765 780.521920379797</t>
  </si>
  <si>
    <t>-569.792807041371 -114.403849049818 850.708997702298</t>
  </si>
  <si>
    <t>9763-20170724T111100.181650700.bin</t>
  </si>
  <si>
    <t>-768.192127112349 66.0783225059999 -66.9783795900685</t>
  </si>
  <si>
    <t>-797.071591561359 49.6705677530094 -177.942143046042</t>
  </si>
  <si>
    <t>-810.603064204821 47.4897740709353 -275.60892516401</t>
  </si>
  <si>
    <t>-818.513646882073 49.7804689881445 -364.324462849278</t>
  </si>
  <si>
    <t>-821.579113187216 56.2676781106784 -453.131774216488</t>
  </si>
  <si>
    <t>-820.622866536404 69.5363158426926 -577.002160277164</t>
  </si>
  <si>
    <t>-791.456602467086 89.7672044354508 -652.135684044867</t>
  </si>
  <si>
    <t>-828.422174678748 90.2601751167203 -519.704594638384</t>
  </si>
  <si>
    <t>-856.127772254841 221.208327641267 -488.304205476221</t>
  </si>
  <si>
    <t>-768.559983761696 245.101556266937 -208.389538010572</t>
  </si>
  <si>
    <t>-544.299586029101 312.168709475241 -265.486903139</t>
  </si>
  <si>
    <t>-813.665566650906 37.1347222557461 -525.281258635739</t>
  </si>
  <si>
    <t>-814.398754175638 150.85160637099 -69.0522697550631</t>
  </si>
  <si>
    <t>-833.47670155572 181.234770580525 332.90241354906</t>
  </si>
  <si>
    <t>-881.849829477492 197.049019760262 778.087297992116</t>
  </si>
  <si>
    <t>-757.298302156468 274.38274485445 838.034511027097</t>
  </si>
  <si>
    <t>-675.173495536386 -28.3760113672911 333.729268125284</t>
  </si>
  <si>
    <t>-696.703041669956 -50.463188655541 780.463140631405</t>
  </si>
  <si>
    <t>-570.038625772752 -114.605423631977 850.671182465371</t>
  </si>
  <si>
    <t>9763-20170724T111100.214737500.bin</t>
  </si>
  <si>
    <t>-768.566457331936 66.5607166254786 -66.9619864956397</t>
  </si>
  <si>
    <t>-797.173790827481 50.3079088532872 -178.0191312282</t>
  </si>
  <si>
    <t>-810.431804936275 48.2459893684058 -275.725983587812</t>
  </si>
  <si>
    <t>-818.081691902242 50.6367601984261 -364.461626381711</t>
  </si>
  <si>
    <t>-820.874553756854 57.2169881011923 -453.271081705556</t>
  </si>
  <si>
    <t>-819.52562186565 70.6073154101737 -577.124560053296</t>
  </si>
  <si>
    <t>-790.855820562241 90.8945035638626 -652.433934998138</t>
  </si>
  <si>
    <t>-827.547145558457 91.2637413966377 -519.833344827078</t>
  </si>
  <si>
    <t>-855.642965867342 222.111660619457 -488.34930721935</t>
  </si>
  <si>
    <t>-769.128959455554 245.488116208039 -208.06349943723</t>
  </si>
  <si>
    <t>-544.806300027848 313.497207610621 -263.786205393265</t>
  </si>
  <si>
    <t>-812.691851998895 38.1661468498987 -525.412304506824</t>
  </si>
  <si>
    <t>-814.840863390491 151.294120824684 -68.989893519643</t>
  </si>
  <si>
    <t>-834.031501592464 181.365945153828 332.982864665677</t>
  </si>
  <si>
    <t>-881.79387585351 197.045239327629 778.211678805054</t>
  </si>
  <si>
    <t>-757.329853138405 274.546662832033 838.124318760825</t>
  </si>
  <si>
    <t>-675.258259492045 -28.0992089853603 333.70488510629</t>
  </si>
  <si>
    <t>-696.741183415154 -50.448888541313 780.431540113327</t>
  </si>
  <si>
    <t>-570.071211913526 -114.566538329584 850.652009934371</t>
  </si>
  <si>
    <t>9763-20170724T111100.284934500.bin</t>
  </si>
  <si>
    <t>-769.406629474622 67.0574412060555 -66.9644871989869</t>
  </si>
  <si>
    <t>-797.281182703809 51.1941161349864 -178.264025556482</t>
  </si>
  <si>
    <t>-809.868588017761 49.4061766607115 -276.064899850546</t>
  </si>
  <si>
    <t>-816.899754392421 52.0145946063813 -364.845436150649</t>
  </si>
  <si>
    <t>-819.064533297423 58.7821379972206 -453.658563155718</t>
  </si>
  <si>
    <t>-816.831449825942 72.4007935680329 -577.474345982367</t>
  </si>
  <si>
    <t>-789.12193154676 92.8115909852472 -653.108975369148</t>
  </si>
  <si>
    <t>-825.370331142665 92.9215790165695 -520.209148004447</t>
  </si>
  <si>
    <t>-854.332413403869 223.54145641616 -488.636247431877</t>
  </si>
  <si>
    <t>-771.030225021363 246.590352144906 -207.352220506051</t>
  </si>
  <si>
    <t>-545.8851695808 314.061927135724 -260.345252595468</t>
  </si>
  <si>
    <t>-810.258483491588 39.8943906079217 -525.769101067027</t>
  </si>
  <si>
    <t>-815.960713156932 151.58471233907 -68.8382418198003</t>
  </si>
  <si>
    <t>-835.662698016725 181.1272802183 333.148993216159</t>
  </si>
  <si>
    <t>-881.656016457799 197.098183984756 778.521941998908</t>
  </si>
  <si>
    <t>-756.861431114783 274.050628160988 838.454063432572</t>
  </si>
  <si>
    <t>-675.437215862685 -27.8236446328488 333.588339050912</t>
  </si>
  <si>
    <t>-696.851094752659 -50.5583143011536 780.368897475751</t>
  </si>
  <si>
    <t>-570.109869824924 -114.514225656618 850.608762812731</t>
  </si>
  <si>
    <t>9763-20170724T111100.316017300.bin</t>
  </si>
  <si>
    <t>-769.756041378937 67.008468600362 -66.9002549902079</t>
  </si>
  <si>
    <t>-797.226668650039 51.3277534551571 -178.326007033004</t>
  </si>
  <si>
    <t>-809.453395251436 49.6644552110724 -276.174782927794</t>
  </si>
  <si>
    <t>-816.154791815814 52.3698531715049 -364.978128922421</t>
  </si>
  <si>
    <t>-817.988437283891 59.2187750818225 -453.792228519646</t>
  </si>
  <si>
    <t>-815.292370554342 72.9344625917115 -577.588193007732</t>
  </si>
  <si>
    <t>-787.961532457672 93.3761206283061 -653.352318253379</t>
  </si>
  <si>
    <t>-824.104876987611 93.3935100067001 -520.342472018731</t>
  </si>
  <si>
    <t>-853.48222198552 223.924265993247 -488.803101943736</t>
  </si>
  <si>
    <t>-771.814874112787 246.846200808944 -207.029872196346</t>
  </si>
  <si>
    <t>-546.104908756445 313.522722900506 -258.605688837853</t>
  </si>
  <si>
    <t>-808.852564046854 40.404207559608 -525.881133949007</t>
  </si>
  <si>
    <t>-816.387770863984 151.429422198671 -68.7296030581207</t>
  </si>
  <si>
    <t>-836.557711558578 180.963848606817 333.23508429421</t>
  </si>
  <si>
    <t>-881.644981587753 197.225469441592 778.689976169135</t>
  </si>
  <si>
    <t>-757.021917333013 274.42801888494 838.657555343503</t>
  </si>
  <si>
    <t>-675.50690807667 -27.8481454980129 333.558505657866</t>
  </si>
  <si>
    <t>-696.891226384547 -50.5389923193275 780.34752238438</t>
  </si>
  <si>
    <t>-570.11589913983 -114.421567430465 850.592175760636</t>
  </si>
  <si>
    <t>9763-20170724T111100.383790300.bin</t>
  </si>
  <si>
    <t>-770.469709656385 66.7381353322335 -66.7223451935237</t>
  </si>
  <si>
    <t>-797.135038092621 51.4039959178726 -178.391671933044</t>
  </si>
  <si>
    <t>-808.637773067838 49.9434660148131 -276.331542127845</t>
  </si>
  <si>
    <t>-814.6754807888 52.78762942293 -365.17808326265</t>
  </si>
  <si>
    <t>-815.839634982276 59.7296914469052 -453.996346414815</t>
  </si>
  <si>
    <t>-812.204614030085 73.5256911148012 -577.759392523943</t>
  </si>
  <si>
    <t>-785.32847796481 93.9021024212147 -653.703236928342</t>
  </si>
  <si>
    <t>-821.521098237006 93.9277118849232 -520.573109461131</t>
  </si>
  <si>
    <t>-851.438289421696 224.36752110087 -489.209000734452</t>
  </si>
  <si>
    <t>-772.69030594242 247.42498916827 -206.616811897581</t>
  </si>
  <si>
    <t>-543.985977335849 309.134427661017 -250.629970992201</t>
  </si>
  <si>
    <t>-806.087255277135 40.9816409637501 -526.021669311933</t>
  </si>
  <si>
    <t>-817.253310823763 151.052559302491 -68.5622963112165</t>
  </si>
  <si>
    <t>-838.180000777318 180.522387454532 333.36840378232</t>
  </si>
  <si>
    <t>-881.569558037433 197.330963498443 778.964850375198</t>
  </si>
  <si>
    <t>-757.10756936462 274.777961397557 838.951645116416</t>
  </si>
  <si>
    <t>-676.060084862184 -27.9579143824276 333.616130533197</t>
  </si>
  <si>
    <t>-697.020412189216 -50.6928079909169 780.371812440436</t>
  </si>
  <si>
    <t>-570.157722362427 -114.410597481776 850.608567557721</t>
  </si>
  <si>
    <t>9763-20170724T111100.416878900.bin</t>
  </si>
  <si>
    <t>-770.877287879509 66.5610814626762 -66.6651107888306</t>
  </si>
  <si>
    <t>-797.159386150526 51.3871830718085 -178.447224951861</t>
  </si>
  <si>
    <t>-808.293999976433 49.9964458423901 -276.430496757947</t>
  </si>
  <si>
    <t>-813.984090575043 52.872533505792 -365.29888306208</t>
  </si>
  <si>
    <t>-814.787483540498 59.8125792676619 -454.12139456493</t>
  </si>
  <si>
    <t>-810.634977472858 73.5679631204107 -577.872696610697</t>
  </si>
  <si>
    <t>-783.839113356982 93.8328788798508 -653.874792827249</t>
  </si>
  <si>
    <t>-820.169660876665 93.994715368086 -520.731075507584</t>
  </si>
  <si>
    <t>-850.11060704958 224.482920090245 -489.581623916515</t>
  </si>
  <si>
    <t>-773.006269198397 247.318805610487 -206.518629822115</t>
  </si>
  <si>
    <t>-542.650268359972 306.537984565011 -244.990482139357</t>
  </si>
  <si>
    <t>-804.75496358643 41.0351915547217 -526.10056418596</t>
  </si>
  <si>
    <t>-817.656362482109 150.744199536045 -68.5067796747343</t>
  </si>
  <si>
    <t>-838.689509350162 180.252044906346 333.415532626945</t>
  </si>
  <si>
    <t>-881.502619487789 197.346774461585 779.065001931824</t>
  </si>
  <si>
    <t>-756.896371025272 274.548787164635 839.068194332993</t>
  </si>
  <si>
    <t>-676.498996788439 -28.0542025260484 333.65110644288</t>
  </si>
  <si>
    <t>-697.081374323984 -50.7755698464805 780.40033051263</t>
  </si>
  <si>
    <t>-570.076388871051 -114.222066632643 850.625549796861</t>
  </si>
  <si>
    <t>9763-20170724T111100.486066600.bin</t>
  </si>
  <si>
    <t>-771.492699207442 65.9185053111546 -66.6120976323565</t>
  </si>
  <si>
    <t>-797.10599738917 51.0252205194233 -178.586871574379</t>
  </si>
  <si>
    <t>-807.592811197841 49.7096945080525 -276.642876747029</t>
  </si>
  <si>
    <t>-812.673834338021 52.5833573987052 -365.548125371086</t>
  </si>
  <si>
    <t>-812.847450134441 59.4464392036862 -454.38001204633</t>
  </si>
  <si>
    <t>-807.797429409344 73.0134879131074 -578.11873546817</t>
  </si>
  <si>
    <t>-780.992293225592 92.9664113182671 -654.200165694344</t>
  </si>
  <si>
    <t>-817.625522632626 93.5611190304417 -521.070367912653</t>
  </si>
  <si>
    <t>-847.199229033019 224.267549271457 -490.431588206441</t>
  </si>
  <si>
    <t>-772.505109904528 245.5173999575 -206.599929068643</t>
  </si>
  <si>
    <t>-539.463557406601 300.404170616188 -233.618569492498</t>
  </si>
  <si>
    <t>-802.414022546722 40.5253207786986 -526.264483611775</t>
  </si>
  <si>
    <t>-817.902979442776 149.898542365591 -68.4626118103188</t>
  </si>
  <si>
    <t>-839.081826686167 180.091367042461 333.401152203607</t>
  </si>
  <si>
    <t>-881.432565111541 197.42416244278 779.140097873141</t>
  </si>
  <si>
    <t>-756.812735401761 274.596415991743 839.153958142236</t>
  </si>
  <si>
    <t>-677.550691233968 -28.5623644005318 333.76177881679</t>
  </si>
  <si>
    <t>-697.212891308636 -50.9571121467743 780.513463873276</t>
  </si>
  <si>
    <t>-570.098955817549 -114.21536329074 850.711235694097</t>
  </si>
  <si>
    <t>9763-20170724T111100.518152300.bin</t>
  </si>
  <si>
    <t>-771.754507824191 65.4324830704932 -66.6053797121899</t>
  </si>
  <si>
    <t>-797.076489532372 50.6382770847804 -178.659584799356</t>
  </si>
  <si>
    <t>-807.302296963099 49.3076176154368 -276.742790095283</t>
  </si>
  <si>
    <t>-812.146709712081 52.1268037415616 -365.663162712227</t>
  </si>
  <si>
    <t>-812.084714731603 58.8933819677541 -454.502636882762</t>
  </si>
  <si>
    <t>-806.707654794595 72.2807059121769 -578.247056394308</t>
  </si>
  <si>
    <t>-779.855026847624 92.036787716564 -654.363094741072</t>
  </si>
  <si>
    <t>-816.606678111371 92.9334659879883 -521.2488710704</t>
  </si>
  <si>
    <t>-845.914658676764 223.774718561206 -490.906738987867</t>
  </si>
  <si>
    <t>-772.205698303416 244.304944841703 -206.764797375038</t>
  </si>
  <si>
    <t>-538.04935398144 296.936752280494 -228.016642156646</t>
  </si>
  <si>
    <t>-801.540774656246 39.8457815128722 -526.337543685635</t>
  </si>
  <si>
    <t>-817.91029162061 149.366514490716 -68.51314689653</t>
  </si>
  <si>
    <t>-839.031432365097 179.982569102205 333.321713186749</t>
  </si>
  <si>
    <t>-881.386949486065 197.420040201668 779.083439789936</t>
  </si>
  <si>
    <t>-756.781893746341 274.616794698492 839.096275090176</t>
  </si>
  <si>
    <t>-678.158423410511 -28.9183190105273 333.836422425168</t>
  </si>
  <si>
    <t>-697.266093404137 -50.9654271240599 780.590109834398</t>
  </si>
  <si>
    <t>-570.16839166363 -114.277072544628 850.769430211586</t>
  </si>
  <si>
    <t>9763-20170724T111100.584333000.bin</t>
  </si>
  <si>
    <t>-772.03010543882 63.9467023401844 -66.5691918683829</t>
  </si>
  <si>
    <t>-796.961557635139 49.3517513919919 -178.737025310913</t>
  </si>
  <si>
    <t>-806.806033396088 47.846923224261 -276.856794198843</t>
  </si>
  <si>
    <t>-811.298929873347 50.3696108922763 -365.804448455018</t>
  </si>
  <si>
    <t>-810.884461957513 56.6979937855167 -454.675353791786</t>
  </si>
  <si>
    <t>-805.018013829913 69.3251058163833 -578.477328790164</t>
  </si>
  <si>
    <t>-777.968691132165 88.6428456355598 -654.636334628522</t>
  </si>
  <si>
    <t>-814.975203180193 90.3731995702819 -521.634112445128</t>
  </si>
  <si>
    <t>-843.712502892759 221.548915488984 -492.198813247641</t>
  </si>
  <si>
    <t>-771.592393818801 241.007240861524 -207.574065026258</t>
  </si>
  <si>
    <t>-536.071460809221 290.847204849382 -217.413387786965</t>
  </si>
  <si>
    <t>-800.223651545662 37.1641468348002 -526.362332195642</t>
  </si>
  <si>
    <t>-817.317494070067 147.791232086406 -68.5834361204934</t>
  </si>
  <si>
    <t>-838.806025013448 179.516088570802 333.145801681683</t>
  </si>
  <si>
    <t>-881.316039191758 197.45761617107 778.868999653294</t>
  </si>
  <si>
    <t>-756.563888435549 274.398962376078 838.904147690575</t>
  </si>
  <si>
    <t>-679.451789271429 -29.8827882084406 333.968633763059</t>
  </si>
  <si>
    <t>-697.390373202804 -51.1446596533378 780.76775866437</t>
  </si>
  <si>
    <t>-570.228638381615 -114.375871995143 850.903125232861</t>
  </si>
  <si>
    <t>9763-20170724T111100.614416500.bin</t>
  </si>
  <si>
    <t>-772.121731241778 63.0441156330503 -66.5740737605111</t>
  </si>
  <si>
    <t>-796.926380762662 48.5192882791966 -178.779144979059</t>
  </si>
  <si>
    <t>-806.655572302471 46.8588807895121 -276.907819011329</t>
  </si>
  <si>
    <t>-811.048521787612 49.1541799226738 -365.866732353941</t>
  </si>
  <si>
    <t>-810.539995086423 55.1673705580597 -454.758887843249</t>
  </si>
  <si>
    <t>-804.552358039554 67.2626065448894 -578.608316549134</t>
  </si>
  <si>
    <t>-777.380028239441 86.3671588250954 -654.777290305734</t>
  </si>
  <si>
    <t>-814.476081222534 88.5785420977004 -521.859190282939</t>
  </si>
  <si>
    <t>-842.863485857297 219.978973124753 -493.080243994972</t>
  </si>
  <si>
    <t>-771.528403064995 239.280888421988 -208.247084015689</t>
  </si>
  <si>
    <t>-535.620511518332 287.961563559488 -213.584279846083</t>
  </si>
  <si>
    <t>-799.898341261483 35.3017726912922 -526.357435981769</t>
  </si>
  <si>
    <t>-817.09905411303 146.924429082271 -68.6444388886296</t>
  </si>
  <si>
    <t>-838.694361004943 179.101173887193 333.043165434034</t>
  </si>
  <si>
    <t>-881.326498183726 197.532450558386 778.725510283103</t>
  </si>
  <si>
    <t>-756.758702486552 274.754280025014 838.783883527885</t>
  </si>
  <si>
    <t>-680.091820079965 -30.439408186387 334.020103352604</t>
  </si>
  <si>
    <t>-697.451640414123 -51.2304120403242 780.864025855236</t>
  </si>
  <si>
    <t>-570.372214952315 -114.64915722719 850.979535299554</t>
  </si>
  <si>
    <t>9763-20170724T111100.684136700.bin</t>
  </si>
  <si>
    <t>-772.132936397667 60.9076447109114 -66.633505292261</t>
  </si>
  <si>
    <t>-796.841817238595 46.4597377771474 -178.869642017819</t>
  </si>
  <si>
    <t>-806.44006648399 44.4231243801346 -277.004215062416</t>
  </si>
  <si>
    <t>-810.708718538629 46.2006862256317 -365.980979324729</t>
  </si>
  <si>
    <t>-810.076435712579 51.5169288691513 -454.916770637121</t>
  </si>
  <si>
    <t>-803.921518693361 62.4516428891111 -578.865772598071</t>
  </si>
  <si>
    <t>-776.419518555608 81.1012818327031 -655.029173538773</t>
  </si>
  <si>
    <t>-813.773481225219 84.3374168638506 -522.321468185778</t>
  </si>
  <si>
    <t>-841.646325128551 216.179269314199 -495.15205782844</t>
  </si>
  <si>
    <t>-771.208546811655 235.42106617306 -210.091563779599</t>
  </si>
  <si>
    <t>-535.482458264194 285.074523589316 -205.779914515254</t>
  </si>
  <si>
    <t>-799.486935646813 30.942276069899 -526.322445192291</t>
  </si>
  <si>
    <t>-816.520873169056 144.853329391551 -68.7687632014874</t>
  </si>
  <si>
    <t>-838.57011762073 177.933137386143 332.820776829356</t>
  </si>
  <si>
    <t>-881.316140250542 197.640267467165 778.403844931416</t>
  </si>
  <si>
    <t>-756.780492348305 274.884476267377 838.499604154127</t>
  </si>
  <si>
    <t>-681.355735924439 -31.7079129335875 334.121809101904</t>
  </si>
  <si>
    <t>-697.556260776228 -51.3987717235807 781.03917976853</t>
  </si>
  <si>
    <t>-570.399568121393 -114.727517324888 851.095826326839</t>
  </si>
  <si>
    <t>9763-20170724T111100.716222400.bin</t>
  </si>
  <si>
    <t>-772.051297801604 59.7109978962767 -66.6817367581045</t>
  </si>
  <si>
    <t>-796.742936867291 45.2572553539321 -178.920838207686</t>
  </si>
  <si>
    <t>-806.30773427895 43.0215201926799 -277.054284945372</t>
  </si>
  <si>
    <t>-810.544792724671 44.5418939547535 -366.037359667556</t>
  </si>
  <si>
    <t>-809.882824245968 49.5244522157072 -454.992311248051</t>
  </si>
  <si>
    <t>-803.691709856161 59.9136641142604 -578.986441907965</t>
  </si>
  <si>
    <t>-775.953014213473 78.3599316763384 -655.113439955539</t>
  </si>
  <si>
    <t>-813.530347416476 82.055925161183 -522.539522937897</t>
  </si>
  <si>
    <t>-841.276527784395 214.080932686853 -496.120771553175</t>
  </si>
  <si>
    <t>-770.645588046206 233.240133691234 -211.102398130608</t>
  </si>
  <si>
    <t>-535.410542439256 284.521789875734 -201.853516565049</t>
  </si>
  <si>
    <t>-799.301802005915 28.6278975323025 -526.305770595108</t>
  </si>
  <si>
    <t>-816.182765446524 143.69610120373 -68.8490334192059</t>
  </si>
  <si>
    <t>-838.474981625745 177.241457740263 332.688575844228</t>
  </si>
  <si>
    <t>-881.296133382349 197.658988698314 778.221837791189</t>
  </si>
  <si>
    <t>-756.655370509492 274.725931662908 838.326681986211</t>
  </si>
  <si>
    <t>-681.880905760447 -32.4681320109689 334.170264579697</t>
  </si>
  <si>
    <t>-697.614005984133 -51.5388648002079 781.131060679866</t>
  </si>
  <si>
    <t>-570.324716174282 -114.650654645696 851.142658150051</t>
  </si>
  <si>
    <t>9763-20170724T111100.784556100.bin</t>
  </si>
  <si>
    <t>-771.944359498013 57.6247774831718 -66.8176937657288</t>
  </si>
  <si>
    <t>-796.50028356092 43.0266249701913 -179.068030923001</t>
  </si>
  <si>
    <t>-806.010552116465 40.3237945254491 -277.195034737499</t>
  </si>
  <si>
    <t>-810.23426175626 41.2864865944812 -366.186465544605</t>
  </si>
  <si>
    <t>-809.601035405255 45.5789086928221 -455.177446950097</t>
  </si>
  <si>
    <t>-803.498226182875 54.8686546992849 -579.263344057111</t>
  </si>
  <si>
    <t>-775.190070162614 73.0112802233234 -655.253522513147</t>
  </si>
  <si>
    <t>-813.31239567325 77.5062479201279 -523.00910069699</t>
  </si>
  <si>
    <t>-841.223262492843 209.801532201746 -498.158410536642</t>
  </si>
  <si>
    <t>-770.680126889263 230.667702574831 -213.238264310542</t>
  </si>
  <si>
    <t>-536.452972200233 284.034175713356 -194.785147083356</t>
  </si>
  <si>
    <t>-799.055283437137 24.0552485452195 -526.309420275267</t>
  </si>
  <si>
    <t>-815.749051326215 141.559173931817 -69.1000023514395</t>
  </si>
  <si>
    <t>-838.375222569962 176.023759948976 332.341064537749</t>
  </si>
  <si>
    <t>-881.297163508217 197.711078112277 777.788745226378</t>
  </si>
  <si>
    <t>-756.788392568717 274.973078755491 837.916867995825</t>
  </si>
  <si>
    <t>-682.965887708028 -33.9676587744607 334.273862405833</t>
  </si>
  <si>
    <t>-697.737520799725 -51.9257082843617 781.312048120565</t>
  </si>
  <si>
    <t>-570.161031897153 -114.569660364219 851.221163992812</t>
  </si>
  <si>
    <t>9763-20170724T111100.818648900.bin</t>
  </si>
  <si>
    <t>-771.823327058846 56.6980296956876 -66.9048024134105</t>
  </si>
  <si>
    <t>-796.334764589235 41.9854352292414 -179.149807191155</t>
  </si>
  <si>
    <t>-805.85365984944 38.9936258117982 -277.267500054978</t>
  </si>
  <si>
    <t>-810.110691432851 39.6201473454576 -366.260433970212</t>
  </si>
  <si>
    <t>-809.539109509838 43.5049516155846 -455.270711074869</t>
  </si>
  <si>
    <t>-803.555529913127 52.1525699191748 -579.408608772255</t>
  </si>
  <si>
    <t>-774.93837731329 70.1476376964774 -655.318133871032</t>
  </si>
  <si>
    <t>-813.370849027792 75.0663212811232 -523.26650921051</t>
  </si>
  <si>
    <t>-841.547434768938 207.466516287824 -499.292220691638</t>
  </si>
  <si>
    <t>-771.305905070163 229.904212147842 -214.417005371566</t>
  </si>
  <si>
    <t>-537.544544871128 283.539347145387 -191.399990241502</t>
  </si>
  <si>
    <t>-799.00648575432 21.6279592213878 -526.296710389776</t>
  </si>
  <si>
    <t>-815.546593732387 140.511370508715 -69.2485191743294</t>
  </si>
  <si>
    <t>-838.312804885474 175.527191892418 332.136883349045</t>
  </si>
  <si>
    <t>-881.302964164126 197.733479273316 777.541602749237</t>
  </si>
  <si>
    <t>-756.745988531141 274.908603409721 837.682233091006</t>
  </si>
  <si>
    <t>-683.524333951438 -34.5929117860528 334.327027969461</t>
  </si>
  <si>
    <t>-697.773885906926 -52.1141773908394 781.390670997624</t>
  </si>
  <si>
    <t>-570.096435756033 -114.600464522488 851.25631127964</t>
  </si>
  <si>
    <t>9763-20170724T111100.885836900.bin</t>
  </si>
  <si>
    <t>-771.490897039561 54.9420509765737 -67.143143757736</t>
  </si>
  <si>
    <t>-795.923748818871 39.9603385061473 -179.369724104106</t>
  </si>
  <si>
    <t>-805.466233253297 36.3053458196287 -277.462705525327</t>
  </si>
  <si>
    <t>-809.794682713039 36.1609695641 -366.454240137691</t>
  </si>
  <si>
    <t>-809.352944131521 39.1100008190565 -455.501158839689</t>
  </si>
  <si>
    <t>-803.617555484027 46.282727374813 -579.744661597451</t>
  </si>
  <si>
    <t>-774.300468882904 63.9299775668037 -655.468676398936</t>
  </si>
  <si>
    <t>-813.46317576583 69.8235542092184 -523.867893813974</t>
  </si>
  <si>
    <t>-842.266015590456 202.429522116435 -501.854858759315</t>
  </si>
  <si>
    <t>-772.789182106005 226.379800731732 -216.915318031606</t>
  </si>
  <si>
    <t>-541.01882062095 282.841428218894 -183.071260894343</t>
  </si>
  <si>
    <t>-798.819845304872 16.4291205671047 -526.274550610116</t>
  </si>
  <si>
    <t>-815.266689096418 138.562627207509 -69.5976743464595</t>
  </si>
  <si>
    <t>-838.183563874191 174.71016717522 331.678799640833</t>
  </si>
  <si>
    <t>-881.371675385951 197.788651638492 776.987977257916</t>
  </si>
  <si>
    <t>-756.90683356915 275.114157948222 837.125565200719</t>
  </si>
  <si>
    <t>-684.197087776705 -35.6205267856872 334.36719150178</t>
  </si>
  <si>
    <t>-697.790928555252 -52.3662518740703 781.49230914629</t>
  </si>
  <si>
    <t>-569.954408336789 -114.588409891103 851.302941111544</t>
  </si>
  <si>
    <t>9763-20170724T111100.914910600.bin</t>
  </si>
  <si>
    <t>-771.340181165224 54.1384125817217 -67.2912925004429</t>
  </si>
  <si>
    <t>-795.716501855009 39.0097136912395 -179.510395224971</t>
  </si>
  <si>
    <t>-805.27566824705 34.9951753162813 -277.587663014228</t>
  </si>
  <si>
    <t>-809.651991623864 34.4333869383836 -366.575276618694</t>
  </si>
  <si>
    <t>-809.29631102645 36.8764476272281 -455.637748217976</t>
  </si>
  <si>
    <t>-803.724517826657 43.2522985419241 -579.932322097843</t>
  </si>
  <si>
    <t>-774.022377406089 60.6790936424445 -655.557256962442</t>
  </si>
  <si>
    <t>-813.578962046393 67.1282982348789 -524.199660284599</t>
  </si>
  <si>
    <t>-842.735781982735 199.815417168983 -503.198160576748</t>
  </si>
  <si>
    <t>-773.480220623013 225.647246658451 -218.369029922075</t>
  </si>
  <si>
    <t>-542.896614906263 283.227533539548 -178.788336780855</t>
  </si>
  <si>
    <t>-798.773950628903 13.7647194998067 -526.273300590634</t>
  </si>
  <si>
    <t>-815.272117822822 137.684149046193 -69.8189352089632</t>
  </si>
  <si>
    <t>-838.096177639621 174.332494774671 331.417389227075</t>
  </si>
  <si>
    <t>-881.399690762875 197.811525150963 776.705441500292</t>
  </si>
  <si>
    <t>-757.052522136788 275.317089544977 836.854392921911</t>
  </si>
  <si>
    <t>-684.362103376644 -36.0433514448971 334.356033239076</t>
  </si>
  <si>
    <t>-697.77290944447 -52.4256155782616 781.526407805961</t>
  </si>
  <si>
    <t>-569.810299500995 -114.420149367096 851.308284085248</t>
  </si>
  <si>
    <t>9763-20170724T111100.980100000.bin</t>
  </si>
  <si>
    <t>-770.819572325991 52.7710643463065 -67.5317068628922</t>
  </si>
  <si>
    <t>-795.058215503136 37.3095278645083 -179.73539914674</t>
  </si>
  <si>
    <t>-804.60063613905 32.5840400775437 -277.782578485621</t>
  </si>
  <si>
    <t>-809.013943180807 31.2071054346379 -366.75938567063</t>
  </si>
  <si>
    <t>-808.753800404667 32.6671154203946 -455.843759514298</t>
  </si>
  <si>
    <t>-803.381708634644 37.4965461075117 -580.216884594478</t>
  </si>
  <si>
    <t>-772.800871968156 54.4466781561196 -655.59929702536</t>
  </si>
  <si>
    <t>-813.273260207367 62.0287505805227 -524.776418975444</t>
  </si>
  <si>
    <t>-843.000651352698 194.88265858342 -505.678275429501</t>
  </si>
  <si>
    <t>-774.69059032768 224.355691288266 -220.974517527178</t>
  </si>
  <si>
    <t>-546.452748255851 284.034585978775 -172.016963665411</t>
  </si>
  <si>
    <t>-798.218020619839 8.71388252850693 -526.196426134558</t>
  </si>
  <si>
    <t>-814.925435511277 136.054083445733 -70.2089319450703</t>
  </si>
  <si>
    <t>-837.930525736352 173.882739168685 330.9075868801</t>
  </si>
  <si>
    <t>-881.468692360614 197.873503755918 776.122008160102</t>
  </si>
  <si>
    <t>-757.029620828878 275.215701447602 836.291621391478</t>
  </si>
  <si>
    <t>-684.330841306836 -36.8709257372675 334.352173719693</t>
  </si>
  <si>
    <t>-697.732786685015 -52.5852737753712 781.562617789421</t>
  </si>
  <si>
    <t>-569.653637841246 -114.384953257381 851.303682260306</t>
  </si>
  <si>
    <t>9763-20170724T111101.017198200.bin</t>
  </si>
  <si>
    <t>-770.537093192949 52.3171851700404 -67.6519452643092</t>
  </si>
  <si>
    <t>-794.705475535758 36.6499200847197 -179.84219622391</t>
  </si>
  <si>
    <t>-804.252811518162 31.5863484687407 -277.872031212324</t>
  </si>
  <si>
    <t>-808.699663284882 29.8383161100305 -366.840684028024</t>
  </si>
  <si>
    <t>-808.505404716419 30.8636345762675 -455.93132637808</t>
  </si>
  <si>
    <t>-803.261026664259 35.0201241978739 -580.334143849679</t>
  </si>
  <si>
    <t>-772.269912079271 51.6997980249098 -655.609439636537</t>
  </si>
  <si>
    <t>-813.157786854884 59.8343728225727 -525.020363446136</t>
  </si>
  <si>
    <t>-843.150586046379 192.730746076741 -506.695697610855</t>
  </si>
  <si>
    <t>-775.21067530747 223.673712190891 -222.059241815988</t>
  </si>
  <si>
    <t>-547.866880361006 284.208242384288 -170.085556991054</t>
  </si>
  <si>
    <t>-797.97946646411 6.54752699590517 -526.160917699688</t>
  </si>
  <si>
    <t>-814.775224366409 135.461047476532 -70.4371013711298</t>
  </si>
  <si>
    <t>-837.911432821594 173.693322200307 330.633581675527</t>
  </si>
  <si>
    <t>-881.514275545764 197.901516610051 775.81188968129</t>
  </si>
  <si>
    <t>-757.119806163432 275.307331302466 835.992577240395</t>
  </si>
  <si>
    <t>-684.20790885979 -37.1207296447631 334.357825126012</t>
  </si>
  <si>
    <t>-697.680395115493 -52.5478723991557 781.575711780901</t>
  </si>
  <si>
    <t>-569.5858656031 -114.330542748801 851.303538649</t>
  </si>
  <si>
    <t>9763-20170724T111101.083383400.bin</t>
  </si>
  <si>
    <t>-769.968398162777 51.685913537684 -67.9534285426236</t>
  </si>
  <si>
    <t>-794.034947778872 35.7366648179209 -180.125814389942</t>
  </si>
  <si>
    <t>-803.630563883567 30.1385015410688 -278.121973710852</t>
  </si>
  <si>
    <t>-808.184409843781 27.7912073793186 -367.07140331477</t>
  </si>
  <si>
    <t>-808.165955000557 28.1064264231959 -456.167646670903</t>
  </si>
  <si>
    <t>-803.242266297497 31.1588779081048 -580.615389645901</t>
  </si>
  <si>
    <t>-771.515208909692 47.2232412817666 -655.717741730859</t>
  </si>
  <si>
    <t>-813.138656585804 56.4224270914897 -525.50539245345</t>
  </si>
  <si>
    <t>-843.815754151351 189.314764389298 -508.373519173162</t>
  </si>
  <si>
    <t>-775.90687661276 222.935998506952 -224.03350562888</t>
  </si>
  <si>
    <t>-550.256079696506 284.269253958408 -165.974393797433</t>
  </si>
  <si>
    <t>-797.679269626652 3.20886656318362 -526.198888854152</t>
  </si>
  <si>
    <t>-814.46280026934 134.735712678173 -70.887757480721</t>
  </si>
  <si>
    <t>-837.927877829633 173.282693942811 330.133646673157</t>
  </si>
  <si>
    <t>-881.613758580735 197.984938682865 775.229356862856</t>
  </si>
  <si>
    <t>-757.482024597933 275.777218637076 835.453342434616</t>
  </si>
  <si>
    <t>-684.131302554112 -37.506511518754 334.322047054535</t>
  </si>
  <si>
    <t>-697.599674134696 -52.6382654279182 781.594929412328</t>
  </si>
  <si>
    <t>-569.438698264039 -114.315269846425 851.29452406768</t>
  </si>
  <si>
    <t>9763-20170724T111101.116468700.bin</t>
  </si>
  <si>
    <t>-769.712081714413 51.4865393161767 -68.0959489630609</t>
  </si>
  <si>
    <t>-793.722789936737 35.4729157673946 -180.271158138699</t>
  </si>
  <si>
    <t>-803.31990738636 29.673617640623 -278.255390527803</t>
  </si>
  <si>
    <t>-807.89890665361 27.0861872494402 -367.196734965443</t>
  </si>
  <si>
    <t>-807.93235030103 27.1051367977948 -456.293584579883</t>
  </si>
  <si>
    <t>-803.1111693851 29.6857850246879 -580.756040124174</t>
  </si>
  <si>
    <t>-771.020158334721 45.4326696064672 -655.770990338341</t>
  </si>
  <si>
    <t>-813.008190685138 55.1446993715927 -525.736072625814</t>
  </si>
  <si>
    <t>-843.815366875986 188.085539462025 -509.046677185162</t>
  </si>
  <si>
    <t>-776.231076104198 222.68946056225 -224.747412997138</t>
  </si>
  <si>
    <t>-551.072759753175 284.669854594019 -165.47668637492</t>
  </si>
  <si>
    <t>-797.457125685945 1.95555736319284 -526.236656928341</t>
  </si>
  <si>
    <t>-814.289923020862 134.491285739645 -71.0801443837963</t>
  </si>
  <si>
    <t>-838.010281149766 173.018089635349 329.928191146275</t>
  </si>
  <si>
    <t>-881.649813926904 198.013146643574 774.977639286923</t>
  </si>
  <si>
    <t>-757.601586023679 275.916097456364 835.23087243715</t>
  </si>
  <si>
    <t>-684.100714957496 -37.6696324252459 334.27944790733</t>
  </si>
  <si>
    <t>-697.571440556676 -52.7479092688191 781.591518445632</t>
  </si>
  <si>
    <t>-569.309469328605 -114.237524341594 851.270787552001</t>
  </si>
  <si>
    <t>9763-20170724T111101.183319000.bin</t>
  </si>
  <si>
    <t>-769.242537242429 51.2225095560975 -68.2922367288853</t>
  </si>
  <si>
    <t>-793.174996569012 35.1959511082869 -180.482449004732</t>
  </si>
  <si>
    <t>-802.737923465026 29.1246602198103 -278.453416559445</t>
  </si>
  <si>
    <t>-807.308650816614 26.1884434829167 -367.384458315098</t>
  </si>
  <si>
    <t>-807.361304408927 25.7583530143429 -456.480304390703</t>
  </si>
  <si>
    <t>-802.600833429393 27.6095304610676 -580.958018763539</t>
  </si>
  <si>
    <t>-769.724214205076 42.7501477646474 -655.757385347723</t>
  </si>
  <si>
    <t>-812.531488993562 53.3727060326087 -526.086033832193</t>
  </si>
  <si>
    <t>-843.771567241524 186.305448330533 -510.213734272188</t>
  </si>
  <si>
    <t>-776.625119999403 222.386383238507 -225.994119228062</t>
  </si>
  <si>
    <t>-551.179911689911 287.072374157285 -170.848183968631</t>
  </si>
  <si>
    <t>-796.859743613003 0.217080556972178 -526.277036734371</t>
  </si>
  <si>
    <t>-813.828876059903 134.257577712815 -71.3589811846812</t>
  </si>
  <si>
    <t>-838.102965236338 172.686999999514 329.625506807205</t>
  </si>
  <si>
    <t>-881.787679622498 198.117210479466 774.585836172726</t>
  </si>
  <si>
    <t>-757.654927811233 275.85984504257 834.872579345645</t>
  </si>
  <si>
    <t>-683.950613618422 -38.074577005744 334.173270273408</t>
  </si>
  <si>
    <t>-697.51590266117 -53.0256642831553 781.561758249193</t>
  </si>
  <si>
    <t>-569.005733600159 -114.03282064102 851.207892896258</t>
  </si>
  <si>
    <t>9763-20170724T111101.221421000.bin</t>
  </si>
  <si>
    <t>-769.030183919007 51.2126869786489 -68.3674109041702</t>
  </si>
  <si>
    <t>-792.93306961966 35.2023594939837 -180.566078205985</t>
  </si>
  <si>
    <t>-802.491916014528 29.0272620406417 -278.531110942844</t>
  </si>
  <si>
    <t>-807.072444580833 25.9516538556068 -367.456941193369</t>
  </si>
  <si>
    <t>-807.150619779072 25.3390687591941 -456.551594544123</t>
  </si>
  <si>
    <t>-802.44471307255 26.8912587481695 -581.035620370406</t>
  </si>
  <si>
    <t>-769.207351500794 41.7485248708012 -655.732055908564</t>
  </si>
  <si>
    <t>-812.392859176745 52.7740362885716 -526.222758262861</t>
  </si>
  <si>
    <t>-843.936934635226 185.661342223908 -510.63684911335</t>
  </si>
  <si>
    <t>-775.991016544061 223.624358503649 -226.852771546208</t>
  </si>
  <si>
    <t>-550.170238143641 289.367606372135 -174.568643104448</t>
  </si>
  <si>
    <t>-813.64596730119 134.297636571798 -71.4659280393389</t>
  </si>
  <si>
    <t>-838.040218220136 172.580821965759 329.525351217087</t>
  </si>
  <si>
    <t>-881.803708394523 198.091963267213 774.442052289081</t>
  </si>
  <si>
    <t>-757.550683969751 275.643015252769 834.727022804111</t>
  </si>
  <si>
    <t>-683.852490111861 -38.2391226736663 334.12083189452</t>
  </si>
  <si>
    <t>-697.475069324677 -53.117189013946 781.535449170736</t>
  </si>
  <si>
    <t>-568.925598500117 -114.047264494631 851.176251723015</t>
  </si>
  <si>
    <t>9763-20170724T111101.282462300.bin</t>
  </si>
  <si>
    <t>-768.607987366892 51.721536059049 -68.4791349871171</t>
  </si>
  <si>
    <t>-792.487009432099 35.7805910819116 -180.692670220459</t>
  </si>
  <si>
    <t>-802.074523185952 29.5121157356571 -278.649045717601</t>
  </si>
  <si>
    <t>-806.706768278194 26.2944553798684 -367.567157434827</t>
  </si>
  <si>
    <t>-806.866960684775 25.4865633693003 -456.660163905679</t>
  </si>
  <si>
    <t>-802.310620414281 26.7136081492904 -581.153385151052</t>
  </si>
  <si>
    <t>-768.40940140736 41.1190772973491 -655.639618443074</t>
  </si>
  <si>
    <t>-812.292882628857 52.7095110431928 -526.400372994148</t>
  </si>
  <si>
    <t>-844.61073073435 185.450024613533 -511.097359640364</t>
  </si>
  <si>
    <t>-773.989454161226 226.865351399282 -228.451510324809</t>
  </si>
  <si>
    <t>-546.934052866787 294.892568073547 -185.219470341838</t>
  </si>
  <si>
    <t>-813.229351412218 134.82140291807 -71.5685355153552</t>
  </si>
  <si>
    <t>-838.034331039327 172.784906608335 329.427855482862</t>
  </si>
  <si>
    <t>-881.95343455302 198.149952467953 774.257144375105</t>
  </si>
  <si>
    <t>-757.851474552492 275.97040419004 834.505810002793</t>
  </si>
  <si>
    <t>-683.397074285568 -38.2003341233499 333.992114772496</t>
  </si>
  <si>
    <t>-697.331293495155 -53.0609702712875 781.451322737654</t>
  </si>
  <si>
    <t>-568.936059977174 -114.305031065144 851.101352090438</t>
  </si>
  <si>
    <t>9763-20170724T111101.315550100.bin</t>
  </si>
  <si>
    <t>-768.344500444007 52.0962756548856 -68.5233314075105</t>
  </si>
  <si>
    <t>-792.224837727445 36.1982439666999 -180.742816628781</t>
  </si>
  <si>
    <t>-801.817156242482 29.9382185351933 -278.699230516711</t>
  </si>
  <si>
    <t>-806.458039361057 26.7199513125388 -367.616903403784</t>
  </si>
  <si>
    <t>-806.633354393588 25.905582678603 -456.70971206861</t>
  </si>
  <si>
    <t>-802.105272060424 27.1204162633826 -581.204091432647</t>
  </si>
  <si>
    <t>-767.918131013545 41.3717235200697 -655.589399241003</t>
  </si>
  <si>
    <t>-812.15606889343 53.0973428853572 -526.454696855215</t>
  </si>
  <si>
    <t>-844.949244073279 185.721705175379 -511.152765322012</t>
  </si>
  <si>
    <t>-772.739664969056 228.9526904415 -229.18099090365</t>
  </si>
  <si>
    <t>-545.089089057519 297.79747318329 -190.627214454049</t>
  </si>
  <si>
    <t>-796.039678426543 0.0744900444010455 -526.385904988397</t>
  </si>
  <si>
    <t>-813.040831310697 135.242798336257 -71.6001939859023</t>
  </si>
  <si>
    <t>-837.942256656712 172.982489844171 329.411445324175</t>
  </si>
  <si>
    <t>-882.020593743794 198.161410953487 774.210041076546</t>
  </si>
  <si>
    <t>-757.897901741041 275.969049105855 834.433482763541</t>
  </si>
  <si>
    <t>-683.138958993582 -38.1407731578829 333.922505889481</t>
  </si>
  <si>
    <t>-697.25844350732 -53.0515774927164 781.390542375004</t>
  </si>
  <si>
    <t>-568.813121166558 -114.201332839518 851.031061234959</t>
  </si>
  <si>
    <t>9763-20170724T111101.382735300.bin</t>
  </si>
  <si>
    <t>-767.761311637468 53.1885968727197 -68.575873589759</t>
  </si>
  <si>
    <t>-791.609819259653 37.3178036864128 -180.805933013548</t>
  </si>
  <si>
    <t>-801.134879452252 31.1303380072518 -278.773554924571</t>
  </si>
  <si>
    <t>-805.700545040956 27.9990563304605 -367.69817886822</t>
  </si>
  <si>
    <t>-805.786802015385 27.2978299029137 -456.7922186088</t>
  </si>
  <si>
    <t>-801.121677094569 28.7005692644893 -581.279479318043</t>
  </si>
  <si>
    <t>-766.455400036629 42.7581483875997 -655.479599604152</t>
  </si>
  <si>
    <t>-811.414676783272 54.5386717605993 -526.509435526552</t>
  </si>
  <si>
    <t>-845.073884399352 186.91507851405 -510.982541824323</t>
  </si>
  <si>
    <t>-770.642264335958 233.734537174053 -230.163848236285</t>
  </si>
  <si>
    <t>-541.896869120775 303.18497998049 -200.113406295832</t>
  </si>
  <si>
    <t>-794.934185473056 1.62786290325357 -526.488112949311</t>
  </si>
  <si>
    <t>-812.746318316895 136.330216276429 -71.6147942973257</t>
  </si>
  <si>
    <t>-837.793187197497 173.528321281624 329.438301820042</t>
  </si>
  <si>
    <t>-882.139977243572 198.185941882939 774.20028839503</t>
  </si>
  <si>
    <t>-757.967303741405 275.947900112259 834.379642350359</t>
  </si>
  <si>
    <t>-682.325869683499 -37.7147707278523 333.795785532827</t>
  </si>
  <si>
    <t>-697.114770181323 -52.9836084813105 781.278550277061</t>
  </si>
  <si>
    <t>-568.704948150518 -114.225764946012 850.90332178821</t>
  </si>
  <si>
    <t>9763-20170724T111101.415822800.bin</t>
  </si>
  <si>
    <t>-767.52858861418 53.9609820360506 -68.6037164011084</t>
  </si>
  <si>
    <t>-791.364427311751 38.0462100085952 -180.830212540237</t>
  </si>
  <si>
    <t>-800.869481330381 31.8857512659743 -278.801392076244</t>
  </si>
  <si>
    <t>-805.410876105494 28.8043847304302 -367.729060090132</t>
  </si>
  <si>
    <t>-805.467376835517 28.1802097591672 -456.823699141465</t>
  </si>
  <si>
    <t>-800.753494614761 29.7187353552767 -581.307425711703</t>
  </si>
  <si>
    <t>-765.866820319103 43.7187022210951 -655.415240585765</t>
  </si>
  <si>
    <t>-811.151342362861 55.4710724218298 -526.516840625899</t>
  </si>
  <si>
    <t>-845.21525995522 187.728729417463 -510.811871643845</t>
  </si>
  <si>
    <t>-769.895641468696 236.054009183205 -230.485669041052</t>
  </si>
  <si>
    <t>-540.90246646608 306.031545380696 -203.725465196383</t>
  </si>
  <si>
    <t>-794.504580331358 2.61242649867063 -526.539744444022</t>
  </si>
  <si>
    <t>-812.717101181747 137.041824672097 -71.6300104357593</t>
  </si>
  <si>
    <t>-837.816902836759 173.917032823856 329.449678907724</t>
  </si>
  <si>
    <t>-882.201875729151 198.212994191909 774.229426725828</t>
  </si>
  <si>
    <t>-757.996564341749 275.931887841239 834.39705568762</t>
  </si>
  <si>
    <t>-681.75254067794 -37.3048878346938 333.750961932132</t>
  </si>
  <si>
    <t>-697.025838963254 -52.861301066705 781.222652911531</t>
  </si>
  <si>
    <t>-568.750668104226 -114.379617877956 850.852300095475</t>
  </si>
  <si>
    <t>9763-20170724T111101.486896700.bin</t>
  </si>
  <si>
    <t>-767.068071719694 55.4926840707722 -68.6350243446417</t>
  </si>
  <si>
    <t>-790.912659603618 39.4672278260728 -180.844034252477</t>
  </si>
  <si>
    <t>-800.396029138432 33.3409561784424 -278.819371884744</t>
  </si>
  <si>
    <t>-804.902690241307 30.3410705130536 -367.751586699565</t>
  </si>
  <si>
    <t>-804.90826271473 29.8512425837166 -456.847008677194</t>
  </si>
  <si>
    <t>-800.104763482278 31.6340053623908 -581.32418986744</t>
  </si>
  <si>
    <t>-764.701347061337 45.5864432911253 -655.195374800413</t>
  </si>
  <si>
    <t>-810.707158030397 57.226305672606 -526.497747784547</t>
  </si>
  <si>
    <t>-845.686719931924 189.198739119576 -510.469383248819</t>
  </si>
  <si>
    <t>-768.472136784224 239.833011311859 -231.067515764604</t>
  </si>
  <si>
    <t>-538.93047208743 310.052362509632 -210.313270656212</t>
  </si>
  <si>
    <t>-793.729867374075 4.47285699178747 -526.598181209572</t>
  </si>
  <si>
    <t>-812.730175285143 138.488191803649 -71.6204497527548</t>
  </si>
  <si>
    <t>-838.056957474648 174.795645031688 329.496731280902</t>
  </si>
  <si>
    <t>-882.301509489099 198.288046165083 774.332440536066</t>
  </si>
  <si>
    <t>-757.971408303914 275.801166953174 834.507095368008</t>
  </si>
  <si>
    <t>-680.633444777982 -36.3243132975042 333.675701847674</t>
  </si>
  <si>
    <t>-696.840280972205 -52.6424974397914 781.105820507102</t>
  </si>
  <si>
    <t>-568.787703850982 -114.592588092132 850.762678716267</t>
  </si>
  <si>
    <t>9763-20170724T111101.514961900.bin</t>
  </si>
  <si>
    <t>-766.889944268314 56.2896317270483 -68.635534489221</t>
  </si>
  <si>
    <t>-790.742827830301 40.1814411956875 -180.830871951434</t>
  </si>
  <si>
    <t>-800.21098938249 34.0455393175207 -278.807238980081</t>
  </si>
  <si>
    <t>-804.692909006056 31.0604637495258 -367.741168595231</t>
  </si>
  <si>
    <t>-804.661920518645 30.6099648133891 -456.836873312263</t>
  </si>
  <si>
    <t>-799.795053914959 32.4730835905038 -581.310288607133</t>
  </si>
  <si>
    <t>-764.130562800251 46.402119259481 -655.06039062621</t>
  </si>
  <si>
    <t>-810.492481153155 58.0082447354539 -526.475709881235</t>
  </si>
  <si>
    <t>-845.819832896209 189.875036986946 -510.310432613619</t>
  </si>
  <si>
    <t>-767.659364238055 241.638206134729 -231.379093363294</t>
  </si>
  <si>
    <t>-537.961665222585 312.097052619105 -213.340627041172</t>
  </si>
  <si>
    <t>-793.380890488067 5.2982918200064 -526.595582198529</t>
  </si>
  <si>
    <t>-812.808649955422 139.351912920368 -71.6317675730669</t>
  </si>
  <si>
    <t>-838.25365042804 175.213994048441 329.518010901776</t>
  </si>
  <si>
    <t>-882.373318918619 198.369547418695 774.395639044682</t>
  </si>
  <si>
    <t>-758.081751862582 275.931143178066 834.587932697532</t>
  </si>
  <si>
    <t>-680.084163940902 -35.882679258732 333.654585488352</t>
  </si>
  <si>
    <t>-696.784137046688 -52.7619761113738 781.050999737962</t>
  </si>
  <si>
    <t>-568.535454501465 -114.305787065244 850.706703634266</t>
  </si>
  <si>
    <t>9763-20170724T111101.583144300.bin</t>
  </si>
  <si>
    <t>-766.672711786835 57.9535801726088 -68.6500237796329</t>
  </si>
  <si>
    <t>-790.581003419799 41.6948481874965 -180.811892793652</t>
  </si>
  <si>
    <t>-800.083719616744 35.5282701841893 -278.783004634298</t>
  </si>
  <si>
    <t>-804.587622667697 32.5538580846669 -367.716059869337</t>
  </si>
  <si>
    <t>-804.5688627009 32.1531528752639 -456.81206414156</t>
  </si>
  <si>
    <t>-799.7073497898 34.1270380342958 -581.283964438444</t>
  </si>
  <si>
    <t>-763.580580006622 48.0196814475589 -654.815476465875</t>
  </si>
  <si>
    <t>-810.499076657724 59.5818472806877 -526.430566974308</t>
  </si>
  <si>
    <t>-846.301998212429 191.27687651937 -509.959796905461</t>
  </si>
  <si>
    <t>-765.66303637853 245.042671583376 -232.114886818613</t>
  </si>
  <si>
    <t>-535.622137851493 315.52278326171 -219.283463839526</t>
  </si>
  <si>
    <t>-793.194166983016 6.93514906338669 -526.5895281753</t>
  </si>
  <si>
    <t>-812.995073988479 140.886040248063 -71.6812153308202</t>
  </si>
  <si>
    <t>-838.527841779761 175.919695284823 329.536144328582</t>
  </si>
  <si>
    <t>-882.232039234078 198.282369168051 774.463107671171</t>
  </si>
  <si>
    <t>-758.504749199234 276.693669278749 834.717329246797</t>
  </si>
  <si>
    <t>-678.744993703797 -34.7001490670586 333.579167756965</t>
  </si>
  <si>
    <t>-696.607178266418 -52.6409772583261 780.916764277051</t>
  </si>
  <si>
    <t>-568.459788691361 -114.318281575725 850.641095861545</t>
  </si>
  <si>
    <t>9763-20170724T111101.616232500.bin</t>
  </si>
  <si>
    <t>-766.670550588449 58.738283147582 -68.6569764200786</t>
  </si>
  <si>
    <t>-790.609142766646 42.4451924922455 -180.807356666143</t>
  </si>
  <si>
    <t>-800.150286625578 36.2885160279398 -278.775168206628</t>
  </si>
  <si>
    <t>-804.693589913661 33.339621812137 -367.70722528526</t>
  </si>
  <si>
    <t>-804.718128960222 32.9823352683206 -456.803387433834</t>
  </si>
  <si>
    <t>-799.920385101173 35.0359888352314 -581.276595159817</t>
  </si>
  <si>
    <t>-763.601886372979 48.9367866442667 -654.712007021291</t>
  </si>
  <si>
    <t>-810.720075438311 60.4436812176809 -526.402831126203</t>
  </si>
  <si>
    <t>-846.685702432592 192.077216328427 -509.787298534122</t>
  </si>
  <si>
    <t>-764.614453164355 246.935017644924 -232.575873938831</t>
  </si>
  <si>
    <t>-534.560710541498 317.714244761274 -221.788350844939</t>
  </si>
  <si>
    <t>-793.343132516093 7.82079293577499 -526.601300585652</t>
  </si>
  <si>
    <t>-813.274697933642 141.708153471579 -71.7190660248201</t>
  </si>
  <si>
    <t>-838.56133065621 176.292342594522 329.552897964745</t>
  </si>
  <si>
    <t>-882.174683350899 198.268908485525 774.509288952163</t>
  </si>
  <si>
    <t>-758.605947999458 276.903226050603 834.797632017194</t>
  </si>
  <si>
    <t>-678.193049871361 -34.1661972070638 333.538049487018</t>
  </si>
  <si>
    <t>-696.523676446721 -52.5331374927825 780.855270212116</t>
  </si>
  <si>
    <t>-568.380322704915 -114.191199225004 850.604094930768</t>
  </si>
  <si>
    <t>9763-20170724T111101.683344700.bin</t>
  </si>
  <si>
    <t>-766.658098615505 60.4769864475325 -68.6304582046577</t>
  </si>
  <si>
    <t>-790.768791378214 44.0521420789451 -180.724690866429</t>
  </si>
  <si>
    <t>-800.473849910624 37.8883117362707 -278.676092600606</t>
  </si>
  <si>
    <t>-805.167886607152 34.9765810509812 -367.601590663425</t>
  </si>
  <si>
    <t>-805.344775115638 34.7014706949626 -456.697734337608</t>
  </si>
  <si>
    <t>-800.760471269717 36.9181644623777 -581.176261154969</t>
  </si>
  <si>
    <t>-764.191570532884 50.8574065693701 -654.479997592034</t>
  </si>
  <si>
    <t>-811.513001781294 62.2385253123753 -526.252774040218</t>
  </si>
  <si>
    <t>-847.671302507528 193.784838990553 -509.293358945496</t>
  </si>
  <si>
    <t>-762.238437831692 250.933275087602 -233.564365899948</t>
  </si>
  <si>
    <t>-532.094241933898 321.869945000179 -226.31818137749</t>
  </si>
  <si>
    <t>-794.042730340923 9.64697228165642 -526.545928011736</t>
  </si>
  <si>
    <t>-813.569756594566 143.525457385485 -71.6972224584654</t>
  </si>
  <si>
    <t>-838.674749269409 177.404177609079 329.646340664761</t>
  </si>
  <si>
    <t>-882.377309524623 198.495576847056 774.694321293649</t>
  </si>
  <si>
    <t>-758.508401336595 276.631170204588 835.015663273607</t>
  </si>
  <si>
    <t>-677.210282854832 -33.0806282263834 333.492969411022</t>
  </si>
  <si>
    <t>-696.364779815159 -52.2843758258373 780.7325672035</t>
  </si>
  <si>
    <t>-568.418976437179 -114.281975552869 850.542995350731</t>
  </si>
  <si>
    <t>9763-20170724T111101.715430800.bin</t>
  </si>
  <si>
    <t>-766.605894282817 61.3316086309865 -68.588633912727</t>
  </si>
  <si>
    <t>-790.828237010778 44.8472889097657 -180.650144744106</t>
  </si>
  <si>
    <t>-800.626340203984 38.6878679114143 -278.592660394712</t>
  </si>
  <si>
    <t>-805.401081187482 35.8026190967771 -367.514518756771</t>
  </si>
  <si>
    <t>-805.654614224873 35.5761904270712 -456.610638882446</t>
  </si>
  <si>
    <t>-801.171989878176 37.8841104983767 -581.091138692702</t>
  </si>
  <si>
    <t>-764.495937446595 51.8404897855994 -654.337947052272</t>
  </si>
  <si>
    <t>-811.87876905789 63.164509944047 -526.140417392611</t>
  </si>
  <si>
    <t>-848.026267286234 194.688750266748 -508.992437557596</t>
  </si>
  <si>
    <t>-760.992083302894 253.001646624694 -234.009070048871</t>
  </si>
  <si>
    <t>-530.8596713963 324.10537294783 -228.155018669826</t>
  </si>
  <si>
    <t>-794.410748773202 10.5725632089498 -526.486509714956</t>
  </si>
  <si>
    <t>-813.654277704865 144.407662922571 -71.6567310729291</t>
  </si>
  <si>
    <t>-838.566009498876 177.88056024053 329.732993836023</t>
  </si>
  <si>
    <t>-882.31620876794 198.450719722893 774.816073407865</t>
  </si>
  <si>
    <t>-758.637533218375 276.890889331025 835.13248068669</t>
  </si>
  <si>
    <t>-676.813338651621 -32.5678395685131 333.494743653035</t>
  </si>
  <si>
    <t>-696.304052671206 -52.1942844217294 780.693218105915</t>
  </si>
  <si>
    <t>-568.443313055844 -114.346682045207 850.521420581006</t>
  </si>
  <si>
    <t>9763-20170724T111101.784617800.bin</t>
  </si>
  <si>
    <t>-766.675212587198 63.0371007620347 -68.5290020241357</t>
  </si>
  <si>
    <t>-791.136839830089 46.5096996490561 -180.532105305403</t>
  </si>
  <si>
    <t>-801.148132443938 40.4525104073359 -278.459404074765</t>
  </si>
  <si>
    <t>-806.115358641289 37.7177409608466 -367.375522074248</t>
  </si>
  <si>
    <t>-806.55801513708 37.6993576382756 -456.471090052613</t>
  </si>
  <si>
    <t>-802.33330972462 40.3583783779918 -580.953714482018</t>
  </si>
  <si>
    <t>-765.502433840218 54.3782901002046 -654.110716245429</t>
  </si>
  <si>
    <t>-812.88366324981 65.4976097294602 -525.908123198378</t>
  </si>
  <si>
    <t>-848.87244455889 196.992219822232 -508.287482017348</t>
  </si>
  <si>
    <t>-758.502439579862 257.259573047874 -234.805661741562</t>
  </si>
  <si>
    <t>-528.252587254595 328.132127074973 -231.203335529255</t>
  </si>
  <si>
    <t>-795.500996951308 12.8790400170938 -526.442163172666</t>
  </si>
  <si>
    <t>-813.885204800461 146.248168273222 -71.5304808535723</t>
  </si>
  <si>
    <t>-838.436997225419 178.892112569447 329.949620097337</t>
  </si>
  <si>
    <t>-882.388597133996 198.513697190926 775.084405429918</t>
  </si>
  <si>
    <t>-758.564031320408 276.736022246673 835.384122371233</t>
  </si>
  <si>
    <t>-676.317230242965 -31.5852762371155 333.501439055133</t>
  </si>
  <si>
    <t>-696.215825311019 -52.1009417340274 780.62144342646</t>
  </si>
  <si>
    <t>-568.386365261931 -114.297232175205 850.467812321163</t>
  </si>
  <si>
    <t>9763-20170724T111101.817706000.bin</t>
  </si>
  <si>
    <t>-766.851303189744 63.8907980045346 -68.4843095705198</t>
  </si>
  <si>
    <t>-791.413616911802 47.373547865925 -180.46691488106</t>
  </si>
  <si>
    <t>-801.522377974449 41.4083298034375 -278.389754189317</t>
  </si>
  <si>
    <t>-806.580175278283 38.7913929470369 -367.304484332824</t>
  </si>
  <si>
    <t>-807.114649176872 38.9254216588192 -456.399587248148</t>
  </si>
  <si>
    <t>-803.018254605398 41.8333806252208 -580.880750780809</t>
  </si>
  <si>
    <t>-766.103739779287 55.9138920030559 -653.984118416693</t>
  </si>
  <si>
    <t>-813.47038319601 66.8761791352285 -525.772459016501</t>
  </si>
  <si>
    <t>-849.210597862922 198.400523488534 -507.846001858447</t>
  </si>
  <si>
    <t>-757.210238916478 259.303732403564 -235.049533520723</t>
  </si>
  <si>
    <t>-526.904845144491 330.040650684513 -232.471547725787</t>
  </si>
  <si>
    <t>-796.171290099751 14.2312939166181 -526.43305925084</t>
  </si>
  <si>
    <t>-814.129128435375 147.198272818393 -71.4592583490623</t>
  </si>
  <si>
    <t>-838.490424382205 179.461595875502 330.063247953709</t>
  </si>
  <si>
    <t>-882.535310789804 198.643691151852 775.2394973394</t>
  </si>
  <si>
    <t>-758.485120390552 276.518877725513 835.524986530674</t>
  </si>
  <si>
    <t>-676.08773357025 -31.1243745918914 333.491515106496</t>
  </si>
  <si>
    <t>-696.191301828968 -52.0908546441308 780.585976816207</t>
  </si>
  <si>
    <t>-568.445440733468 -114.439401734147 850.449628819299</t>
  </si>
  <si>
    <t>9763-20170724T111101.882884800.bin</t>
  </si>
  <si>
    <t>-767.227666216155 65.4284559298731 -68.3538926051092</t>
  </si>
  <si>
    <t>-792.016998227355 48.9437318412483 -180.291238845304</t>
  </si>
  <si>
    <t>-802.324173472284 43.1843820440781 -278.205695167286</t>
  </si>
  <si>
    <t>-807.558032464372 40.8269114459235 -367.117430712467</t>
  </si>
  <si>
    <t>-808.260507322977 41.2916230032683 -456.210215252402</t>
  </si>
  <si>
    <t>-804.388564421436 44.7358523478515 -580.685020219662</t>
  </si>
  <si>
    <t>-767.353962074061 58.946302119658 -653.702165325864</t>
  </si>
  <si>
    <t>-814.633766507549 69.5759350023582 -525.446199319348</t>
  </si>
  <si>
    <t>-849.672537496371 201.207520369491 -506.908962499626</t>
  </si>
  <si>
    <t>-754.710922787409 262.386441509821 -235.191106381939</t>
  </si>
  <si>
    <t>-524.086816777674 332.122473616422 -234.717222828509</t>
  </si>
  <si>
    <t>-797.551265633879 16.8645225244759 -526.373370083596</t>
  </si>
  <si>
    <t>-814.472147884252 148.83079844301 -71.3114905328949</t>
  </si>
  <si>
    <t>-838.321044140297 180.374467119226 330.298955492544</t>
  </si>
  <si>
    <t>-882.442344502101 198.587564101877 775.5454010277</t>
  </si>
  <si>
    <t>-758.667492502256 276.907856557096 835.820132260289</t>
  </si>
  <si>
    <t>-675.611941228344 -30.2116231421924 333.48382475485</t>
  </si>
  <si>
    <t>-696.117667590366 -51.9018717763474 780.508207836908</t>
  </si>
  <si>
    <t>-568.605402006837 -114.672773767056 850.420643332708</t>
  </si>
  <si>
    <t>9763-20170724T111101.915972300.bin</t>
  </si>
  <si>
    <t>-767.40371106982 66.1284666613528 -68.2668406773558</t>
  </si>
  <si>
    <t>-792.297985174263 49.6809930165232 -180.186278882611</t>
  </si>
  <si>
    <t>-802.693596753559 44.0358633844367 -278.098111943997</t>
  </si>
  <si>
    <t>-808.003825493696 41.8156732413759 -367.0088197233</t>
  </si>
  <si>
    <t>-808.777691933042 42.4501967632764 -456.100078438799</t>
  </si>
  <si>
    <t>-804.998609632197 46.1653634742465 -580.569822305018</t>
  </si>
  <si>
    <t>-767.900116575432 60.45217445559 -653.539747969555</t>
  </si>
  <si>
    <t>-815.136213538727 70.9065321707121 -525.266857342683</t>
  </si>
  <si>
    <t>-849.779820084504 202.599264850602 -506.428105542997</t>
  </si>
  <si>
    <t>-753.489805035887 263.76333293248 -235.174774896988</t>
  </si>
  <si>
    <t>-522.680694002468 332.884727456493 -235.721849664247</t>
  </si>
  <si>
    <t>-798.18727640419 18.1544306142614 -526.326676820864</t>
  </si>
  <si>
    <t>-814.582598235439 149.677419020584 -71.2043462127672</t>
  </si>
  <si>
    <t>-838.297908132083 180.938511051431 330.436004325664</t>
  </si>
  <si>
    <t>-882.567027546375 198.706556154224 775.709659298086</t>
  </si>
  <si>
    <t>-758.497331494137 276.563647459168 835.978605110531</t>
  </si>
  <si>
    <t>-675.489921313375 -29.7855437209582 333.498971741708</t>
  </si>
  <si>
    <t>-696.093300389211 -51.806038686261 780.484337728427</t>
  </si>
  <si>
    <t>-568.588482892008 -114.579074289462 850.408293777246</t>
  </si>
  <si>
    <t>9763-20170724T111101.980933900.bin</t>
  </si>
  <si>
    <t>-767.730576408881 67.4759980794765 -68.0770641811949</t>
  </si>
  <si>
    <t>-792.836416867298 51.1084558609427 -179.961126652369</t>
  </si>
  <si>
    <t>-803.41097034422 45.6878341297524 -277.866445258882</t>
  </si>
  <si>
    <t>-808.878015936732 43.7354001774247 -366.773933647188</t>
  </si>
  <si>
    <t>-809.799731007459 44.700147008125 -455.860756774617</t>
  </si>
  <si>
    <t>-806.215361318472 48.9405559009465 -580.319413857053</t>
  </si>
  <si>
    <t>-768.98497898661 63.4387417867324 -653.180470281566</t>
  </si>
  <si>
    <t>-816.123658360149 73.4934616794912 -524.891208771406</t>
  </si>
  <si>
    <t>-849.838154223247 205.340547768318 -505.431844596891</t>
  </si>
  <si>
    <t>-751.057681771404 266.321353057645 -235.03398086394</t>
  </si>
  <si>
    <t>-519.805185969904 333.908448185729 -237.299807934244</t>
  </si>
  <si>
    <t>-799.461744674526 20.655823957929 -526.21149697857</t>
  </si>
  <si>
    <t>-814.793497785829 151.227480085597 -70.9757321198891</t>
  </si>
  <si>
    <t>-838.03863257611 181.848859740806 330.741391160812</t>
  </si>
  <si>
    <t>-882.504587470951 198.631595125718 776.085762874424</t>
  </si>
  <si>
    <t>-758.463692729092 276.577583969792 836.298569096837</t>
  </si>
  <si>
    <t>-675.210510933023 -28.9091641239429 333.546254397249</t>
  </si>
  <si>
    <t>-696.054844229218 -51.6415617314831 780.441682931168</t>
  </si>
  <si>
    <t>-568.758752892409 -114.784099574422 850.413229220784</t>
  </si>
  <si>
    <t>9763-20170724T111102.016020800.bin</t>
  </si>
  <si>
    <t>-768.026849109016 68.07879044842 -67.9770233693215</t>
  </si>
  <si>
    <t>-793.251315902149 51.7505527802618 -179.840000713458</t>
  </si>
  <si>
    <t>-803.921689102516 46.4384289108384 -277.740832197527</t>
  </si>
  <si>
    <t>-809.470575809132 44.6147702606149 -366.646038739228</t>
  </si>
  <si>
    <t>-810.467041936525 45.7374215918694 -455.730194879415</t>
  </si>
  <si>
    <t>-806.978753973835 50.2284942521533 -580.182939021147</t>
  </si>
  <si>
    <t>-769.696079683288 64.8456358698954 -652.993378562852</t>
  </si>
  <si>
    <t>-816.768696027372 74.6932132368856 -524.694648689189</t>
  </si>
  <si>
    <t>-850.018476445015 206.612831476929 -504.943564255227</t>
  </si>
  <si>
    <t>-750.089041766701 267.499125590857 -234.946907648924</t>
  </si>
  <si>
    <t>-518.660646315287 334.454695322028 -237.90319565889</t>
  </si>
  <si>
    <t>-800.258886261271 21.8111586092314 -526.140126802231</t>
  </si>
  <si>
    <t>-815.111638252237 151.932912110738 -70.8588613181901</t>
  </si>
  <si>
    <t>-838.04039369852 182.254941611694 330.899110804689</t>
  </si>
  <si>
    <t>-882.660137979681 198.777962741354 776.251057611072</t>
  </si>
  <si>
    <t>-758.42529926344 276.422484292813 836.452608222897</t>
  </si>
  <si>
    <t>-675.170976997196 -28.5148901644116 333.571963325438</t>
  </si>
  <si>
    <t>-696.064892602129 -51.6396975906828 780.428915154415</t>
  </si>
  <si>
    <t>-568.781942775539 -114.793061591983 850.414531313871</t>
  </si>
  <si>
    <t>9763-20170724T111102.081040900.bin</t>
  </si>
  <si>
    <t>-768.718392055039 69.0439543426392 -67.8119039934855</t>
  </si>
  <si>
    <t>-794.079626444761 52.8572595955775 -179.664577398548</t>
  </si>
  <si>
    <t>-804.856268767906 47.7795589630555 -277.566318733751</t>
  </si>
  <si>
    <t>-810.494647905319 46.2152201845806 -366.47069677968</t>
  </si>
  <si>
    <t>-811.57106287159 47.6422627521533 -455.549715677722</t>
  </si>
  <si>
    <t>-808.182770315612 52.6051575092811 -579.987269529457</t>
  </si>
  <si>
    <t>-770.831011588389 67.4757103307684 -652.71088589344</t>
  </si>
  <si>
    <t>-817.79648381206 76.8998063978033 -524.393465854015</t>
  </si>
  <si>
    <t>-850.394449175296 208.914546616716 -504.184497468509</t>
  </si>
  <si>
    <t>-748.495031414324 269.582122369772 -234.875927637802</t>
  </si>
  <si>
    <t>-516.773166913697 335.448602794596 -239.060420397497</t>
  </si>
  <si>
    <t>-801.551104790508 23.9426503266477 -526.063191622175</t>
  </si>
  <si>
    <t>-815.609964964586 153.054365898129 -70.6664326176715</t>
  </si>
  <si>
    <t>-838.164884525486 182.720492823028 331.161688418456</t>
  </si>
  <si>
    <t>-882.60943043262 198.820262119458 776.548459886525</t>
  </si>
  <si>
    <t>-758.427283175803 276.540742010842 836.761343024003</t>
  </si>
  <si>
    <t>-675.299967640647 -27.8592447485212 333.607687846147</t>
  </si>
  <si>
    <t>-696.079326452674 -51.5329317338503 780.408799034383</t>
  </si>
  <si>
    <t>-568.917499767887 -114.902246630965 850.419325654312</t>
  </si>
  <si>
    <t>9763-20170724T111102.117135200.bin</t>
  </si>
  <si>
    <t>-769.026463633873 69.4161962184435 -67.7528013094461</t>
  </si>
  <si>
    <t>-794.414167104725 53.3312689025533 -179.614242874943</t>
  </si>
  <si>
    <t>-805.213673481739 48.3750053625158 -277.519493823322</t>
  </si>
  <si>
    <t>-810.87262849577 46.9345255743533 -366.424832575377</t>
  </si>
  <si>
    <t>-811.967940152688 48.4986158463721 -455.501160841801</t>
  </si>
  <si>
    <t>-808.604410041616 53.6661525607956 -579.931115802376</t>
  </si>
  <si>
    <t>-771.252889454741 68.6268194339973 -652.636397293081</t>
  </si>
  <si>
    <t>-818.143348126806 77.8887531804439 -524.292959079161</t>
  </si>
  <si>
    <t>-850.528879129031 209.936866279753 -503.934248143499</t>
  </si>
  <si>
    <t>-748.076346823871 270.413108718327 -234.792450179916</t>
  </si>
  <si>
    <t>-516.266375889688 335.926740051689 -239.58683427006</t>
  </si>
  <si>
    <t>-802.02591968063 24.8956848316639 -526.058136695548</t>
  </si>
  <si>
    <t>-815.811491804765 153.486296884281 -70.5712127817426</t>
  </si>
  <si>
    <t>-838.28127563787 182.920795115235 331.278770410115</t>
  </si>
  <si>
    <t>-882.488045922236 198.770643191182 776.704265225084</t>
  </si>
  <si>
    <t>-758.368566539339 276.59154167219 836.916583150366</t>
  </si>
  <si>
    <t>-675.459783802618 -27.6134806577415 333.612526365358</t>
  </si>
  <si>
    <t>-696.104373580683 -51.5220664115168 780.401650493017</t>
  </si>
  <si>
    <t>-568.966983652581 -114.930300898174 850.421699519621</t>
  </si>
  <si>
    <t>9763-20170724T111102.182317500.bin</t>
  </si>
  <si>
    <t>-769.610169713358 70.1446885630035 -67.6222656037239</t>
  </si>
  <si>
    <t>-795.04386984647 54.2695495836269 -179.503227059447</t>
  </si>
  <si>
    <t>-805.865302792773 49.5394021005122 -277.417263808793</t>
  </si>
  <si>
    <t>-811.535880509858 48.3229650346461 -366.325222188331</t>
  </si>
  <si>
    <t>-812.6339832978 50.1283457524069 -455.396835777698</t>
  </si>
  <si>
    <t>-809.263595417805 55.6501492029956 -579.811364746999</t>
  </si>
  <si>
    <t>-772.025309351654 70.7778077469548 -652.540102779201</t>
  </si>
  <si>
    <t>-818.694842242134 79.7474305589581 -524.100725189526</t>
  </si>
  <si>
    <t>-850.958179101304 211.777806214522 -503.500511242668</t>
  </si>
  <si>
    <t>-748.929498119618 271.099583350757 -233.941234569125</t>
  </si>
  <si>
    <t>-516.731266514662 335.085408522548 -240.319914565384</t>
  </si>
  <si>
    <t>-802.798820472673 26.6930325328112 -526.024668209129</t>
  </si>
  <si>
    <t>-816.35163830156 154.343295549429 -70.3557163982064</t>
  </si>
  <si>
    <t>-838.450918295369 183.448900997429 331.538771748362</t>
  </si>
  <si>
    <t>-882.600603481634 198.956828147289 777.050533026348</t>
  </si>
  <si>
    <t>-758.311588944153 276.539412870967 837.220752600458</t>
  </si>
  <si>
    <t>-675.849001862414 -27.1077311370145 333.612802698576</t>
  </si>
  <si>
    <t>-696.127428680735 -51.331316481781 780.383557727738</t>
  </si>
  <si>
    <t>-569.188117075536 -115.099484295085 850.436011686457</t>
  </si>
  <si>
    <t>9763-20170724T111102.216408900.bin</t>
  </si>
  <si>
    <t>-769.822490689881 70.3301523210048 -67.5411171297425</t>
  </si>
  <si>
    <t>-795.306491885179 54.5493890947478 -179.423907764089</t>
  </si>
  <si>
    <t>-806.156744678482 49.9447231448626 -277.340733844367</t>
  </si>
  <si>
    <t>-811.847044865592 48.8605417519402 -366.249154644748</t>
  </si>
  <si>
    <t>-812.957296460299 50.8163076209485 -455.317539356319</t>
  </si>
  <si>
    <t>-809.595935981074 56.5667929092888 -579.721940687581</t>
  </si>
  <si>
    <t>-772.512342030357 71.8173371843827 -652.5041100953</t>
  </si>
  <si>
    <t>-818.982635262175 80.5737229974416 -523.964711942251</t>
  </si>
  <si>
    <t>-851.172494680279 212.600267974112 -503.184188950114</t>
  </si>
  <si>
    <t>-750.065318629595 270.621413235695 -232.995262554965</t>
  </si>
  <si>
    <t>-517.607114004805 333.614722841083 -239.765293875506</t>
  </si>
  <si>
    <t>-803.167583916603 27.4988328461081 -525.990767736892</t>
  </si>
  <si>
    <t>-816.470168991086 154.487515484557 -70.215503394758</t>
  </si>
  <si>
    <t>-838.426729706851 183.591510892479 331.686866113041</t>
  </si>
  <si>
    <t>-882.453033489604 198.865161498471 777.234650795605</t>
  </si>
  <si>
    <t>-758.266291813897 276.636816423248 837.371494318203</t>
  </si>
  <si>
    <t>-675.905067817949 -26.9503903893183 333.621855961191</t>
  </si>
  <si>
    <t>-696.137619519139 -51.2319554431231 780.376975132347</t>
  </si>
  <si>
    <t>-569.327677458884 -115.237419090905 850.447367365735</t>
  </si>
  <si>
    <t>9763-20170724T111102.282204500.bin</t>
  </si>
  <si>
    <t>-770.209310244733 70.447984121367 -67.3571021658223</t>
  </si>
  <si>
    <t>-795.853329663041 54.7557336815835 -179.215813543462</t>
  </si>
  <si>
    <t>-806.856171378772 50.4014114551464 -277.127187991836</t>
  </si>
  <si>
    <t>-812.684397520489 49.6135075893412 -366.029591605266</t>
  </si>
  <si>
    <t>-813.928903547434 51.9329266731879 -455.087500971915</t>
  </si>
  <si>
    <t>-810.747312146681 58.2610180051565 -579.468687348635</t>
  </si>
  <si>
    <t>-774.031535450633 73.756443621945 -652.385468185776</t>
  </si>
  <si>
    <t>-819.966837000512 82.0342366452282 -523.583548825719</t>
  </si>
  <si>
    <t>-851.669076888254 214.061940504938 -502.146630210671</t>
  </si>
  <si>
    <t>-752.590302325713 267.832880140801 -230.331923930906</t>
  </si>
  <si>
    <t>-519.616763453247 328.909359718234 -236.959539782581</t>
  </si>
  <si>
    <t>-804.327848458811 28.9183659329451 -525.88579023162</t>
  </si>
  <si>
    <t>-816.766756282088 154.651268990366 -69.9263491918717</t>
  </si>
  <si>
    <t>-838.446405484365 183.795734514112 331.988143163156</t>
  </si>
  <si>
    <t>-882.501481945379 198.961301639187 777.571346528021</t>
  </si>
  <si>
    <t>-758.125546797359 276.471066198058 837.655953854762</t>
  </si>
  <si>
    <t>-676.021392493431 -26.7711991402834 333.650930748835</t>
  </si>
  <si>
    <t>-696.185852249637 -51.0910755730376 780.386752162133</t>
  </si>
  <si>
    <t>-569.487791375565 -115.300414662635 850.472569451298</t>
  </si>
  <si>
    <t>9763-20170724T111102.315293400.bin</t>
  </si>
  <si>
    <t>-770.305913859625 70.2760662812921 -67.2415826488997</t>
  </si>
  <si>
    <t>-796.034528543543 54.6143147436201 -179.085192491581</t>
  </si>
  <si>
    <t>-807.142001343501 50.4178445779539 -276.991632778779</t>
  </si>
  <si>
    <t>-813.073460525847 49.826318750268 -365.888747593417</t>
  </si>
  <si>
    <t>-814.427789095885 52.3956221836288 -454.938167774177</t>
  </si>
  <si>
    <t>-811.404324743387 59.1288175304271 -579.301970035817</t>
  </si>
  <si>
    <t>-774.910248258635 74.7752471038975 -652.297773645936</t>
  </si>
  <si>
    <t>-820.533458685876 82.7256464211764 -523.327224773588</t>
  </si>
  <si>
    <t>-852.068621371439 214.733225426714 -501.438817604551</t>
  </si>
  <si>
    <t>-753.600476677235 266.016431794021 -228.922218332804</t>
  </si>
  <si>
    <t>-520.479106940919 326.522407245161 -235.576749396188</t>
  </si>
  <si>
    <t>-804.93624761248 29.6062733567483 -525.824021631207</t>
  </si>
  <si>
    <t>-816.772482361592 154.541970312953 -69.7823616482746</t>
  </si>
  <si>
    <t>-838.45783044357 183.796961057167 332.123766979842</t>
  </si>
  <si>
    <t>-882.53765400758 199.05303024899 777.687558175969</t>
  </si>
  <si>
    <t>-758.111369135413 276.47725499427 837.778595795658</t>
  </si>
  <si>
    <t>-676.088177667904 -26.878183741941 333.687887581839</t>
  </si>
  <si>
    <t>-696.257114149739 -51.2093591782218 780.407494073698</t>
  </si>
  <si>
    <t>-569.508022328431 -115.328531421343 850.483943436378</t>
  </si>
  <si>
    <t>9763-20170724T111102.382477600.bin</t>
  </si>
  <si>
    <t>-770.607225119668 69.672722439409 -67.0934108881652</t>
  </si>
  <si>
    <t>-796.51266909192 54.050289196527 -178.901622977502</t>
  </si>
  <si>
    <t>-807.880702596033 50.0849350740914 -276.78773968042</t>
  </si>
  <si>
    <t>-814.085537539094 49.7841163241555 -365.667614949166</t>
  </si>
  <si>
    <t>-815.746760407015 52.7266936229244 -454.700395638287</t>
  </si>
  <si>
    <t>-813.184195322611 60.068612085518 -579.039983153026</t>
  </si>
  <si>
    <t>-777.198031822373 76.037721324044 -652.217985129109</t>
  </si>
  <si>
    <t>-822.102051017498 83.3922323821625 -522.916889838204</t>
  </si>
  <si>
    <t>-853.49556515684 215.287733350143 -500.171029514078</t>
  </si>
  <si>
    <t>-756.074140247825 262.728552928718 -226.584481017162</t>
  </si>
  <si>
    <t>-522.697160632909 322.16541522322 -233.884554920119</t>
  </si>
  <si>
    <t>-806.52219037728 30.2837528956543 -525.731628283963</t>
  </si>
  <si>
    <t>-816.957368338032 153.960109287937 -69.5469633773088</t>
  </si>
  <si>
    <t>-838.435760703621 183.436010436626 332.354177117978</t>
  </si>
  <si>
    <t>-882.292906648644 198.957790020461 777.911841149891</t>
  </si>
  <si>
    <t>-757.973317886831 276.535759774442 838.024848259091</t>
  </si>
  <si>
    <t>-676.29741634574 -27.0588107488365 333.725632989752</t>
  </si>
  <si>
    <t>-696.324549954944 -51.0594105022594 780.463256107604</t>
  </si>
  <si>
    <t>-569.813540168649 -115.658595164021 850.529153608923</t>
  </si>
  <si>
    <t>9763-20170724T111102.415567200.bin</t>
  </si>
  <si>
    <t>-770.738426583951 69.2493069213815 -67.036703921566</t>
  </si>
  <si>
    <t>-796.729756052776 53.6591039004838 -178.829506204517</t>
  </si>
  <si>
    <t>-808.247173117324 49.7939218438619 -276.702218735919</t>
  </si>
  <si>
    <t>-814.615780919038 49.6146370640063 -365.57090778746</t>
  </si>
  <si>
    <t>-816.46784369305 52.7108132826365 -454.594660687818</t>
  </si>
  <si>
    <t>-814.199486669615 60.3020785737722 -578.925045522356</t>
  </si>
  <si>
    <t>-778.524903539093 76.4639542635769 -652.21306024467</t>
  </si>
  <si>
    <t>-823.001216104051 83.5079830759069 -522.734959158015</t>
  </si>
  <si>
    <t>-854.462472822684 215.325225988092 -499.67325933347</t>
  </si>
  <si>
    <t>-757.342324282278 261.45594085938 -225.755731234072</t>
  </si>
  <si>
    <t>-523.82255505084 320.26234567902 -233.578724461986</t>
  </si>
  <si>
    <t>-807.394219971476 30.4151936120252 -525.69190368937</t>
  </si>
  <si>
    <t>-817.04181490187 153.576344083695 -69.4120352576693</t>
  </si>
  <si>
    <t>-838.528040371316 183.209020084084 332.477121226003</t>
  </si>
  <si>
    <t>-882.354451937812 199.058185893053 778.028941631276</t>
  </si>
  <si>
    <t>-757.889064923217 276.393343210153 838.153699807188</t>
  </si>
  <si>
    <t>-676.508219036385 -27.3320865096002 333.73136190279</t>
  </si>
  <si>
    <t>-696.413148661295 -51.2423078564855 780.503782897368</t>
  </si>
  <si>
    <t>-569.747067165037 -115.571919325704 850.537332042998</t>
  </si>
  <si>
    <t>9763-20170724T111102.483760900.bin</t>
  </si>
  <si>
    <t>-770.853030618927 68.0836847510618 -66.8963580028944</t>
  </si>
  <si>
    <t>-797.048656144448 52.522982628348 -178.645476604072</t>
  </si>
  <si>
    <t>-808.860025784236 48.822133041645 -276.489570270125</t>
  </si>
  <si>
    <t>-815.538139716114 48.8501460580433 -365.335766188214</t>
  </si>
  <si>
    <t>-817.741846235107 52.2150822984436 -454.341696874926</t>
  </si>
  <si>
    <t>-816.005916404598 60.2483601370154 -578.652905037352</t>
  </si>
  <si>
    <t>-780.967019055601 76.818739653912 -652.156058939518</t>
  </si>
  <si>
    <t>-824.621110354559 83.238356022272 -522.34518361199</t>
  </si>
  <si>
    <t>-856.321003282792 214.897708842609 -498.679323087023</t>
  </si>
  <si>
    <t>-759.525652526138 259.07102701976 -224.32438851264</t>
  </si>
  <si>
    <t>-525.716729924005 316.125993708642 -235.679119959541</t>
  </si>
  <si>
    <t>-808.91887471037 30.1882811227674 -525.554160013597</t>
  </si>
  <si>
    <t>-817.088589164602 152.448231704298 -69.1427140713903</t>
  </si>
  <si>
    <t>-838.529261969082 182.528110714281 332.71566739487</t>
  </si>
  <si>
    <t>-882.199090720356 199.000224397939 778.24363216785</t>
  </si>
  <si>
    <t>-757.868603975427 276.550017013806 838.370529449105</t>
  </si>
  <si>
    <t>-676.795779623126 -27.9907025390471 333.754678084336</t>
  </si>
  <si>
    <t>-696.519549100714 -51.3326457884948 780.566108017807</t>
  </si>
  <si>
    <t>-569.650215501908 -115.318752886122 850.546480263283</t>
  </si>
  <si>
    <t>9763-20170724T111102.515854300.bin</t>
  </si>
  <si>
    <t>-770.982647189616 67.5101607810439 -66.8439837135452</t>
  </si>
  <si>
    <t>-797.254966311883 51.94222608871 -178.574117974541</t>
  </si>
  <si>
    <t>-809.197963606761 48.3028670294534 -276.404483602778</t>
  </si>
  <si>
    <t>-816.018818785161 48.4147445724611 -365.239675149613</t>
  </si>
  <si>
    <t>-818.388649138938 51.8932740639266 -454.237075967551</t>
  </si>
  <si>
    <t>-816.908329881654 60.1173580219515 -578.539001033855</t>
  </si>
  <si>
    <t>-782.192573408795 76.8916644031592 -652.149348194309</t>
  </si>
  <si>
    <t>-825.442410984307 83.0103385941616 -522.179696360952</t>
  </si>
  <si>
    <t>-857.30521133364 214.58609251409 -498.247078556823</t>
  </si>
  <si>
    <t>-760.404884231259 257.569100986345 -223.740296532867</t>
  </si>
  <si>
    <t>-526.598930908073 314.335155512223 -236.516535534402</t>
  </si>
  <si>
    <t>-809.676904585386 29.9861249443447 -525.500133979843</t>
  </si>
  <si>
    <t>-817.257787627449 151.880686338979 -69.0425516220546</t>
  </si>
  <si>
    <t>-838.566517203639 182.151272529552 332.808518736892</t>
  </si>
  <si>
    <t>-882.109418196133 198.966214702306 778.327520210676</t>
  </si>
  <si>
    <t>-757.699821068838 276.379688317805 838.466784871897</t>
  </si>
  <si>
    <t>-676.999537085325 -28.2789061000594 333.773720805314</t>
  </si>
  <si>
    <t>-696.569778407665 -51.3846707551033 780.603970101256</t>
  </si>
  <si>
    <t>-569.634473360438 -115.268189170016 850.558490838578</t>
  </si>
  <si>
    <t>9763-20170724T111102.581901300.bin</t>
  </si>
  <si>
    <t>-770.955719058836 66.3272727149001 -66.8126266716203</t>
  </si>
  <si>
    <t>-797.317651594585 50.7700847212745 -178.52327533097</t>
  </si>
  <si>
    <t>-809.465167261009 47.2466206948598 -276.332585015163</t>
  </si>
  <si>
    <t>-816.518742968722 47.5075388173532 -365.149354487215</t>
  </si>
  <si>
    <t>-819.167037057293 51.1818915513272 -454.130931446365</t>
  </si>
  <si>
    <t>-818.121310136186 59.7293017870402 -578.415545032074</t>
  </si>
  <si>
    <t>-784.025469259262 76.881459207551 -652.228249460241</t>
  </si>
  <si>
    <t>-826.514926199586 82.458919439488 -521.96894570986</t>
  </si>
  <si>
    <t>-858.509517016852 213.890443572434 -497.50990937716</t>
  </si>
  <si>
    <t>-761.904578833384 255.240448043197 -222.648465057459</t>
  </si>
  <si>
    <t>-528.032403109171 310.81187411467 -238.973852679352</t>
  </si>
  <si>
    <t>-810.648023106774 29.4770700261347 -525.479309402874</t>
  </si>
  <si>
    <t>-817.112511812516 150.658832999746 -68.8757641883487</t>
  </si>
  <si>
    <t>-838.66123075791 181.336002661482 332.931674985611</t>
  </si>
  <si>
    <t>-882.020397552589 198.993411714576 778.430165459297</t>
  </si>
  <si>
    <t>-757.727740622761 276.553669172781 838.62233342806</t>
  </si>
  <si>
    <t>-677.251079138287 -28.7689173340573 333.78378171062</t>
  </si>
  <si>
    <t>-696.638842438372 -51.4466856541983 780.648110163872</t>
  </si>
  <si>
    <t>-569.54768364108 -115.037183398753 850.586608723142</t>
  </si>
  <si>
    <t>9763-20170724T111102.615991600.bin</t>
  </si>
  <si>
    <t>-770.872957308261 65.8323344602195 -66.8113167231735</t>
  </si>
  <si>
    <t>-797.227556847535 50.3037185499084 -178.527500916577</t>
  </si>
  <si>
    <t>-809.413725572944 46.8622874409011 -276.335141129461</t>
  </si>
  <si>
    <t>-816.518997146443 47.221209971201 -365.14736511486</t>
  </si>
  <si>
    <t>-819.23395347879 51.0174491820517 -454.121890834648</t>
  </si>
  <si>
    <t>-818.297103306829 59.761268535372 -578.393688305595</t>
  </si>
  <si>
    <t>-784.499700740284 77.0790820090501 -652.304717842583</t>
  </si>
  <si>
    <t>-826.664034785347 82.3950674462699 -521.904629392785</t>
  </si>
  <si>
    <t>-858.651164733282 213.782335986111 -497.170965407608</t>
  </si>
  <si>
    <t>-762.138958904284 254.223878402885 -222.141639997233</t>
  </si>
  <si>
    <t>-528.337919612707 309.936866901884 -238.99398767604</t>
  </si>
  <si>
    <t>-810.754920658881 29.4321381580239 -525.511131599361</t>
  </si>
  <si>
    <t>-816.986009127156 150.13131509123 -68.8184341670227</t>
  </si>
  <si>
    <t>-838.708670877268 180.959091869274 332.968191927503</t>
  </si>
  <si>
    <t>-881.959435397316 198.988994531858 778.461376398986</t>
  </si>
  <si>
    <t>-757.706111880625 276.58786618481 838.684391589273</t>
  </si>
  <si>
    <t>-677.393766630057 -28.9685826535774 333.775009208837</t>
  </si>
  <si>
    <t>-696.659629407835 -51.3690992323175 780.676861567788</t>
  </si>
  <si>
    <t>-569.657824138457 -115.139920944342 850.613447880725</t>
  </si>
  <si>
    <t>9763-20170724T111102.682535800.bin</t>
  </si>
  <si>
    <t>-770.797818892555 64.6720567738371 -66.7708333894469</t>
  </si>
  <si>
    <t>-797.100008740869 49.1463738131438 -178.499794630179</t>
  </si>
  <si>
    <t>-809.28092330429 45.843063923217 -276.312700816132</t>
  </si>
  <si>
    <t>-816.391316268563 46.37922829129 -365.123818921562</t>
  </si>
  <si>
    <t>-819.118674545818 50.4046186406408 -454.087744001569</t>
  </si>
  <si>
    <t>-818.204179961396 59.521238647385 -578.333039568311</t>
  </si>
  <si>
    <t>-785.023829519416 77.0707077535276 -652.468737702198</t>
  </si>
  <si>
    <t>-826.584035353359 81.9784515024839 -521.775439642134</t>
  </si>
  <si>
    <t>-858.382668902922 213.31091004855 -496.534840737031</t>
  </si>
  <si>
    <t>-762.434521730982 252.22333743291 -221.087920051563</t>
  </si>
  <si>
    <t>-528.628110736809 307.749920841869 -238.471913616044</t>
  </si>
  <si>
    <t>-810.629278971411 29.0405369697196 -525.542249787141</t>
  </si>
  <si>
    <t>-816.789951631172 148.77412495052 -68.7132849605625</t>
  </si>
  <si>
    <t>-838.734766257573 180.298147312174 333.007109305695</t>
  </si>
  <si>
    <t>-881.684647640722 198.841380494848 778.47155958539</t>
  </si>
  <si>
    <t>-757.582998621701 276.642945394948 838.745933285059</t>
  </si>
  <si>
    <t>-677.786138847148 -29.6724014091692 333.812621396939</t>
  </si>
  <si>
    <t>-696.774690705756 -51.6195280445495 780.767451907004</t>
  </si>
  <si>
    <t>-569.473125170124 -114.854046585727 850.645815970923</t>
  </si>
  <si>
    <t>9763-20170724T111102.715624700.bin</t>
  </si>
  <si>
    <t>-770.908882999087 64.1996232561351 -66.7372143982602</t>
  </si>
  <si>
    <t>-797.168127021104 48.7056160824991 -178.480667664213</t>
  </si>
  <si>
    <t>-809.332896352452 45.4820604213123 -276.298284241948</t>
  </si>
  <si>
    <t>-816.434615225796 46.1101384428016 -365.109383452142</t>
  </si>
  <si>
    <t>-819.15782863355 50.2469217080024 -454.068475297757</t>
  </si>
  <si>
    <t>-818.241350606392 59.5391890877659 -578.300656204719</t>
  </si>
  <si>
    <t>-785.339980167093 77.1457764572492 -652.547127098956</t>
  </si>
  <si>
    <t>-826.623786828294 81.9159313125915 -521.711555973188</t>
  </si>
  <si>
    <t>-858.284675211706 213.244243595697 -496.24584624602</t>
  </si>
  <si>
    <t>-762.485699432063 251.301490963893 -220.627685096593</t>
  </si>
  <si>
    <t>-528.711623608264 306.990378652382 -237.929717271055</t>
  </si>
  <si>
    <t>-810.665658660678 28.9844412905645 -525.552926917833</t>
  </si>
  <si>
    <t>-816.976176059215 148.324341885285 -68.6749657341284</t>
  </si>
  <si>
    <t>-838.86622264078 180.064917337266 333.031447208394</t>
  </si>
  <si>
    <t>-881.862273201702 199.012413685005 778.501348997334</t>
  </si>
  <si>
    <t>-757.598471052732 276.55403566409 838.776767079072</t>
  </si>
  <si>
    <t>-678.114191443563 -29.9740985239596 333.840307592836</t>
  </si>
  <si>
    <t>-696.819856574158 -51.7048390150935 780.817747764254</t>
  </si>
  <si>
    <t>-569.476452331643 -114.886991371023 850.667167465684</t>
  </si>
  <si>
    <t>9763-20170724T111102.784436200.bin</t>
  </si>
  <si>
    <t>-770.991973391032 63.4713981103446 -66.6594137413647</t>
  </si>
  <si>
    <t>-797.244384643957 48.0549043545898 -178.415322342512</t>
  </si>
  <si>
    <t>-809.397605328511 44.9289846741594 -276.237558685459</t>
  </si>
  <si>
    <t>-816.48586108178 45.6576993819158 -365.048897108258</t>
  </si>
  <si>
    <t>-819.192544166848 49.9069841949918 -454.003126837409</t>
  </si>
  <si>
    <t>-818.2484570108 59.3685560154518 -578.222444939944</t>
  </si>
  <si>
    <t>-785.804062593969 76.9843277772347 -652.667477924065</t>
  </si>
  <si>
    <t>-826.634690806609 81.6706478209821 -521.60426541321</t>
  </si>
  <si>
    <t>-858.015348383453 213.019721041048 -495.888364233944</t>
  </si>
  <si>
    <t>-762.697942986585 250.077671000678 -219.967146546503</t>
  </si>
  <si>
    <t>-528.866013488343 305.799608554019 -236.353571320052</t>
  </si>
  <si>
    <t>-810.693047187758 28.7392232450361 -525.514949567479</t>
  </si>
  <si>
    <t>-816.901131215114 147.602221994174 -68.5616036156603</t>
  </si>
  <si>
    <t>-839.057525160241 179.706583749813 333.101250120717</t>
  </si>
  <si>
    <t>-881.854623697622 199.013105633309 778.553304894494</t>
  </si>
  <si>
    <t>-757.460890140632 276.354806929681 838.81738550946</t>
  </si>
  <si>
    <t>-678.622059887228 -30.4498742001483 333.888362224519</t>
  </si>
  <si>
    <t>-696.868013783404 -51.7695964582342 780.890440811916</t>
  </si>
  <si>
    <t>-569.413292539479 -114.776110758535 850.695521304623</t>
  </si>
  <si>
    <t>9763-20170724T111102.816530400.bin</t>
  </si>
  <si>
    <t>-771.069282711202 63.2592564338634 -66.6198885961305</t>
  </si>
  <si>
    <t>-797.320352927212 47.8620622418321 -178.37863664334</t>
  </si>
  <si>
    <t>-809.45327128412 44.7387271232465 -276.203478212138</t>
  </si>
  <si>
    <t>-816.515932138082 45.4638713885224 -365.016967814494</t>
  </si>
  <si>
    <t>-819.189772495195 49.7032460085934 -453.972591944889</t>
  </si>
  <si>
    <t>-818.192325674451 59.1439304932451 -578.193020298052</t>
  </si>
  <si>
    <t>-785.924025969935 76.7066362497617 -652.727127754141</t>
  </si>
  <si>
    <t>-826.583400370332 81.4612785143859 -521.581764019872</t>
  </si>
  <si>
    <t>-857.887876571264 212.841048087967 -495.912159759012</t>
  </si>
  <si>
    <t>-762.967286639297 249.431553711606 -219.791801220581</t>
  </si>
  <si>
    <t>-529.181700902838 305.564258662274 -235.420314137115</t>
  </si>
  <si>
    <t>-810.679062998267 28.517750719765 -525.477775751221</t>
  </si>
  <si>
    <t>-816.881590437499 147.374391225356 -68.5303334372431</t>
  </si>
  <si>
    <t>-838.999583367803 179.597954592391 333.125091788343</t>
  </si>
  <si>
    <t>-881.801925205303 198.964446467266 778.579279212464</t>
  </si>
  <si>
    <t>-757.562251391127 276.566090944656 838.826983353585</t>
  </si>
  <si>
    <t>-678.785708848956 -30.657461707704 333.908495051882</t>
  </si>
  <si>
    <t>-696.881751524262 -51.8246871278252 780.912440891155</t>
  </si>
  <si>
    <t>-569.357349313291 -114.704315663133 850.704828035705</t>
  </si>
  <si>
    <t>9763-20170724T111102.880700000.bin</t>
  </si>
  <si>
    <t>-771.226678098011 63.1497088949036 -66.5646136777933</t>
  </si>
  <si>
    <t>-797.441347171355 47.776809104681 -178.335306696602</t>
  </si>
  <si>
    <t>-809.466876206512 44.6017987212949 -276.171802794101</t>
  </si>
  <si>
    <t>-816.404887966051 45.2510171968752 -364.995736204011</t>
  </si>
  <si>
    <t>-818.927865802245 49.3840497388446 -453.960755763777</t>
  </si>
  <si>
    <t>-817.694526011181 58.643670858854 -578.192581877634</t>
  </si>
  <si>
    <t>-785.71074110417 76.0353330860489 -652.889368269363</t>
  </si>
  <si>
    <t>-826.162710522415 81.0525935403757 -521.629006107438</t>
  </si>
  <si>
    <t>-857.505328514596 212.483936526389 -496.256350495944</t>
  </si>
  <si>
    <t>-763.907597086098 248.548157723661 -219.615808548051</t>
  </si>
  <si>
    <t>-530.498714815218 306.770183726545 -233.082291678203</t>
  </si>
  <si>
    <t>-810.311572828197 28.0852321759658 -525.419578363321</t>
  </si>
  <si>
    <t>-816.943434597113 147.240979688759 -68.4906437643629</t>
  </si>
  <si>
    <t>-838.820251853029 179.638261299752 333.164087094103</t>
  </si>
  <si>
    <t>-881.844796427412 198.965511213788 778.62401864925</t>
  </si>
  <si>
    <t>-757.611481757466 276.619756628452 838.816824816646</t>
  </si>
  <si>
    <t>-678.800060113631 -30.7727369434247 333.952741331456</t>
  </si>
  <si>
    <t>-696.869779742864 -51.7999163651227 780.936663540504</t>
  </si>
  <si>
    <t>-569.393340243833 -114.762303660059 850.74211862146</t>
  </si>
  <si>
    <t>9763-20170724T111102.915792100.bin</t>
  </si>
  <si>
    <t>-771.226057928413 63.1034192552415 -66.554586091316</t>
  </si>
  <si>
    <t>-797.384703048984 47.7201172518621 -178.337001639883</t>
  </si>
  <si>
    <t>-809.309892409946 44.4887660707996 -276.183814588723</t>
  </si>
  <si>
    <t>-816.137934947172 45.0669866581134 -365.0166995256</t>
  </si>
  <si>
    <t>-818.532352623034 49.1083169125714 -453.989592974144</t>
  </si>
  <si>
    <t>-817.100734754673 58.2175317905089 -578.230418181716</t>
  </si>
  <si>
    <t>-785.242195347488 75.4898491062595 -653.008251691005</t>
  </si>
  <si>
    <t>-825.651059322583 80.6972510288897 -521.707364309682</t>
  </si>
  <si>
    <t>-857.058701986869 212.150134293209 -496.558508840133</t>
  </si>
  <si>
    <t>-764.243220261943 248.205270261037 -219.653135548892</t>
  </si>
  <si>
    <t>-531.041980576424 307.622073261156 -231.387741917638</t>
  </si>
  <si>
    <t>-809.810228720057 27.7206237975715 -525.409013232112</t>
  </si>
  <si>
    <t>-816.882473861627 147.178904672176 -68.4940686621298</t>
  </si>
  <si>
    <t>-838.657506783063 179.727675518862 333.153896138048</t>
  </si>
  <si>
    <t>-881.793083871457 198.910671999196 778.600862916614</t>
  </si>
  <si>
    <t>-757.48623795667 276.45716355628 838.780891662271</t>
  </si>
  <si>
    <t>-678.795522521427 -30.7633495227087 333.984242891593</t>
  </si>
  <si>
    <t>-696.858091574519 -51.7440928904509 780.951310446117</t>
  </si>
  <si>
    <t>-569.50052215295 -114.929917776613 850.77200362484</t>
  </si>
  <si>
    <t>9763-20170724T111102.981521000.bin</t>
  </si>
  <si>
    <t>-771.233061422631 63.0394011186122 -66.5736715262306</t>
  </si>
  <si>
    <t>-797.24218309239 47.5651173338902 -178.378273170655</t>
  </si>
  <si>
    <t>-808.929727138861 44.1492753843204 -276.247579926413</t>
  </si>
  <si>
    <t>-815.500604296745 44.5141316996996 -365.101103166379</t>
  </si>
  <si>
    <t>-817.597920575882 48.2940205883847 -454.09302399616</t>
  </si>
  <si>
    <t>-815.710905540082 56.9853936941449 -578.357644281598</t>
  </si>
  <si>
    <t>-783.992065878978 73.9478547928156 -653.265617474939</t>
  </si>
  <si>
    <t>-824.45678593507 79.6585224331188 -521.941708712894</t>
  </si>
  <si>
    <t>-856.023021387917 211.171662471403 -497.332977501017</t>
  </si>
  <si>
    <t>-764.724986513795 247.390656683212 -219.945204428372</t>
  </si>
  <si>
    <t>-532.043945800353 309.363824962368 -228.300157651238</t>
  </si>
  <si>
    <t>-808.626159194601 26.662834477936 -525.407947947687</t>
  </si>
  <si>
    <t>-816.910910686217 147.051836033605 -68.6015243815846</t>
  </si>
  <si>
    <t>-838.606346399085 179.890640792898 333.027170778619</t>
  </si>
  <si>
    <t>-881.857915668439 198.969428746364 778.480284028113</t>
  </si>
  <si>
    <t>-757.412699248051 276.305969813792 838.644836023057</t>
  </si>
  <si>
    <t>-678.813508771893 -30.6766197401794 334.056001715347</t>
  </si>
  <si>
    <t>-696.829166719938 -51.6381799037372 780.983864520986</t>
  </si>
  <si>
    <t>-569.577451411212 -115.007810844476 850.830559155788</t>
  </si>
  <si>
    <t>9763-20170724T111103.019622000.bin</t>
  </si>
  <si>
    <t>-771.18832990903 62.9673146224104 -66.6151996316187</t>
  </si>
  <si>
    <t>-797.115515833194 47.4603513446773 -178.434512285436</t>
  </si>
  <si>
    <t>-808.708310241071 43.9435169080048 -276.311384342776</t>
  </si>
  <si>
    <t>-815.18568120783 44.1873902559728 -365.17206360466</t>
  </si>
  <si>
    <t>-817.183236166573 47.8159419874646 -454.172572911932</t>
  </si>
  <si>
    <t>-815.151061844947 56.2642015531869 -578.451725311001</t>
  </si>
  <si>
    <t>-783.51449709398 73.0602458667008 -653.431934405627</t>
  </si>
  <si>
    <t>-823.964126784116 79.0471103043697 -522.09073709803</t>
  </si>
  <si>
    <t>-855.671900778895 210.581676117707 -497.778637604905</t>
  </si>
  <si>
    <t>-764.805213600136 246.767355156974 -220.244611581985</t>
  </si>
  <si>
    <t>-532.390902295856 309.926200986205 -226.98098464225</t>
  </si>
  <si>
    <t>-808.126642202643 26.0458122595928 -525.434531305718</t>
  </si>
  <si>
    <t>-816.856676678062 146.951372519575 -68.6941300500226</t>
  </si>
  <si>
    <t>-838.629211714092 179.887525145195 332.922359106718</t>
  </si>
  <si>
    <t>-881.877056334364 198.999438821249 778.388446915315</t>
  </si>
  <si>
    <t>-757.511949579183 276.461813930403 838.557153411993</t>
  </si>
  <si>
    <t>-678.747920391767 -30.6680186766052 334.068772568831</t>
  </si>
  <si>
    <t>-696.829479833612 -51.6604760059822 780.997309871222</t>
  </si>
  <si>
    <t>-569.581464364537 -115.032045117233 850.849406256225</t>
  </si>
  <si>
    <t>9763-20170724T111103.083331200.bin</t>
  </si>
  <si>
    <t>-771.094890566403 62.6585045402062 -66.735489590422</t>
  </si>
  <si>
    <t>-796.835639605729 47.0540093163954 -178.58428843148</t>
  </si>
  <si>
    <t>-808.22342831661 43.2887516036321 -276.476065806868</t>
  </si>
  <si>
    <t>-814.502877717007 43.2401214272522 -365.351304202975</t>
  </si>
  <si>
    <t>-816.292001365414 46.5080237369084 -454.370207898064</t>
  </si>
  <si>
    <t>-813.960568968146 54.3810940294225 -578.681818919413</t>
  </si>
  <si>
    <t>-782.545582817557 70.8228024997775 -653.833550012359</t>
  </si>
  <si>
    <t>-822.914456472685 77.4230970729318 -522.44844821715</t>
  </si>
  <si>
    <t>-854.916960386873 209.006457941656 -498.804247127078</t>
  </si>
  <si>
    <t>-764.777574532348 245.222626310475 -221.037355011329</t>
  </si>
  <si>
    <t>-532.939944762348 310.745541776801 -224.035280824573</t>
  </si>
  <si>
    <t>-807.058358350253 24.4100755496997 -525.508413256451</t>
  </si>
  <si>
    <t>-816.770620508423 146.638373807271 -68.9380736450908</t>
  </si>
  <si>
    <t>-838.559083473658 179.886310585453 332.65181174911</t>
  </si>
  <si>
    <t>-881.772728944342 198.987161988262 778.124007662145</t>
  </si>
  <si>
    <t>-757.422312433392 276.437758587949 838.33757659216</t>
  </si>
  <si>
    <t>-678.680741603967 -30.8110241187737 334.089526329656</t>
  </si>
  <si>
    <t>-696.851199379893 -51.794108796619 781.026004034726</t>
  </si>
  <si>
    <t>-569.53386389108 -115.035200451091 850.869717161009</t>
  </si>
  <si>
    <t>9763-20170724T111103.115415800.bin</t>
  </si>
  <si>
    <t>-770.964938779738 62.4368755451255 -66.8079897613742</t>
  </si>
  <si>
    <t>-796.588689330547 46.7966546629259 -178.678515122929</t>
  </si>
  <si>
    <t>-807.841175043809 42.9322915498633 -276.582131069315</t>
  </si>
  <si>
    <t>-813.986635013722 42.7656147513271 -365.466622660453</t>
  </si>
  <si>
    <t>-815.630825304558 45.886937707372 -454.493487962355</t>
  </si>
  <si>
    <t>-813.087519215403 53.5248930347975 -578.815681925353</t>
  </si>
  <si>
    <t>-781.773166696234 69.8231993075215 -654.04066888763</t>
  </si>
  <si>
    <t>-822.138571465999 76.6727744695022 -522.641369538975</t>
  </si>
  <si>
    <t>-854.225436409441 208.289396125208 -499.300485532023</t>
  </si>
  <si>
    <t>-764.436906548581 244.497041409256 -221.418859941495</t>
  </si>
  <si>
    <t>-532.663448336247 310.295727673582 -222.973917605967</t>
  </si>
  <si>
    <t>-806.275154240194 23.6547234676145 -525.574032596457</t>
  </si>
  <si>
    <t>-816.577496959568 146.41194853912 -69.0688063488162</t>
  </si>
  <si>
    <t>-838.403734175733 179.843035364624 332.503938132218</t>
  </si>
  <si>
    <t>-881.711863010341 198.952346297 777.98875150633</t>
  </si>
  <si>
    <t>-757.507163366664 276.625850542133 838.21636685452</t>
  </si>
  <si>
    <t>-678.740574024202 -30.8735196747743 334.109514952194</t>
  </si>
  <si>
    <t>-696.830635193156 -51.6745582731924 781.042717778594</t>
  </si>
  <si>
    <t>-569.556162085957 -115.003987443849 850.884720619637</t>
  </si>
  <si>
    <t>9763-20170724T111103.184651200.bin</t>
  </si>
  <si>
    <t>-770.72333823525 62.0186736993078 -66.9510073272855</t>
  </si>
  <si>
    <t>-796.154271858063 46.3147383635101 -178.856649163586</t>
  </si>
  <si>
    <t>-807.183799853652 42.2647667885494 -276.778064251115</t>
  </si>
  <si>
    <t>-813.107176998552 41.875483800543 -365.676855412059</t>
  </si>
  <si>
    <t>-814.512030176416 44.7180331815098 -454.717252021638</t>
  </si>
  <si>
    <t>-811.616742482541 51.9064032547471 -579.058608175901</t>
  </si>
  <si>
    <t>-780.527691992129 67.9275879736583 -654.436467748147</t>
  </si>
  <si>
    <t>-820.795731090872 75.2664995897321 -522.992769791953</t>
  </si>
  <si>
    <t>-852.830530194915 206.988171916408 -500.13192086453</t>
  </si>
  <si>
    <t>-763.48273015992 243.203043213769 -222.109224891438</t>
  </si>
  <si>
    <t>-531.82602010842 309.400807217098 -220.131701271914</t>
  </si>
  <si>
    <t>-804.985719158418 22.2199985413076 -525.69133891169</t>
  </si>
  <si>
    <t>-816.213777462847 145.959093728308 -69.3134176593397</t>
  </si>
  <si>
    <t>-838.228482764154 179.806844821746 332.214076895014</t>
  </si>
  <si>
    <t>-881.914051515811 199.178348329549 777.675804962668</t>
  </si>
  <si>
    <t>-757.650792597728 276.735676477718 837.93164752587</t>
  </si>
  <si>
    <t>-678.922152814624 -31.2458149543299 334.139915505264</t>
  </si>
  <si>
    <t>-696.855929494512 -51.7555344392779 781.094443258089</t>
  </si>
  <si>
    <t>-569.475313675727 -114.90425066931 850.90615545556</t>
  </si>
  <si>
    <t>9763-20170724T111103.217741800.bin</t>
  </si>
  <si>
    <t>-770.536565952922 61.683126445952 -66.9952822811313</t>
  </si>
  <si>
    <t>-795.914169290506 45.9426820118506 -178.907883218917</t>
  </si>
  <si>
    <t>-806.869567977248 41.8230207415781 -276.834707991916</t>
  </si>
  <si>
    <t>-812.715340025057 41.3543953478115 -365.738305922408</t>
  </si>
  <si>
    <t>-814.031592928027 44.0997161417508 -454.783090315693</t>
  </si>
  <si>
    <t>-811.00222719626 51.1328265713519 -579.130106323773</t>
  </si>
  <si>
    <t>-780.022513076252 67.0309201490286 -654.578969884572</t>
  </si>
  <si>
    <t>-820.213938489489 74.5710548964607 -523.102297155735</t>
  </si>
  <si>
    <t>-852.141810076855 206.335918488272 -500.399698470196</t>
  </si>
  <si>
    <t>-762.838727053998 242.296133224553 -222.329636550465</t>
  </si>
  <si>
    <t>-531.165409687721 308.396068670712 -219.303334670098</t>
  </si>
  <si>
    <t>-804.456782213677 21.5047880427037 -525.719974355841</t>
  </si>
  <si>
    <t>-815.921131280073 145.57526997279 -69.4112852981119</t>
  </si>
  <si>
    <t>-838.036806751292 179.689908997846 332.088113853221</t>
  </si>
  <si>
    <t>-881.811854244203 199.082120907324 777.535365266071</t>
  </si>
  <si>
    <t>-757.581524974644 276.689674343168 837.794648889257</t>
  </si>
  <si>
    <t>-678.977739635648 -31.5248763747077 334.158078300104</t>
  </si>
  <si>
    <t>-696.87428635732 -51.8318912117188 781.133969620623</t>
  </si>
  <si>
    <t>-569.394677737365 -114.812010753971 850.917618694557</t>
  </si>
  <si>
    <t>9763-20170724T111103.282572300.bin</t>
  </si>
  <si>
    <t>-770.162902318304 60.9342868202607 -67.0682541298991</t>
  </si>
  <si>
    <t>-795.450066944651 45.1632258485929 -178.997074274058</t>
  </si>
  <si>
    <t>-806.293501020848 40.968065535028 -276.933176958193</t>
  </si>
  <si>
    <t>-812.025156425375 40.4102952381645 -365.843717791956</t>
  </si>
  <si>
    <t>-813.215030872365 43.0435909434445 -454.893604454631</t>
  </si>
  <si>
    <t>-809.99578275086 49.8950750440195 -579.245998234831</t>
  </si>
  <si>
    <t>-779.237397419217 65.5657713084202 -654.83271484348</t>
  </si>
  <si>
    <t>-819.23167223341 73.433198370607 -523.26401245768</t>
  </si>
  <si>
    <t>-850.870921313664 205.298634192529 -500.698090204735</t>
  </si>
  <si>
    <t>-761.448753576342 240.866043591167 -222.615513648548</t>
  </si>
  <si>
    <t>-529.482896880098 305.835042032509 -217.953902245328</t>
  </si>
  <si>
    <t>-803.593434404117 20.3270089892935 -525.785168248936</t>
  </si>
  <si>
    <t>-815.402386534671 144.861079365012 -69.5979973719039</t>
  </si>
  <si>
    <t>-837.724022216512 179.268211039569 331.865048163683</t>
  </si>
  <si>
    <t>-881.83826301737 199.084668948881 777.251322297059</t>
  </si>
  <si>
    <t>-757.533004145028 276.568132200073 837.515436530867</t>
  </si>
  <si>
    <t>-679.35007247517 -32.131734072158 334.201359182426</t>
  </si>
  <si>
    <t>-696.900422327673 -51.8769553796278 781.212010217978</t>
  </si>
  <si>
    <t>-569.39942859225 -114.867914326955 850.946714645538</t>
  </si>
  <si>
    <t>9763-20170724T111103.317664000.bin</t>
  </si>
  <si>
    <t>-769.936604564588 60.5240020767073 -67.1399429989777</t>
  </si>
  <si>
    <t>-795.215254289276 44.7527836513423 -179.070645186166</t>
  </si>
  <si>
    <t>-806.041205360044 40.5363550253687 -277.0078170127</t>
  </si>
  <si>
    <t>-811.753390725253 39.9501284757616 -365.91932094728</t>
  </si>
  <si>
    <t>-812.919836087816 42.5456042990777 -454.970691368582</t>
  </si>
  <si>
    <t>-809.664073245042 49.3332814563009 -579.32561356211</t>
  </si>
  <si>
    <t>-779.029766516677 64.8914719608324 -654.986009789487</t>
  </si>
  <si>
    <t>-818.880298975611 72.9104467316838 -523.356875195285</t>
  </si>
  <si>
    <t>-850.355890755187 204.824589043476 -500.814355023032</t>
  </si>
  <si>
    <t>-760.775081825582 239.968260888075 -222.729054495038</t>
  </si>
  <si>
    <t>-528.671726347988 304.389227303549 -217.359748378694</t>
  </si>
  <si>
    <t>-803.313035147663 19.7822531197203 -525.849233582829</t>
  </si>
  <si>
    <t>-815.078369178779 144.49842452359 -69.6792729843443</t>
  </si>
  <si>
    <t>-837.564155940408 179.03606378396 331.763352360847</t>
  </si>
  <si>
    <t>-881.918653034679 199.138824956001 777.104236966625</t>
  </si>
  <si>
    <t>-757.49858251446 276.436032432032 837.371035935862</t>
  </si>
  <si>
    <t>-679.636842695352 -32.5065053198246 334.227920596592</t>
  </si>
  <si>
    <t>-696.929126131612 -51.9651581093901 781.256532381658</t>
  </si>
  <si>
    <t>-569.35647136545 -114.848165506967 850.957827794376</t>
  </si>
  <si>
    <t>9763-20170724T111103.382363000.bin</t>
  </si>
  <si>
    <t>-769.464818370062 59.8293561413789 -67.245340512968</t>
  </si>
  <si>
    <t>-794.720918199944 44.0956263378207 -179.186359600932</t>
  </si>
  <si>
    <t>-805.512286727484 39.8901414908419 -277.127817155609</t>
  </si>
  <si>
    <t>-811.186637949844 39.3050171282489 -366.041769646099</t>
  </si>
  <si>
    <t>-812.309204624987 41.8903612081217 -455.094181596916</t>
  </si>
  <si>
    <t>-808.985076892421 48.6520304865767 -579.448658458521</t>
  </si>
  <si>
    <t>-778.580969906903 64.0129174013759 -655.242078624917</t>
  </si>
  <si>
    <t>-818.16149269295 72.261507578668 -523.487109379444</t>
  </si>
  <si>
    <t>-849.264149221424 204.244719795685 -500.86033989851</t>
  </si>
  <si>
    <t>-759.299145541452 239.245874272734 -222.881019314557</t>
  </si>
  <si>
    <t>-526.804700944375 302.168027808639 -216.715504939778</t>
  </si>
  <si>
    <t>-802.73441687425 19.0917135110453 -525.965734097715</t>
  </si>
  <si>
    <t>-814.274198483363 143.834236628703 -69.8250689599737</t>
  </si>
  <si>
    <t>-837.191060664501 178.51162278687 331.581190502859</t>
  </si>
  <si>
    <t>-881.85566583197 199.056134668625 776.826161280274</t>
  </si>
  <si>
    <t>-757.591979228423 276.5999046712 837.098988066097</t>
  </si>
  <si>
    <t>-679.989434480403 -33.1826842092341 334.249111721633</t>
  </si>
  <si>
    <t>-696.965930721583 -52.0910287265065 781.329747923785</t>
  </si>
  <si>
    <t>-569.282451579433 -114.80969213095 850.975985477344</t>
  </si>
  <si>
    <t>9763-20170724T111103.415450400.bin</t>
  </si>
  <si>
    <t>-769.30963932152 59.6288200654162 -67.2861260175174</t>
  </si>
  <si>
    <t>-794.57880757982 43.9399690362816 -179.230655309265</t>
  </si>
  <si>
    <t>-805.360310657638 39.770251632181 -277.174674742061</t>
  </si>
  <si>
    <t>-811.017666385622 39.2156839703248 -366.08996705364</t>
  </si>
  <si>
    <t>-812.113855011177 41.8289970887058 -455.141662062708</t>
  </si>
  <si>
    <t>-808.744139925229 48.6258830628772 -579.493093424374</t>
  </si>
  <si>
    <t>-778.44256311882 63.9238607296179 -655.34028649754</t>
  </si>
  <si>
    <t>-817.907255077936 72.2292751459336 -523.52660676456</t>
  </si>
  <si>
    <t>-848.843925917093 204.234412401982 -500.814780966403</t>
  </si>
  <si>
    <t>-758.743208523712 239.05761173568 -222.857117800101</t>
  </si>
  <si>
    <t>-526.056944920299 301.284037013464 -216.872901853394</t>
  </si>
  <si>
    <t>-802.547018250179 19.0407039233269 -526.017710216054</t>
  </si>
  <si>
    <t>-814.058524231338 143.670786324637 -69.8705841984395</t>
  </si>
  <si>
    <t>-837.134929701859 178.371721048231 331.52442513558</t>
  </si>
  <si>
    <t>-882.00221673917 199.175516941916 776.72430758174</t>
  </si>
  <si>
    <t>-757.569824998652 276.449998787025 836.994300601383</t>
  </si>
  <si>
    <t>-679.994434176444 -33.384647711423 334.227703486174</t>
  </si>
  <si>
    <t>-696.943955753906 -52.0381142749952 781.333721000308</t>
  </si>
  <si>
    <t>-569.332301583077 -114.907997616551 850.974905878077</t>
  </si>
  <si>
    <t>9763-20170724T111103.481132100.bin</t>
  </si>
  <si>
    <t>-768.924881896775 59.1594581610298 -67.361543112806</t>
  </si>
  <si>
    <t>-794.230555082473 43.5381193174194 -179.307055859025</t>
  </si>
  <si>
    <t>-805.00911305073 39.4259514484097 -277.253927104997</t>
  </si>
  <si>
    <t>-810.649880722485 38.9224736643173 -366.170557536244</t>
  </si>
  <si>
    <t>-811.715408330459 41.584448082725 -455.221212955516</t>
  </si>
  <si>
    <t>-808.287096236462 48.4453894178882 -579.567458530898</t>
  </si>
  <si>
    <t>-778.167811777309 63.6856492589495 -655.498875251244</t>
  </si>
  <si>
    <t>-817.431112514503 72.0328086669983 -523.591230445955</t>
  </si>
  <si>
    <t>-848.09770980242 204.074076914241 -500.716959565052</t>
  </si>
  <si>
    <t>-757.82214702449 238.650300465815 -222.785156930868</t>
  </si>
  <si>
    <t>-524.83656965794 299.86888384483 -218.219370194567</t>
  </si>
  <si>
    <t>-802.160288663373 18.8195124284484 -526.10646329867</t>
  </si>
  <si>
    <t>-813.555382174636 143.344320660831 -69.929251217006</t>
  </si>
  <si>
    <t>-836.888513581436 178.017753703773 331.453346434583</t>
  </si>
  <si>
    <t>-881.975430817845 199.098033939246 776.592826406234</t>
  </si>
  <si>
    <t>-757.786220541976 276.787367463247 836.831558504566</t>
  </si>
  <si>
    <t>-679.984695270547 -33.9207548218192 334.170502027468</t>
  </si>
  <si>
    <t>-696.979026184808 -52.3423656009179 781.335333204257</t>
  </si>
  <si>
    <t>-569.214575164426 -114.942956518872 850.939239005945</t>
  </si>
  <si>
    <t>9763-20170724T111103.514221000.bin</t>
  </si>
  <si>
    <t>-768.860225512115 59.1026290954851 -67.3881952688154</t>
  </si>
  <si>
    <t>-794.161987341798 43.5047107350542 -179.338081867889</t>
  </si>
  <si>
    <t>-804.932973524334 39.4148216329236 -277.286494651569</t>
  </si>
  <si>
    <t>-810.564862689778 38.9316767158903 -366.203809508763</t>
  </si>
  <si>
    <t>-811.61906508068 41.6135288124292 -455.254001924361</t>
  </si>
  <si>
    <t>-808.172521509654 48.5015618765083 -579.598247030238</t>
  </si>
  <si>
    <t>-778.120878861037 63.7464346595516 -655.555514456813</t>
  </si>
  <si>
    <t>-817.310317574279 72.0810030735479 -523.617643011401</t>
  </si>
  <si>
    <t>-847.886120224745 204.131682082341 -500.682629349021</t>
  </si>
  <si>
    <t>-757.517478227966 238.492936469166 -222.754695957769</t>
  </si>
  <si>
    <t>-524.525940422482 299.741131347516 -218.945897387375</t>
  </si>
  <si>
    <t>-802.068343794956 18.8599593933977 -526.143285849118</t>
  </si>
  <si>
    <t>-813.534719826469 143.368507253898 -69.9568326078495</t>
  </si>
  <si>
    <t>-836.897011021945 177.999964034648 331.42774760149</t>
  </si>
  <si>
    <t>-882.086264307345 199.169235334623 776.54436274744</t>
  </si>
  <si>
    <t>-757.543989788353 276.302501714283 836.768918814462</t>
  </si>
  <si>
    <t>-680.024449958035 -33.9809198093881 334.151550577815</t>
  </si>
  <si>
    <t>-696.947409850806 -52.2729945921469 781.321118649963</t>
  </si>
  <si>
    <t>-569.155553079408 -114.822546647999 850.920577685988</t>
  </si>
  <si>
    <t>9763-20170724T111103.583039900.bin</t>
  </si>
  <si>
    <t>-768.761665593699 59.1914636455531 -67.4530046151726</t>
  </si>
  <si>
    <t>-794.0782663401 43.5937592708515 -179.39938449121</t>
  </si>
  <si>
    <t>-804.864426177576 39.5288187228339 -277.347387394365</t>
  </si>
  <si>
    <t>-810.510226220706 39.0782390527756 -366.263911530066</t>
  </si>
  <si>
    <t>-811.57852789934 41.8028771552345 -455.3127008838</t>
  </si>
  <si>
    <t>-808.15133560903 48.7616340644281 -579.653597811227</t>
  </si>
  <si>
    <t>-778.204667994319 64.0500810524286 -655.64357124742</t>
  </si>
  <si>
    <t>-817.289402805982 72.3065342471873 -523.65845680626</t>
  </si>
  <si>
    <t>-847.848768654112 204.337847389323 -500.611504600239</t>
  </si>
  <si>
    <t>-757.377814693066 238.702053457106 -222.716908321098</t>
  </si>
  <si>
    <t>-524.331546022049 299.84527255563 -221.354015018875</t>
  </si>
  <si>
    <t>-802.029381230928 19.0922658988957 -526.216051874974</t>
  </si>
  <si>
    <t>-813.464430050615 143.449837932634 -70.0300621603382</t>
  </si>
  <si>
    <t>-836.932626685891 177.97085586395 331.357799083587</t>
  </si>
  <si>
    <t>-882.126085613363 199.187675396879 776.448399108268</t>
  </si>
  <si>
    <t>-757.636135166684 276.412240995992 836.663639286348</t>
  </si>
  <si>
    <t>-679.802696626581 -33.9523929115721 334.085558236832</t>
  </si>
  <si>
    <t>-696.907606486687 -52.2927400798574 781.273284651359</t>
  </si>
  <si>
    <t>-569.111574563455 -114.822288831155 850.88318977633</t>
  </si>
  <si>
    <t>9763-20170724T111103.615123800.bin</t>
  </si>
  <si>
    <t>-768.72428042474 59.3049813409884 -67.4742486155724</t>
  </si>
  <si>
    <t>-794.048908942217 43.7048191586564 -179.418394172939</t>
  </si>
  <si>
    <t>-804.844938392504 39.641496235527 -277.365358610212</t>
  </si>
  <si>
    <t>-810.501101571381 39.1951449857334 -366.281379495022</t>
  </si>
  <si>
    <t>-811.581675721349 41.9270223359326 -455.329672381886</t>
  </si>
  <si>
    <t>-808.173719880427 48.8995888071481 -579.67035644313</t>
  </si>
  <si>
    <t>-778.261489938202 64.2053915709107 -655.670424357633</t>
  </si>
  <si>
    <t>-817.321662468984 72.4330369847289 -523.672024994492</t>
  </si>
  <si>
    <t>-847.931183599404 204.452542724634 -500.583689660787</t>
  </si>
  <si>
    <t>-757.305201718776 238.771214779893 -222.734207362621</t>
  </si>
  <si>
    <t>-524.241722900378 299.8631712226 -222.436572421626</t>
  </si>
  <si>
    <t>-802.025184850601 19.2295836007479 -526.236289553454</t>
  </si>
  <si>
    <t>-813.473994031736 143.567805734906 -70.0668796403099</t>
  </si>
  <si>
    <t>-836.956235310624 178.020162220669 331.326080883297</t>
  </si>
  <si>
    <t>-882.12209957077 199.1892964916 776.415017521633</t>
  </si>
  <si>
    <t>-757.689771999301 276.504787308114 836.632770031511</t>
  </si>
  <si>
    <t>-679.652673368227 -33.8727528553804 334.053813450323</t>
  </si>
  <si>
    <t>-696.874348214198 -52.2394870010137 781.245744817032</t>
  </si>
  <si>
    <t>-569.176621187255 -114.954303686138 850.869166999947</t>
  </si>
  <si>
    <t>9763-20170724T111103.685322200.bin</t>
  </si>
  <si>
    <t>-768.695807116948 59.7053217768021 -67.5166616561203</t>
  </si>
  <si>
    <t>-793.998322231843 44.0581033565977 -179.459331533627</t>
  </si>
  <si>
    <t>-804.799870778851 39.9683796945433 -277.404481170487</t>
  </si>
  <si>
    <t>-810.471267822596 39.5042981104111 -366.319414728623</t>
  </si>
  <si>
    <t>-811.576194939585 42.2258196480948 -455.367703484718</t>
  </si>
  <si>
    <t>-808.213039332238 49.192709029991 -579.709860234702</t>
  </si>
  <si>
    <t>-778.352238500225 64.5266261792212 -655.72445661117</t>
  </si>
  <si>
    <t>-817.373157532839 72.7195263857097 -523.710819285885</t>
  </si>
  <si>
    <t>-848.063501147681 204.706418294494 -500.599803378081</t>
  </si>
  <si>
    <t>-757.296023820036 239.170077467363 -222.814397163751</t>
  </si>
  <si>
    <t>-524.2004036224 300.062073426532 -225.87970568021</t>
  </si>
  <si>
    <t>-802.013250087274 19.5343423285508 -526.275302611479</t>
  </si>
  <si>
    <t>-813.590198423106 143.993372696525 -70.1441343613845</t>
  </si>
  <si>
    <t>-836.982128836848 178.271463397234 331.269046040207</t>
  </si>
  <si>
    <t>-882.161761979879 199.248772669389 776.356655794397</t>
  </si>
  <si>
    <t>-757.660754294352 276.443948045685 836.586854460906</t>
  </si>
  <si>
    <t>-679.382067498175 -33.6037189468379 334.024227991582</t>
  </si>
  <si>
    <t>-696.824452888764 -52.2235975645565 781.191396281809</t>
  </si>
  <si>
    <t>-569.175135849424 -115.013539411317 850.836022086822</t>
  </si>
  <si>
    <t>9763-20170724T111103.716405000.bin</t>
  </si>
  <si>
    <t>-768.675604418796 59.8947603280521 -67.5517433132375</t>
  </si>
  <si>
    <t>-793.985176134964 44.2270119252971 -179.489938908142</t>
  </si>
  <si>
    <t>-804.8035824577 40.1225743196355 -277.432796300018</t>
  </si>
  <si>
    <t>-810.494035511989 39.6466685785635 -366.346408796734</t>
  </si>
  <si>
    <t>-811.623693235306 42.3589756126698 -455.394708088275</t>
  </si>
  <si>
    <t>-808.298947128327 49.3153813385425 -579.738443496157</t>
  </si>
  <si>
    <t>-778.456219556638 64.6500311826785 -655.760001466694</t>
  </si>
  <si>
    <t>-817.459610935199 72.8416399530042 -523.739369842399</t>
  </si>
  <si>
    <t>-848.180696621264 204.830316044744 -500.62048114142</t>
  </si>
  <si>
    <t>-757.161889340056 239.190636791201 -222.904501958592</t>
  </si>
  <si>
    <t>-524.112107151414 300.227297536318 -226.52473229308</t>
  </si>
  <si>
    <t>-802.064527541197 19.6666352087987 -526.302642816732</t>
  </si>
  <si>
    <t>-813.609425355582 144.162150931859 -70.1885134617322</t>
  </si>
  <si>
    <t>-836.947502942844 178.343937689955 331.235949212793</t>
  </si>
  <si>
    <t>-882.076622696165 199.188501071897 776.336336281011</t>
  </si>
  <si>
    <t>-757.741650599261 276.647109356858 836.571279726191</t>
  </si>
  <si>
    <t>-679.227289336737 -33.4484366199476 333.993586081973</t>
  </si>
  <si>
    <t>-696.778880142139 -52.1502765745774 781.152634848346</t>
  </si>
  <si>
    <t>-569.083546004852 -114.830603837211 850.811876666381</t>
  </si>
  <si>
    <t>9763-20170724T111103.781191800.bin</t>
  </si>
  <si>
    <t>-768.634318475336 60.1963112597 -67.5841895235498</t>
  </si>
  <si>
    <t>-793.950744135772 44.4869852242882 -179.515082655638</t>
  </si>
  <si>
    <t>-804.763097422946 40.3519069335707 -277.45715918659</t>
  </si>
  <si>
    <t>-810.443592313928 39.8504621993993 -366.371229270035</t>
  </si>
  <si>
    <t>-811.558403343618 42.5396756947612 -455.420583208072</t>
  </si>
  <si>
    <t>-808.209103679732 49.4668798531525 -579.765196790374</t>
  </si>
  <si>
    <t>-778.37179448977 64.7858423207063 -655.79204716142</t>
  </si>
  <si>
    <t>-817.406778907143 72.9988933330651 -523.774500485255</t>
  </si>
  <si>
    <t>-848.191154313412 204.980283049033 -500.692320379049</t>
  </si>
  <si>
    <t>-757.193186640522 239.430895851807 -222.980627403463</t>
  </si>
  <si>
    <t>-524.231835595631 300.831063420941 -226.120482906212</t>
  </si>
  <si>
    <t>-801.959377388597 19.8381114397421 -526.320033266684</t>
  </si>
  <si>
    <t>-813.661615816916 144.472896830065 -70.2400326340917</t>
  </si>
  <si>
    <t>-836.973746425821 178.422993714344 331.205612815136</t>
  </si>
  <si>
    <t>-881.962269066961 199.105707239195 776.324755168292</t>
  </si>
  <si>
    <t>-757.836408149391 276.899828428589 836.558763321311</t>
  </si>
  <si>
    <t>-678.96179773353 -33.2845281281661 333.9516562984</t>
  </si>
  <si>
    <t>-696.750704860469 -52.2697000605949 781.101913281573</t>
  </si>
  <si>
    <t>-568.933269045121 -114.680338901501 850.778981175519</t>
  </si>
  <si>
    <t>9763-20170724T111103.816288100.bin</t>
  </si>
  <si>
    <t>-768.671036819995 60.3799080768476 -67.607976021915</t>
  </si>
  <si>
    <t>-793.97147714035 44.6488652246803 -179.539325200071</t>
  </si>
  <si>
    <t>-804.756670604146 40.4964350957102 -277.48375988329</t>
  </si>
  <si>
    <t>-810.406393075172 39.979257387618 -366.399742966327</t>
  </si>
  <si>
    <t>-811.484788202201 42.6523352669815 -455.44985327909</t>
  </si>
  <si>
    <t>-808.078600091727 49.5567400980963 -579.794431928886</t>
  </si>
  <si>
    <t>-778.230615028942 64.8685917412454 -655.8184272215</t>
  </si>
  <si>
    <t>-817.309146370171 73.0967866400933 -523.812557625289</t>
  </si>
  <si>
    <t>-848.126942086361 205.073293087465 -500.746684606209</t>
  </si>
  <si>
    <t>-757.176302843647 239.462714830966 -223.011928520501</t>
  </si>
  <si>
    <t>-524.268903314754 301.131581104437 -224.40682415547</t>
  </si>
  <si>
    <t>-801.845802361848 19.9399532649181 -526.340416694993</t>
  </si>
  <si>
    <t>-813.782882393009 144.649281995822 -70.2675309004219</t>
  </si>
  <si>
    <t>-837.051405799175 178.455833640437 331.192801901366</t>
  </si>
  <si>
    <t>-881.946678054703 199.09905781147 776.326365787048</t>
  </si>
  <si>
    <t>-757.81921136159 276.89294393884 836.557631765017</t>
  </si>
  <si>
    <t>-678.839008305444 -33.1731494567707 333.936277323379</t>
  </si>
  <si>
    <t>-696.7303087612 -52.2575860298475 781.080515880255</t>
  </si>
  <si>
    <t>-568.971994050423 -114.770518658069 850.774269490727</t>
  </si>
  <si>
    <t>9763-20170724T111103.881162300.bin</t>
  </si>
  <si>
    <t>-768.685045546652 60.7051453919998 -67.6470101116531</t>
  </si>
  <si>
    <t>-793.965621418074 44.9522203900669 -179.579802113517</t>
  </si>
  <si>
    <t>-804.735787436571 40.7784057044532 -277.524972935687</t>
  </si>
  <si>
    <t>-810.37407660726 40.2406923147946 -366.441587292258</t>
  </si>
  <si>
    <t>-811.441859367677 42.8924511621794 -455.492525432106</t>
  </si>
  <si>
    <t>-808.02253617891 49.7664459774337 -579.838164671302</t>
  </si>
  <si>
    <t>-778.154790436689 65.067906659981 -655.856732089121</t>
  </si>
  <si>
    <t>-817.274994291359 73.3156878129803 -523.863813147824</t>
  </si>
  <si>
    <t>-848.161968967035 205.269828522803 -500.810982579413</t>
  </si>
  <si>
    <t>-757.337212405688 240.220632556051 -223.105081405555</t>
  </si>
  <si>
    <t>-524.361089579678 301.590001468853 -220.489479897769</t>
  </si>
  <si>
    <t>-801.779598751069 20.1674167980841 -526.375895841282</t>
  </si>
  <si>
    <t>-813.857032781583 144.956705532397 -70.3047617048773</t>
  </si>
  <si>
    <t>-837.198469488752 178.68364669447 331.157924165328</t>
  </si>
  <si>
    <t>-882.004804182546 199.160076492734 776.337162838448</t>
  </si>
  <si>
    <t>-757.774178629655 276.790317931748 836.566178859411</t>
  </si>
  <si>
    <t>-678.680215365041 -32.9990255737885 333.922262706941</t>
  </si>
  <si>
    <t>-696.694411000891 -52.170511681215 781.060641390355</t>
  </si>
  <si>
    <t>-568.993944607118 -114.797139564981 850.758363375126</t>
  </si>
  <si>
    <t>9763-20170724T111103.913247600.bin</t>
  </si>
  <si>
    <t>-768.687088388325 60.7987147776753 -67.6343779538491</t>
  </si>
  <si>
    <t>-793.953518124228 45.0201073880462 -179.566731840136</t>
  </si>
  <si>
    <t>-804.716916915657 40.8204791392823 -277.511508960006</t>
  </si>
  <si>
    <t>-810.350828269271 40.2577865583798 -366.428277397026</t>
  </si>
  <si>
    <t>-811.416345225991 42.8832848429356 -455.479997624192</t>
  </si>
  <si>
    <t>-807.99577285049 49.7188099876894 -579.827795912587</t>
  </si>
  <si>
    <t>-778.098771710986 64.99633971822 -655.839592690786</t>
  </si>
  <si>
    <t>-817.253004925806 73.2841461547373 -523.860879161506</t>
  </si>
  <si>
    <t>-848.162488504673 205.241816174694 -500.831662285129</t>
  </si>
  <si>
    <t>-757.21556946195 240.449236496543 -223.198118006627</t>
  </si>
  <si>
    <t>-524.218926480159 301.610528888703 -218.429598237672</t>
  </si>
  <si>
    <t>-801.74904665288 20.1374631414865 -526.356072281264</t>
  </si>
  <si>
    <t>-813.890200437079 145.078439596768 -70.3165323061345</t>
  </si>
  <si>
    <t>-837.204047109957 178.793158384109 331.148847856912</t>
  </si>
  <si>
    <t>-882.038359880607 199.195296898421 776.337162460698</t>
  </si>
  <si>
    <t>-757.737424559576 276.713305718282 836.566207622108</t>
  </si>
  <si>
    <t>-678.636933479061 -32.9472984964777 333.928345692684</t>
  </si>
  <si>
    <t>-696.680931465414 -52.1298781343344 781.056162080191</t>
  </si>
  <si>
    <t>-568.988703888264 -114.777635683485 850.750260613398</t>
  </si>
  <si>
    <t>9763-20170724T111103.983441800.bin</t>
  </si>
  <si>
    <t>-768.792538964813 60.9196078157988 -67.6243587469702</t>
  </si>
  <si>
    <t>-794.075645068438 45.0547381635779 -179.540828502526</t>
  </si>
  <si>
    <t>-804.845911143449 40.7924467785592 -277.482003199833</t>
  </si>
  <si>
    <t>-810.482304421059 40.1776155181892 -366.398267360301</t>
  </si>
  <si>
    <t>-811.546240922613 42.7554275808739 -455.451444491035</t>
  </si>
  <si>
    <t>-808.119676857499 49.5290344537448 -579.802583466446</t>
  </si>
  <si>
    <t>-778.141120338255 64.7279138080435 -655.797960238007</t>
  </si>
  <si>
    <t>-817.379175432375 73.1223587038312 -523.847755797995</t>
  </si>
  <si>
    <t>-848.198261263547 205.110237748286 -500.871551937598</t>
  </si>
  <si>
    <t>-757.133701949878 240.87089771186 -223.347382151033</t>
  </si>
  <si>
    <t>-523.902060621863 300.910938434393 -216.341991365939</t>
  </si>
  <si>
    <t>-801.875696832183 19.9742748988861 -526.315651561946</t>
  </si>
  <si>
    <t>-814.090356958921 145.179276407403 -70.3492041531924</t>
  </si>
  <si>
    <t>-837.157563285173 179.042944284709 331.117911352319</t>
  </si>
  <si>
    <t>-882.151881096911 199.290946210609 776.319817901392</t>
  </si>
  <si>
    <t>-757.811530238381 276.746851210826 836.547279886712</t>
  </si>
  <si>
    <t>-678.744602570258 -32.9281029638678 333.96682748593</t>
  </si>
  <si>
    <t>-696.699716952981 -52.2545977502077 781.076036903306</t>
  </si>
  <si>
    <t>-568.957152413219 -114.818971850875 850.752673856508</t>
  </si>
  <si>
    <t>9763-20170724T111104.016534200.bin</t>
  </si>
  <si>
    <t>-768.892639381958 60.9964488233818 -67.6393534864364</t>
  </si>
  <si>
    <t>-794.184257157295 45.0852906081141 -179.547309310027</t>
  </si>
  <si>
    <t>-804.979107761664 40.774270050314 -277.483625209809</t>
  </si>
  <si>
    <t>-810.644251350118 40.1116598659792 -366.397718374354</t>
  </si>
  <si>
    <t>-811.744041770946 42.6380072237639 -455.45205174822</t>
  </si>
  <si>
    <t>-808.373836471065 49.3356688575504 -579.808775367325</t>
  </si>
  <si>
    <t>-778.34677542824 64.4445056420727 -655.802915782526</t>
  </si>
  <si>
    <t>-817.592970210783 72.9676842599215 -523.863633552044</t>
  </si>
  <si>
    <t>-848.26198773639 204.99482675706 -500.914769297876</t>
  </si>
  <si>
    <t>-757.017496938484 240.934942980279 -223.472988026204</t>
  </si>
  <si>
    <t>-523.706729262086 300.547523554952 -215.524019189905</t>
  </si>
  <si>
    <t>-802.120906911608 19.809270129625 -526.307209343673</t>
  </si>
  <si>
    <t>-814.170332654383 145.236403463179 -70.3793880312328</t>
  </si>
  <si>
    <t>-837.1562227926 179.162456018645 331.087089663095</t>
  </si>
  <si>
    <t>-882.145863451243 199.291531496518 776.29169785598</t>
  </si>
  <si>
    <t>-757.699076531808 276.572385400835 836.524334059872</t>
  </si>
  <si>
    <t>-678.784121231909 -32.8593525324832 333.986384454607</t>
  </si>
  <si>
    <t>-696.679856041274 -52.1720866468186 781.086554746402</t>
  </si>
  <si>
    <t>-569.03540094463 -114.937241908026 850.762340628612</t>
  </si>
  <si>
    <t>9763-20170724T111104.084727500.bin</t>
  </si>
  <si>
    <t>-769.112401998678 61.0994511385015 -67.6550208374176</t>
  </si>
  <si>
    <t>-794.501216554368 45.0724541220925 -179.524435567742</t>
  </si>
  <si>
    <t>-805.416790805002 40.6576510592517 -277.442881039126</t>
  </si>
  <si>
    <t>-811.204780465136 39.9000474722266 -366.348285579592</t>
  </si>
  <si>
    <t>-812.440007719036 42.3288250117225 -455.40332415488</t>
  </si>
  <si>
    <t>-809.271093298604 48.8878457249311 -579.772721880637</t>
  </si>
  <si>
    <t>-779.144520767141 63.775046199376 -655.771404444291</t>
  </si>
  <si>
    <t>-818.350612985338 72.5962361092325 -523.837255355656</t>
  </si>
  <si>
    <t>-848.578822430717 204.739676844583 -500.960392833944</t>
  </si>
  <si>
    <t>-757.106377576936 240.771179590676 -223.605537555883</t>
  </si>
  <si>
    <t>-523.58155834379 299.466930416485 -215.13278184916</t>
  </si>
  <si>
    <t>-802.980564967537 19.4068951977993 -526.250731265236</t>
  </si>
  <si>
    <t>-814.34539023435 145.331901906169 -70.461801220897</t>
  </si>
  <si>
    <t>-837.127482439074 179.322908305077 331.010875703733</t>
  </si>
  <si>
    <t>-882.194706532419 199.344853642099 776.226545015023</t>
  </si>
  <si>
    <t>-757.790599425082 276.687114154085 836.468207256056</t>
  </si>
  <si>
    <t>-678.868143824712 -32.7750445387801 334.001313101434</t>
  </si>
  <si>
    <t>-696.675728626309 -52.2181876262323 781.098173347974</t>
  </si>
  <si>
    <t>-569.061306409001 -115.044550301767 850.774087874309</t>
  </si>
  <si>
    <t>9763-20170724T111104.117813300.bin</t>
  </si>
  <si>
    <t>-769.266323995349 61.1954679138385 -67.6703135765655</t>
  </si>
  <si>
    <t>-794.693501970743 45.1105214562817 -179.522677924794</t>
  </si>
  <si>
    <t>-805.673737464305 40.6397985985695 -277.431267607628</t>
  </si>
  <si>
    <t>-811.532890980486 39.8291140218839 -366.331667871144</t>
  </si>
  <si>
    <t>-812.850275365826 42.202187148504 -455.387118689296</t>
  </si>
  <si>
    <t>-809.808257206867 48.6800364160681 -579.763785061251</t>
  </si>
  <si>
    <t>-779.62892550293 63.4379652396929 -655.766775688441</t>
  </si>
  <si>
    <t>-818.796675676392 72.434631770152 -523.833240709407</t>
  </si>
  <si>
    <t>-848.772814107344 204.642714499388 -500.997187335436</t>
  </si>
  <si>
    <t>-757.107746588852 240.939348689374 -223.740573299969</t>
  </si>
  <si>
    <t>-523.540963728742 299.342506579731 -214.442549853737</t>
  </si>
  <si>
    <t>-803.497183674933 19.2241276128611 -526.23029464805</t>
  </si>
  <si>
    <t>-814.495604328918 145.416586759386 -70.5095081649853</t>
  </si>
  <si>
    <t>-837.118562783714 179.387505413339 330.97385998789</t>
  </si>
  <si>
    <t>-882.167580198374 199.320097574943 776.200558733159</t>
  </si>
  <si>
    <t>-757.818593598613 276.752899253951 836.439823359563</t>
  </si>
  <si>
    <t>-678.953207394157 -32.6442724106428 334.015388192942</t>
  </si>
  <si>
    <t>-696.646597816643 -52.1314790885369 781.094023067913</t>
  </si>
  <si>
    <t>-569.113234012809 -115.108776169777 850.782027223827</t>
  </si>
  <si>
    <t>9763-20170724T111104.182783700.bin</t>
  </si>
  <si>
    <t>-769.52718920244 61.3037900726717 -67.6980534072437</t>
  </si>
  <si>
    <t>-795.057880891572 45.1392429728448 -179.515289662319</t>
  </si>
  <si>
    <t>-806.192339143706 40.56215737206 -277.401598675364</t>
  </si>
  <si>
    <t>-812.216322170987 39.6404793799729 -366.289742177635</t>
  </si>
  <si>
    <t>-813.723605327157 41.8866478467776 -455.345478294921</t>
  </si>
  <si>
    <t>-810.971274293598 48.1704129323925 -579.739173540964</t>
  </si>
  <si>
    <t>-780.667058700338 62.6552877323497 -655.7448714975</t>
  </si>
  <si>
    <t>-819.745791708461 72.0360378766113 -523.821746246637</t>
  </si>
  <si>
    <t>-849.146061349237 204.390217397884 -501.094786329411</t>
  </si>
  <si>
    <t>-756.841752538945 241.649664116066 -224.178103393668</t>
  </si>
  <si>
    <t>-523.022331645843 298.962679135348 -214.450055725443</t>
  </si>
  <si>
    <t>-804.618946273436 18.7744085577574 -526.177553046545</t>
  </si>
  <si>
    <t>-814.625890708079 145.479013717242 -70.563110582992</t>
  </si>
  <si>
    <t>-837.062716740776 179.543278516119 330.92271552348</t>
  </si>
  <si>
    <t>-882.047496150445 199.174605431039 776.187543640673</t>
  </si>
  <si>
    <t>-757.783962730508 276.762455365051 836.403523991771</t>
  </si>
  <si>
    <t>-679.081527608385 -32.536752868743 334.023661740898</t>
  </si>
  <si>
    <t>-696.658419555278 -52.1908841478999 781.108906286933</t>
  </si>
  <si>
    <t>-568.944796993291 -114.824570286059 850.77612585136</t>
  </si>
  <si>
    <t>9763-20170724T111104.215872200.bin</t>
  </si>
  <si>
    <t>-769.719530953146 61.4682751547907 -67.6779982289044</t>
  </si>
  <si>
    <t>-795.304698669773 45.2557783207371 -179.475910303802</t>
  </si>
  <si>
    <t>-806.512183765492 40.6322080335708 -277.35169063949</t>
  </si>
  <si>
    <t>-812.612018121035 39.6668853103356 -366.234285526997</t>
  </si>
  <si>
    <t>-814.204142633312 41.8670866052021 -455.289600351931</t>
  </si>
  <si>
    <t>-811.579943631576 48.0839499555259 -579.689281063313</t>
  </si>
  <si>
    <t>-781.219509215604 62.4553097498933 -655.694050112106</t>
  </si>
  <si>
    <t>-820.25336803625 71.9917927561914 -523.774339760397</t>
  </si>
  <si>
    <t>-849.327120089659 204.426290539227 -501.111577284365</t>
  </si>
  <si>
    <t>-756.404477174716 242.214491133505 -224.473404295815</t>
  </si>
  <si>
    <t>-522.432309893581 298.829103574475 -214.342053803991</t>
  </si>
  <si>
    <t>-805.215634470934 18.7046476223081 -526.11993427214</t>
  </si>
  <si>
    <t>-814.786669084514 145.631903448089 -70.5786357787616</t>
  </si>
  <si>
    <t>-837.051235406946 179.70491962737 330.916046879396</t>
  </si>
  <si>
    <t>-882.124758349774 199.203911388792 776.190238128253</t>
  </si>
  <si>
    <t>-757.692588905433 276.533407029773 836.390377095344</t>
  </si>
  <si>
    <t>-679.192147092699 -32.3402366289956 334.0429506469</t>
  </si>
  <si>
    <t>-696.627575090895 -52.059501986472 781.111066232922</t>
  </si>
  <si>
    <t>-569.110813029198 -115.07704553512 850.793158949229</t>
  </si>
  <si>
    <t>9763-20170724T111104.282051800.bin</t>
  </si>
  <si>
    <t>-770.140956971929 61.8164957116014 -67.6718344818891</t>
  </si>
  <si>
    <t>-795.863312843185 45.5496840345577 -179.430454733167</t>
  </si>
  <si>
    <t>-807.205135996351 40.8578168156932 -277.287411207523</t>
  </si>
  <si>
    <t>-813.431803029566 39.8212350037265 -366.160413583235</t>
  </si>
  <si>
    <t>-815.154907558703 41.9386722555141 -455.215362428331</t>
  </si>
  <si>
    <t>-812.716773914531 48.026011094325 -579.62529510532</t>
  </si>
  <si>
    <t>-782.2310158711 62.1557780159992 -655.625124385076</t>
  </si>
  <si>
    <t>-821.180816160946 72.0273211351505 -523.717996976457</t>
  </si>
  <si>
    <t>-849.412569115784 204.661285700152 -501.145850972606</t>
  </si>
  <si>
    <t>-754.665267249027 243.726400353251 -225.305150038052</t>
  </si>
  <si>
    <t>-520.405105448934 299.047393904287 -214.689582650665</t>
  </si>
  <si>
    <t>-806.398714570629 18.6673294825478 -526.039196439912</t>
  </si>
  <si>
    <t>-815.074847629591 145.994653511524 -70.6487143414624</t>
  </si>
  <si>
    <t>-837.005467776389 179.986538141141 330.871162730984</t>
  </si>
  <si>
    <t>-882.027028621179 199.12336293479 776.121024849504</t>
  </si>
  <si>
    <t>-757.745620257696 276.696694491696 836.319738486732</t>
  </si>
  <si>
    <t>-679.315366881807 -31.9813117621429 334.063785604282</t>
  </si>
  <si>
    <t>-696.617198121121 -52.0734270851067 781.110524308322</t>
  </si>
  <si>
    <t>-569.039568422631 -114.960227376755 850.799033546039</t>
  </si>
  <si>
    <t>9763-20170724T111104.313135000.bin</t>
  </si>
  <si>
    <t>-770.372933747124 62.0628929216095 -67.6799458645537</t>
  </si>
  <si>
    <t>-796.16740366005 45.7806613683219 -179.419725198184</t>
  </si>
  <si>
    <t>-807.578847641207 41.0596113388051 -277.267305292524</t>
  </si>
  <si>
    <t>-813.870692424729 39.9905868079059 -366.135283299375</t>
  </si>
  <si>
    <t>-815.661417860694 42.0673501206038 -455.189808709798</t>
  </si>
  <si>
    <t>-813.318650016336 48.0886281782177 -579.604693054116</t>
  </si>
  <si>
    <t>-782.775112900937 62.0635591041955 -655.610092259347</t>
  </si>
  <si>
    <t>-821.660355104473 72.1413094916602 -523.701213238361</t>
  </si>
  <si>
    <t>-849.383850388538 204.897920259713 -501.192095761602</t>
  </si>
  <si>
    <t>-753.578245705374 244.519755509796 -225.79661046907</t>
  </si>
  <si>
    <t>-519.161692785518 299.059135054469 -214.606737515707</t>
  </si>
  <si>
    <t>-807.038694713002 18.7366341551519 -526.01058405303</t>
  </si>
  <si>
    <t>-815.214497735909 146.280165438878 -70.7004712374284</t>
  </si>
  <si>
    <t>-837.033891351989 180.153770273856 330.835573227866</t>
  </si>
  <si>
    <t>-882.00649899267 199.129368464975 776.092265399357</t>
  </si>
  <si>
    <t>-757.73615516528 276.719520295535 836.291695762202</t>
  </si>
  <si>
    <t>-679.383976292727 -31.8384333444556 334.059823752693</t>
  </si>
  <si>
    <t>-696.626850202596 -52.149808972905 781.100744836304</t>
  </si>
  <si>
    <t>-568.996775235488 -114.924588265293 850.794119594203</t>
  </si>
  <si>
    <t>9763-20170724T111104.383330200.bin</t>
  </si>
  <si>
    <t>-771.072098052286 62.9038501227474 -67.6703635269963</t>
  </si>
  <si>
    <t>-797.033497002632 46.6108897231834 -179.369776216719</t>
  </si>
  <si>
    <t>-808.608840981617 41.8517682361248 -277.196282454211</t>
  </si>
  <si>
    <t>-815.057261753139 40.7374327780963 -366.052429378769</t>
  </si>
  <si>
    <t>-817.010615713554 42.7557103314971 -455.104975988099</t>
  </si>
  <si>
    <t>-814.902090627614 48.6808535296273 -579.528755250674</t>
  </si>
  <si>
    <t>-784.296136258536 62.3278910381887 -655.568528469565</t>
  </si>
  <si>
    <t>-822.985418767836 72.8180051332702 -523.623536849756</t>
  </si>
  <si>
    <t>-849.721929957669 205.784876121515 -501.157949754487</t>
  </si>
  <si>
    <t>-752.040268532517 246.285146209276 -226.55066073317</t>
  </si>
  <si>
    <t>-517.275701802888 299.220783235127 -214.959923008101</t>
  </si>
  <si>
    <t>-808.674685489594 19.3290746152447 -525.928294565045</t>
  </si>
  <si>
    <t>-815.826251599622 147.259632313895 -70.7828513749031</t>
  </si>
  <si>
    <t>-837.381915650702 180.772435199589 330.797687272926</t>
  </si>
  <si>
    <t>-882.203840866565 199.370095090982 776.087129469796</t>
  </si>
  <si>
    <t>-757.651695691684 276.50731628521 836.28603658556</t>
  </si>
  <si>
    <t>-679.602702775738 -31.306513981835 334.040430440388</t>
  </si>
  <si>
    <t>-696.62357229879 -52.1267987901902 781.070592364355</t>
  </si>
  <si>
    <t>-569.101752257841 -115.095152349239 850.787608674031</t>
  </si>
  <si>
    <t>9763-20170724T111104.415417600.bin</t>
  </si>
  <si>
    <t>-771.470097211251 63.4016898664777 -67.6592018668229</t>
  </si>
  <si>
    <t>-797.519358615568 47.1225887341652 -179.340121390534</t>
  </si>
  <si>
    <t>-809.164559373674 42.3492686279274 -277.157608800435</t>
  </si>
  <si>
    <t>-815.675155369312 41.2129857799619 -366.00897030479</t>
  </si>
  <si>
    <t>-817.689831314001 43.1995433742213 -455.060921259996</t>
  </si>
  <si>
    <t>-815.666149865634 49.0702550145293 -579.488593219062</t>
  </si>
  <si>
    <t>-785.029927594974 62.5583736663011 -655.54460477461</t>
  </si>
  <si>
    <t>-823.660146030979 73.2453504493005 -523.587178228855</t>
  </si>
  <si>
    <t>-850.084852984346 206.276336091608 -501.128064649174</t>
  </si>
  <si>
    <t>-751.586988853239 247.147948919227 -226.867357217831</t>
  </si>
  <si>
    <t>-516.632166930256 299.162214378671 -214.96497418385</t>
  </si>
  <si>
    <t>-809.453246277631 19.7283252311031 -525.881146288612</t>
  </si>
  <si>
    <t>-816.197238489662 147.870786109811 -70.8017909664271</t>
  </si>
  <si>
    <t>-837.540307464949 181.061039709271 330.816886109448</t>
  </si>
  <si>
    <t>-882.228672263311 199.432178652251 776.122082078909</t>
  </si>
  <si>
    <t>-757.529576701713 276.332721659861 836.319161870096</t>
  </si>
  <si>
    <t>-679.713949781739 -30.9865309792217 334.03174113072</t>
  </si>
  <si>
    <t>-696.640532805962 -52.1687494295659 781.05509611549</t>
  </si>
  <si>
    <t>-569.106359025927 -115.10991758222 850.7742491727</t>
  </si>
  <si>
    <t>9763-20170724T111104.481596200.bin</t>
  </si>
  <si>
    <t>-772.121448388748 64.6126640457492 -67.6459668822456</t>
  </si>
  <si>
    <t>-798.307372040212 48.351807257563 -179.297631516769</t>
  </si>
  <si>
    <t>-810.05412526376 43.5552642245789 -277.101962103396</t>
  </si>
  <si>
    <t>-816.65191457237 42.3842271325257 -365.946373900744</t>
  </si>
  <si>
    <t>-818.749748300337 44.3218428463415 -454.997401047975</t>
  </si>
  <si>
    <t>-816.838891726225 50.10917946377 -579.430702468484</t>
  </si>
  <si>
    <t>-786.123054820979 63.329722216693 -655.501779737548</t>
  </si>
  <si>
    <t>-824.714704685935 74.3393986828364 -523.536473321521</t>
  </si>
  <si>
    <t>-850.667537553924 207.459994991489 -501.116195676306</t>
  </si>
  <si>
    <t>-751.367984569858 248.753796674938 -227.207935559406</t>
  </si>
  <si>
    <t>-516.026239838806 299.020396519073 -215.44868363087</t>
  </si>
  <si>
    <t>-810.644653840722 20.7853824888862 -525.811194401564</t>
  </si>
  <si>
    <t>-816.705411533392 149.10477692056 -70.7892336208407</t>
  </si>
  <si>
    <t>-837.662454924973 181.763407483246 330.893383416459</t>
  </si>
  <si>
    <t>-882.048312870973 199.368485206924 776.254933666313</t>
  </si>
  <si>
    <t>-757.57773212372 276.647159062769 836.440853468038</t>
  </si>
  <si>
    <t>-679.720681187665 -30.1329888606888 333.993178867829</t>
  </si>
  <si>
    <t>-696.605605944888 -51.9660066062183 780.990393873792</t>
  </si>
  <si>
    <t>-569.319034770468 -115.36150373696 850.750226838177</t>
  </si>
  <si>
    <t>9763-20170724T111104.516690000.bin</t>
  </si>
  <si>
    <t>-772.529054343905 65.3346787794876 -67.6211262439846</t>
  </si>
  <si>
    <t>-798.761698595053 49.0459697798178 -179.257771570627</t>
  </si>
  <si>
    <t>-810.537846508775 44.2413958956627 -277.058190997695</t>
  </si>
  <si>
    <t>-817.157539926786 43.0692556454183 -365.900955212569</t>
  </si>
  <si>
    <t>-819.271779546588 45.0120633654469 -454.951535845619</t>
  </si>
  <si>
    <t>-817.378706042158 50.8129488087652 -579.384424457172</t>
  </si>
  <si>
    <t>-786.588577628641 63.9301610999769 -655.443357015322</t>
  </si>
  <si>
    <t>-825.227996663791 75.0418927416454 -523.485959325174</t>
  </si>
  <si>
    <t>-851.01305258987 208.193788532914 -501.02978926794</t>
  </si>
  <si>
    <t>-751.389517498379 249.42653391635 -227.230326108226</t>
  </si>
  <si>
    <t>-515.930143028904 299.136290921174 -215.449494758256</t>
  </si>
  <si>
    <t>-811.195491543715 21.4785775776918 -525.769526854735</t>
  </si>
  <si>
    <t>-817.190595380881 149.883623198144 -70.7878723773825</t>
  </si>
  <si>
    <t>-837.859940250583 182.291962022423 330.929838814262</t>
  </si>
  <si>
    <t>-882.148856839144 199.513898029495 776.325578874519</t>
  </si>
  <si>
    <t>-757.542395645359 276.571353595324 836.514394272665</t>
  </si>
  <si>
    <t>-679.657235530487 -29.7007597868424 333.977294635433</t>
  </si>
  <si>
    <t>-696.612919106626 -52.0190328394128 780.95072303252</t>
  </si>
  <si>
    <t>-569.286023110973 -115.317612426159 850.724936333474</t>
  </si>
  <si>
    <t>9763-20170724T111104.584389700.bin</t>
  </si>
  <si>
    <t>-773.237800407423 66.809933765418 -67.5486199425742</t>
  </si>
  <si>
    <t>-799.528549254524 50.4579011150572 -179.162445548287</t>
  </si>
  <si>
    <t>-811.32248254222 45.6539219042775 -276.960547491398</t>
  </si>
  <si>
    <t>-817.943554016245 44.5049800005668 -365.803585514037</t>
  </si>
  <si>
    <t>-820.044436432955 46.4928740931282 -454.853412096563</t>
  </si>
  <si>
    <t>-818.115161294071 52.3796412004399 -579.281842649444</t>
  </si>
  <si>
    <t>-787.157297150465 65.3832236190356 -655.292057542435</t>
  </si>
  <si>
    <t>-825.97679858618 76.5710685624395 -523.368712485684</t>
  </si>
  <si>
    <t>-851.65389962818 209.730762484767 -500.840019603579</t>
  </si>
  <si>
    <t>-751.514286760834 250.803639236466 -227.204725197125</t>
  </si>
  <si>
    <t>-515.898156919643 299.764527611897 -215.425873654419</t>
  </si>
  <si>
    <t>-811.951551095685 23.0073029748487 -525.685370876244</t>
  </si>
  <si>
    <t>-818.015382222994 151.427976678176 -70.7740887497546</t>
  </si>
  <si>
    <t>-838.213740658835 183.253534382622 331.014211951725</t>
  </si>
  <si>
    <t>-882.115601641063 199.611676498602 776.482308639112</t>
  </si>
  <si>
    <t>-757.4989310494 276.645545141402 836.679958785176</t>
  </si>
  <si>
    <t>-679.447687653907 -28.6596699649667 333.971742524083</t>
  </si>
  <si>
    <t>-696.620589685629 -52.0390393076891 780.870519173106</t>
  </si>
  <si>
    <t>-569.320717073943 -115.337872222631 850.693957843671</t>
  </si>
  <si>
    <t>9763-20170724T111104.618480100.bin</t>
  </si>
  <si>
    <t>-773.59798268479 67.6963097339535 -67.5431942054936</t>
  </si>
  <si>
    <t>-799.914744261435 51.3137692734367 -179.146263602771</t>
  </si>
  <si>
    <t>-811.731903344879 46.5023534024635 -276.94129535408</t>
  </si>
  <si>
    <t>-818.375072341439 45.3552741091539 -365.782629255702</t>
  </si>
  <si>
    <t>-820.49818525614 47.3538529026491 -454.831695524348</t>
  </si>
  <si>
    <t>-818.600253927246 53.2658217228186 -579.259523895073</t>
  </si>
  <si>
    <t>-787.565531099306 66.2272677078149 -655.245493371954</t>
  </si>
  <si>
    <t>-826.454374540057 77.4442978695652 -523.339742432412</t>
  </si>
  <si>
    <t>-852.188416155595 210.593791966739 -500.802090941673</t>
  </si>
  <si>
    <t>-751.844477686844 251.773529149931 -227.257795347202</t>
  </si>
  <si>
    <t>-516.155375243896 300.453108048398 -215.777024631887</t>
  </si>
  <si>
    <t>-812.416437594639 23.8842918632831 -525.670253749948</t>
  </si>
  <si>
    <t>-818.545083834615 152.33442173248 -70.781617782283</t>
  </si>
  <si>
    <t>-838.483584595986 183.813430907585 331.046932459534</t>
  </si>
  <si>
    <t>-882.205693259667 199.785740659132 776.55251535246</t>
  </si>
  <si>
    <t>-757.388503975417 276.481454189649 836.766734362276</t>
  </si>
  <si>
    <t>-679.280656008045 -28.0050853662069 333.9532861536</t>
  </si>
  <si>
    <t>-696.598620719109 -51.9121608935629 780.8249063665</t>
  </si>
  <si>
    <t>-569.502821170212 -115.575647178044 850.688275718946</t>
  </si>
  <si>
    <t>9763-20170724T111104.682743500.bin</t>
  </si>
  <si>
    <t>-774.30884686718 69.3411977811866 -67.4897832912498</t>
  </si>
  <si>
    <t>-800.676590600463 52.9631492738154 -179.081589683196</t>
  </si>
  <si>
    <t>-812.547404868668 48.1356400921927 -276.869344288746</t>
  </si>
  <si>
    <t>-819.244779501914 46.9679000658857 -365.70632483858</t>
  </si>
  <si>
    <t>-821.429241916221 48.9417650716755 -454.754476803101</t>
  </si>
  <si>
    <t>-819.624794411493 54.8157648464094 -579.185320397739</t>
  </si>
  <si>
    <t>-788.447434528891 67.6543354077553 -655.133809792345</t>
  </si>
  <si>
    <t>-827.461222866322 79.0049510362305 -523.26764041025</t>
  </si>
  <si>
    <t>-853.46452001211 212.118756945588 -500.785564881682</t>
  </si>
  <si>
    <t>-753.031818022229 253.383684098994 -227.286648180741</t>
  </si>
  <si>
    <t>-517.116211001453 301.22091742869 -216.977530557824</t>
  </si>
  <si>
    <t>-813.376455994242 25.4569495211904 -525.591406275227</t>
  </si>
  <si>
    <t>-819.382800448228 153.988836754132 -70.748015502059</t>
  </si>
  <si>
    <t>-838.882829674998 184.716000105194 331.160297439885</t>
  </si>
  <si>
    <t>-881.941918038212 199.754147347232 776.759139040246</t>
  </si>
  <si>
    <t>-757.33687365328 276.781478395432 836.989215678136</t>
  </si>
  <si>
    <t>-678.910010385907 -26.8552535324361 333.903101361003</t>
  </si>
  <si>
    <t>-696.597910267602 -51.7766970627988 780.72577690594</t>
  </si>
  <si>
    <t>-569.587938385175 -115.555574870641 850.640012735272</t>
  </si>
  <si>
    <t>9763-20170724T111104.718839500.bin</t>
  </si>
  <si>
    <t>-774.617741628953 70.1746829390968 -67.4435001634326</t>
  </si>
  <si>
    <t>-801.015045794819 53.8086595695113 -179.030046497884</t>
  </si>
  <si>
    <t>-812.910729008315 48.9743748792694 -276.814445273766</t>
  </si>
  <si>
    <t>-819.631549161376 47.7948940844985 -365.649464692915</t>
  </si>
  <si>
    <t>-821.841255224313 49.7518701510676 -454.697421916022</t>
  </si>
  <si>
    <t>-820.075008243577 55.5979283842921 -579.130280553358</t>
  </si>
  <si>
    <t>-788.833389442794 68.3671182714784 -655.064048933677</t>
  </si>
  <si>
    <t>-827.909465362367 79.7956622080414 -523.21593264479</t>
  </si>
  <si>
    <t>-854.096315651836 212.868619276758 -500.750027068162</t>
  </si>
  <si>
    <t>-753.784110556304 254.14467045713 -227.208684404224</t>
  </si>
  <si>
    <t>-517.705798597274 301.346943319041 -217.7248595315</t>
  </si>
  <si>
    <t>-813.794960839592 26.2550267490083 -525.531020764732</t>
  </si>
  <si>
    <t>-819.756200286748 154.826412778786 -70.6823507307504</t>
  </si>
  <si>
    <t>-839.064027476756 185.212099369589 331.261182215074</t>
  </si>
  <si>
    <t>-881.918276792875 199.820210038052 776.906188868621</t>
  </si>
  <si>
    <t>-757.429135271893 277.033777623269 837.137828893261</t>
  </si>
  <si>
    <t>-678.697832375425 -26.240778510261 333.882397182245</t>
  </si>
  <si>
    <t>-696.586970621897 -51.6012545891622 780.675217412301</t>
  </si>
  <si>
    <t>-569.836422549684 -115.852618253513 850.628013203735</t>
  </si>
  <si>
    <t>9763-20170724T111104.784019400.bin</t>
  </si>
  <si>
    <t>-775.116204573874 71.6058528668523 -67.2914942880369</t>
  </si>
  <si>
    <t>-801.6019766241 55.2342085372047 -178.856179488717</t>
  </si>
  <si>
    <t>-813.541645796449 50.4176520873816 -276.635930818062</t>
  </si>
  <si>
    <t>-820.289997295809 49.2643724084614 -365.46940603918</t>
  </si>
  <si>
    <t>-822.514634126954 51.2583210152816 -454.516155770401</t>
  </si>
  <si>
    <t>-820.757101369074 57.1686434523081 -578.946002401512</t>
  </si>
  <si>
    <t>-789.345671440101 69.8642523766193 -654.822084463353</t>
  </si>
  <si>
    <t>-828.627495785857 81.3270640524556 -523.019786720738</t>
  </si>
  <si>
    <t>-855.201736436892 214.313571742901 -500.515997374526</t>
  </si>
  <si>
    <t>-755.264841893849 255.705883556354 -226.854659927861</t>
  </si>
  <si>
    <t>-518.922241793789 301.747684338093 -218.29607843332</t>
  </si>
  <si>
    <t>-814.433564282835 27.8087651048713 -525.361409919782</t>
  </si>
  <si>
    <t>-820.408561367677 156.314355183836 -70.4698444285917</t>
  </si>
  <si>
    <t>-839.263033907687 186.147259221472 331.536647652858</t>
  </si>
  <si>
    <t>-881.873500633704 199.86237240414 777.300951040215</t>
  </si>
  <si>
    <t>-757.476062328238 277.268193509291 837.474780374051</t>
  </si>
  <si>
    <t>-678.302615497546 -25.3607590821284 333.894021676612</t>
  </si>
  <si>
    <t>-696.647383605723 -51.6868312419454 780.604665546027</t>
  </si>
  <si>
    <t>-569.882628011287 -115.869354839227 850.594580868905</t>
  </si>
  <si>
    <t>9763-20170724T111104.818111200.bin</t>
  </si>
  <si>
    <t>-775.396209867158 72.4222579299121 -67.1876454353937</t>
  </si>
  <si>
    <t>-801.929420116741 56.0357941251891 -178.738948404054</t>
  </si>
  <si>
    <t>-813.898576127507 51.2303290322543 -276.515863074995</t>
  </si>
  <si>
    <t>-820.668705565784 50.0969166812715 -365.347718333503</t>
  </si>
  <si>
    <t>-822.910147867595 52.1213926087853 -454.393404267551</t>
  </si>
  <si>
    <t>-821.17077149284 58.0852335763475 -578.820990627147</t>
  </si>
  <si>
    <t>-789.659466929118 70.777021035608 -654.656239686194</t>
  </si>
  <si>
    <t>-829.053823293562 82.2140441704082 -522.883713146638</t>
  </si>
  <si>
    <t>-855.809466357698 215.155892250121 -500.318246476685</t>
  </si>
  <si>
    <t>-756.155426574176 256.411236091806 -226.533229926334</t>
  </si>
  <si>
    <t>-519.704888292436 301.960806937596 -218.328548596547</t>
  </si>
  <si>
    <t>-814.818733678872 28.7076963292106 -525.249425416984</t>
  </si>
  <si>
    <t>-820.824874509054 157.144439254879 -70.3495928232701</t>
  </si>
  <si>
    <t>-839.471582178582 186.647059657278 331.69099675635</t>
  </si>
  <si>
    <t>-881.873112652775 199.896011133398 777.49665995445</t>
  </si>
  <si>
    <t>-757.236240302283 276.941987050759 837.636750213662</t>
  </si>
  <si>
    <t>-678.077946135959 -24.7848471855882 333.907666611028</t>
  </si>
  <si>
    <t>-696.624808018109 -51.4540513337524 780.57005418025</t>
  </si>
  <si>
    <t>-570.109319692838 -116.086672438432 850.596873934736</t>
  </si>
  <si>
    <t>9763-20170724T111104.882287500.bin</t>
  </si>
  <si>
    <t>-775.850935758286 73.7879795212748 -66.9921957914181</t>
  </si>
  <si>
    <t>-802.419915501045 57.3450227393159 -178.526635662274</t>
  </si>
  <si>
    <t>-814.400245051914 52.6328542656365 -276.306659289761</t>
  </si>
  <si>
    <t>-821.168323465067 51.6412853355669 -365.140460571663</t>
  </si>
  <si>
    <t>-823.395317059883 53.8658294184156 -454.181638810119</t>
  </si>
  <si>
    <t>-821.61965009568 60.170773123903 -578.591940467541</t>
  </si>
  <si>
    <t>-789.830139670351 72.9907111732791 -654.28926761676</t>
  </si>
  <si>
    <t>-829.572149906179 84.1318391581717 -522.592548859786</t>
  </si>
  <si>
    <t>-856.804460384703 216.937026860354 -499.817709272308</t>
  </si>
  <si>
    <t>-757.957671670644 257.513706109199 -225.638601738047</t>
  </si>
  <si>
    <t>-521.300095073019 302.163858595635 -218.538499652078</t>
  </si>
  <si>
    <t>-815.229822973811 30.6607108709459 -525.097633872873</t>
  </si>
  <si>
    <t>-821.43636616723 158.466671438542 -70.1612880125892</t>
  </si>
  <si>
    <t>-839.75246445957 187.507266350307 331.928022961859</t>
  </si>
  <si>
    <t>-881.840890244875 200.019232451649 777.770121512797</t>
  </si>
  <si>
    <t>-757.242168788708 277.129035291661 837.907655715461</t>
  </si>
  <si>
    <t>-677.76264511886 -23.9572867048028 333.981644614862</t>
  </si>
  <si>
    <t>-696.698195980703 -51.4411130143578 780.549569352663</t>
  </si>
  <si>
    <t>-570.283171487961 -116.248300319453 850.596388769336</t>
  </si>
  <si>
    <t>9763-20170724T111104.915375000.bin</t>
  </si>
  <si>
    <t>-776.02905507026 74.4354416574565 -66.9135019520468</t>
  </si>
  <si>
    <t>-802.643218907629 57.9317256227964 -178.428201983238</t>
  </si>
  <si>
    <t>-814.676330742065 53.254850114588 -276.203333048994</t>
  </si>
  <si>
    <t>-821.495940638385 52.3314092598634 -365.034064501908</t>
  </si>
  <si>
    <t>-823.77591348812 54.6609426975006 -454.071189470345</t>
  </si>
  <si>
    <t>-822.076430813333 61.1518281437193 -578.472982909233</t>
  </si>
  <si>
    <t>-790.146032177781 74.0699140095135 -654.094301495642</t>
  </si>
  <si>
    <t>-830.028780082627 85.0202321423617 -522.433947042589</t>
  </si>
  <si>
    <t>-857.464664797877 217.758782185521 -499.487133266569</t>
  </si>
  <si>
    <t>-758.833178947173 257.814947447765 -225.154373797669</t>
  </si>
  <si>
    <t>-522.092659491289 302.137261811593 -218.797770650149</t>
  </si>
  <si>
    <t>-815.619601217685 31.5708772579264 -525.025960201887</t>
  </si>
  <si>
    <t>-821.692170671137 159.101104694701 -70.0989884007785</t>
  </si>
  <si>
    <t>-839.844092885685 187.906749251965 332.014696652102</t>
  </si>
  <si>
    <t>-881.784183045995 200.058938183401 777.890023873674</t>
  </si>
  <si>
    <t>-757.138185760309 277.086480709223 838.035090531352</t>
  </si>
  <si>
    <t>-677.603593935875 -23.5714775918245 334.017251521498</t>
  </si>
  <si>
    <t>-696.728732845706 -51.3640219815923 780.547990792084</t>
  </si>
  <si>
    <t>-570.367823897481 -116.276919292721 850.594720960608</t>
  </si>
  <si>
    <t>9763-20170724T111104.984562700.bin</t>
  </si>
  <si>
    <t>-776.280329860971 75.5740058597971 -66.7855938067029</t>
  </si>
  <si>
    <t>-803.044418943482 58.9215465766583 -178.242368192601</t>
  </si>
  <si>
    <t>-815.227399815794 54.2647538022438 -275.999923705067</t>
  </si>
  <si>
    <t>-822.186351755394 53.4201548548449 -364.820502218213</t>
  </si>
  <si>
    <t>-824.608562404214 55.8914480201611 -453.850130836271</t>
  </si>
  <si>
    <t>-823.10789387572 62.647113303427 -578.240200409274</t>
  </si>
  <si>
    <t>-790.989702312995 75.7271979312804 -653.754253055374</t>
  </si>
  <si>
    <t>-831.042622102621 86.3768199208653 -522.139869581575</t>
  </si>
  <si>
    <t>-858.955527214207 218.963718559673 -498.8579467209</t>
  </si>
  <si>
    <t>-760.525291235815 258.334051452987 -224.35345101965</t>
  </si>
  <si>
    <t>-523.672531089013 302.244946304077 -219.504550741809</t>
  </si>
  <si>
    <t>-816.494151474787 32.9718464910743 -524.864779613348</t>
  </si>
  <si>
    <t>-822.099050307371 160.188850626921 -69.9728940412623</t>
  </si>
  <si>
    <t>-839.803973698541 188.634759272034 332.186369429274</t>
  </si>
  <si>
    <t>-881.596611729369 200.066821897758 778.115803226503</t>
  </si>
  <si>
    <t>-757.062278807138 277.256752021014 838.284732072615</t>
  </si>
  <si>
    <t>-677.319690560423 -22.8001182811013 334.094431718098</t>
  </si>
  <si>
    <t>-696.81654141485 -51.3060993888764 780.553814454872</t>
  </si>
  <si>
    <t>-570.529643988507 -116.366769563945 850.59694655619</t>
  </si>
  <si>
    <t>9763-20170724T111105.018653400.bin</t>
  </si>
  <si>
    <t>-776.379720646147 76.1429101437448 -66.7324137608343</t>
  </si>
  <si>
    <t>-803.181337299143 59.4332951904257 -178.171514352603</t>
  </si>
  <si>
    <t>-815.413872050209 54.7748212024317 -275.922898765953</t>
  </si>
  <si>
    <t>-822.423885503227 53.9486287601712 -364.739576602368</t>
  </si>
  <si>
    <t>-824.901998802711 56.4591402236138 -453.766620893382</t>
  </si>
  <si>
    <t>-823.484390489516 63.2916943090754 -578.153588082167</t>
  </si>
  <si>
    <t>-791.314524531263 76.4313868536983 -653.635224621874</t>
  </si>
  <si>
    <t>-831.408972583327 86.9789709093243 -522.033882257928</t>
  </si>
  <si>
    <t>-859.520085398841 219.494097147738 -498.648346646144</t>
  </si>
  <si>
    <t>-761.229781993814 258.754191812026 -224.077867602046</t>
  </si>
  <si>
    <t>-524.331730517041 302.50391370128 -220.052315600221</t>
  </si>
  <si>
    <t>-816.807382163545 33.5909117536353 -524.800159312377</t>
  </si>
  <si>
    <t>-822.237655107432 160.769998153698 -69.9100288734227</t>
  </si>
  <si>
    <t>-839.755438076606 189.057818345138 332.268547343457</t>
  </si>
  <si>
    <t>-881.542920597643 200.107489444441 778.215490151188</t>
  </si>
  <si>
    <t>-756.973407295911 277.229999770632 838.397233143026</t>
  </si>
  <si>
    <t>-677.187946136635 -22.4646166970565 334.139063053109</t>
  </si>
  <si>
    <t>-696.878187192676 -51.3826203658723 780.55726383258</t>
  </si>
  <si>
    <t>-570.489830090608 -116.253121955594 850.593380422665</t>
  </si>
  <si>
    <t>9763-20170724T111105.081837800.bin</t>
  </si>
  <si>
    <t>-776.675342369001 77.3822536495895 -66.6240488955129</t>
  </si>
  <si>
    <t>-803.538134684957 60.6152774691004 -178.03981819635</t>
  </si>
  <si>
    <t>-815.850493519863 55.9655695699712 -275.781663031982</t>
  </si>
  <si>
    <t>-822.942695168553 55.1723324495692 -364.592241543068</t>
  </si>
  <si>
    <t>-825.512907297293 57.7425019354059 -453.614836071194</t>
  </si>
  <si>
    <t>-824.233903449437 64.6876665730947 -577.997021162948</t>
  </si>
  <si>
    <t>-792.038047061166 77.9075783947178 -653.453789078954</t>
  </si>
  <si>
    <t>-832.124821195238 88.3164777748452 -521.84798526934</t>
  </si>
  <si>
    <t>-860.480947529367 220.749927729907 -498.303322090963</t>
  </si>
  <si>
    <t>-762.267049940707 259.89680263974 -223.689533135351</t>
  </si>
  <si>
    <t>-525.288378615202 303.306853661617 -220.937254085466</t>
  </si>
  <si>
    <t>-817.46872658519 34.9465581245354 -524.677211515339</t>
  </si>
  <si>
    <t>-822.655682357073 162.098252638614 -69.8148911042281</t>
  </si>
  <si>
    <t>-839.837259099797 189.896495735114 332.41233371988</t>
  </si>
  <si>
    <t>-881.604352391174 200.342529388865 778.391291373684</t>
  </si>
  <si>
    <t>-756.798672536033 277.063441265298 838.597050176067</t>
  </si>
  <si>
    <t>-676.803079170582 -21.6963994975017 334.175221331261</t>
  </si>
  <si>
    <t>-696.943666057651 -51.2858610791777 780.534311296832</t>
  </si>
  <si>
    <t>-570.589401709567 -116.201897389538 850.59015686288</t>
  </si>
  <si>
    <t>9763-20170724T111105.113937300.bin</t>
  </si>
  <si>
    <t>-776.84834045968 78.0070162270936 -66.5447354957181</t>
  </si>
  <si>
    <t>-803.718046125959 61.2390550860537 -177.958711917426</t>
  </si>
  <si>
    <t>-816.05107116646 56.6104593841378 -275.69876166485</t>
  </si>
  <si>
    <t>-823.168039350106 55.8464688820936 -364.507600391214</t>
  </si>
  <si>
    <t>-825.769281698356 58.4568205122632 -453.528136682781</t>
  </si>
  <si>
    <t>-824.538887102112 65.4698286627417 -577.907102746439</t>
  </si>
  <si>
    <t>-792.361400365016 78.720451131343 -653.36617775678</t>
  </si>
  <si>
    <t>-832.410325454988 89.067218588777 -521.742096897809</t>
  </si>
  <si>
    <t>-860.821247723482 221.478933710584 -498.1324316652</t>
  </si>
  <si>
    <t>-762.611485263703 260.424336248683 -223.488532695674</t>
  </si>
  <si>
    <t>-525.579257081486 303.578662695524 -221.400457556111</t>
  </si>
  <si>
    <t>-817.750172768599 35.7001008601096 -524.606110612106</t>
  </si>
  <si>
    <t>-822.815952766556 162.722828462539 -69.7588046682135</t>
  </si>
  <si>
    <t>-839.827100100124 190.234770370128 332.495295488404</t>
  </si>
  <si>
    <t>-881.461820805729 200.301091337506 778.492902355175</t>
  </si>
  <si>
    <t>-756.72929214225 277.139712648361 838.700145866726</t>
  </si>
  <si>
    <t>-676.68091890257 -21.3153459462678 334.204413797417</t>
  </si>
  <si>
    <t>-696.982993570849 -51.2477436638296 780.525331745545</t>
  </si>
  <si>
    <t>-570.669997739514 -116.233674869363 850.59080886199</t>
  </si>
  <si>
    <t>9763-20170724T111105.184676900.bin</t>
  </si>
  <si>
    <t>-777.295609839283 79.2403125378596 -66.4160179588956</t>
  </si>
  <si>
    <t>-804.203183854894 62.4814646513655 -177.82217367757</t>
  </si>
  <si>
    <t>-816.576056937047 57.8879419138611 -275.558999258591</t>
  </si>
  <si>
    <t>-823.732160421728 57.1687601812346 -364.364998577094</t>
  </si>
  <si>
    <t>-826.375409546878 59.83696704571 -453.382669254968</t>
  </si>
  <si>
    <t>-825.206751375671 66.9456663489891 -577.756804699468</t>
  </si>
  <si>
    <t>-793.066476104337 80.190421032511 -653.232519014977</t>
  </si>
  <si>
    <t>-833.036469808734 90.5036059991494 -521.569323522104</t>
  </si>
  <si>
    <t>-861.414194967622 222.904205786505 -497.818083697609</t>
  </si>
  <si>
    <t>-763.268206340059 261.377856752128 -223.084931860467</t>
  </si>
  <si>
    <t>-526.128228413302 303.959521055142 -221.551607497528</t>
  </si>
  <si>
    <t>-818.405425493752 37.1313703369128 -524.482411634083</t>
  </si>
  <si>
    <t>-823.265741355798 163.985454495937 -69.6389623353729</t>
  </si>
  <si>
    <t>-839.911194146174 190.995598483231 332.664459454257</t>
  </si>
  <si>
    <t>-881.368327975062 200.366265129787 778.714805042811</t>
  </si>
  <si>
    <t>-756.596319481988 277.140146589383 838.92297683351</t>
  </si>
  <si>
    <t>-676.652057948106 -20.6185050310805 334.261290951858</t>
  </si>
  <si>
    <t>-697.096795827053 -51.3134869251314 780.514846393783</t>
  </si>
  <si>
    <t>-570.849913510442 -116.410116657999 850.596473651519</t>
  </si>
  <si>
    <t>9763-20170724T111105.212753300.bin</t>
  </si>
  <si>
    <t>-777.481744756419 79.8417678547789 -66.3521710006945</t>
  </si>
  <si>
    <t>-804.381837327957 63.1029068707758 -177.763169132726</t>
  </si>
  <si>
    <t>-816.748030711339 58.5226739432433 -275.501407820635</t>
  </si>
  <si>
    <t>-823.898647852848 57.814349625462 -364.307863898987</t>
  </si>
  <si>
    <t>-826.536720381065 60.4925999986549 -453.32547191953</t>
  </si>
  <si>
    <t>-825.362053963654 67.6144754456177 -577.698672791838</t>
  </si>
  <si>
    <t>-793.252091541056 80.8248788308465 -653.193504469755</t>
  </si>
  <si>
    <t>-833.180119789643 91.1703470705279 -521.508860314877</t>
  </si>
  <si>
    <t>-861.496135230036 223.573124405043 -497.716089084629</t>
  </si>
  <si>
    <t>-763.504578589889 261.777471714299 -222.890204969413</t>
  </si>
  <si>
    <t>-526.317386879347 304.098435263943 -221.464694940361</t>
  </si>
  <si>
    <t>-818.577759345262 37.7904800814636 -524.42760198876</t>
  </si>
  <si>
    <t>-823.387845165048 164.635267212253 -69.5811601883109</t>
  </si>
  <si>
    <t>-839.966173889491 191.376265858353 332.743103188846</t>
  </si>
  <si>
    <t>-881.323520534933 200.408802872266 778.814878911242</t>
  </si>
  <si>
    <t>-756.469487071368 277.046333783632 839.027004872165</t>
  </si>
  <si>
    <t>-676.637919459763 -20.2279666249015 334.287489728341</t>
  </si>
  <si>
    <t>-697.120134390317 -51.173243138961 780.510794976101</t>
  </si>
  <si>
    <t>-570.955260869297 -116.417562719887 850.603081781876</t>
  </si>
  <si>
    <t>9763-20170724T111105.283945000.bin</t>
  </si>
  <si>
    <t>-777.835719375619 81.0074556935169 -66.2271400217612</t>
  </si>
  <si>
    <t>-804.738755390015 64.3434465597311 -177.648659644706</t>
  </si>
  <si>
    <t>-817.075521016846 59.8141305085128 -275.392957220431</t>
  </si>
  <si>
    <t>-824.188448552528 59.1476354197821 -364.202851041079</t>
  </si>
  <si>
    <t>-826.777465237074 61.8625076245107 -453.220745771921</t>
  </si>
  <si>
    <t>-825.523988087397 69.0301918041491 -577.590610090186</t>
  </si>
  <si>
    <t>-793.451008336651 82.1670073541072 -653.113875799682</t>
  </si>
  <si>
    <t>-833.334431785325 92.5772234346759 -521.395960899153</t>
  </si>
  <si>
    <t>-861.489971680975 225.004472475573 -497.551969345527</t>
  </si>
  <si>
    <t>-763.913457947108 262.697571088076 -222.507766200644</t>
  </si>
  <si>
    <t>-526.653954611034 304.61111598332 -221.055410127228</t>
  </si>
  <si>
    <t>-818.816460429913 39.1749130953449 -524.327211649408</t>
  </si>
  <si>
    <t>-823.675894620769 165.888863262213 -69.4497047079452</t>
  </si>
  <si>
    <t>-840.007062396134 192.085195750528 332.920454896069</t>
  </si>
  <si>
    <t>-881.253163879608 200.497223552959 779.031562555824</t>
  </si>
  <si>
    <t>-756.326956392038 277.016459424193 839.244146056126</t>
  </si>
  <si>
    <t>-676.70391637972 -19.5701837390843 334.332629212644</t>
  </si>
  <si>
    <t>-697.242203271372 -51.1918841940374 780.50554239731</t>
  </si>
  <si>
    <t>-571.052515683299 -116.379529746824 850.605868544648</t>
  </si>
  <si>
    <t>9763-20170724T111105.317032800.bin</t>
  </si>
  <si>
    <t>-778.017510280906 81.5702773581052 -66.1603635512016</t>
  </si>
  <si>
    <t>-804.93482574858 64.9305008693877 -177.58197578696</t>
  </si>
  <si>
    <t>-817.26564805416 60.4244741465832 -275.328149211323</t>
  </si>
  <si>
    <t>-824.365354159483 59.7801986380105 -364.139291812743</t>
  </si>
  <si>
    <t>-826.934632745109 62.5181598371591 -453.156973720992</t>
  </si>
  <si>
    <t>-825.645376089539 69.7189422936444 -577.52449774399</t>
  </si>
  <si>
    <t>-793.564947436594 82.8136725009008 -653.052005768115</t>
  </si>
  <si>
    <t>-833.452450438039 93.2564406971442 -521.325335037566</t>
  </si>
  <si>
    <t>-861.532181520916 225.694810519018 -497.456406610174</t>
  </si>
  <si>
    <t>-764.102853011992 263.268147691996 -222.343779315729</t>
  </si>
  <si>
    <t>-526.809110149407 304.981442150109 -220.760662696326</t>
  </si>
  <si>
    <t>-818.972906190528 39.8441188554234 -524.267705487176</t>
  </si>
  <si>
    <t>-823.777684162483 166.464651873028 -69.3781595501774</t>
  </si>
  <si>
    <t>-839.942484255394 192.371361671951 333.017387862062</t>
  </si>
  <si>
    <t>-881.020371112638 200.370150156238 779.136768292285</t>
  </si>
  <si>
    <t>-756.270241072226 277.172937559158 839.353501957549</t>
  </si>
  <si>
    <t>-676.65196223297 -19.2659292774297 334.355764291125</t>
  </si>
  <si>
    <t>-697.324647386284 -51.3031684979912 780.504419930311</t>
  </si>
  <si>
    <t>-571.137826590263 -116.489618609398 850.611059760694</t>
  </si>
  <si>
    <t>9763-20170724T111105.380204900.bin</t>
  </si>
  <si>
    <t>-778.459819294613 82.8229303854573 -66.0063894762764</t>
  </si>
  <si>
    <t>-805.401934536395 66.2302395322977 -177.429139878764</t>
  </si>
  <si>
    <t>-817.715722959287 61.7533589326094 -275.178697109993</t>
  </si>
  <si>
    <t>-824.786015845123 61.131630210517 -363.992395348184</t>
  </si>
  <si>
    <t>-827.311579630923 63.8872206465385 -453.010691135602</t>
  </si>
  <si>
    <t>-825.947179934621 71.1073798958314 -577.376426626435</t>
  </si>
  <si>
    <t>-793.764915208473 84.109119877071 -652.876632567622</t>
  </si>
  <si>
    <t>-833.747421706387 94.6469050750788 -521.177185601753</t>
  </si>
  <si>
    <t>-861.680997577731 227.111614665628 -497.280407392579</t>
  </si>
  <si>
    <t>-764.507475835335 264.463255542153 -222.047131872556</t>
  </si>
  <si>
    <t>-527.145407423537 305.781399904423 -220.336896515329</t>
  </si>
  <si>
    <t>-819.347615542897 41.2134504828628 -524.121385516853</t>
  </si>
  <si>
    <t>-824.168750734296 167.807377277958 -69.2229821791204</t>
  </si>
  <si>
    <t>-839.999806642296 193.218268215819 333.217481357781</t>
  </si>
  <si>
    <t>-881.03000762631 200.539814541833 779.369582221215</t>
  </si>
  <si>
    <t>-756.105575423293 277.056227746024 839.589071988959</t>
  </si>
  <si>
    <t>-676.572497807566 -18.5057550125248 334.412015113777</t>
  </si>
  <si>
    <t>-697.420979071951 -51.2088691298436 780.495174907298</t>
  </si>
  <si>
    <t>-571.319346263928 -116.545181179609 850.615731110674</t>
  </si>
  <si>
    <t>9763-20170724T111105.413298100.bin</t>
  </si>
  <si>
    <t>-778.601969791694 83.5037683618534 -65.9279345368344</t>
  </si>
  <si>
    <t>-805.54693414982 66.9222499970988 -177.351774487901</t>
  </si>
  <si>
    <t>-817.849157772572 62.4536246708831 -275.103159162903</t>
  </si>
  <si>
    <t>-824.903609702628 61.8385189887681 -363.918061330967</t>
  </si>
  <si>
    <t>-827.407718093862 64.6001964813245 -452.936888878005</t>
  </si>
  <si>
    <t>-826.0074839387 71.8273934686922 -577.301726878271</t>
  </si>
  <si>
    <t>-793.763570466077 84.7887283395421 -652.782696348013</t>
  </si>
  <si>
    <t>-833.796768236369 95.3709867106109 -521.102601501775</t>
  </si>
  <si>
    <t>-861.606020556753 227.8564774898 -497.190637069973</t>
  </si>
  <si>
    <t>-764.539772303688 265.14368936409 -221.910743062843</t>
  </si>
  <si>
    <t>-527.126983261703 306.173542798706 -220.308381946226</t>
  </si>
  <si>
    <t>-819.450458701301 41.9230514876203 -524.047144412392</t>
  </si>
  <si>
    <t>-824.282269995835 168.540772143087 -69.1650157081486</t>
  </si>
  <si>
    <t>-839.958575248154 193.694269755889 333.297705698767</t>
  </si>
  <si>
    <t>-881.00241221181 200.611578118383 779.462205547566</t>
  </si>
  <si>
    <t>-756.026492159834 277.034880619614 839.693497724162</t>
  </si>
  <si>
    <t>-676.559300075426 -18.0231061676204 334.4552416763</t>
  </si>
  <si>
    <t>-697.4569263121 -51.0782880521529 780.491586139002</t>
  </si>
  <si>
    <t>-571.512781887814 -116.704256595323 850.624197260148</t>
  </si>
  <si>
    <t>9763-20170724T111105.479481900.bin</t>
  </si>
  <si>
    <t>-778.858733976315 84.9976816587314 -65.7675176543231</t>
  </si>
  <si>
    <t>-805.806836426977 68.48884425188 -177.2012083927</t>
  </si>
  <si>
    <t>-818.080339581231 64.0739041484817 -274.958694822562</t>
  </si>
  <si>
    <t>-825.097636964981 63.5050990694176 -363.777003011554</t>
  </si>
  <si>
    <t>-827.553310624708 66.3093600950597 -452.795752379333</t>
  </si>
  <si>
    <t>-826.074445624187 73.5925925286515 -577.156397566051</t>
  </si>
  <si>
    <t>-793.699120179871 86.4953551464632 -652.591167829574</t>
  </si>
  <si>
    <t>-833.849492119089 97.1240529641009 -520.950264816724</t>
  </si>
  <si>
    <t>-861.351253339068 229.65856594949 -496.949930894242</t>
  </si>
  <si>
    <t>-764.266450193837 266.879956569694 -221.667612225198</t>
  </si>
  <si>
    <t>-526.818803618293 307.719904456369 -220.441816508383</t>
  </si>
  <si>
    <t>-819.601017034013 43.651050200946 -523.912647622864</t>
  </si>
  <si>
    <t>-824.463963510537 170.119597990204 -69.0248118904933</t>
  </si>
  <si>
    <t>-839.737979414861 194.59659405707 333.49504349268</t>
  </si>
  <si>
    <t>-880.747065159475 200.583562104381 779.670441490059</t>
  </si>
  <si>
    <t>-755.894660634739 277.187202691581 839.928853462679</t>
  </si>
  <si>
    <t>-676.231048920293 -17.0138858294454 334.53276295266</t>
  </si>
  <si>
    <t>-697.57937616835 -51.0322387126209 780.472534248765</t>
  </si>
  <si>
    <t>-571.571847477625 -116.503079468801 850.636840261113</t>
  </si>
  <si>
    <t>9763-20170724T111105.514568700.bin</t>
  </si>
  <si>
    <t>-779.028802021618 85.8598654790353 -65.6919644431604</t>
  </si>
  <si>
    <t>-805.972664188251 69.3909093539169 -177.132641633188</t>
  </si>
  <si>
    <t>-818.230185250487 65.0118421784455 -274.893639333876</t>
  </si>
  <si>
    <t>-825.227791626925 64.4761386874884 -363.713688020485</t>
  </si>
  <si>
    <t>-827.659024211229 67.3137020679524 -452.732149505323</t>
  </si>
  <si>
    <t>-826.140561001494 74.6434238326415 -577.089570744131</t>
  </si>
  <si>
    <t>-793.690078189962 87.5132463723385 -652.497572661122</t>
  </si>
  <si>
    <t>-833.900127391605 98.1628762544206 -520.87635489639</t>
  </si>
  <si>
    <t>-861.154223531878 230.744079954237 -496.823624618611</t>
  </si>
  <si>
    <t>-763.889316603093 267.922011444295 -221.59919836821</t>
  </si>
  <si>
    <t>-526.442713159751 308.77850966352 -220.690341614648</t>
  </si>
  <si>
    <t>-819.717461781873 44.6730751158834 -523.85582141883</t>
  </si>
  <si>
    <t>-824.627822723102 171.07077844548 -68.9481660723258</t>
  </si>
  <si>
    <t>-839.739635543579 195.145808468097 333.602103359667</t>
  </si>
  <si>
    <t>-880.781543323393 200.731578730838 779.786938006994</t>
  </si>
  <si>
    <t>-755.696880910599 276.931956749894 840.075054509122</t>
  </si>
  <si>
    <t>-733.732918929119 0.498240634169179 -64.4758452321101</t>
  </si>
  <si>
    <t>-675.922343366172 -16.4776166672345 334.553480626643</t>
  </si>
  <si>
    <t>-697.636150961529 -50.968225224836 780.459080192468</t>
  </si>
  <si>
    <t>-571.782508004913 -116.703967058874 850.65145735792</t>
  </si>
  <si>
    <t>9763-20170724T111105.582322000.bin</t>
  </si>
  <si>
    <t>-779.095384207811 87.4219815547431 -65.4482221017176</t>
  </si>
  <si>
    <t>-806.061909231515 71.0434006125306 -176.896667073072</t>
  </si>
  <si>
    <t>-818.258002458723 66.7499724206286 -274.669354901522</t>
  </si>
  <si>
    <t>-825.167843506502 66.2942398369487 -363.496621853087</t>
  </si>
  <si>
    <t>-827.478229926885 69.2115105260359 -452.515753681169</t>
  </si>
  <si>
    <t>-825.756381441279 76.6503597473884 -576.864129848576</t>
  </si>
  <si>
    <t>-793.169548424345 89.4213725940822 -652.230010075222</t>
  </si>
  <si>
    <t>-833.527288240029 100.141283526625 -520.640413342583</t>
  </si>
  <si>
    <t>-860.349766185522 232.803232281454 -496.523729930033</t>
  </si>
  <si>
    <t>-762.412927311387 270.544834299163 -221.614383041589</t>
  </si>
  <si>
    <t>-525.011382169144 311.670123233141 -221.409512023424</t>
  </si>
  <si>
    <t>-819.500671032592 46.6123538319407 -523.64853792563</t>
  </si>
  <si>
    <t>-824.51092278737 172.812360262375 -68.7078242449123</t>
  </si>
  <si>
    <t>-839.394985147317 196.208749791219 333.890946280592</t>
  </si>
  <si>
    <t>-880.594083848286 200.772557494496 780.081449696813</t>
  </si>
  <si>
    <t>-755.465935129852 276.864869016939 840.415191217315</t>
  </si>
  <si>
    <t>-733.969548727101 1.80873162519219 -64.2208735510649</t>
  </si>
  <si>
    <t>-675.182234268672 -15.536663887272 334.649860957501</t>
  </si>
  <si>
    <t>-697.785768962868 -51.0009888936252 780.435028575343</t>
  </si>
  <si>
    <t>-571.841588976589 -116.536118850389 850.65258186799</t>
  </si>
  <si>
    <t>9763-20170724T111105.617415500.bin</t>
  </si>
  <si>
    <t>-779.080702510282 88.2461808449648 -65.2968856568139</t>
  </si>
  <si>
    <t>-806.054547256642 71.9321597399389 -176.753187598861</t>
  </si>
  <si>
    <t>-818.201149923768 67.6697136550474 -274.533248337948</t>
  </si>
  <si>
    <t>-825.044348539861 67.2316679599703 -363.36584152142</t>
  </si>
  <si>
    <t>-827.26682034739 70.154803150318 -452.38684447649</t>
  </si>
  <si>
    <t>-825.400337512867 77.5886155649468 -576.733431603006</t>
  </si>
  <si>
    <t>-792.734873407592 90.2985258931863 -652.075642791062</t>
  </si>
  <si>
    <t>-833.190481322261 101.093832969048 -520.51855543402</t>
  </si>
  <si>
    <t>-859.791335995795 233.797655233282 -496.403307442671</t>
  </si>
  <si>
    <t>-761.529167945015 271.772948169718 -221.642255836608</t>
  </si>
  <si>
    <t>-524.132305551806 312.926231414484 -221.76168466558</t>
  </si>
  <si>
    <t>-819.2526479783 47.5408601689433 -523.51089480903</t>
  </si>
  <si>
    <t>-824.524992112674 173.789996902277 -68.559839817769</t>
  </si>
  <si>
    <t>-839.083744195991 196.76894906533 334.074836108857</t>
  </si>
  <si>
    <t>-880.515711467857 200.786923288973 780.258356227073</t>
  </si>
  <si>
    <t>-755.379869329133 276.864323630904 840.595094737723</t>
  </si>
  <si>
    <t>-734.005504062331 2.50418132617642 -64.0958419476484</t>
  </si>
  <si>
    <t>-674.792557395155 -15.047006964433 334.70291465329</t>
  </si>
  <si>
    <t>-697.848144781422 -50.9744963282901 780.424770917193</t>
  </si>
  <si>
    <t>-571.960005916182 -116.593796110435 850.664185190995</t>
  </si>
  <si>
    <t>9763-20170724T111105.680643700.bin</t>
  </si>
  <si>
    <t>-779.098513477649 90.3802326040632 -64.9823665433356</t>
  </si>
  <si>
    <t>-806.09972240104 74.1738300115089 -176.447609297321</t>
  </si>
  <si>
    <t>-818.185478403638 69.9760091844464 -274.238093778314</t>
  </si>
  <si>
    <t>-824.941699755383 69.5852609812382 -363.07744660321</t>
  </si>
  <si>
    <t>-827.044534414271 72.5419250743689 -452.100393962039</t>
  </si>
  <si>
    <t>-824.978430118523 80.0065879342324 -576.442002643704</t>
  </si>
  <si>
    <t>-792.163561197069 92.6208796578403 -651.735417514975</t>
  </si>
  <si>
    <t>-832.76118740193 103.523004780612 -520.230590329119</t>
  </si>
  <si>
    <t>-858.894325727291 236.304829048197 -496.087893952884</t>
  </si>
  <si>
    <t>-760.00521226175 274.658587810421 -221.604427955118</t>
  </si>
  <si>
    <t>-522.55343597245 315.485644965958 -222.44723323251</t>
  </si>
  <si>
    <t>-819.014034166515 49.9204745811153 -523.22018867215</t>
  </si>
  <si>
    <t>-824.358698614013 176.103399913912 -68.2594310210503</t>
  </si>
  <si>
    <t>-838.591594658673 198.053941993516 334.44425141987</t>
  </si>
  <si>
    <t>-880.312129249724 200.756441773035 780.626143571345</t>
  </si>
  <si>
    <t>-755.247185093522 276.978997923456 840.92684341221</t>
  </si>
  <si>
    <t>-734.218048618924 4.49474036998254 -63.8039432090749</t>
  </si>
  <si>
    <t>-674.105272574771 -13.9252437884479 334.820979774964</t>
  </si>
  <si>
    <t>-697.947228505371 -50.78302098837 780.387729187973</t>
  </si>
  <si>
    <t>-572.298943923239 -116.805823043979 850.678543310933</t>
  </si>
  <si>
    <t>9763-20170724T111105.720750000.bin</t>
  </si>
  <si>
    <t>-779.159933756055 91.5997393006919 -64.8127297321369</t>
  </si>
  <si>
    <t>-806.18796812696 75.4240200018849 -176.27601255857</t>
  </si>
  <si>
    <t>-818.264757097516 71.2553150361414 -274.068742963816</t>
  </si>
  <si>
    <t>-825.000350747841 70.8922986024158 -362.909860108791</t>
  </si>
  <si>
    <t>-827.069706693998 73.8769493119557 -451.93270561322</t>
  </si>
  <si>
    <t>-824.94337013212 81.3807915345819 -576.270899812639</t>
  </si>
  <si>
    <t>-792.054121419964 93.9686416157319 -651.536089453002</t>
  </si>
  <si>
    <t>-832.703115688406 104.892382833792 -520.054186905768</t>
  </si>
  <si>
    <t>-858.59712684095 237.716581700897 -495.859301378538</t>
  </si>
  <si>
    <t>-759.4387231585 276.054580906768 -221.470998039504</t>
  </si>
  <si>
    <t>-521.935941682272 316.577233028233 -222.593813916171</t>
  </si>
  <si>
    <t>-819.054845534021 51.2651347579713 -523.057198516901</t>
  </si>
  <si>
    <t>-824.371768141619 177.417467742197 -68.1006953859857</t>
  </si>
  <si>
    <t>-838.397381285907 198.825303592906 334.63947693142</t>
  </si>
  <si>
    <t>-880.281204350601 200.778236834442 780.830971253931</t>
  </si>
  <si>
    <t>-755.127325252271 276.886581697456 841.091499579208</t>
  </si>
  <si>
    <t>-734.345969561677 5.65243953754043 -63.644097041142</t>
  </si>
  <si>
    <t>-673.799534524921 -13.3403835028012 334.888326667027</t>
  </si>
  <si>
    <t>-697.995298393102 -50.7081792382023 780.370972815535</t>
  </si>
  <si>
    <t>-572.400215531787 -116.809808630588 850.682868466834</t>
  </si>
  <si>
    <t>9763-20170724T111105.782924200.bin</t>
  </si>
  <si>
    <t>-779.356831754505 94.1445073673322 -64.5386948028445</t>
  </si>
  <si>
    <t>-806.402262945523 78.0245167251164 -176.005784729611</t>
  </si>
  <si>
    <t>-818.443238162133 73.9293742929976 -273.805960901446</t>
  </si>
  <si>
    <t>-825.12575879427 73.6445624426515 -362.651330420034</t>
  </si>
  <si>
    <t>-827.121660731111 76.7179547961746 -451.672799910682</t>
  </si>
  <si>
    <t>-824.871120468028 84.3562088517833 -576.000654753824</t>
  </si>
  <si>
    <t>-791.838635775954 96.9492218033483 -651.202431821003</t>
  </si>
  <si>
    <t>-832.609801715755 107.826277591748 -519.763748699968</t>
  </si>
  <si>
    <t>-858.104448992499 240.703509089342 -495.437983913094</t>
  </si>
  <si>
    <t>-758.63286124149 278.561367909394 -221.096309005658</t>
  </si>
  <si>
    <t>-520.994094559361 318.243731004412 -223.100661666069</t>
  </si>
  <si>
    <t>-819.11323514846 54.1635492549235 -522.816430050256</t>
  </si>
  <si>
    <t>-824.520096818707 180.140979737973 -67.832293488334</t>
  </si>
  <si>
    <t>-837.932943867029 200.593215207996 334.978400296289</t>
  </si>
  <si>
    <t>-880.127127504547 200.747157699213 781.195547054472</t>
  </si>
  <si>
    <t>-754.962202517956 276.901493515548 841.375404732006</t>
  </si>
  <si>
    <t>-734.507055670111 8.02273254595457 -63.3303997995569</t>
  </si>
  <si>
    <t>-673.17296997696 -12.0191802860918 335.03009695532</t>
  </si>
  <si>
    <t>-698.082355415691 -50.4922826175111 780.319383102935</t>
  </si>
  <si>
    <t>-572.630235213713 -116.807125455188 850.685800449237</t>
  </si>
  <si>
    <t>9763-20170724T111105.815009500.bin</t>
  </si>
  <si>
    <t>-779.433296388147 95.3549916515285 -64.4115030873152</t>
  </si>
  <si>
    <t>-806.513507472909 79.2484355827055 -175.872085352686</t>
  </si>
  <si>
    <t>-818.550551230054 75.191004568574 -273.674541329879</t>
  </si>
  <si>
    <t>-825.216096979694 74.9513510588072 -362.521362045223</t>
  </si>
  <si>
    <t>-827.181134602891 78.080265241872 -451.541477805755</t>
  </si>
  <si>
    <t>-824.872940942725 85.8071262311942 -575.862758349973</t>
  </si>
  <si>
    <t>-791.773453253059 98.4211951585421 -651.031347248749</t>
  </si>
  <si>
    <t>-832.605005806479 109.245397416359 -519.611745131918</t>
  </si>
  <si>
    <t>-857.904078626778 242.144822852715 -495.205263388361</t>
  </si>
  <si>
    <t>-758.328627152404 279.598275988625 -220.84573809243</t>
  </si>
  <si>
    <t>-520.620054618299 318.832383355191 -223.337642537061</t>
  </si>
  <si>
    <t>-819.172837206848 55.5683261720737 -522.698480463398</t>
  </si>
  <si>
    <t>-824.562387549624 181.37636694395 -67.7119132563416</t>
  </si>
  <si>
    <t>-837.545471620855 201.455245024621 335.131670540162</t>
  </si>
  <si>
    <t>-879.899415931431 200.610333865568 781.355584803746</t>
  </si>
  <si>
    <t>-754.773592716969 276.852832967762 841.504506423866</t>
  </si>
  <si>
    <t>-734.589285506631 9.14528922909813 -63.1863816596707</t>
  </si>
  <si>
    <t>-672.808956443724 -11.3410957573342 335.082563078139</t>
  </si>
  <si>
    <t>-698.13922030392 -50.4048495823549 780.291737272789</t>
  </si>
  <si>
    <t>-572.769709091541 -116.843963499383 850.688016692684</t>
  </si>
  <si>
    <t>9763-20170724T111105.881764200.bin</t>
  </si>
  <si>
    <t>-779.505152428684 97.666206751634 -64.1356471663995</t>
  </si>
  <si>
    <t>-806.636433853511 81.5656314748558 -175.584694238033</t>
  </si>
  <si>
    <t>-818.643305427687 77.576578974516 -273.393661392206</t>
  </si>
  <si>
    <t>-825.251262265039 77.4259718017752 -362.244790405315</t>
  </si>
  <si>
    <t>-827.128220836533 80.6694439487637 -451.262838703163</t>
  </si>
  <si>
    <t>-824.664257574562 88.5824488199405 -575.569425811462</t>
  </si>
  <si>
    <t>-791.414565254152 101.243499980294 -650.66401496938</t>
  </si>
  <si>
    <t>-832.40549892857 111.95171206579 -519.290871445983</t>
  </si>
  <si>
    <t>-857.416733873754 244.873755112123 -494.707940262141</t>
  </si>
  <si>
    <t>-757.421971912866 281.689274985202 -220.414570812368</t>
  </si>
  <si>
    <t>-519.596131036753 320.137560756014 -223.802127624681</t>
  </si>
  <si>
    <t>-819.091734130151 58.2492244409859 -522.445668956215</t>
  </si>
  <si>
    <t>-824.556489250651 183.926230323179 -67.4827818073384</t>
  </si>
  <si>
    <t>-836.845957007892 203.216221235243 335.421068530649</t>
  </si>
  <si>
    <t>-879.845358129169 200.736144495501 781.605624290445</t>
  </si>
  <si>
    <t>-754.478167830654 276.600703647516 841.730050612311</t>
  </si>
  <si>
    <t>-734.727255867974 11.2332215234164 -62.8700201645737</t>
  </si>
  <si>
    <t>-672.029964616218 -10.0353459237617 335.214619365677</t>
  </si>
  <si>
    <t>-698.30431750188 -50.3961627092867 780.238288248665</t>
  </si>
  <si>
    <t>-573.038500640379 -116.966797352654 850.695012518499</t>
  </si>
  <si>
    <t>9763-20170724T111105.914848200.bin</t>
  </si>
  <si>
    <t>-779.472961563953 98.8408392760894 -64.0070394914947</t>
  </si>
  <si>
    <t>-806.623227921127 82.7610808300719 -175.454526283964</t>
  </si>
  <si>
    <t>-818.617644487794 78.8142719312241 -273.266670442602</t>
  </si>
  <si>
    <t>-825.202690428779 78.7119032846099 -362.119777627931</t>
  </si>
  <si>
    <t>-827.044837561462 82.0134603956612 -451.136183965122</t>
  </si>
  <si>
    <t>-824.519755133742 90.0176867319014 -575.435770797716</t>
  </si>
  <si>
    <t>-791.213557004011 102.690103944652 -650.503410581984</t>
  </si>
  <si>
    <t>-832.253989679762 113.35402004592 -519.142728723126</t>
  </si>
  <si>
    <t>-857.103822104526 246.291669923156 -494.475526463831</t>
  </si>
  <si>
    <t>-756.885280708256 282.861123040866 -220.230886954959</t>
  </si>
  <si>
    <t>-519.021399976713 321.014809563801 -224.217866618357</t>
  </si>
  <si>
    <t>-819.007627163679 59.6369645291684 -522.332691555574</t>
  </si>
  <si>
    <t>-824.450874059993 185.13691740411 -67.3808954422219</t>
  </si>
  <si>
    <t>-836.453070946113 203.999536466491 335.551879329463</t>
  </si>
  <si>
    <t>-879.6676078497 200.688038578181 781.71612518529</t>
  </si>
  <si>
    <t>-754.448141060097 276.79332261606 841.843941230689</t>
  </si>
  <si>
    <t>-734.768464585095 12.4150673938748 -62.7031636500027</t>
  </si>
  <si>
    <t>-671.511583698489 -9.31002070787599 335.26823567343</t>
  </si>
  <si>
    <t>-698.320624397942 -50.1085942967115 780.191235546808</t>
  </si>
  <si>
    <t>-573.248298545154 -116.991948472715 850.695544411229</t>
  </si>
  <si>
    <t>9763-20170724T111105.984137800.bin</t>
  </si>
  <si>
    <t>-779.657741390602 101.13558574325 -63.7185273793475</t>
  </si>
  <si>
    <t>-806.864399682634 85.0931696014068 -175.157624436354</t>
  </si>
  <si>
    <t>-818.896552087994 81.2053740570213 -272.967447034201</t>
  </si>
  <si>
    <t>-825.511268962941 81.1690730619139 -361.818320133951</t>
  </si>
  <si>
    <t>-827.377318736189 84.5474453250195 -450.831490140293</t>
  </si>
  <si>
    <t>-824.878990738778 92.6699877610545 -575.123866876697</t>
  </si>
  <si>
    <t>-791.488843630207 105.307498114719 -650.160110255303</t>
  </si>
  <si>
    <t>-832.510175699616 115.974806737361 -518.803721891475</t>
  </si>
  <si>
    <t>-856.901631478147 248.971435422616 -494.005770504506</t>
  </si>
  <si>
    <t>-755.939690246078 285.31049418421 -220.003241596637</t>
  </si>
  <si>
    <t>-517.984867554239 322.798993516776 -224.789542837539</t>
  </si>
  <si>
    <t>-819.446389205416 62.2165509790193 -522.054232001138</t>
  </si>
  <si>
    <t>-824.586201008428 187.63264991728 -67.1466074099383</t>
  </si>
  <si>
    <t>-835.989803516814 205.608454391927 335.844080872715</t>
  </si>
  <si>
    <t>-879.568808862578 200.829046082455 781.974378987481</t>
  </si>
  <si>
    <t>-754.163476495461 276.626412896416 842.103860727546</t>
  </si>
  <si>
    <t>-735.091961063545 14.4969820218889 -62.366610399695</t>
  </si>
  <si>
    <t>-670.70671100485 -8.07915531460094 335.376474028968</t>
  </si>
  <si>
    <t>-698.525665247274 -50.1607372655194 780.133939643262</t>
  </si>
  <si>
    <t>-573.558655201513 -117.18449689922 850.691168316908</t>
  </si>
  <si>
    <t>9763-20170724T111106.018228500.bin</t>
  </si>
  <si>
    <t>-779.838019439667 102.253371967902 -63.5781143324444</t>
  </si>
  <si>
    <t>-807.093714151189 86.2410484172246 -175.009512598233</t>
  </si>
  <si>
    <t>-819.14966590259 82.3723543308361 -272.817137179291</t>
  </si>
  <si>
    <t>-825.77901061186 82.3515152870928 -361.667021338479</t>
  </si>
  <si>
    <t>-827.652592436127 85.74279577171 -450.679632368647</t>
  </si>
  <si>
    <t>-825.157200659379 93.8798898866926 -574.971039933197</t>
  </si>
  <si>
    <t>-791.730213962259 106.470438950194 -649.998627106228</t>
  </si>
  <si>
    <t>-832.733863749232 117.190748389477 -518.645983189291</t>
  </si>
  <si>
    <t>-856.846389661758 250.234473565443 -493.82435076391</t>
  </si>
  <si>
    <t>-755.538091735153 286.619514581875 -219.955761930073</t>
  </si>
  <si>
    <t>-517.520455083843 323.651967918653 -225.164057905847</t>
  </si>
  <si>
    <t>-819.776744449413 63.4075220784653 -521.906940416971</t>
  </si>
  <si>
    <t>-824.735798978607 188.862888275454 -67.0189919206166</t>
  </si>
  <si>
    <t>-835.821308355249 206.388145151916 336.000415013606</t>
  </si>
  <si>
    <t>-879.540139685118 200.926269907638 782.112558276469</t>
  </si>
  <si>
    <t>-753.970062385353 276.446608240542 842.246843457712</t>
  </si>
  <si>
    <t>-735.288636067487 15.4792973294357 -62.2093660560309</t>
  </si>
  <si>
    <t>-670.425224937078 -7.42274668765504 335.437362449904</t>
  </si>
  <si>
    <t>-698.601408933312 -50.0752175999567 780.093995537539</t>
  </si>
  <si>
    <t>-573.744192261326 -117.26541137277 850.687773260502</t>
  </si>
  <si>
    <t>9763-20170724T111106.080401300.bin</t>
  </si>
  <si>
    <t>-780.132138754526 104.264846498499 -63.3224850091163</t>
  </si>
  <si>
    <t>-807.485242230154 88.3326815293472 -174.74156229593</t>
  </si>
  <si>
    <t>-819.578742477949 84.5049625468678 -272.546187146626</t>
  </si>
  <si>
    <t>-826.224957525926 84.5114723552806 -361.39480546741</t>
  </si>
  <si>
    <t>-828.098883775114 87.918759494105 -450.406695589799</t>
  </si>
  <si>
    <t>-825.587433218884 96.0664402792791 -574.697212195612</t>
  </si>
  <si>
    <t>-792.123128458962 108.530466551868 -649.729245893084</t>
  </si>
  <si>
    <t>-833.053098445801 119.400594390446 -518.366828196408</t>
  </si>
  <si>
    <t>-856.539069211442 252.549574280306 -493.517853847994</t>
  </si>
  <si>
    <t>-754.393551296381 288.993206546095 -219.96829743092</t>
  </si>
  <si>
    <t>-516.259612022685 325.160771316957 -225.874547614117</t>
  </si>
  <si>
    <t>-820.332173757199 65.5616023194771 -521.639308174702</t>
  </si>
  <si>
    <t>-824.800439769538 191.06234365611 -66.7825068642293</t>
  </si>
  <si>
    <t>-835.194535374754 207.751631026986 336.290756634964</t>
  </si>
  <si>
    <t>-879.118904151133 200.777132308689 782.411178733646</t>
  </si>
  <si>
    <t>-753.837275140078 276.791916082031 842.523789888421</t>
  </si>
  <si>
    <t>-735.753946683885 17.3108467305219 -61.9408578018268</t>
  </si>
  <si>
    <t>-670.029983564872 -6.2004682928 335.528906679904</t>
  </si>
  <si>
    <t>-698.759595918944 -49.8925135622444 780.021433353456</t>
  </si>
  <si>
    <t>-574.143017151202 -117.451791375928 850.68796632634</t>
  </si>
  <si>
    <t>9763-20170724T111106.119506200.bin</t>
  </si>
  <si>
    <t>-780.365061133324 105.239867842875 -63.1856053675416</t>
  </si>
  <si>
    <t>-807.760002928574 89.3495093115112 -174.600270419469</t>
  </si>
  <si>
    <t>-819.877294786338 85.5410102418837 -272.402822596595</t>
  </si>
  <si>
    <t>-826.541414780766 85.5595140765622 -361.250008444389</t>
  </si>
  <si>
    <t>-828.428768963601 88.9723128425267 -450.261441731324</t>
  </si>
  <si>
    <t>-825.932215316113 97.1208453986642 -574.552191682807</t>
  </si>
  <si>
    <t>-792.456595809428 109.497100110736 -649.593718714916</t>
  </si>
  <si>
    <t>-833.32332509463 120.47042897885 -518.218436082726</t>
  </si>
  <si>
    <t>-856.464172644897 253.686963109157 -493.380971081365</t>
  </si>
  <si>
    <t>-753.851770407033 290.117928554602 -220.004544504353</t>
  </si>
  <si>
    <t>-515.662183046271 325.865400079804 -226.221743135712</t>
  </si>
  <si>
    <t>-820.738318318898 66.5998926899206 -521.497492623324</t>
  </si>
  <si>
    <t>-824.957822627467 192.191986909476 -66.6462378171947</t>
  </si>
  <si>
    <t>-835.00278805431 208.517103176194 336.450840645442</t>
  </si>
  <si>
    <t>-879.151288496057 200.900997284231 782.5755445178</t>
  </si>
  <si>
    <t>-753.644517794303 276.561586707059 842.665612091271</t>
  </si>
  <si>
    <t>-736.112968570792 18.1655234983309 -61.787409377215</t>
  </si>
  <si>
    <t>-669.907589007146 -5.68463805609645 335.582352614762</t>
  </si>
  <si>
    <t>-698.872687078927 -49.9000551189833 780.001560547002</t>
  </si>
  <si>
    <t>-574.205242941811 -117.347430197998 850.6851321583</t>
  </si>
  <si>
    <t>9763-20170724T111106.180202200.bin</t>
  </si>
  <si>
    <t>-780.856130205158 107.159937252967 -62.9011304742327</t>
  </si>
  <si>
    <t>-808.337706802508 91.3554537045625 -174.306739642139</t>
  </si>
  <si>
    <t>-820.493263371785 87.5780784562844 -272.105660027576</t>
  </si>
  <si>
    <t>-827.17910900745 87.6095738115278 -360.951182067715</t>
  </si>
  <si>
    <t>-829.076465687452 91.0180832663086 -449.962649855719</t>
  </si>
  <si>
    <t>-826.580931422057 99.1421305410709 -574.254965708637</t>
  </si>
  <si>
    <t>-793.060582424286 111.314058714417 -649.310050819853</t>
  </si>
  <si>
    <t>-833.829758023389 122.534971871232 -517.920884431958</t>
  </si>
  <si>
    <t>-856.238625785716 255.880992188705 -493.111791117238</t>
  </si>
  <si>
    <t>-752.688980346568 292.213790410467 -220.076057804544</t>
  </si>
  <si>
    <t>-514.386020895877 327.160868754712 -226.50139227773</t>
  </si>
  <si>
    <t>-821.528387870325 68.5990965311253 -521.19918687813</t>
  </si>
  <si>
    <t>-825.139022908202 194.221331895867 -66.3926078892315</t>
  </si>
  <si>
    <t>-834.506209086206 209.847761718815 336.748487854164</t>
  </si>
  <si>
    <t>-878.776598832275 200.805139223988 782.842051634297</t>
  </si>
  <si>
    <t>-753.411326619619 276.710284593117 842.918915340554</t>
  </si>
  <si>
    <t>-736.872450922625 19.9675616207314 -61.4763788595599</t>
  </si>
  <si>
    <t>-669.543117871072 -4.60289572505553 335.660564378918</t>
  </si>
  <si>
    <t>-699.062163439749 -49.7492511514918 779.932733704894</t>
  </si>
  <si>
    <t>-574.687876050412 -117.653734771428 850.695171292463</t>
  </si>
  <si>
    <t>9763-20170724T111106.233344100.bin</t>
  </si>
  <si>
    <t>-781.140960912034 108.03069339845 -62.7575091511709</t>
  </si>
  <si>
    <t>-808.660775179805 92.2777827012742 -174.160964127435</t>
  </si>
  <si>
    <t>-820.832472782518 88.5128421490053 -271.958402251932</t>
  </si>
  <si>
    <t>-827.528161966551 88.5438576408023 -360.803202076109</t>
  </si>
  <si>
    <t>-829.429344298877 91.9387450862264 -449.815058911182</t>
  </si>
  <si>
    <t>-826.934958656634 100.02983479039 -574.109584590391</t>
  </si>
  <si>
    <t>-793.395760577573 112.088697485055 -649.174419730054</t>
  </si>
  <si>
    <t>-834.11003327026 123.454437589454 -517.778977939468</t>
  </si>
  <si>
    <t>-856.123092111008 256.870306222463 -492.99238464627</t>
  </si>
  <si>
    <t>-752.196343386103 293.082540223686 -220.083812387164</t>
  </si>
  <si>
    <t>-513.82977244855 327.599423762697 -226.476187005712</t>
  </si>
  <si>
    <t>-821.955132115128 69.4844451852259 -521.048274994344</t>
  </si>
  <si>
    <t>-825.247612937349 195.184791314256 -66.2694427873754</t>
  </si>
  <si>
    <t>-834.318629668554 210.436254509286 336.89275588536</t>
  </si>
  <si>
    <t>-878.638198256878 200.821121259136 782.972729049013</t>
  </si>
  <si>
    <t>-753.219561609639 276.634498917954 843.054592115064</t>
  </si>
  <si>
    <t>-737.336077560156 20.7499668916416 -61.3060870409577</t>
  </si>
  <si>
    <t>-669.411093112765 -4.10059162182506 335.711926933745</t>
  </si>
  <si>
    <t>-699.158045767385 -49.6655556438641 779.905649032286</t>
  </si>
  <si>
    <t>-574.831578465293 -117.629861775537 850.694482027817</t>
  </si>
  <si>
    <t>9763-20170724T111106.281985500.bin</t>
  </si>
  <si>
    <t>-781.707734743898 109.521486098169 -62.4959527971836</t>
  </si>
  <si>
    <t>-809.289222046987 93.8685744907984 -173.898288879709</t>
  </si>
  <si>
    <t>-821.487576450354 90.1409274542248 -271.693751067943</t>
  </si>
  <si>
    <t>-828.197877209501 90.1875293068451 -360.537443375645</t>
  </si>
  <si>
    <t>-830.104978014393 93.5772331237849 -449.549333404307</t>
  </si>
  <si>
    <t>-827.609437806748 101.638702043698 -573.845864303752</t>
  </si>
  <si>
    <t>-794.036832204878 113.48944848303 -648.928656635928</t>
  </si>
  <si>
    <t>-834.638360726638 125.108731657771 -517.515853190394</t>
  </si>
  <si>
    <t>-855.810005558698 258.656247536578 -492.728030605232</t>
  </si>
  <si>
    <t>-750.931853248723 294.639277246516 -220.153293346267</t>
  </si>
  <si>
    <t>-512.43682715813 328.325930369008 -226.168110339964</t>
  </si>
  <si>
    <t>-822.776820879436 71.0736816821805 -520.78235268157</t>
  </si>
  <si>
    <t>-825.489560113319 196.83322816882 -66.0290109088384</t>
  </si>
  <si>
    <t>-834.048053042566 211.484990997115 337.166634358853</t>
  </si>
  <si>
    <t>-878.330588842761 200.824990105109 783.233433592806</t>
  </si>
  <si>
    <t>-752.874949927566 276.571348344871 843.322516308059</t>
  </si>
  <si>
    <t>-738.216976980126 22.0463379335611 -61.0194001503916</t>
  </si>
  <si>
    <t>-669.38945433288 -3.18123687965499 335.819400094914</t>
  </si>
  <si>
    <t>-699.405232560934 -49.584889852584 779.885116540844</t>
  </si>
  <si>
    <t>-575.233457375384 -117.794924563476 850.709026237898</t>
  </si>
  <si>
    <t>9763-20170724T111106.315071600.bin</t>
  </si>
  <si>
    <t>-782.046486538695 110.172727456749 -62.371174175369</t>
  </si>
  <si>
    <t>-809.659894614946 94.5737820441736 -173.773162485568</t>
  </si>
  <si>
    <t>-821.863893919759 90.8708590419815 -271.568908813982</t>
  </si>
  <si>
    <t>-828.571082768612 90.9315049432098 -360.412808343402</t>
  </si>
  <si>
    <t>-830.466740481338 94.3252284032947 -449.424829806921</t>
  </si>
  <si>
    <t>-827.946687602952 102.381337374006 -573.721108942353</t>
  </si>
  <si>
    <t>-794.349423865516 114.122090616864 -648.810508214451</t>
  </si>
  <si>
    <t>-834.912888601986 125.869836330952 -517.391052380143</t>
  </si>
  <si>
    <t>-855.641883411676 259.489038311695 -492.587458186036</t>
  </si>
  <si>
    <t>-750.198313251994 295.459746008365 -220.229255429097</t>
  </si>
  <si>
    <t>-511.646884120045 328.803324987791 -225.910955669747</t>
  </si>
  <si>
    <t>-823.198423290172 71.8025557824908 -520.657857142534</t>
  </si>
  <si>
    <t>-825.664284197185 197.581207421012 -65.9200839103407</t>
  </si>
  <si>
    <t>-834.037317041194 211.968860239777 337.288968357573</t>
  </si>
  <si>
    <t>-878.305938528479 200.956714011511 783.353607181167</t>
  </si>
  <si>
    <t>-752.663007895225 276.380873012619 843.456517440562</t>
  </si>
  <si>
    <t>-738.736439251738 22.6261570572888 -60.8881518377874</t>
  </si>
  <si>
    <t>-669.462088686909 -2.72194227819728 335.86515743184</t>
  </si>
  <si>
    <t>-699.519446742744 -49.5238662910804 779.873368369953</t>
  </si>
  <si>
    <t>-575.504802050579 -117.990635333613 850.725083778183</t>
  </si>
  <si>
    <t>9763-20170724T111106.384262500.bin</t>
  </si>
  <si>
    <t>-782.657173527439 111.205413792513 -62.1384415948238</t>
  </si>
  <si>
    <t>-810.35191575104 95.7122121411539 -173.534976627495</t>
  </si>
  <si>
    <t>-822.550324233186 92.0538283281367 -271.333105243314</t>
  </si>
  <si>
    <t>-829.223554215162 92.1358354147046 -360.17956812139</t>
  </si>
  <si>
    <t>-831.055945219975 95.5292867499675 -449.192816187954</t>
  </si>
  <si>
    <t>-828.417151256807 103.559818469474 -573.488343693361</t>
  </si>
  <si>
    <t>-794.751131482107 115.082632089482 -648.580689780749</t>
  </si>
  <si>
    <t>-835.281159644576 127.092902177352 -517.164412580067</t>
  </si>
  <si>
    <t>-855.131097007856 260.840699093349 -492.340059138305</t>
  </si>
  <si>
    <t>-748.439297166222 297.082394441688 -220.504440384566</t>
  </si>
  <si>
    <t>-509.777857055695 329.766976862712 -225.330480582654</t>
  </si>
  <si>
    <t>-823.875395282598 72.9590071063021 -520.419781808574</t>
  </si>
  <si>
    <t>-825.826132151856 198.739063948239 -65.7207522967489</t>
  </si>
  <si>
    <t>-833.783517041108 212.793178800626 337.508554091689</t>
  </si>
  <si>
    <t>-877.90446952639 200.949781648695 783.559483272078</t>
  </si>
  <si>
    <t>-752.31933536466 276.42611337739 843.718014045069</t>
  </si>
  <si>
    <t>-739.762153228837 23.5508134659749 -60.6312545209851</t>
  </si>
  <si>
    <t>-669.586876933341 -2.10588515259906 335.943915138226</t>
  </si>
  <si>
    <t>-699.786630660067 -49.5205416324254 779.860027397501</t>
  </si>
  <si>
    <t>-575.672885508923 -117.786580120551 850.731907106464</t>
  </si>
  <si>
    <t>9763-20170724T111106.412336800.bin</t>
  </si>
  <si>
    <t>-782.928462501952 111.676120699512 -62.0351940108204</t>
  </si>
  <si>
    <t>-810.678120282125 96.2460348193331 -173.42676915956</t>
  </si>
  <si>
    <t>-822.883913369106 92.6021318912613 -271.224626705838</t>
  </si>
  <si>
    <t>-829.549756768184 92.6820467668399 -360.071540976252</t>
  </si>
  <si>
    <t>-831.360297061171 96.0562468668545 -449.086060044995</t>
  </si>
  <si>
    <t>-828.677461264507 104.041633849552 -573.383490572525</t>
  </si>
  <si>
    <t>-794.969397187423 115.456051832884 -648.47355998513</t>
  </si>
  <si>
    <t>-835.48182219984 127.611792594163 -517.067680381008</t>
  </si>
  <si>
    <t>-854.936188815078 261.418159942041 -492.283870494236</t>
  </si>
  <si>
    <t>-747.603459446568 297.85383253468 -220.726587280576</t>
  </si>
  <si>
    <t>-508.898803881513 330.287716070304 -225.077864321746</t>
  </si>
  <si>
    <t>-824.23426587876 73.4437209399412 -520.304957711707</t>
  </si>
  <si>
    <t>-825.879862249803 199.294284818067 -65.6180063439779</t>
  </si>
  <si>
    <t>-833.572568652252 213.182903933374 337.622097370089</t>
  </si>
  <si>
    <t>-877.766612727526 200.976947466591 783.684439060042</t>
  </si>
  <si>
    <t>-752.128499645652 276.355815743105 843.85357977073</t>
  </si>
  <si>
    <t>-740.263259596333 23.9314159148307 -60.5249855879656</t>
  </si>
  <si>
    <t>-669.70411630451 -1.7704647182527 335.979165753275</t>
  </si>
  <si>
    <t>-699.908755755961 -49.4834226223445 779.851926474022</t>
  </si>
  <si>
    <t>-575.922794679514 -117.950134926193 850.753704236268</t>
  </si>
  <si>
    <t>9763-20170724T111106.484068400.bin</t>
  </si>
  <si>
    <t>-783.452762207687 112.47414419519 -61.7705500817575</t>
  </si>
  <si>
    <t>-811.359326003823 97.1642514965552 -173.139477925503</t>
  </si>
  <si>
    <t>-823.641546346008 93.5512067613236 -270.928820448102</t>
  </si>
  <si>
    <t>-830.355531128256 93.6321712229305 -359.772245444669</t>
  </si>
  <si>
    <t>-832.193986046951 96.9777004952202 -448.787288450005</t>
  </si>
  <si>
    <t>-829.529292387711 104.891111798 -573.089781012013</t>
  </si>
  <si>
    <t>-795.756139437725 116.078455575672 -648.184523184502</t>
  </si>
  <si>
    <t>-836.168414359609 128.525487952505 -516.781190186534</t>
  </si>
  <si>
    <t>-854.814411037709 262.462354113052 -492.057647264833</t>
  </si>
  <si>
    <t>-746.434561488392 298.902477272855 -220.917167257532</t>
  </si>
  <si>
    <t>-507.666867367527 330.949504471309 -224.64223325495</t>
  </si>
  <si>
    <t>-825.235337527155 74.2919499543564 -519.999527226926</t>
  </si>
  <si>
    <t>-825.996397493893 200.257751370414 -65.3466024073275</t>
  </si>
  <si>
    <t>-833.172650162721 213.87645888498 337.912284108014</t>
  </si>
  <si>
    <t>-877.51752247379 200.995209214833 783.981139406147</t>
  </si>
  <si>
    <t>-751.797683397398 276.275858665992 844.103595668331</t>
  </si>
  <si>
    <t>-741.287509004512 24.5641769029394 -60.2792186288852</t>
  </si>
  <si>
    <t>-669.941729895618 -1.29288769570167 336.074043504668</t>
  </si>
  <si>
    <t>-700.197680639991 -49.5237884761921 779.862602919503</t>
  </si>
  <si>
    <t>-576.211525667813 -117.959114301866 850.794899433685</t>
  </si>
  <si>
    <t>9763-20170724T111106.516160800.bin</t>
  </si>
  <si>
    <t>-783.803451075913 112.919255060756 -61.6299368508254</t>
  </si>
  <si>
    <t>-811.789365602108 97.6405850445831 -172.983230998795</t>
  </si>
  <si>
    <t>-824.123287133378 94.0388299540673 -270.766521856019</t>
  </si>
  <si>
    <t>-830.877518553436 94.1238549186014 -359.606929124974</t>
  </si>
  <si>
    <t>-832.749433869894 97.465958853797 -448.621330226898</t>
  </si>
  <si>
    <t>-830.12506959336 105.366867212772 -572.925407247253</t>
  </si>
  <si>
    <t>-796.325628964229 116.445097584077 -648.024635516709</t>
  </si>
  <si>
    <t>-836.672510535403 129.021447590196 -516.614770699194</t>
  </si>
  <si>
    <t>-854.913680819379 263.014515071722 -491.873878680814</t>
  </si>
  <si>
    <t>-746.039569655938 299.219549437888 -220.899978253605</t>
  </si>
  <si>
    <t>-507.251281217283 331.135286465564 -224.419493698899</t>
  </si>
  <si>
    <t>-825.887293021706 74.7585062744979 -519.836020412398</t>
  </si>
  <si>
    <t>-826.213717441653 200.792834399263 -65.2078364081349</t>
  </si>
  <si>
    <t>-833.109334677094 214.246177058286 338.061469934229</t>
  </si>
  <si>
    <t>-877.574291906877 201.142643867935 784.138634280102</t>
  </si>
  <si>
    <t>-751.637816860975 276.09771953311 844.213821884854</t>
  </si>
  <si>
    <t>-741.759250927692 24.9707483938832 -60.1497458580023</t>
  </si>
  <si>
    <t>-670.076486062208 -1.03016880820132 336.133245979498</t>
  </si>
  <si>
    <t>-700.318756952522 -49.4418302692718 779.877608412707</t>
  </si>
  <si>
    <t>-576.467610400637 -118.100221379239 850.829724100499</t>
  </si>
  <si>
    <t>9763-20170724T111106.579832500.bin</t>
  </si>
  <si>
    <t>-784.317659712039 113.427305978391 -61.426560473873</t>
  </si>
  <si>
    <t>-812.471933522173 98.1629585978458 -172.739499748256</t>
  </si>
  <si>
    <t>-824.910664935469 94.5942341274731 -270.510526689601</t>
  </si>
  <si>
    <t>-831.74108002599 94.715907714799 -359.345134607826</t>
  </si>
  <si>
    <t>-833.66879775042 98.0982043826771 -448.356856492371</t>
  </si>
  <si>
    <t>-831.099069300072 106.055996053948 -572.658458150123</t>
  </si>
  <si>
    <t>-797.253911227753 116.970949643203 -647.761040468602</t>
  </si>
  <si>
    <t>-837.493568136031 129.709711234604 -516.329808055366</t>
  </si>
  <si>
    <t>-854.852335194757 263.778089844224 -491.407526511549</t>
  </si>
  <si>
    <t>-744.78904230116 299.481292395254 -220.84779886939</t>
  </si>
  <si>
    <t>-505.988556616859 331.352578456311 -223.919961053548</t>
  </si>
  <si>
    <t>-826.965772996928 75.3984968454197 -519.589145898825</t>
  </si>
  <si>
    <t>-826.382190814062 201.355607720076 -65.0030928519192</t>
  </si>
  <si>
    <t>-832.790471830434 214.560498162233 338.282496420544</t>
  </si>
  <si>
    <t>-877.042120501191 201.013624780375 784.337150651588</t>
  </si>
  <si>
    <t>-751.179100122372 276.174087308216 844.309249995888</t>
  </si>
  <si>
    <t>-742.499558435282 25.3297756081606 -59.9351975728388</t>
  </si>
  <si>
    <t>-670.282074233384 -0.731084472515249 336.246695818765</t>
  </si>
  <si>
    <t>-700.642720077824 -49.5586083565865 779.928326736428</t>
  </si>
  <si>
    <t>-576.766957277822 -118.174062231561 850.879221348007</t>
  </si>
  <si>
    <t>9763-20170724T111106.617934200.bin</t>
  </si>
  <si>
    <t>-784.588874944576 113.442366688583 -61.3809190404752</t>
  </si>
  <si>
    <t>-812.802495458394 98.1528633775797 -172.67528693166</t>
  </si>
  <si>
    <t>-825.288545929197 94.615204896354 -270.441631201274</t>
  </si>
  <si>
    <t>-832.156541293013 94.7848567817223 -359.273042698704</t>
  </si>
  <si>
    <t>-834.115246139638 98.2320272373113 -448.281600093832</t>
  </si>
  <si>
    <t>-831.580253951162 106.297359554084 -572.577038052904</t>
  </si>
  <si>
    <t>-797.730749296051 117.164007198242 -647.6847020551</t>
  </si>
  <si>
    <t>-837.91039403426 129.911754985756 -516.224629793062</t>
  </si>
  <si>
    <t>-854.960800217359 264.003761612524 -491.162195316946</t>
  </si>
  <si>
    <t>-743.771537599702 299.379882229302 -221.020286060621</t>
  </si>
  <si>
    <t>-505.013437969762 331.592408339127 -223.8075289853</t>
  </si>
  <si>
    <t>-827.480899158875 75.5847246268581 -519.53696091804</t>
  </si>
  <si>
    <t>-826.56657177137 201.343816913729 -64.9526214300997</t>
  </si>
  <si>
    <t>-832.896913810494 214.636673206158 338.331212640697</t>
  </si>
  <si>
    <t>-876.92246362631 201.06115406444 784.406141211967</t>
  </si>
  <si>
    <t>-751.140651539891 276.340449364657 844.400278631445</t>
  </si>
  <si>
    <t>-742.82075316508 25.3378835451167 -59.8803091299541</t>
  </si>
  <si>
    <t>-670.408273495287 -0.574601456848086 336.275753648257</t>
  </si>
  <si>
    <t>-700.773564012018 -49.4942609063219 779.946073623103</t>
  </si>
  <si>
    <t>-577.051268800463 -118.374646908703 850.907792264077</t>
  </si>
  <si>
    <t>9763-20170724T111106.680637000.bin</t>
  </si>
  <si>
    <t>-785.321921119988 113.026162091396 -61.3365914386291</t>
  </si>
  <si>
    <t>-813.582125174685 97.6714012972475 -172.610266600777</t>
  </si>
  <si>
    <t>-826.118840937353 94.2102765059035 -270.372676877422</t>
  </si>
  <si>
    <t>-833.027717642345 94.4957256807797 -359.200843862572</t>
  </si>
  <si>
    <t>-835.016612635232 98.1006902735944 -448.202423949203</t>
  </si>
  <si>
    <t>-832.509475085734 106.425337773649 -572.481226444804</t>
  </si>
  <si>
    <t>-798.642481409332 117.261887111527 -647.585345718274</t>
  </si>
  <si>
    <t>-838.761254797637 129.934432160517 -516.076081217999</t>
  </si>
  <si>
    <t>-855.402291223983 264.001058940466 -490.613870515363</t>
  </si>
  <si>
    <t>-740.660903449075 298.969276540807 -221.908001457152</t>
  </si>
  <si>
    <t>-502.04702216854 332.286341061516 -223.98640374122</t>
  </si>
  <si>
    <t>-828.464586320722 75.5896928987668 -519.508452252997</t>
  </si>
  <si>
    <t>-827.298973016826 200.966985027081 -64.9110491651593</t>
  </si>
  <si>
    <t>-833.390410139391 214.555361905957 338.366630616421</t>
  </si>
  <si>
    <t>-876.536698734556 201.290287385277 784.484728909296</t>
  </si>
  <si>
    <t>-750.86289257107 276.665661123563 844.58455545605</t>
  </si>
  <si>
    <t>-743.623228942417 24.9601541929483 -59.8243537151915</t>
  </si>
  <si>
    <t>-670.876080135324 -0.502807421528814 336.29957199784</t>
  </si>
  <si>
    <t>-701.080542869224 -49.5535837268064 779.991894062195</t>
  </si>
  <si>
    <t>-577.178131068959 -118.143318147082 850.920983823264</t>
  </si>
  <si>
    <t>9763-20170724T111106.718738700.bin</t>
  </si>
  <si>
    <t>-785.822186284012 112.795819713269 -61.3316927621653</t>
  </si>
  <si>
    <t>-814.083582524099 97.4257878490321 -172.602754205061</t>
  </si>
  <si>
    <t>-826.63922931044 94.0134252843436 -270.364593747852</t>
  </si>
  <si>
    <t>-833.568446488876 94.3651120518325 -359.190979006621</t>
  </si>
  <si>
    <t>-835.579214732642 98.0571434866933 -448.188544310225</t>
  </si>
  <si>
    <t>-833.101148713418 106.523085612489 -572.458417440031</t>
  </si>
  <si>
    <t>-799.229587050263 117.38856918322 -647.556071809139</t>
  </si>
  <si>
    <t>-839.324740829595 129.970680632226 -516.024531974817</t>
  </si>
  <si>
    <t>-855.8010884042 264.005887456247 -490.330888335683</t>
  </si>
  <si>
    <t>-738.873661635855 298.87941901691 -222.556560773023</t>
  </si>
  <si>
    <t>-500.328860547555 332.72389974792 -223.884602539677</t>
  </si>
  <si>
    <t>-829.058585369567 75.6243158787397 -519.522141496887</t>
  </si>
  <si>
    <t>-827.805994070641 200.668340002387 -64.9195807384593</t>
  </si>
  <si>
    <t>-833.916055269225 214.369131919884 338.354111707622</t>
  </si>
  <si>
    <t>-876.440758872106 201.400774908846 784.491897763004</t>
  </si>
  <si>
    <t>-750.806737514868 276.797102269853 844.647750576845</t>
  </si>
  <si>
    <t>-744.143028175737 24.8369237862476 -59.8276185483899</t>
  </si>
  <si>
    <t>-671.180502308731 -0.379735924317629 336.272383185798</t>
  </si>
  <si>
    <t>-701.191171387172 -49.4099177068415 779.999323726984</t>
  </si>
  <si>
    <t>-577.547493732206 -118.456604362024 850.936769393317</t>
  </si>
  <si>
    <t>9763-20170724T111106.782411100.bin</t>
  </si>
  <si>
    <t>-787.030966279873 112.18819326247 -61.3796972906779</t>
  </si>
  <si>
    <t>-815.324352702211 96.7501443200185 -172.633318731491</t>
  </si>
  <si>
    <t>-827.953993720635 93.4157217166639 -270.388244179683</t>
  </si>
  <si>
    <t>-834.961207637979 93.8889365377481 -359.207784299648</t>
  </si>
  <si>
    <t>-837.056169134913 97.7504142557727 -448.196281022366</t>
  </si>
  <si>
    <t>-834.699368586238 106.501240422311 -572.448833773586</t>
  </si>
  <si>
    <t>-800.783513426846 117.497922942553 -647.507620048979</t>
  </si>
  <si>
    <t>-840.848351490532 129.823132882741 -515.954617894613</t>
  </si>
  <si>
    <t>-857.058620003798 263.815872851161 -489.806657139699</t>
  </si>
  <si>
    <t>-737.113415263689 298.374731835929 -223.329548800252</t>
  </si>
  <si>
    <t>-498.678941900795 333.013278168028 -222.992274131188</t>
  </si>
  <si>
    <t>-830.624561446646 75.4777813160645 -519.588103420862</t>
  </si>
  <si>
    <t>-829.10219549516 199.959276643629 -64.9896671891187</t>
  </si>
  <si>
    <t>-835.268606659765 214.027504083139 338.27048766134</t>
  </si>
  <si>
    <t>-876.28388789576 201.722946983292 784.508371211147</t>
  </si>
  <si>
    <t>-750.586708494325 276.930662712561 844.769135362661</t>
  </si>
  <si>
    <t>-745.304419524737 24.3279506952022 -59.9060173393191</t>
  </si>
  <si>
    <t>-672.304317382294 -0.384559035541315 336.218912130097</t>
  </si>
  <si>
    <t>-701.48943210147 -49.4619238574978 780.030365720936</t>
  </si>
  <si>
    <t>-577.702221069503 -118.291978242312 850.927911027653</t>
  </si>
  <si>
    <t>9763-20170724T111106.815499300.bin</t>
  </si>
  <si>
    <t>-787.725725010578 111.944923431367 -61.4053798271494</t>
  </si>
  <si>
    <t>-816.055337153229 96.4764686002977 -172.645569238443</t>
  </si>
  <si>
    <t>-828.742163816946 93.1695959273748 -270.394037424396</t>
  </si>
  <si>
    <t>-835.808532468241 93.6880588507461 -359.208705340262</t>
  </si>
  <si>
    <t>-837.968705781912 97.6153770348055 -448.192620914395</t>
  </si>
  <si>
    <t>-835.708447424836 106.479235351798 -572.439061454101</t>
  </si>
  <si>
    <t>-801.743350390629 117.538445739844 -647.466150994197</t>
  </si>
  <si>
    <t>-841.810600647128 129.75022676261 -515.918848183064</t>
  </si>
  <si>
    <t>-857.996333449832 263.724557923897 -489.661943229853</t>
  </si>
  <si>
    <t>-738.428329586243 298.023734952174 -222.981799047805</t>
  </si>
  <si>
    <t>-500.000336756242 332.694193707084 -222.024274516949</t>
  </si>
  <si>
    <t>-831.595846648502 75.4068647325062 -519.609858224656</t>
  </si>
  <si>
    <t>-829.835796275628 199.688876913805 -65.0169345317213</t>
  </si>
  <si>
    <t>-836.016923570445 213.931649815967 338.236846602378</t>
  </si>
  <si>
    <t>-876.314209803337 201.966149133032 784.558940970338</t>
  </si>
  <si>
    <t>-750.38076852516 276.750433219652 844.853208004142</t>
  </si>
  <si>
    <t>-745.992008302476 24.143953820771 -59.9457987828621</t>
  </si>
  <si>
    <t>-673.017356358287 -0.414831726762714 336.193372595612</t>
  </si>
  <si>
    <t>-701.658922476025 -49.5510104639834 780.054819937526</t>
  </si>
  <si>
    <t>-577.785798191205 -118.253209952584 850.926315019157</t>
  </si>
  <si>
    <t>9763-20170724T111106.885705100.bin</t>
  </si>
  <si>
    <t>-788.86266682783 111.160367973035 -61.4268947383912</t>
  </si>
  <si>
    <t>-817.343038813425 95.6680909733336 -172.625313414977</t>
  </si>
  <si>
    <t>-830.217639103763 92.3806826270838 -270.349857043224</t>
  </si>
  <si>
    <t>-837.477598735324 92.9367532854449 -359.1486596434</t>
  </si>
  <si>
    <t>-839.855521010949 96.9253267519857 -448.124384826213</t>
  </si>
  <si>
    <t>-837.924481654323 105.901300205839 -572.368289855309</t>
  </si>
  <si>
    <t>-803.866698050371 117.077931796845 -647.335873321778</t>
  </si>
  <si>
    <t>-843.929930888371 129.111328298069 -515.812579977537</t>
  </si>
  <si>
    <t>-860.561184066395 263.009966643423 -489.443569212229</t>
  </si>
  <si>
    <t>-745.41832725338 297.015119282291 -220.785887445107</t>
  </si>
  <si>
    <t>-506.939524689828 331.253040388408 -218.233789873065</t>
  </si>
  <si>
    <t>-833.618757657472 74.7912534106922 -519.576682172366</t>
  </si>
  <si>
    <t>-830.753653276477 198.687470695478 -64.988945102104</t>
  </si>
  <si>
    <t>-836.57033139944 213.465685545745 338.250942620007</t>
  </si>
  <si>
    <t>-875.772706090206 201.823557064225 784.708597767028</t>
  </si>
  <si>
    <t>-750.274164563964 277.318447294086 845.02353878084</t>
  </si>
  <si>
    <t>-747.326392257122 23.4712237823519 -59.9879472570209</t>
  </si>
  <si>
    <t>-674.332694699983 -0.575730868004939 336.179116569562</t>
  </si>
  <si>
    <t>-701.978608121944 -49.7275771245222 780.110895617273</t>
  </si>
  <si>
    <t>-578.001553777912 -118.281084831957 850.944492305474</t>
  </si>
  <si>
    <t>9763-20170724T111106.917791500.bin</t>
  </si>
  <si>
    <t>-789.310509007968 110.871386808658 -61.4116444068218</t>
  </si>
  <si>
    <t>-817.919248351288 95.3165014810193 -172.568494485432</t>
  </si>
  <si>
    <t>-830.928304521235 92.0214067964298 -270.27495668658</t>
  </si>
  <si>
    <t>-838.31867728643 92.590541649568 -359.062923472049</t>
  </si>
  <si>
    <t>-840.835338064577 96.6138359730794 -448.03318222668</t>
  </si>
  <si>
    <t>-839.106139293255 105.662337653102 -572.27473736746</t>
  </si>
  <si>
    <t>-804.977732363148 116.903462704156 -647.200789443115</t>
  </si>
  <si>
    <t>-845.059941693913 128.831677027547 -515.696990979966</t>
  </si>
  <si>
    <t>-861.885241000973 262.681492222221 -489.227150200756</t>
  </si>
  <si>
    <t>-750.146497580748 295.870535219387 -219.034433141557</t>
  </si>
  <si>
    <t>-511.760257999028 330.682618430919 -215.714212864085</t>
  </si>
  <si>
    <t>-834.674146162062 74.5290806437506 -519.507257300726</t>
  </si>
  <si>
    <t>-831.170686321282 198.295150795309 -64.9398705845962</t>
  </si>
  <si>
    <t>-836.771046904364 213.411767628384 338.290611839387</t>
  </si>
  <si>
    <t>-875.733956534861 201.944488437509 784.782098049469</t>
  </si>
  <si>
    <t>-750.133394242285 277.259337943989 845.110068421001</t>
  </si>
  <si>
    <t>-747.830973442689 23.3187313900125 -59.9921291273625</t>
  </si>
  <si>
    <t>-674.704644879148 -0.519302668139517 336.163122951468</t>
  </si>
  <si>
    <t>-702.050400193663 -49.5038281620321 780.131003698461</t>
  </si>
  <si>
    <t>-578.263732430679 -118.396231129779 850.968978475332</t>
  </si>
  <si>
    <t>9763-20170724T111106.982967500.bin</t>
  </si>
  <si>
    <t>-790.034533384919 110.271168504583 -61.3333887565663</t>
  </si>
  <si>
    <t>-818.992210632079 94.5525547815041 -172.376609635241</t>
  </si>
  <si>
    <t>-832.363430620301 91.2056854379025 -270.032498654287</t>
  </si>
  <si>
    <t>-840.103436284292 91.766876429193 -358.790704748503</t>
  </si>
  <si>
    <t>-842.991387900817 95.8241423535533 -447.748208097435</t>
  </si>
  <si>
    <t>-841.800952491714 104.966632861755 -571.989115536979</t>
  </si>
  <si>
    <t>-807.423877468137 116.280295680534 -646.790372955628</t>
  </si>
  <si>
    <t>-847.596846713272 128.076590896006 -515.370718918821</t>
  </si>
  <si>
    <t>-864.842027015814 261.821286386253 -488.551674045108</t>
  </si>
  <si>
    <t>-760.773450059563 292.00883867566 -214.964850929906</t>
  </si>
  <si>
    <t>-522.462268400533 327.336470419121 -211.702488633056</t>
  </si>
  <si>
    <t>-837.053238898664 73.810236082099 -519.262892284457</t>
  </si>
  <si>
    <t>-831.833706836379 197.57510206388 -64.8149422103339</t>
  </si>
  <si>
    <t>-837.028270248357 213.363279125865 338.395229607233</t>
  </si>
  <si>
    <t>-875.589783616865 202.118317858827 784.908254545938</t>
  </si>
  <si>
    <t>-749.869627717628 277.218177198206 845.255153853585</t>
  </si>
  <si>
    <t>-748.558566237431 22.7716582737717 -59.9525557947208</t>
  </si>
  <si>
    <t>-675.139458689024 -0.618720318900614 336.175184184262</t>
  </si>
  <si>
    <t>-702.309923970407 -49.5892283710891 780.17990325118</t>
  </si>
  <si>
    <t>-578.508010919274 -118.471968283652 851.000353422946</t>
  </si>
  <si>
    <t>9763-20170724T111107.017059200.bin</t>
  </si>
  <si>
    <t>-790.150703837984 109.860787020546 -61.3149126348615</t>
  </si>
  <si>
    <t>-819.284190789974 94.0381592106169 -172.297279718984</t>
  </si>
  <si>
    <t>-832.887195240521 90.6329198133353 -269.91920844134</t>
  </si>
  <si>
    <t>-840.867949736106 91.1559012764633 -358.656340004994</t>
  </si>
  <si>
    <t>-844.026405152452 95.1909167047215 -447.605558633706</t>
  </si>
  <si>
    <t>-843.244350392447 104.32099410065 -571.850709108873</t>
  </si>
  <si>
    <t>-808.747764903654 115.652431889565 -646.594386235506</t>
  </si>
  <si>
    <t>-848.892877771328 127.429099843704 -515.21664583769</t>
  </si>
  <si>
    <t>-866.479514108818 261.084351411191 -488.304312730051</t>
  </si>
  <si>
    <t>-766.711534862483 289.303938171305 -212.911514012899</t>
  </si>
  <si>
    <t>-528.450858199135 325.036643460364 -210.466725862416</t>
  </si>
  <si>
    <t>-838.284149222309 73.177382439093 -519.136499152093</t>
  </si>
  <si>
    <t>-831.972303489002 197.142435158332 -64.76856402334</t>
  </si>
  <si>
    <t>-837.009355194842 213.230879624854 338.431706103674</t>
  </si>
  <si>
    <t>-875.487913679342 202.175064788205 784.945515594451</t>
  </si>
  <si>
    <t>-749.83185792662 277.371209244612 845.3057765699</t>
  </si>
  <si>
    <t>-748.626395939743 22.3787776930685 -59.9581275722389</t>
  </si>
  <si>
    <t>-675.217454708613 -0.654463490556282 336.192466417785</t>
  </si>
  <si>
    <t>-702.406907605301 -49.5066570793945 780.205452949192</t>
  </si>
  <si>
    <t>-578.739070209758 -118.628025798017 851.027759649218</t>
  </si>
  <si>
    <t>9763-20170724T111107.080754900.bin</t>
  </si>
  <si>
    <t>-790.225923300257 108.90092380871 -61.3266058818729</t>
  </si>
  <si>
    <t>-819.709979331552 92.837182714235 -172.181851513512</t>
  </si>
  <si>
    <t>-833.857913169174 89.2298381044275 -269.718959002448</t>
  </si>
  <si>
    <t>-842.428391876138 89.5767439411047 -358.401862269141</t>
  </si>
  <si>
    <t>-846.273082918972 93.4490412347832 -447.331438135763</t>
  </si>
  <si>
    <t>-846.549625686273 102.369695773824 -571.593988342072</t>
  </si>
  <si>
    <t>-811.879942290727 113.655398203055 -646.264279314509</t>
  </si>
  <si>
    <t>-851.822292931909 125.552499253305 -514.953989113155</t>
  </si>
  <si>
    <t>-870.313392535823 259.075559347552 -487.911645610627</t>
  </si>
  <si>
    <t>-778.334921092824 283.998857161225 -209.505453419655</t>
  </si>
  <si>
    <t>-540.147063104098 320.223964217831 -207.254268423332</t>
  </si>
  <si>
    <t>-841.033693492466 71.3358770686664 -518.870232371693</t>
  </si>
  <si>
    <t>-832.193258091846 196.197386251048 -64.7477303597334</t>
  </si>
  <si>
    <t>-836.980547363543 212.907225279367 338.430292283871</t>
  </si>
  <si>
    <t>-875.282350563831 202.293675501323 784.954711238892</t>
  </si>
  <si>
    <t>-749.594121377319 277.398594083344 845.361163685355</t>
  </si>
  <si>
    <t>-748.645542967633 21.4649268561975 -59.9869542257682</t>
  </si>
  <si>
    <t>-675.401943600442 -0.797551042190207 336.238327259895</t>
  </si>
  <si>
    <t>-702.634723524943 -49.6067977379662 780.251741135035</t>
  </si>
  <si>
    <t>-578.858504179517 -118.54592166862 851.062633085077</t>
  </si>
  <si>
    <t>9763-20170724T111107.117854200.bin</t>
  </si>
  <si>
    <t>-790.228853101757 108.427191245962 -61.3305167490374</t>
  </si>
  <si>
    <t>-819.842717043003 92.2409193546182 -172.133089385712</t>
  </si>
  <si>
    <t>-834.221884852859 88.5202905285028 -269.632105071038</t>
  </si>
  <si>
    <t>-843.049308066353 88.7638134070094 -358.29018850802</t>
  </si>
  <si>
    <t>-847.199055964182 92.5353317738982 -447.2104323127</t>
  </si>
  <si>
    <t>-847.951607488244 101.320333787059 -571.480528777588</t>
  </si>
  <si>
    <t>-813.201776617552 112.6026966865 -646.114196442871</t>
  </si>
  <si>
    <t>-853.073313253045 124.551858923784 -514.846749557465</t>
  </si>
  <si>
    <t>-872.001673293092 257.990960187407 -487.805526827103</t>
  </si>
  <si>
    <t>-784.421279264788 282.094129282647 -207.912919396152</t>
  </si>
  <si>
    <t>-546.142992623034 317.697335700682 -205.314569316612</t>
  </si>
  <si>
    <t>-842.168000573326 70.3572432784326 -518.744027330171</t>
  </si>
  <si>
    <t>-832.253374462983 195.716075999245 -64.7507409005824</t>
  </si>
  <si>
    <t>-836.925995591099 212.680365709709 338.417979610728</t>
  </si>
  <si>
    <t>-875.092735621316 202.260897518695 784.952749785091</t>
  </si>
  <si>
    <t>-749.470461921537 277.465715019173 845.372368691426</t>
  </si>
  <si>
    <t>-748.565229276036 20.9873844000986 -60.0085869202661</t>
  </si>
  <si>
    <t>-675.410739910549 -0.91763537495126 336.252990086375</t>
  </si>
  <si>
    <t>-702.747283097005 -49.6848999948406 780.264529946948</t>
  </si>
  <si>
    <t>-578.825274211551 -118.365633594446 851.071238005592</t>
  </si>
  <si>
    <t>9763-20170724T111107.183042900.bin</t>
  </si>
  <si>
    <t>-790.225519762777 107.866228312535 -61.3952570053277</t>
  </si>
  <si>
    <t>-819.950821662067 91.4863071121654 -172.139724947874</t>
  </si>
  <si>
    <t>-834.631376805073 87.514503018318 -269.583834968577</t>
  </si>
  <si>
    <t>-843.820013824043 87.5037760121409 -358.205617994647</t>
  </si>
  <si>
    <t>-848.421897160838 91.0012251922085 -447.114735281987</t>
  </si>
  <si>
    <t>-849.903700449123 99.3899210248196 -571.40563414728</t>
  </si>
  <si>
    <t>-815.017040670667 110.690930838558 -645.972695644349</t>
  </si>
  <si>
    <t>-854.857091761489 122.768466151273 -514.817613137249</t>
  </si>
  <si>
    <t>-874.877869286352 256.119017643215 -488.072177307197</t>
  </si>
  <si>
    <t>-797.12620915499 279.892061197108 -205.26348795058</t>
  </si>
  <si>
    <t>-558.548082333197 313.369396403994 -202.016355286402</t>
  </si>
  <si>
    <t>-843.646214557001 68.6285687304426 -518.605089268341</t>
  </si>
  <si>
    <t>-832.341704058055 195.137537925092 -64.8023801391705</t>
  </si>
  <si>
    <t>-836.989611311198 212.34306200305 338.356472125932</t>
  </si>
  <si>
    <t>-874.905638741237 202.350750266078 784.912526459337</t>
  </si>
  <si>
    <t>-749.251516342076 277.470122963385 845.373270172566</t>
  </si>
  <si>
    <t>-748.427938644159 20.4927569483411 -60.0449890129472</t>
  </si>
  <si>
    <t>-675.296890607446 -0.981885572582996 336.244532431306</t>
  </si>
  <si>
    <t>-702.922880904814 -49.6819965840634 780.283370458074</t>
  </si>
  <si>
    <t>-578.914110304135 -118.207279185769 851.088551553741</t>
  </si>
  <si>
    <t>9763-20170724T111107.217133200.bin</t>
  </si>
  <si>
    <t>-790.233047062169 107.643894036636 -61.4432649324374</t>
  </si>
  <si>
    <t>-819.985906190841 91.1727916344735 -172.166766664386</t>
  </si>
  <si>
    <t>-834.791900075565 87.0449924313284 -269.585457816871</t>
  </si>
  <si>
    <t>-844.138980793842 86.8652144369548 -358.190491013161</t>
  </si>
  <si>
    <t>-848.946290137501 90.1699057371243 -447.096155062224</t>
  </si>
  <si>
    <t>-850.76568498715 98.2674577838707 -571.401994361623</t>
  </si>
  <si>
    <t>-815.801644659602 109.571787431263 -645.932254075711</t>
  </si>
  <si>
    <t>-855.65633662667 121.759399817576 -514.855343884985</t>
  </si>
  <si>
    <t>-876.291270018457 255.062162073474 -488.347404974471</t>
  </si>
  <si>
    <t>-803.267787202256 278.580851623706 -204.260086386916</t>
  </si>
  <si>
    <t>-564.553568403871 310.933577870997 -199.810962383926</t>
  </si>
  <si>
    <t>-844.273979249802 67.6486729333737 -518.546891901648</t>
  </si>
  <si>
    <t>-832.425457733287 194.888367783385 -64.8550722711719</t>
  </si>
  <si>
    <t>-837.084531988839 212.122688689572 338.302367572172</t>
  </si>
  <si>
    <t>-874.7747917756 202.362165923365 784.870158408786</t>
  </si>
  <si>
    <t>-749.168193988791 277.541370217687 845.354303185153</t>
  </si>
  <si>
    <t>-748.409597582553 20.2899445542462 -60.0669477466517</t>
  </si>
  <si>
    <t>-675.268550373175 -1.02019978742146 336.229510295792</t>
  </si>
  <si>
    <t>-703.019652670019 -49.7176754039963 780.289234165922</t>
  </si>
  <si>
    <t>-578.977850226245 -118.181755445506 851.095938298903</t>
  </si>
  <si>
    <t>9763-20170724T111107.286347000.bin</t>
  </si>
  <si>
    <t>-790.149003870825 107.18593000596 -61.546145462306</t>
  </si>
  <si>
    <t>-819.975728639373 90.4674933913138 -172.212583343011</t>
  </si>
  <si>
    <t>-834.995602373011 86.0484420630369 -269.585779064232</t>
  </si>
  <si>
    <t>-844.599851131361 85.5771676085833 -358.16224762288</t>
  </si>
  <si>
    <t>-849.732160442481 88.5694704783705 -447.060780850321</t>
  </si>
  <si>
    <t>-852.077808277795 96.21362928604 -571.386402245591</t>
  </si>
  <si>
    <t>-816.978337361423 107.563117032734 -645.846011243163</t>
  </si>
  <si>
    <t>-856.93900205061 119.867009344381 -514.904468744526</t>
  </si>
  <si>
    <t>-878.704591794479 253.047067358046 -488.789724432198</t>
  </si>
  <si>
    <t>-813.84271658156 275.948629623734 -202.67829965047</t>
  </si>
  <si>
    <t>-574.989192406624 306.194747963435 -193.459581500437</t>
  </si>
  <si>
    <t>-845.152196137057 65.8329414994173 -518.449153126135</t>
  </si>
  <si>
    <t>-832.576759159966 194.344271426046 -64.986113662261</t>
  </si>
  <si>
    <t>-837.483463182571 211.687518710878 338.163757736867</t>
  </si>
  <si>
    <t>-874.567117933212 202.455828202938 784.748956961022</t>
  </si>
  <si>
    <t>-748.974748223127 277.598059482735 845.309045364923</t>
  </si>
  <si>
    <t>-748.026830798548 19.8407365805924 -60.174798749534</t>
  </si>
  <si>
    <t>-675.071731736732 -0.895923538465013 336.186426923305</t>
  </si>
  <si>
    <t>-703.103550658655 -49.443385204557 780.26143823439</t>
  </si>
  <si>
    <t>-579.222094243469 -118.164507460795 851.099920478084</t>
  </si>
  <si>
    <t>9763-20170724T111107.316428100.bin</t>
  </si>
  <si>
    <t>-790.158473790133 106.831647119687 -61.6418749868902</t>
  </si>
  <si>
    <t>-820.036213960756 89.9562085218422 -172.270930397283</t>
  </si>
  <si>
    <t>-835.140224322762 85.418489121716 -269.625582386571</t>
  </si>
  <si>
    <t>-844.836377271476 84.8467652269833 -358.191377965398</t>
  </si>
  <si>
    <t>-850.07703578316 87.7483861338674 -447.086477261134</t>
  </si>
  <si>
    <t>-852.590896194702 95.2775088363023 -571.41599726681</t>
  </si>
  <si>
    <t>-817.430647286982 106.680430441569 -645.838714653766</t>
  </si>
  <si>
    <t>-857.490637414176 118.957729094564 -514.948644695786</t>
  </si>
  <si>
    <t>-879.754230242388 252.076841955216 -488.946722405961</t>
  </si>
  <si>
    <t>-817.629193258844 274.967547612582 -202.227705990158</t>
  </si>
  <si>
    <t>-578.885613736473 304.810561055988 -189.510087864204</t>
  </si>
  <si>
    <t>-845.479078229429 64.9710804312172 -518.460798526105</t>
  </si>
  <si>
    <t>-832.824595176364 193.939214697906 -65.0848592429631</t>
  </si>
  <si>
    <t>-837.752423409397 211.502209968065 338.055131965868</t>
  </si>
  <si>
    <t>-874.577347205872 202.631342846903 784.643542972678</t>
  </si>
  <si>
    <t>-748.993524814126 277.735723770618 845.268231709708</t>
  </si>
  <si>
    <t>-747.821436991977 19.5140126993365 -60.2547614138172</t>
  </si>
  <si>
    <t>-675.078401017125 -0.949145976867385 336.159613212647</t>
  </si>
  <si>
    <t>-703.208728853234 -49.5637976981759 780.257270468142</t>
  </si>
  <si>
    <t>-579.110901320634 -117.90862423621 851.081264403484</t>
  </si>
  <si>
    <t>9763-20170724T111107.380608000.bin</t>
  </si>
  <si>
    <t>-790.345783235082 106.026120637408 -61.8672973507296</t>
  </si>
  <si>
    <t>-820.235694013097 88.8395407846701 -172.445018625253</t>
  </si>
  <si>
    <t>-835.447465384018 84.1387770510519 -269.775186087628</t>
  </si>
  <si>
    <t>-845.275746851646 83.4605212612173 -358.325700133858</t>
  </si>
  <si>
    <t>-850.682242061919 86.3015609936201 -447.212914858776</t>
  </si>
  <si>
    <t>-853.462606444466 93.795884119022 -571.538748622629</t>
  </si>
  <si>
    <t>-818.204555708741 105.330765874251 -645.894918371642</t>
  </si>
  <si>
    <t>-858.478423669704 117.437665992687 -515.0656686158</t>
  </si>
  <si>
    <t>-881.769664042286 250.381425580031 -489.056668109487</t>
  </si>
  <si>
    <t>-820.328206845281 273.92419479521 -202.243424133298</t>
  </si>
  <si>
    <t>-581.92637687312 304.185465514043 -184.931285249553</t>
  </si>
  <si>
    <t>-846.000069479635 63.5581244355731 -518.592471799824</t>
  </si>
  <si>
    <t>-833.360288346408 192.953888937431 -65.3266467421472</t>
  </si>
  <si>
    <t>-838.16453438249 211.364366531183 337.777157711</t>
  </si>
  <si>
    <t>-874.301772640882 202.83115302116 784.344811987056</t>
  </si>
  <si>
    <t>-748.725095923161 277.725435548481 845.243061293201</t>
  </si>
  <si>
    <t>-747.628114289571 18.8897505218761 -60.3673585006106</t>
  </si>
  <si>
    <t>-674.804823133218 -0.998539676204473 336.061639652747</t>
  </si>
  <si>
    <t>-703.377282806318 -49.6307829730529 780.223864730734</t>
  </si>
  <si>
    <t>-578.966715115102 -117.43070847338 851.022736974224</t>
  </si>
  <si>
    <t>9763-20170724T111107.412693300.bin</t>
  </si>
  <si>
    <t>-790.448962076289 105.518236806511 -61.9505656542664</t>
  </si>
  <si>
    <t>-820.298443999326 88.1867476920329 -172.516570837653</t>
  </si>
  <si>
    <t>-835.53824935215 83.4214730104736 -269.839174441309</t>
  </si>
  <si>
    <t>-845.414574746171 82.7076252183506 -358.384086305546</t>
  </si>
  <si>
    <t>-850.890546712228 85.5374772885129 -447.267378413442</t>
  </si>
  <si>
    <t>-853.788110329092 93.0419974474144 -571.589976783609</t>
  </si>
  <si>
    <t>-818.492272694433 104.625026735171 -645.920662802471</t>
  </si>
  <si>
    <t>-858.84360617415 116.657599440945 -515.10937304679</t>
  </si>
  <si>
    <t>-882.535417798466 249.524922350021 -489.022930296845</t>
  </si>
  <si>
    <t>-819.316778147043 273.854328360258 -202.661808833055</t>
  </si>
  <si>
    <t>-581.010678129492 304.933674548333 -185.483712026744</t>
  </si>
  <si>
    <t>-846.182273082364 62.8218162443541 -518.654145784571</t>
  </si>
  <si>
    <t>-833.679084320016 192.327268230044 -65.4108450679048</t>
  </si>
  <si>
    <t>-838.363424854869 211.365922887605 337.665064993862</t>
  </si>
  <si>
    <t>-874.341752217196 203.031464471984 784.275157830873</t>
  </si>
  <si>
    <t>-748.555305415386 277.490369150454 845.274370529412</t>
  </si>
  <si>
    <t>-747.501100393675 18.4401105371207 -60.4198945679392</t>
  </si>
  <si>
    <t>-674.552754321144 -1.00849761448808 336.007928901091</t>
  </si>
  <si>
    <t>-703.440101844104 -49.6061343784309 780.194301861461</t>
  </si>
  <si>
    <t>-579.08083644812 -117.490311433242 851.002481561835</t>
  </si>
  <si>
    <t>9763-20170724T111107.483376200.bin</t>
  </si>
  <si>
    <t>-790.254644806133 104.230600893323 -62.0065611149917</t>
  </si>
  <si>
    <t>-819.962081650653 86.6647730627978 -172.573886060365</t>
  </si>
  <si>
    <t>-835.156256929218 81.7413771524707 -269.895690178015</t>
  </si>
  <si>
    <t>-845.017239894844 80.8984968394943 -358.44128706774</t>
  </si>
  <si>
    <t>-850.501837003361 83.6132775713736 -447.327577704728</t>
  </si>
  <si>
    <t>-853.434864905849 90.9714959118414 -571.658072155569</t>
  </si>
  <si>
    <t>-818.083540519774 102.562821531718 -645.96108734794</t>
  </si>
  <si>
    <t>-858.563000917959 114.632584583904 -515.203042657596</t>
  </si>
  <si>
    <t>-882.626128687111 247.47423322091 -489.306796609334</t>
  </si>
  <si>
    <t>-814.523478155539 275.021922418904 -204.360630406955</t>
  </si>
  <si>
    <t>-576.134964087566 306.908738668729 -190.042538529514</t>
  </si>
  <si>
    <t>-845.725655968384 60.8345311338667 -518.689764194233</t>
  </si>
  <si>
    <t>-833.653956520755 190.871522006138 -65.5116840265608</t>
  </si>
  <si>
    <t>-838.148693674265 211.176295684367 337.504699458692</t>
  </si>
  <si>
    <t>-874.042323553875 202.993634129117 784.155365350476</t>
  </si>
  <si>
    <t>-748.497720958954 277.791675803623 845.238101971464</t>
  </si>
  <si>
    <t>-747.198335880214 17.3825216812447 -60.45823227301</t>
  </si>
  <si>
    <t>-674.165947232905 -1.33302888552635 335.989323133571</t>
  </si>
  <si>
    <t>-703.573651243637 -49.6414346164206 780.189040041298</t>
  </si>
  <si>
    <t>-579.055230065335 -117.242526535963 850.98864987304</t>
  </si>
  <si>
    <t>9763-20170724T111107.515460100.bin</t>
  </si>
  <si>
    <t>-790.250462373815 103.707215806421 -61.9792074462482</t>
  </si>
  <si>
    <t>-819.882048956408 86.0990314732499 -172.560183616211</t>
  </si>
  <si>
    <t>-835.022686132216 81.1285801141285 -269.88796355039</t>
  </si>
  <si>
    <t>-844.838607834661 80.2368257498765 -358.437973847188</t>
  </si>
  <si>
    <t>-850.281021349947 82.8960227308071 -447.328657902093</t>
  </si>
  <si>
    <t>-853.158202807983 90.168906636768 -571.665496165811</t>
  </si>
  <si>
    <t>-817.806940849008 101.747914400714 -645.97040773167</t>
  </si>
  <si>
    <t>-858.321864759728 113.866245851674 -515.228926157641</t>
  </si>
  <si>
    <t>-882.445549254045 246.736932314681 -489.540202766509</t>
  </si>
  <si>
    <t>-811.442746111761 276.232012447569 -205.498239109608</t>
  </si>
  <si>
    <t>-572.981969749065 308.453275985561 -193.286732451464</t>
  </si>
  <si>
    <t>-845.462246803332 60.0708616656866 -518.672994638347</t>
  </si>
  <si>
    <t>-833.718279489751 190.333945132574 -65.5319287940939</t>
  </si>
  <si>
    <t>-838.189129798189 211.065007203349 337.463011259551</t>
  </si>
  <si>
    <t>-874.083127293379 203.106352165943 784.110031312286</t>
  </si>
  <si>
    <t>-748.423263213292 277.691190652685 845.216428413572</t>
  </si>
  <si>
    <t>-747.217250013839 16.8824434098997 -60.4426142773597</t>
  </si>
  <si>
    <t>-674.165920226214 -1.56119770675332 336.014135826286</t>
  </si>
  <si>
    <t>-703.668885344475 -49.7867013451319 780.204535445749</t>
  </si>
  <si>
    <t>-578.943961185552 -117.023477479345 850.987138532605</t>
  </si>
  <si>
    <t>9763-20170724T111107.584185200.bin</t>
  </si>
  <si>
    <t>-790.279193244402 103.301123397122 -61.9723829764527</t>
  </si>
  <si>
    <t>-819.722278970699 85.715149661436 -172.607222336174</t>
  </si>
  <si>
    <t>-834.733451766872 80.6772069930612 -269.951562754628</t>
  </si>
  <si>
    <t>-844.446928626247 79.6886559985028 -358.511831114646</t>
  </si>
  <si>
    <t>-849.803462237576 82.2150508625332 -447.411681982951</t>
  </si>
  <si>
    <t>-852.577781724344 89.2639550040499 -571.763629840064</t>
  </si>
  <si>
    <t>-817.225481771394 100.716794613672 -646.087612423018</t>
  </si>
  <si>
    <t>-857.759426333818 113.069618766832 -515.374282943081</t>
  </si>
  <si>
    <t>-881.770331329576 246.029767311104 -490.047353667213</t>
  </si>
  <si>
    <t>-803.21917709256 280.003964256138 -208.503956649582</t>
  </si>
  <si>
    <t>-564.626369681388 312.629767269947 -200.762519506181</t>
  </si>
  <si>
    <t>-844.954254821848 59.2543914449948 -518.710644356478</t>
  </si>
  <si>
    <t>-833.559608588676 190.028254582943 -65.5732016079462</t>
  </si>
  <si>
    <t>-838.326696100333 211.114144956794 337.399907693246</t>
  </si>
  <si>
    <t>-874.083733680102 203.26365196964 784.001587212352</t>
  </si>
  <si>
    <t>-748.261584666481 277.494742226765 845.204461945552</t>
  </si>
  <si>
    <t>-747.43024475758 16.5232029177187 -60.4030041692347</t>
  </si>
  <si>
    <t>-674.339877352138 -1.76894347095094 336.053692970625</t>
  </si>
  <si>
    <t>-703.838523673413 -49.9509254660902 780.26233657094</t>
  </si>
  <si>
    <t>-579.011393059547 -117.024741619002 851.019752103014</t>
  </si>
  <si>
    <t>9763-20170724T111107.616270900.bin</t>
  </si>
  <si>
    <t>-790.356740341193 103.312771734052 -61.9922557118946</t>
  </si>
  <si>
    <t>-819.681719604706 85.7586599980423 -172.663461474037</t>
  </si>
  <si>
    <t>-834.589293191986 80.7085794024638 -270.023221526635</t>
  </si>
  <si>
    <t>-844.209385181664 79.6922449187705 -358.593283417476</t>
  </si>
  <si>
    <t>-849.472046797427 82.1726075377696 -447.499933541294</t>
  </si>
  <si>
    <t>-852.116042256399 89.1376145748218 -571.85964091933</t>
  </si>
  <si>
    <t>-816.749850108426 100.498426527819 -646.191392462434</t>
  </si>
  <si>
    <t>-857.307943058246 112.992882957996 -515.492406125358</t>
  </si>
  <si>
    <t>-881.043375967849 246.042254320072 -490.324508948669</t>
  </si>
  <si>
    <t>-798.295430435446 281.876609078146 -210.217706051424</t>
  </si>
  <si>
    <t>-559.693737418596 314.848441274127 -204.480000691113</t>
  </si>
  <si>
    <t>-844.597168390586 59.1523247630694 -518.777810950564</t>
  </si>
  <si>
    <t>-833.54640595244 190.045777117132 -65.6285835013232</t>
  </si>
  <si>
    <t>-838.30694740989 211.311147574725 337.335211585441</t>
  </si>
  <si>
    <t>-874.155520150751 203.399724253022 783.935872680718</t>
  </si>
  <si>
    <t>-748.172581532556 277.308354559184 845.19897976312</t>
  </si>
  <si>
    <t>-747.620620985281 16.4590642224348 -60.3763979209386</t>
  </si>
  <si>
    <t>-674.518103596164 -1.79232747237756 336.079857205758</t>
  </si>
  <si>
    <t>-703.922702974742 -50.0418770496078 780.288948762583</t>
  </si>
  <si>
    <t>-578.968244645159 -116.893696622894 851.031419477706</t>
  </si>
  <si>
    <t>9763-20170724T111107.677093900.bin</t>
  </si>
  <si>
    <t>-790.258264971397 103.434897960341 -62.0031987584936</t>
  </si>
  <si>
    <t>-819.430780469089 85.9416360310233 -172.724469590428</t>
  </si>
  <si>
    <t>-834.188093302958 80.8993794613561 -270.107387395702</t>
  </si>
  <si>
    <t>-843.665070763456 79.870809403058 -358.69278112616</t>
  </si>
  <si>
    <t>-848.777935630692 82.3179409368327 -447.609108065206</t>
  </si>
  <si>
    <t>-851.205333282904 89.2126035348019 -571.976988086317</t>
  </si>
  <si>
    <t>-815.813260463198 100.443894487909 -646.316012201491</t>
  </si>
  <si>
    <t>-856.425315871401 113.116266564636 -515.632801341881</t>
  </si>
  <si>
    <t>-879.816804467181 246.2555757512 -490.641741134521</t>
  </si>
  <si>
    <t>-793.337309952115 283.678525474518 -211.872893872635</t>
  </si>
  <si>
    <t>-554.729811367092 316.870396265283 -207.91519997146</t>
  </si>
  <si>
    <t>-843.849085926206 59.2409084080018 -518.865004645469</t>
  </si>
  <si>
    <t>-833.149125573147 190.178169646351 -65.6692784189561</t>
  </si>
  <si>
    <t>-837.899353292636 211.699103408551 337.281014181189</t>
  </si>
  <si>
    <t>-874.18189813101 203.495611577033 783.857326715175</t>
  </si>
  <si>
    <t>-748.069723005377 277.12754220816 845.187287545141</t>
  </si>
  <si>
    <t>-747.690815091161 16.5314058054278 -60.3411339145348</t>
  </si>
  <si>
    <t>-674.526782927513 -1.69308947729314 336.105045353909</t>
  </si>
  <si>
    <t>-703.950523494227 -49.9345286553098 780.308330701498</t>
  </si>
  <si>
    <t>-579.16038915485 -117.075707943416 851.066885103722</t>
  </si>
  <si>
    <t>9763-20170724T111107.719203100.bin</t>
  </si>
  <si>
    <t>-789.517630608925 103.650067047247 -61.9073237946259</t>
  </si>
  <si>
    <t>-818.51253198695 86.3610162662612 -172.707169057252</t>
  </si>
  <si>
    <t>-832.984370180182 81.3828951191117 -270.136327189746</t>
  </si>
  <si>
    <t>-842.154796579913 80.3668200962679 -358.754119307749</t>
  </si>
  <si>
    <t>-846.914789900298 82.777531669607 -447.691050948094</t>
  </si>
  <si>
    <t>-848.802940919916 89.5680613446798 -572.074009656466</t>
  </si>
  <si>
    <t>-813.274384254742 100.551406929571 -646.385114469649</t>
  </si>
  <si>
    <t>-854.145228220202 113.546897065373 -515.773324529295</t>
  </si>
  <si>
    <t>-876.863376921275 246.867984559036 -491.106030680607</t>
  </si>
  <si>
    <t>-785.557538426689 286.760066458014 -214.225080566858</t>
  </si>
  <si>
    <t>-546.771587370273 318.880048494265 -213.4968629915</t>
  </si>
  <si>
    <t>-841.798684662703 59.6125997511408 -518.90528258574</t>
  </si>
  <si>
    <t>-831.854205079115 190.4145550076 -65.6386798220288</t>
  </si>
  <si>
    <t>-836.724856851189 212.23526948363 337.294023917452</t>
  </si>
  <si>
    <t>-873.992898576657 203.357135469622 783.767957756254</t>
  </si>
  <si>
    <t>-747.924830527772 277.034908384835 845.13343149619</t>
  </si>
  <si>
    <t>-747.592626338619 16.6621343701531 -60.2513553107866</t>
  </si>
  <si>
    <t>-674.255378034471 -1.73975251466936 336.15461481162</t>
  </si>
  <si>
    <t>-704.033436067181 -49.9347996000745 780.352524081921</t>
  </si>
  <si>
    <t>-579.219544629753 -117.021738892973 851.120498990181</t>
  </si>
  <si>
    <t>9763-20170724T111107.781529600.bin</t>
  </si>
  <si>
    <t>-789.001174653605 104.346286255858 -61.7028301283829</t>
  </si>
  <si>
    <t>-818.041185129139 87.21974194209 -172.516001522201</t>
  </si>
  <si>
    <t>-832.438500786786 82.2917988062795 -269.958763105252</t>
  </si>
  <si>
    <t>-841.502029559693 81.287918750379 -358.587796885517</t>
  </si>
  <si>
    <t>-846.117742768589 83.6760490438842 -447.532884206285</t>
  </si>
  <si>
    <t>-847.768753566388 90.4000040274873 -571.922870489903</t>
  </si>
  <si>
    <t>-812.045852958731 101.222023921033 -646.164374418848</t>
  </si>
  <si>
    <t>-853.150927912656 114.424592970343 -515.645367330066</t>
  </si>
  <si>
    <t>-875.477383850073 247.847715213562 -491.150398610998</t>
  </si>
  <si>
    <t>-781.925905436628 288.405074674707 -215.117037911385</t>
  </si>
  <si>
    <t>-542.934625606865 318.861393332544 -217.657204980602</t>
  </si>
  <si>
    <t>-840.933319856269 60.4577500646146 -518.724619261444</t>
  </si>
  <si>
    <t>-831.076327551732 191.260469860226 -65.5161909002098</t>
  </si>
  <si>
    <t>-836.205236948724 212.455697348539 337.44673230268</t>
  </si>
  <si>
    <t>-873.850274854347 203.220280737663 783.810147546557</t>
  </si>
  <si>
    <t>-747.831067532797 277.022263463881 845.126594168899</t>
  </si>
  <si>
    <t>-747.487716082617 17.3230247762754 -60.1008343910203</t>
  </si>
  <si>
    <t>-673.916798980958 -1.78415209963168 336.228539455718</t>
  </si>
  <si>
    <t>-704.100659884211 -49.9018575611269 780.358360474022</t>
  </si>
  <si>
    <t>-579.344207629784 -117.069550274175 851.151346159657</t>
  </si>
  <si>
    <t>9763-20170724T111107.819631300.bin</t>
  </si>
  <si>
    <t>-788.837388624702 104.859759897633 -61.6752703067405</t>
  </si>
  <si>
    <t>-817.950696272274 87.7354614437609 -172.469563066908</t>
  </si>
  <si>
    <t>-832.373778765719 82.811388574828 -269.908830789143</t>
  </si>
  <si>
    <t>-841.445444351502 81.8117738248434 -358.536951287577</t>
  </si>
  <si>
    <t>-846.054555176785 84.2046448664682 -447.482262862935</t>
  </si>
  <si>
    <t>-847.680370889238 90.9350702169099 -571.872187850728</t>
  </si>
  <si>
    <t>-811.840907184561 101.713340926245 -646.063792327168</t>
  </si>
  <si>
    <t>-853.050035544351 114.961985090659 -515.594567685791</t>
  </si>
  <si>
    <t>-875.187689865154 248.405267371075 -491.085062248675</t>
  </si>
  <si>
    <t>-780.743981589805 288.830467866327 -215.336232412525</t>
  </si>
  <si>
    <t>-541.70096392297 318.764180636556 -218.982429523161</t>
  </si>
  <si>
    <t>-840.880141879431 60.984506451613 -518.674214158471</t>
  </si>
  <si>
    <t>-830.857848541428 191.749255536542 -65.4672748941736</t>
  </si>
  <si>
    <t>-836.063885238642 212.733954134058 337.505620972188</t>
  </si>
  <si>
    <t>-873.906961358623 203.24344756928 783.86805627336</t>
  </si>
  <si>
    <t>-747.822940248375 276.97958607359 845.129933107601</t>
  </si>
  <si>
    <t>-747.286162528805 17.8098564625802 -60.0455367519379</t>
  </si>
  <si>
    <t>-673.756049801377 -1.74010894834237 336.26968121453</t>
  </si>
  <si>
    <t>-704.134309857322 -49.9055606476707 780.361573950158</t>
  </si>
  <si>
    <t>-579.300945928301 -116.928784456286 851.155561671673</t>
  </si>
  <si>
    <t>9763-20170724T111107.881492000.bin</t>
  </si>
  <si>
    <t>-788.232134818513 105.676367937218 -61.6004046563389</t>
  </si>
  <si>
    <t>-817.451054016557 88.5004294541018 -172.358834607189</t>
  </si>
  <si>
    <t>-831.893165967099 83.6392138819283 -269.798483153588</t>
  </si>
  <si>
    <t>-840.949360102433 82.7389899043519 -358.429204067182</t>
  </si>
  <si>
    <t>-845.508565744099 85.2725026555195 -447.373217225983</t>
  </si>
  <si>
    <t>-847.027263270533 92.2412847062037 -571.751444479318</t>
  </si>
  <si>
    <t>-810.988694340243 103.0508049328 -645.841905642509</t>
  </si>
  <si>
    <t>-852.43682088158 116.162362184968 -515.432459196953</t>
  </si>
  <si>
    <t>-874.413115632694 249.605992095496 -490.747894615248</t>
  </si>
  <si>
    <t>-778.716128950278 289.143983302067 -215.302704086759</t>
  </si>
  <si>
    <t>-539.679951299476 318.869737072361 -220.68491132973</t>
  </si>
  <si>
    <t>-840.280785525921 62.1869769948894 -518.605018937105</t>
  </si>
  <si>
    <t>-830.267791213526 192.507848368742 -65.3572286868598</t>
  </si>
  <si>
    <t>-835.157614695484 213.148505785483 337.637452941873</t>
  </si>
  <si>
    <t>-873.558916384631 202.778742618839 784.02336380418</t>
  </si>
  <si>
    <t>-747.868373910275 277.336170213672 845.100362970395</t>
  </si>
  <si>
    <t>-746.490665668962 18.6701448469053 -59.9612796363012</t>
  </si>
  <si>
    <t>-673.286777282755 -1.50709081764944 336.383032998836</t>
  </si>
  <si>
    <t>-704.195075567555 -49.8158938460513 780.369434792998</t>
  </si>
  <si>
    <t>-579.580208196005 -117.224650047857 851.182391465133</t>
  </si>
  <si>
    <t>9763-20170724T111107.918590900.bin</t>
  </si>
  <si>
    <t>-787.794552893898 106.196351627516 -61.5750567248322</t>
  </si>
  <si>
    <t>-817.061482425625 88.9549827715423 -172.310846062389</t>
  </si>
  <si>
    <t>-831.51605587582 84.1086588756011 -269.749078719017</t>
  </si>
  <si>
    <t>-840.570319314788 83.2501915154298 -358.38051992352</t>
  </si>
  <si>
    <t>-845.112929458238 85.8537598298608 -447.323402108403</t>
  </si>
  <si>
    <t>-846.592476866681 92.9495505946529 -571.694857259881</t>
  </si>
  <si>
    <t>-810.504727532814 103.806487502167 -645.754472454027</t>
  </si>
  <si>
    <t>-852.038133704101 116.808930525817 -515.353188879093</t>
  </si>
  <si>
    <t>-874.062200242657 250.216513472283 -490.502230112837</t>
  </si>
  <si>
    <t>-777.525941866666 289.500728685076 -215.313903141791</t>
  </si>
  <si>
    <t>-538.55044327133 319.62997547616 -221.130863412747</t>
  </si>
  <si>
    <t>-839.844553730052 62.8452172660636 -518.577073190438</t>
  </si>
  <si>
    <t>-829.883072195491 193.056285690379 -65.3084912393934</t>
  </si>
  <si>
    <t>-834.527083584075 213.531609982966 337.697581893167</t>
  </si>
  <si>
    <t>-873.560299978695 202.731554131089 784.042471301489</t>
  </si>
  <si>
    <t>-747.697584785184 277.053382184386 845.052015738555</t>
  </si>
  <si>
    <t>-745.988023771077 19.2104411499449 -59.8922720966699</t>
  </si>
  <si>
    <t>-672.819420866726 -1.29270834119416 336.441741880654</t>
  </si>
  <si>
    <t>-704.244547595079 -49.7467148042804 780.391100720412</t>
  </si>
  <si>
    <t>-579.73148605713 -117.348885402887 851.199053029427</t>
  </si>
  <si>
    <t>9763-20170724T111107.983771800.bin</t>
  </si>
  <si>
    <t>-786.738333097596 106.884973617621 -61.4996900469818</t>
  </si>
  <si>
    <t>-816.093958222356 89.6450439558021 -172.212072111763</t>
  </si>
  <si>
    <t>-830.591990943609 84.8941115751168 -269.648671287789</t>
  </si>
  <si>
    <t>-839.66793727011 84.157583334475 -358.279032749894</t>
  </si>
  <si>
    <t>-844.213134533127 86.9182476338315 -447.216984731397</t>
  </si>
  <si>
    <t>-845.674582997329 94.2696130752388 -571.573929743209</t>
  </si>
  <si>
    <t>-809.551834183302 105.242342366245 -645.599229769296</t>
  </si>
  <si>
    <t>-851.155889749014 118.006851948619 -515.184048716451</t>
  </si>
  <si>
    <t>-873.200336672935 251.335956088152 -489.971738085778</t>
  </si>
  <si>
    <t>-774.315791039692 290.053976092355 -215.537813403554</t>
  </si>
  <si>
    <t>-535.614547504046 322.172470872082 -221.945278202984</t>
  </si>
  <si>
    <t>-838.906756150829 64.0622208647947 -518.517004198745</t>
  </si>
  <si>
    <t>-828.794438389485 193.767596512594 -65.189115318295</t>
  </si>
  <si>
    <t>-833.626799102414 214.012686639108 337.82634956302</t>
  </si>
  <si>
    <t>-873.430579563626 202.643827528121 784.005235609363</t>
  </si>
  <si>
    <t>-747.694258956709 277.201219137885 844.987837553427</t>
  </si>
  <si>
    <t>-744.960171869355 19.807994195226 -59.7683617706743</t>
  </si>
  <si>
    <t>-671.409236117098 -1.1336194573214 336.471910372605</t>
  </si>
  <si>
    <t>-704.338372738721 -49.7171070828226 780.38553136652</t>
  </si>
  <si>
    <t>-579.773375896154 -117.241060312309 851.176848356807</t>
  </si>
  <si>
    <t>9763-20170724T111108.017862100.bin</t>
  </si>
  <si>
    <t>-786.345954867641 107.236348911508 -61.4189187521233</t>
  </si>
  <si>
    <t>-815.702743390993 90.051519001941 -172.139752869079</t>
  </si>
  <si>
    <t>-830.185254476786 85.381956369702 -269.58254625918</t>
  </si>
  <si>
    <t>-839.240990246764 84.7333030184323 -358.215636966778</t>
  </si>
  <si>
    <t>-843.758761645073 87.5961037202592 -447.151786860811</t>
  </si>
  <si>
    <t>-845.174295647253 95.1046716105329 -571.499756519189</t>
  </si>
  <si>
    <t>-809.05506023816 106.1359789944 -645.518299842083</t>
  </si>
  <si>
    <t>-850.677514343105 118.770612732675 -515.081955618506</t>
  </si>
  <si>
    <t>-872.736853560031 252.064444687303 -489.690978680843</t>
  </si>
  <si>
    <t>-772.470849367417 290.937426299254 -215.780727810364</t>
  </si>
  <si>
    <t>-533.940544448088 324.276678653148 -222.317952039151</t>
  </si>
  <si>
    <t>-838.425068712427 64.8307494574046 -518.478677426777</t>
  </si>
  <si>
    <t>-828.431893878202 194.325546355906 -65.1418512493816</t>
  </si>
  <si>
    <t>-833.395859835233 214.092915916703 337.895678062211</t>
  </si>
  <si>
    <t>-873.403071914309 202.675767121164 783.998317281483</t>
  </si>
  <si>
    <t>-747.695022012634 277.258310624168 845.008245460885</t>
  </si>
  <si>
    <t>-744.595718247456 20.0178491386041 -59.7349647085265</t>
  </si>
  <si>
    <t>-670.941898984878 -1.06621865179432 336.478676738085</t>
  </si>
  <si>
    <t>-704.382009052049 -49.7229242725818 780.352330689588</t>
  </si>
  <si>
    <t>-579.865991344146 -117.324548244912 851.155151203593</t>
  </si>
  <si>
    <t>9763-20170724T111108.083594600.bin</t>
  </si>
  <si>
    <t>-785.87447602833 108.020793544145 -61.3960797286403</t>
  </si>
  <si>
    <t>-815.169940070545 90.9888124814906 -172.156693323736</t>
  </si>
  <si>
    <t>-829.575924393154 86.5024366445441 -269.619583944802</t>
  </si>
  <si>
    <t>-838.552306960039 86.0420290406614 -358.261753479728</t>
  </si>
  <si>
    <t>-842.981551060712 89.1148261635958 -447.195371270354</t>
  </si>
  <si>
    <t>-844.263275329946 96.9402793332401 -571.52532933183</t>
  </si>
  <si>
    <t>-808.129262243805 108.054245827818 -645.524047762373</t>
  </si>
  <si>
    <t>-849.797054069021 120.469142427583 -515.053264297887</t>
  </si>
  <si>
    <t>-871.795903438417 253.715559744434 -489.370253110401</t>
  </si>
  <si>
    <t>-769.1876584389 293.845787928869 -216.510889395995</t>
  </si>
  <si>
    <t>-530.913383814473 328.99735288196 -222.886453809233</t>
  </si>
  <si>
    <t>-837.60193096588 66.5242382467472 -518.574317554933</t>
  </si>
  <si>
    <t>-827.799728631694 195.304026484995 -65.1207500694434</t>
  </si>
  <si>
    <t>-833.196613200339 214.326465876739 337.947037349216</t>
  </si>
  <si>
    <t>-873.37615332579 202.832460185587 783.98331114785</t>
  </si>
  <si>
    <t>-747.585659453205 277.187503327265 845.100867840582</t>
  </si>
  <si>
    <t>-744.33395797572 20.6345583592756 -59.7286822930884</t>
  </si>
  <si>
    <t>-670.689181201389 -0.7303646360524 336.471666070965</t>
  </si>
  <si>
    <t>-704.447707794229 -49.6427274753748 780.297900881291</t>
  </si>
  <si>
    <t>-579.966221164347 -117.289013356427 851.119392476708</t>
  </si>
  <si>
    <t>9763-20170724T111108.116682800.bin</t>
  </si>
  <si>
    <t>-785.858522266774 108.437406532116 -61.4053414600301</t>
  </si>
  <si>
    <t>-815.106146175515 91.4898104700424 -172.191557159204</t>
  </si>
  <si>
    <t>-829.456009470354 87.1001283721857 -269.666955432945</t>
  </si>
  <si>
    <t>-838.375556053723 86.736639362417 -358.315431852972</t>
  </si>
  <si>
    <t>-842.740945243942 89.9154243914891 -447.248492319754</t>
  </si>
  <si>
    <t>-843.926702174178 97.8978002997819 -571.56938445357</t>
  </si>
  <si>
    <t>-807.757977700507 109.03799816667 -645.547352637188</t>
  </si>
  <si>
    <t>-849.473947299718 121.362072087355 -515.071813272041</t>
  </si>
  <si>
    <t>-871.326513293184 254.604475974721 -489.256361807594</t>
  </si>
  <si>
    <t>-767.801318672485 295.18797851537 -216.810557284218</t>
  </si>
  <si>
    <t>-529.584708370525 330.717042878006 -223.2483038774</t>
  </si>
  <si>
    <t>-837.335884053314 67.4082732822044 -518.651990520754</t>
  </si>
  <si>
    <t>-827.689904155518 195.775158353061 -65.1129967370213</t>
  </si>
  <si>
    <t>-833.026705664009 214.52918705993 337.968224042334</t>
  </si>
  <si>
    <t>-873.314089540504 202.857107751038 784.004572290757</t>
  </si>
  <si>
    <t>-747.461138307573 277.063134627914 845.174658017618</t>
  </si>
  <si>
    <t>-744.426875118753 21.0120966631048 -59.7427160366302</t>
  </si>
  <si>
    <t>-670.721544856713 -0.507226555144371 336.437903985539</t>
  </si>
  <si>
    <t>-704.48422330886 -49.5717020053196 780.282040473191</t>
  </si>
  <si>
    <t>-580.092717674657 -117.373652461035 851.112402605199</t>
  </si>
  <si>
    <t>9763-20170724T111108.181874300.bin</t>
  </si>
  <si>
    <t>-785.780469322976 108.850526046562 -61.328595191689</t>
  </si>
  <si>
    <t>-815.037739716635 92.1499296590509 -172.149704922272</t>
  </si>
  <si>
    <t>-829.299107951363 88.0106132483679 -269.64921351229</t>
  </si>
  <si>
    <t>-838.10107535205 87.8899126978426 -358.310046883672</t>
  </si>
  <si>
    <t>-842.311821228125 91.3263921303665 -447.240873207185</t>
  </si>
  <si>
    <t>-843.242905438989 99.6841508907328 -571.539264014718</t>
  </si>
  <si>
    <t>-806.918969119369 110.845951629812 -645.437900609483</t>
  </si>
  <si>
    <t>-848.853147122742 122.989657865612 -514.98234479308</t>
  </si>
  <si>
    <t>-870.424013900417 256.217946541226 -488.855177746739</t>
  </si>
  <si>
    <t>-765.191722396459 297.316257348542 -217.141613641932</t>
  </si>
  <si>
    <t>-526.968548883469 332.768507268966 -223.74974543188</t>
  </si>
  <si>
    <t>-836.813144447763 69.0232785512708 -518.701129494725</t>
  </si>
  <si>
    <t>-827.174757145596 196.234070794338 -64.9609445645199</t>
  </si>
  <si>
    <t>-832.638437364363 214.751542060244 338.129507110537</t>
  </si>
  <si>
    <t>-873.08925884067 202.745436467378 784.149870207</t>
  </si>
  <si>
    <t>-747.416781308038 277.231524490021 845.350602417497</t>
  </si>
  <si>
    <t>-744.716258949435 21.2550098266515 -59.7315088779192</t>
  </si>
  <si>
    <t>-670.630394628256 -0.342783536475508 336.373890315324</t>
  </si>
  <si>
    <t>-704.568600682397 -49.5710423709888 780.244339852828</t>
  </si>
  <si>
    <t>-580.152951936941 -117.316771268177 851.086143435228</t>
  </si>
  <si>
    <t>9763-20170724T111108.214962800.bin</t>
  </si>
  <si>
    <t>-785.808958936529 108.994989285937 -61.2435224691787</t>
  </si>
  <si>
    <t>-815.073414872257 92.4095323029906 -172.080020947471</t>
  </si>
  <si>
    <t>-829.291542350833 88.3974168696504 -269.590987877753</t>
  </si>
  <si>
    <t>-838.034233862215 88.4029723009721 -358.257952131618</t>
  </si>
  <si>
    <t>-842.165246149608 91.9762983673804 -447.18708567802</t>
  </si>
  <si>
    <t>-842.963460325194 100.534924310122 -571.472785933454</t>
  </si>
  <si>
    <t>-806.547262615433 111.684533591797 -645.32767554666</t>
  </si>
  <si>
    <t>-848.604708496687 123.755416774519 -514.883995304392</t>
  </si>
  <si>
    <t>-869.966123694577 256.984551702019 -488.591525696362</t>
  </si>
  <si>
    <t>-763.825020983783 298.077727121532 -217.230806606884</t>
  </si>
  <si>
    <t>-525.556775934033 333.193391209123 -224.017767505122</t>
  </si>
  <si>
    <t>-836.619902184413 69.7818480870355 -518.677772111243</t>
  </si>
  <si>
    <t>-827.084083408116 196.465625855916 -64.8376878661587</t>
  </si>
  <si>
    <t>-832.532963876278 214.773790001937 338.262610106947</t>
  </si>
  <si>
    <t>-873.058503533525 202.740884457905 784.27171400234</t>
  </si>
  <si>
    <t>-747.387355134799 277.223621619956 845.479594147358</t>
  </si>
  <si>
    <t>-744.87730765998 21.3346308098785 -59.7043052876738</t>
  </si>
  <si>
    <t>-670.546330991854 -0.230319707877698 336.357027857651</t>
  </si>
  <si>
    <t>-704.572043277822 -49.4159814527454 780.22164505133</t>
  </si>
  <si>
    <t>-580.242952127149 -117.306666351476 851.076821556537</t>
  </si>
  <si>
    <t>9763-20170724T111108.285795900.bin</t>
  </si>
  <si>
    <t>-785.942630922946 109.301183722643 -61.0691027489776</t>
  </si>
  <si>
    <t>-815.249246704321 92.8730578250693 -171.918048802036</t>
  </si>
  <si>
    <t>-829.403544434423 89.1060314383903 -269.448103388842</t>
  </si>
  <si>
    <t>-838.043946290331 89.3748662295411 -358.124458220345</t>
  </si>
  <si>
    <t>-842.025970095548 93.2489990315175 -447.047936156137</t>
  </si>
  <si>
    <t>-842.565549186288 102.264330602153 -571.302751228698</t>
  </si>
  <si>
    <t>-805.951120502474 113.4152497706 -645.059523703692</t>
  </si>
  <si>
    <t>-848.248267838572 125.293417859999 -514.639906170958</t>
  </si>
  <si>
    <t>-869.177157628604 258.505675128673 -487.925951313801</t>
  </si>
  <si>
    <t>-760.870722967924 299.537506768081 -217.41292566635</t>
  </si>
  <si>
    <t>-522.5216416882 334.087392504758 -224.259519995893</t>
  </si>
  <si>
    <t>-836.407792472302 71.3007583208346 -518.608879581337</t>
  </si>
  <si>
    <t>-827.095184141366 196.837955504869 -64.5767966393068</t>
  </si>
  <si>
    <t>-832.501839651284 215.038528528353 338.52886767561</t>
  </si>
  <si>
    <t>-873.066047272322 202.819210836822 784.501690411734</t>
  </si>
  <si>
    <t>-747.197029894772 276.938782701694 845.743993741993</t>
  </si>
  <si>
    <t>-745.193608237738 21.5888481965567 -59.6118550778405</t>
  </si>
  <si>
    <t>-670.474796919223 -0.110166167863099 336.369128063514</t>
  </si>
  <si>
    <t>-704.677667041357 -49.4761900485437 780.196573431279</t>
  </si>
  <si>
    <t>-580.337580678119 -117.337036865513 851.06059508763</t>
  </si>
  <si>
    <t>9763-20170724T111108.311851100.bin</t>
  </si>
  <si>
    <t>-786.049544550459 109.534446765993 -60.9730110070299</t>
  </si>
  <si>
    <t>-815.364039278086 93.1777900459965 -171.830451886989</t>
  </si>
  <si>
    <t>-829.476473215537 89.5362761123324 -269.371386754306</t>
  </si>
  <si>
    <t>-838.058092458584 89.9433450459019 -358.052925833704</t>
  </si>
  <si>
    <t>-841.958331281618 93.9792075846181 -446.972824320207</t>
  </si>
  <si>
    <t>-842.359068176939 103.243797293986 -571.209863251225</t>
  </si>
  <si>
    <t>-805.645774304714 114.404644525923 -644.915962070978</t>
  </si>
  <si>
    <t>-848.067207392987 126.1673039445 -514.506775951835</t>
  </si>
  <si>
    <t>-868.779084861651 259.37158941168 -487.586881129984</t>
  </si>
  <si>
    <t>-759.370973874106 300.433509049621 -217.522147816644</t>
  </si>
  <si>
    <t>-520.96068637003 334.578620621917 -224.26875263871</t>
  </si>
  <si>
    <t>-836.29794854331 72.1662462535674 -518.571656058582</t>
  </si>
  <si>
    <t>-827.048292628455 197.121619684065 -64.4650115712517</t>
  </si>
  <si>
    <t>-832.45276505287 215.209470206416 338.645771889149</t>
  </si>
  <si>
    <t>-873.027014474241 202.825511504115 784.610784826351</t>
  </si>
  <si>
    <t>-747.124986526363 276.878118369503 845.865722655912</t>
  </si>
  <si>
    <t>-745.41003850262 21.7831021305606 -59.5557025591382</t>
  </si>
  <si>
    <t>-670.599438908781 0.0229045585438143 336.404628809848</t>
  </si>
  <si>
    <t>-704.735789671125 -49.5029620870241 780.201121207075</t>
  </si>
  <si>
    <t>-580.41975651765 -117.408064816718 851.065074464541</t>
  </si>
  <si>
    <t>9763-20170724T111108.384568600.bin</t>
  </si>
  <si>
    <t>-786.214485876522 110.096456844942 -60.8007502439615</t>
  </si>
  <si>
    <t>-815.582900818618 93.9245445792576 -171.670958073611</t>
  </si>
  <si>
    <t>-829.630185716643 90.536228068348 -269.230369371966</t>
  </si>
  <si>
    <t>-838.105471410859 91.209998453272 -357.920668605338</t>
  </si>
  <si>
    <t>-841.851887700124 95.5477185193681 -446.832906786252</t>
  </si>
  <si>
    <t>-841.987325553289 105.268209625067 -571.035486140577</t>
  </si>
  <si>
    <t>-805.121404757508 116.416537430601 -644.667316924152</t>
  </si>
  <si>
    <t>-847.727163856397 128.002743170238 -514.259722671434</t>
  </si>
  <si>
    <t>-867.841119878423 261.220626959719 -486.938061498769</t>
  </si>
  <si>
    <t>-756.466326959859 302.013684791656 -217.637538353346</t>
  </si>
  <si>
    <t>-517.945778198304 335.430104734314 -224.126333414751</t>
  </si>
  <si>
    <t>-836.128207624532 73.9783919921533 -518.500499807794</t>
  </si>
  <si>
    <t>-826.863153811316 197.740095260018 -64.2310372382858</t>
  </si>
  <si>
    <t>-832.096466725439 215.500551266549 338.896541826888</t>
  </si>
  <si>
    <t>-872.814428304795 202.674344457901 784.863024024104</t>
  </si>
  <si>
    <t>-747.060679348269 276.97772131241 846.118762322227</t>
  </si>
  <si>
    <t>-745.91321244796 22.3071127473727 -59.4318471299781</t>
  </si>
  <si>
    <t>-670.778249157605 0.321989937493981 336.454525092762</t>
  </si>
  <si>
    <t>-704.819895292985 -49.4467006295579 780.208902566098</t>
  </si>
  <si>
    <t>-580.552026772827 -117.425804323933 851.086831921598</t>
  </si>
  <si>
    <t>9763-20170724T111108.415651400.bin</t>
  </si>
  <si>
    <t>-786.309095740773 110.406193447344 -60.7042062380449</t>
  </si>
  <si>
    <t>-815.714449190551 94.3123758366464 -171.575885075521</t>
  </si>
  <si>
    <t>-829.72675352589 91.0141269341002 -269.143482495431</t>
  </si>
  <si>
    <t>-838.144295125563 91.7786347743404 -357.838503276422</t>
  </si>
  <si>
    <t>-841.805294153243 96.2143406876098 -446.749520415962</t>
  </si>
  <si>
    <t>-841.792638861338 106.079550244592 -570.940769697922</t>
  </si>
  <si>
    <t>-804.879870956074 117.201456864106 -644.55318818261</t>
  </si>
  <si>
    <t>-847.551838545945 128.7585213509 -514.144646118707</t>
  </si>
  <si>
    <t>-867.346754468159 262.00469817464 -486.693337910671</t>
  </si>
  <si>
    <t>-755.012120423256 302.616241852729 -217.764396619557</t>
  </si>
  <si>
    <t>-516.443234401391 335.725297945919 -224.058729566115</t>
  </si>
  <si>
    <t>-836.044477252699 74.7183702236161 -518.436085424012</t>
  </si>
  <si>
    <t>-826.769865997576 198.05371091322 -64.1129296911199</t>
  </si>
  <si>
    <t>-832.020769901964 215.687697482329 339.020000890208</t>
  </si>
  <si>
    <t>-872.785570846082 202.671373904067 784.982047179883</t>
  </si>
  <si>
    <t>-746.965241098082 276.865727664082 846.234082768798</t>
  </si>
  <si>
    <t>-746.197903645183 22.5840380385071 -59.3504026388549</t>
  </si>
  <si>
    <t>-670.793028819736 0.408665755714537 336.474062923483</t>
  </si>
  <si>
    <t>-704.862562449209 -49.4321372721527 780.214741913184</t>
  </si>
  <si>
    <t>-580.595365185952 -117.408124424066 851.096444439931</t>
  </si>
  <si>
    <t>9763-20170724T111108.478836900.bin</t>
  </si>
  <si>
    <t>-786.722810479303 111.211606562394 -60.4736633836429</t>
  </si>
  <si>
    <t>-816.135974942631 95.2751767416462 -171.36607792066</t>
  </si>
  <si>
    <t>-830.003749607918 92.0851768385251 -268.957862618373</t>
  </si>
  <si>
    <t>-838.230879906079 92.9356831586829 -357.669944573142</t>
  </si>
  <si>
    <t>-841.642111438415 97.4411408728874 -446.587482205756</t>
  </si>
  <si>
    <t>-841.219654585232 107.383856628005 -570.771850827428</t>
  </si>
  <si>
    <t>-804.267658950116 118.43341821534 -644.375321243336</t>
  </si>
  <si>
    <t>-847.041995377949 130.053287418969 -513.978297468887</t>
  </si>
  <si>
    <t>-866.031720223733 263.393084967062 -486.451112511459</t>
  </si>
  <si>
    <t>-752.119230388999 303.765453460015 -218.150483128598</t>
  </si>
  <si>
    <t>-513.482435486747 336.480395256257 -223.903269572948</t>
  </si>
  <si>
    <t>-835.769104847921 75.9637588996029 -518.270479410162</t>
  </si>
  <si>
    <t>-826.892276335864 198.884452503967 -63.8870139094057</t>
  </si>
  <si>
    <t>-831.902827414194 216.193054695665 339.26311667618</t>
  </si>
  <si>
    <t>-872.69939252712 202.65795490426 785.219999275829</t>
  </si>
  <si>
    <t>-746.864892238764 276.838529877019 846.459367785387</t>
  </si>
  <si>
    <t>-746.917243890203 23.3966596775426 -59.1345257669352</t>
  </si>
  <si>
    <t>-670.975570825997 0.790563889316672 336.562937559026</t>
  </si>
  <si>
    <t>-704.937691221912 -49.3139193780423 780.240673725162</t>
  </si>
  <si>
    <t>-581.063000472345 -117.975375493236 851.148659596162</t>
  </si>
  <si>
    <t>9763-20170724T111108.515932300.bin</t>
  </si>
  <si>
    <t>-786.927014005669 111.521283494554 -60.3803138636698</t>
  </si>
  <si>
    <t>-816.347283404337 95.6644379647773 -171.282303649364</t>
  </si>
  <si>
    <t>-830.137553763757 92.5196895100667 -268.886576089382</t>
  </si>
  <si>
    <t>-838.261721238433 93.4013646559006 -357.607903966333</t>
  </si>
  <si>
    <t>-841.537642665457 97.9258615534659 -446.529412646027</t>
  </si>
  <si>
    <t>-840.892682088652 107.881252318859 -570.711846668841</t>
  </si>
  <si>
    <t>-803.941548750964 118.887510138626 -644.322293770012</t>
  </si>
  <si>
    <t>-846.745034084439 130.55959932266 -513.924915359632</t>
  </si>
  <si>
    <t>-865.245183634723 263.96348271617 -486.417868026338</t>
  </si>
  <si>
    <t>-750.539772504737 304.242341572109 -218.441395434779</t>
  </si>
  <si>
    <t>-511.890109065495 336.897084768094 -224.01013458109</t>
  </si>
  <si>
    <t>-835.607938963029 76.4412286114211 -518.205539113547</t>
  </si>
  <si>
    <t>-826.890372318352 199.245353663967 -63.7875772359339</t>
  </si>
  <si>
    <t>-831.804386237754 216.434395536199 339.368757706301</t>
  </si>
  <si>
    <t>-872.696147880075 202.689841515612 785.327726527641</t>
  </si>
  <si>
    <t>-746.791395764166 276.758175644063 846.557815816902</t>
  </si>
  <si>
    <t>-747.283593633995 23.5720389684088 -59.0410289984912</t>
  </si>
  <si>
    <t>-671.180730559496 0.848096123270352 336.61867395364</t>
  </si>
  <si>
    <t>-705.025039154629 -49.4535486152877 780.266255887117</t>
  </si>
  <si>
    <t>-580.919177901402 -117.714854332329 851.156721987658</t>
  </si>
  <si>
    <t>9763-20170724T111108.581123100.bin</t>
  </si>
  <si>
    <t>-787.318475403744 112.285002633523 -60.2283986923312</t>
  </si>
  <si>
    <t>-816.7112867586 96.6057862087655 -171.162808465361</t>
  </si>
  <si>
    <t>-830.323704038696 93.5700484864619 -268.795505710197</t>
  </si>
  <si>
    <t>-838.227176311752 94.531854924021 -357.535787173681</t>
  </si>
  <si>
    <t>-841.222923173101 99.1136362415909 -446.464330126236</t>
  </si>
  <si>
    <t>-840.125150101676 109.122293707675 -570.639450664998</t>
  </si>
  <si>
    <t>-803.155932258115 119.991097989777 -644.26122497304</t>
  </si>
  <si>
    <t>-846.022835344117 131.808948923439 -513.860423889709</t>
  </si>
  <si>
    <t>-863.568662823044 265.360096999381 -486.430637771349</t>
  </si>
  <si>
    <t>-746.795028807785 305.490565575117 -219.326274777562</t>
  </si>
  <si>
    <t>-508.111784506904 337.769330073099 -225.58588508265</t>
  </si>
  <si>
    <t>-835.193930614689 77.6272919434095 -518.13166609845</t>
  </si>
  <si>
    <t>-826.895491957942 200.140640672767 -63.6478529614163</t>
  </si>
  <si>
    <t>-831.547453540826 216.975428799492 339.526605964614</t>
  </si>
  <si>
    <t>-872.626411201724 202.723531463183 785.489320238165</t>
  </si>
  <si>
    <t>-746.734487557951 276.817079376247 846.715634099609</t>
  </si>
  <si>
    <t>-748.043803446054 24.3028506690653 -58.8497674577164</t>
  </si>
  <si>
    <t>-671.489367532138 1.29396016770215 336.706422223095</t>
  </si>
  <si>
    <t>-705.084585959431 -49.2802761078883 780.293048298152</t>
  </si>
  <si>
    <t>-581.273481609051 -118.046095139347 851.211303825499</t>
  </si>
  <si>
    <t>9763-20170724T111108.614211300.bin</t>
  </si>
  <si>
    <t>-787.488276643421 112.618143056993 -60.153074163147</t>
  </si>
  <si>
    <t>-816.852988468329 97.0278702670284 -171.107559204044</t>
  </si>
  <si>
    <t>-830.377953558725 94.041522099144 -268.75392590213</t>
  </si>
  <si>
    <t>-838.178465077457 95.0368377150276 -357.503143805185</t>
  </si>
  <si>
    <t>-841.047374580297 99.6385234214831 -446.43464978068</t>
  </si>
  <si>
    <t>-839.748591905721 109.660541080336 -570.606612664954</t>
  </si>
  <si>
    <t>-802.780346852905 120.440339731871 -644.242063708307</t>
  </si>
  <si>
    <t>-845.657761012567 132.356779011261 -513.832672340031</t>
  </si>
  <si>
    <t>-862.757810033173 265.979197728528 -486.448182184023</t>
  </si>
  <si>
    <t>-744.749679060714 306.186980588579 -219.898704960009</t>
  </si>
  <si>
    <t>-506.061211231111 338.309114283776 -226.740532742033</t>
  </si>
  <si>
    <t>-834.982688329527 78.1440180212221 -518.096558147002</t>
  </si>
  <si>
    <t>-826.885998090627 200.572413158881 -63.5851721610989</t>
  </si>
  <si>
    <t>-831.510828877403 217.231216965636 339.596850162859</t>
  </si>
  <si>
    <t>-872.61557684799 202.779679435982 785.552220068947</t>
  </si>
  <si>
    <t>-746.574835392382 276.616405911689 846.782663701028</t>
  </si>
  <si>
    <t>-748.40745984382 24.5194048610879 -58.7619517650102</t>
  </si>
  <si>
    <t>-671.660636912037 1.40943460070821 336.751007226888</t>
  </si>
  <si>
    <t>-705.186781841323 -49.4686332055458 780.309617442014</t>
  </si>
  <si>
    <t>-581.135464542855 -117.8129661643 851.21541162357</t>
  </si>
  <si>
    <t>9763-20170724T111108.683433200.bin</t>
  </si>
  <si>
    <t>-788.04912362632 113.428075433413 -59.9693663707833</t>
  </si>
  <si>
    <t>-817.349912040478 97.9993629446249 -170.963262372284</t>
  </si>
  <si>
    <t>-830.724880170157 95.042263687003 -268.631101373268</t>
  </si>
  <si>
    <t>-838.355251628069 96.020479206295 -357.395132708505</t>
  </si>
  <si>
    <t>-841.022129516396 100.558862698676 -446.336306981858</t>
  </si>
  <si>
    <t>-839.408962026885 110.442237534379 -570.515748492208</t>
  </si>
  <si>
    <t>-802.446940114494 121.022351245534 -644.183250406385</t>
  </si>
  <si>
    <t>-845.31960939997 133.229144226168 -513.778425024127</t>
  </si>
  <si>
    <t>-861.621930375994 266.99467062956 -486.563489926738</t>
  </si>
  <si>
    <t>-740.881645175346 307.672127189676 -221.312090827538</t>
  </si>
  <si>
    <t>-502.169952169108 339.447968218564 -228.925914362573</t>
  </si>
  <si>
    <t>-834.918153017786 78.9569130024388 -517.962754570163</t>
  </si>
  <si>
    <t>-827.085157606517 201.436920545516 -63.4677284570312</t>
  </si>
  <si>
    <t>-831.390278661316 217.753673138335 339.731815804042</t>
  </si>
  <si>
    <t>-872.433368959195 202.769959421809 785.682108736138</t>
  </si>
  <si>
    <t>-746.414015766504 276.631056864589 846.927448607615</t>
  </si>
  <si>
    <t>-749.373913126105 25.3076860821047 -58.5518742307734</t>
  </si>
  <si>
    <t>-671.842051797434 1.80219745524846 336.784595724733</t>
  </si>
  <si>
    <t>-705.263827665941 -49.4041623158134 780.297952533685</t>
  </si>
  <si>
    <t>-581.430726782027 -118.096637658745 851.248800867801</t>
  </si>
  <si>
    <t>9763-20170724T111108.727550600.bin</t>
  </si>
  <si>
    <t>-788.25164534886 113.864915639492 -59.8820512102511</t>
  </si>
  <si>
    <t>-817.532961108517 98.485237880639 -170.887965716566</t>
  </si>
  <si>
    <t>-830.853741499149 95.5100745286531 -268.562755339163</t>
  </si>
  <si>
    <t>-838.422521160146 96.4480549637856 -357.332477320132</t>
  </si>
  <si>
    <t>-841.015092631253 100.921023096106 -446.279171813507</t>
  </si>
  <si>
    <t>-839.286898642457 110.685315976169 -570.466567726534</t>
  </si>
  <si>
    <t>-802.357764445384 121.162401392762 -644.165226945001</t>
  </si>
  <si>
    <t>-845.185849872823 133.538710680332 -513.754612670943</t>
  </si>
  <si>
    <t>-861.155310882021 267.368037940991 -486.667716334223</t>
  </si>
  <si>
    <t>-739.228529000101 308.461094468151 -222.023601990036</t>
  </si>
  <si>
    <t>-500.506396625311 340.153720573512 -229.653841654278</t>
  </si>
  <si>
    <t>-834.909039175277 79.2383191191998 -517.880994890293</t>
  </si>
  <si>
    <t>-827.064260342206 201.909055467263 -63.4045987382887</t>
  </si>
  <si>
    <t>-831.31323269867 218.097708818375 339.800692526498</t>
  </si>
  <si>
    <t>-872.381669755016 202.817375257054 785.752682497862</t>
  </si>
  <si>
    <t>-746.282600510202 276.526555661547 847.016451791969</t>
  </si>
  <si>
    <t>-749.742630999426 25.7056745713517 -58.4664170807308</t>
  </si>
  <si>
    <t>-671.928208179736 2.04296520602929 336.805248443723</t>
  </si>
  <si>
    <t>-705.284606623555 -49.2748249539995 780.281493267531</t>
  </si>
  <si>
    <t>-581.49772755546 -118.03836154939 851.244205967702</t>
  </si>
  <si>
    <t>9763-20170724T111108.782934800.bin</t>
  </si>
  <si>
    <t>-788.397103297059 114.636533610574 -59.8515147746434</t>
  </si>
  <si>
    <t>-817.56637019253 99.2860857181217 -170.890831774209</t>
  </si>
  <si>
    <t>-830.759555519754 96.2315146529668 -268.580481664107</t>
  </si>
  <si>
    <t>-838.203501137381 97.0564558394008 -357.361947154724</t>
  </si>
  <si>
    <t>-840.663366585878 101.372172364839 -446.320191808876</t>
  </si>
  <si>
    <t>-838.742777990738 110.870803055816 -570.525296972109</t>
  </si>
  <si>
    <t>-801.902371143377 121.155872561906 -644.295341696564</t>
  </si>
  <si>
    <t>-844.605557145849 133.868441818393 -513.86797708668</t>
  </si>
  <si>
    <t>-859.930580194283 267.828981902779 -487.053485962674</t>
  </si>
  <si>
    <t>-735.93257846893 310.08530439503 -223.557479950772</t>
  </si>
  <si>
    <t>-497.227584682105 342.119948198788 -230.230483363006</t>
  </si>
  <si>
    <t>-834.570456518773 79.5134395530836 -517.869485538091</t>
  </si>
  <si>
    <t>-826.861515194355 202.846844377117 -63.4422740633587</t>
  </si>
  <si>
    <t>-831.003937696349 218.768340141625 339.774796306344</t>
  </si>
  <si>
    <t>-872.321697751561 203.035011151546 785.699127659146</t>
  </si>
  <si>
    <t>-746.143334806042 276.491880584175 847.102574966541</t>
  </si>
  <si>
    <t>-750.207987667304 26.2958452015082 -58.3487359933869</t>
  </si>
  <si>
    <t>-672.060697876659 2.48748844319152 336.848509539214</t>
  </si>
  <si>
    <t>-705.414271406916 -49.3375001421045 780.245600160281</t>
  </si>
  <si>
    <t>-581.638571753092 -118.117130279428 851.212055450653</t>
  </si>
  <si>
    <t>9763-20170724T111108.814017600.bin</t>
  </si>
  <si>
    <t>-788.358878206108 115.027405896621 -59.882063674669</t>
  </si>
  <si>
    <t>-817.430343861571 99.694492173669 -170.949418009003</t>
  </si>
  <si>
    <t>-830.54600144299 96.5906611433384 -268.647905235577</t>
  </si>
  <si>
    <t>-837.924343829812 97.3443987824139 -357.435667344504</t>
  </si>
  <si>
    <t>-840.322828194679 101.561349646207 -446.400243500834</t>
  </si>
  <si>
    <t>-838.321653736878 110.892051976 -570.616771872793</t>
  </si>
  <si>
    <t>-801.528759761043 121.074860174123 -644.424690274564</t>
  </si>
  <si>
    <t>-844.153315119779 133.978594446727 -513.992277495344</t>
  </si>
  <si>
    <t>-859.122806781542 268.000439987516 -487.310588387581</t>
  </si>
  <si>
    <t>-734.292597069618 310.818778175125 -224.298944534369</t>
  </si>
  <si>
    <t>-495.613803126089 343.187849445263 -230.266391689619</t>
  </si>
  <si>
    <t>-834.251291839186 79.593693345736 -517.918029650617</t>
  </si>
  <si>
    <t>-826.648537295003 203.32917063792 -63.5125624103184</t>
  </si>
  <si>
    <t>-830.679523417652 219.195325536189 339.707768693846</t>
  </si>
  <si>
    <t>-872.31079721563 203.176639642575 785.61515373616</t>
  </si>
  <si>
    <t>-746.0888387003 276.470155968249 847.123888597331</t>
  </si>
  <si>
    <t>-750.325353943252 26.6306441385068 -58.2966047719178</t>
  </si>
  <si>
    <t>-671.963241277546 2.79393739128636 336.856316787251</t>
  </si>
  <si>
    <t>-705.419689529518 -49.1634212031186 780.224625378104</t>
  </si>
  <si>
    <t>-581.829112796739 -118.258825055206 851.207170953066</t>
  </si>
  <si>
    <t>9763-20170724T111108.883769200.bin</t>
  </si>
  <si>
    <t>-788.11920516151 115.42485440175 -59.9355735746767</t>
  </si>
  <si>
    <t>-816.953343320703 100.091922716254 -171.064857809843</t>
  </si>
  <si>
    <t>-829.894003844688 96.8959903662662 -268.783828108451</t>
  </si>
  <si>
    <t>-837.12737810814 97.5296432764308 -357.584231809426</t>
  </si>
  <si>
    <t>-839.395572374309 101.587025232426 -446.559606231951</t>
  </si>
  <si>
    <t>-837.22702604373 110.651981716392 -570.793089636738</t>
  </si>
  <si>
    <t>-800.511331037143 120.633561539926 -644.667073325958</t>
  </si>
  <si>
    <t>-842.995070397355 133.884269201179 -514.221782442581</t>
  </si>
  <si>
    <t>-857.191781568952 268.041793856625 -487.804874069523</t>
  </si>
  <si>
    <t>-730.651316110112 311.568752813963 -225.72824588127</t>
  </si>
  <si>
    <t>-492.052099187115 344.786347425143 -229.95751694617</t>
  </si>
  <si>
    <t>-833.367104704188 79.4415925331632 -518.026340512629</t>
  </si>
  <si>
    <t>-825.932310181073 203.762245292202 -63.6804836617682</t>
  </si>
  <si>
    <t>-829.679751239717 220.031717508871 339.526630502784</t>
  </si>
  <si>
    <t>-872.026115859078 203.253608344179 785.361675865367</t>
  </si>
  <si>
    <t>-745.890992397058 276.489446401407 847.117268067689</t>
  </si>
  <si>
    <t>-750.499235280626 26.7892894604556 -58.1740533677531</t>
  </si>
  <si>
    <t>-671.654570121583 3.11307390453112 336.892538476535</t>
  </si>
  <si>
    <t>-705.54921124251 -49.2633195848005 780.231788471655</t>
  </si>
  <si>
    <t>-581.953320875788 -118.352347256911 851.210982098359</t>
  </si>
  <si>
    <t>9763-20170724T111108.914851300.bin</t>
  </si>
  <si>
    <t>-787.986658271004 115.379736662484 -59.8957293564587</t>
  </si>
  <si>
    <t>-816.714153598474 100.085663674696 -171.057912430491</t>
  </si>
  <si>
    <t>-829.544680275013 96.8562686808177 -268.790177398978</t>
  </si>
  <si>
    <t>-836.672903525863 97.4321608684077 -357.599565233972</t>
  </si>
  <si>
    <t>-838.830220244345 101.402318453333 -446.581694081006</t>
  </si>
  <si>
    <t>-836.503145273858 110.314315676291 -570.823336216683</t>
  </si>
  <si>
    <t>-799.788783434656 120.177147660857 -644.713923410663</t>
  </si>
  <si>
    <t>-842.265224785762 133.629744254219 -514.28578984522</t>
  </si>
  <si>
    <t>-856.043274111897 267.857396686161 -487.989687418532</t>
  </si>
  <si>
    <t>-728.659188220071 311.688476178783 -226.37295284264</t>
  </si>
  <si>
    <t>-490.11445567153 345.386057716702 -229.793546043781</t>
  </si>
  <si>
    <t>-832.789201780834 79.1554425004529 -518.015722993176</t>
  </si>
  <si>
    <t>-825.60162845217 203.864852582868 -63.7227061277276</t>
  </si>
  <si>
    <t>-829.159604955189 220.427742738715 339.474106860327</t>
  </si>
  <si>
    <t>-871.979221846914 203.364238596425 785.279331510463</t>
  </si>
  <si>
    <t>-745.905088561322 276.620431571993 847.135198238142</t>
  </si>
  <si>
    <t>-750.639915284862 26.6593750336019 -58.0858153221697</t>
  </si>
  <si>
    <t>-671.502905692331 3.08977187910477 336.928738487755</t>
  </si>
  <si>
    <t>-705.612079240614 -49.3344278360571 780.249000709094</t>
  </si>
  <si>
    <t>-581.838551435901 -118.123181767007 851.210611558008</t>
  </si>
  <si>
    <t>9763-20170724T111108.980542500.bin</t>
  </si>
  <si>
    <t>-788.035426617816 115.3448345189 -59.7710531630196</t>
  </si>
  <si>
    <t>-816.62312524853 100.236972876518 -170.994777173585</t>
  </si>
  <si>
    <t>-829.271197858267 97.018572088783 -268.751280018787</t>
  </si>
  <si>
    <t>-836.215244358505 97.5457912311731 -357.57544535972</t>
  </si>
  <si>
    <t>-838.172050124359 101.405313811999 -446.567011320453</t>
  </si>
  <si>
    <t>-835.548850372239 110.097210717708 -570.818392720788</t>
  </si>
  <si>
    <t>-798.742196794523 119.700061779345 -644.697183247041</t>
  </si>
  <si>
    <t>-841.275391142463 133.541501978314 -514.330441011918</t>
  </si>
  <si>
    <t>-854.0256105497 267.912753046625 -488.255564632204</t>
  </si>
  <si>
    <t>-724.852444081317 311.917022108749 -227.546790181474</t>
  </si>
  <si>
    <t>-486.348222282784 346.034393594805 -229.151562407213</t>
  </si>
  <si>
    <t>-832.130952798103 79.0030787308406 -517.952532025346</t>
  </si>
  <si>
    <t>-825.141135410979 204.102251959945 -63.6814246781208</t>
  </si>
  <si>
    <t>-828.553534234011 220.926840605294 339.505867726774</t>
  </si>
  <si>
    <t>-871.958586587207 203.480172309762 785.241363360683</t>
  </si>
  <si>
    <t>-745.747971216293 276.419505693043 847.192989079367</t>
  </si>
  <si>
    <t>-751.351364959435 26.3986665508714 -57.9069351090233</t>
  </si>
  <si>
    <t>-671.64615933399 3.06156717653175 337.007191543928</t>
  </si>
  <si>
    <t>-705.735503386727 -49.4423251275198 780.294587256701</t>
  </si>
  <si>
    <t>-581.883130584385 -118.0973725869 851.247739191394</t>
  </si>
  <si>
    <t>9763-20170724T111109.018631200.bin</t>
  </si>
  <si>
    <t>-788.241591672786 115.430040775324 -59.6989740427807</t>
  </si>
  <si>
    <t>-816.78527498235 100.437582182286 -170.949656814903</t>
  </si>
  <si>
    <t>-829.359420001764 97.2525674525355 -268.716766588868</t>
  </si>
  <si>
    <t>-836.225642147701 97.7843205704239 -357.547060881135</t>
  </si>
  <si>
    <t>-838.093443480096 101.62159208232 -446.541560223071</t>
  </si>
  <si>
    <t>-835.336341232387 110.253474385356 -570.794078339832</t>
  </si>
  <si>
    <t>-798.427420821288 119.716574101976 -644.639919590107</t>
  </si>
  <si>
    <t>-841.032642182384 133.739898636919 -514.320674322574</t>
  </si>
  <si>
    <t>-853.186910511268 268.167314099509 -488.291940553493</t>
  </si>
  <si>
    <t>-722.962680615744 312.181952764507 -228.108259737116</t>
  </si>
  <si>
    <t>-484.465982910642 346.387392729417 -228.508013510212</t>
  </si>
  <si>
    <t>-832.066861137047 79.170022031456 -517.912662522612</t>
  </si>
  <si>
    <t>-825.099605709906 204.324481706039 -63.6443157294798</t>
  </si>
  <si>
    <t>-828.469285807935 221.011752221565 339.548990374986</t>
  </si>
  <si>
    <t>-871.921863839879 203.486990749353 785.255155823367</t>
  </si>
  <si>
    <t>-745.716036205882 276.42301244109 847.220687245799</t>
  </si>
  <si>
    <t>-751.879945371515 26.4774808352504 -57.8334528105046</t>
  </si>
  <si>
    <t>-671.862318113241 3.06086614344849 337.012684701151</t>
  </si>
  <si>
    <t>-705.780340826169 -49.4388224491438 780.305346611552</t>
  </si>
  <si>
    <t>-581.908809493166 -118.061204838673 851.256819765424</t>
  </si>
  <si>
    <t>9763-20170724T111109.083818500.bin</t>
  </si>
  <si>
    <t>-788.882777409712 115.753242471137 -59.6479884148157</t>
  </si>
  <si>
    <t>-817.356386369955 100.992032984906 -170.947512475201</t>
  </si>
  <si>
    <t>-829.80136882896 97.8925018789482 -268.733929193169</t>
  </si>
  <si>
    <t>-836.526723136017 98.4568016241606 -357.574583175602</t>
  </si>
  <si>
    <t>-838.231532995069 102.278101022241 -446.573166117244</t>
  </si>
  <si>
    <t>-835.225087578428 110.835297208341 -570.825120598503</t>
  </si>
  <si>
    <t>-798.06066599246 120.000066935908 -644.580360025079</t>
  </si>
  <si>
    <t>-840.826692716672 134.388670762329 -514.370099794992</t>
  </si>
  <si>
    <t>-851.627200448995 268.930871115786 -488.317674506563</t>
  </si>
  <si>
    <t>-718.969524289839 312.787090348023 -229.3393458059</t>
  </si>
  <si>
    <t>-480.523821751664 347.245148932275 -226.675882301717</t>
  </si>
  <si>
    <t>-832.269586583491 79.7508447685241 -517.925867014603</t>
  </si>
  <si>
    <t>-825.169359363409 204.673640439583 -63.6214451636999</t>
  </si>
  <si>
    <t>-828.719162115554 221.067557900041 339.582383919336</t>
  </si>
  <si>
    <t>-871.78755229361 203.461646089806 785.288636797987</t>
  </si>
  <si>
    <t>-745.583546767635 276.401983101073 847.252843640756</t>
  </si>
  <si>
    <t>-752.94244304621 26.6760691996051 -57.7724008267782</t>
  </si>
  <si>
    <t>-672.663810205485 3.11033725223933 337.011931269962</t>
  </si>
  <si>
    <t>-705.924089662156 -49.5204271553082 780.328466706705</t>
  </si>
  <si>
    <t>-582.001132382289 -118.078465826587 851.252431814331</t>
  </si>
  <si>
    <t>9763-20170724T111109.115904500.bin</t>
  </si>
  <si>
    <t>-789.189373548994 115.851733082758 -59.6402293744271</t>
  </si>
  <si>
    <t>-817.637301120374 101.207510962927 -170.961650627734</t>
  </si>
  <si>
    <t>-830.008014029843 98.1672030106079 -268.759439144982</t>
  </si>
  <si>
    <t>-836.646678183301 98.7684088623728 -357.606466878698</t>
  </si>
  <si>
    <t>-838.245719005651 102.606961420817 -446.606112311169</t>
  </si>
  <si>
    <t>-835.071695294155 111.166861290655 -570.853847359823</t>
  </si>
  <si>
    <t>-797.755455765478 120.190296785035 -644.549728640574</t>
  </si>
  <si>
    <t>-840.641957479792 134.735214507809 -514.401875798374</t>
  </si>
  <si>
    <t>-850.788501143551 269.328620500022 -488.332620988609</t>
  </si>
  <si>
    <t>-717.100274288504 312.834037978914 -229.825500407055</t>
  </si>
  <si>
    <t>-478.731509082719 347.697584384095 -225.856533001904</t>
  </si>
  <si>
    <t>-832.294711559642 80.06481319057 -517.955135080189</t>
  </si>
  <si>
    <t>-825.256761410819 204.891961152772 -63.626897519645</t>
  </si>
  <si>
    <t>-828.857241571055 221.147701528325 339.582075564773</t>
  </si>
  <si>
    <t>-871.878601943964 203.598541069209 785.307452651345</t>
  </si>
  <si>
    <t>-745.49415619715 276.231015148403 847.264844303755</t>
  </si>
  <si>
    <t>-753.474657277051 26.6899401254868 -57.7700872043989</t>
  </si>
  <si>
    <t>-673.185016365962 3.16681393968247 337.014530678768</t>
  </si>
  <si>
    <t>-705.982037161232 -49.4671812182055 780.338393453696</t>
  </si>
  <si>
    <t>-582.123061367302 -118.15235628329 851.251035456984</t>
  </si>
  <si>
    <t>9763-20170724T111109.182083400.bin</t>
  </si>
  <si>
    <t>-789.642974442794 116.033177359773 -59.651656767118</t>
  </si>
  <si>
    <t>-818.116749272301 101.619955685826 -170.996629981743</t>
  </si>
  <si>
    <t>-830.357296692038 98.7248774223913 -268.815096839812</t>
  </si>
  <si>
    <t>-836.819050083788 99.4351465403593 -357.674389820921</t>
  </si>
  <si>
    <t>-838.182348034675 103.35592648727 -446.674505552332</t>
  </si>
  <si>
    <t>-834.619533728072 111.99861893897 -570.905835593174</t>
  </si>
  <si>
    <t>-796.978086402958 120.818117917752 -644.461117965797</t>
  </si>
  <si>
    <t>-840.17336683649 135.557645747848 -514.448467911723</t>
  </si>
  <si>
    <t>-849.098315215269 270.218777248596 -488.267037931411</t>
  </si>
  <si>
    <t>-713.399350810668 312.69851724864 -230.638413956118</t>
  </si>
  <si>
    <t>-475.217240484961 348.511094765733 -224.504792078145</t>
  </si>
  <si>
    <t>-832.201306425811 80.8330441726557 -518.027125192565</t>
  </si>
  <si>
    <t>-825.15430293519 205.142115305289 -63.6134922477939</t>
  </si>
  <si>
    <t>-828.840743618885 221.215589530848 339.601956579442</t>
  </si>
  <si>
    <t>-871.739752926641 203.56522208852 785.361496180944</t>
  </si>
  <si>
    <t>-745.361930789336 276.226274729638 847.299328897823</t>
  </si>
  <si>
    <t>-754.475082887175 26.8067831481158 -57.7538658019679</t>
  </si>
  <si>
    <t>-673.975338670296 3.2004586765961 336.983044742675</t>
  </si>
  <si>
    <t>-706.12280341068 -49.4766104530449 780.337608940999</t>
  </si>
  <si>
    <t>-582.343210628969 -118.329605985814 851.22597118261</t>
  </si>
  <si>
    <t>9763-20170724T111109.217178000.bin</t>
  </si>
  <si>
    <t>-789.87218864874 116.10380226612 -59.6473264631907</t>
  </si>
  <si>
    <t>-818.344528770417 101.793135801378 -171.005971894236</t>
  </si>
  <si>
    <t>-830.512916338341 98.9630263325444 -268.835266191488</t>
  </si>
  <si>
    <t>-836.882236234237 99.7234995242534 -357.700969518541</t>
  </si>
  <si>
    <t>-838.126339915613 103.682570249089 -446.701053346583</t>
  </si>
  <si>
    <t>-834.36915351967 112.366303627156 -570.923804853857</t>
  </si>
  <si>
    <t>-796.579656880787 121.117112791266 -644.411107588458</t>
  </si>
  <si>
    <t>-839.928737291126 135.918600548483 -514.464117040064</t>
  </si>
  <si>
    <t>-848.292168504366 270.603512470405 -488.239109827906</t>
  </si>
  <si>
    <t>-711.618547855694 312.733915362176 -231.068780332038</t>
  </si>
  <si>
    <t>-473.496458327408 348.766986501455 -223.972846215078</t>
  </si>
  <si>
    <t>-832.116433166622 81.1714026578879 -518.05496758853</t>
  </si>
  <si>
    <t>-825.151262345662 205.265301897398 -63.6032880034468</t>
  </si>
  <si>
    <t>-828.811634444018 221.279333458453 339.614717038436</t>
  </si>
  <si>
    <t>-871.663285967041 203.547893460388 785.380667150404</t>
  </si>
  <si>
    <t>-745.274273333671 276.199416782254 847.306846900978</t>
  </si>
  <si>
    <t>-754.935583447062 26.829544223845 -57.7551303291494</t>
  </si>
  <si>
    <t>-674.323138798606 3.16201077128062 336.95508346936</t>
  </si>
  <si>
    <t>-706.200422672201 -49.5084890892279 780.331973972726</t>
  </si>
  <si>
    <t>-582.449403097264 -118.426905290077 851.206551784048</t>
  </si>
  <si>
    <t>9763-20170724T111109.281885400.bin</t>
  </si>
  <si>
    <t>-790.229552267761 116.35855387452 -59.641669247259</t>
  </si>
  <si>
    <t>-818.677485457929 102.20011284679 -171.026021015899</t>
  </si>
  <si>
    <t>-830.711745259023 99.4385733383347 -268.873894129323</t>
  </si>
  <si>
    <t>-836.916299764323 100.235219195778 -357.750880705782</t>
  </si>
  <si>
    <t>-837.952475594268 104.200062653751 -446.753361545605</t>
  </si>
  <si>
    <t>-833.861095757688 112.857279809286 -570.967349932289</t>
  </si>
  <si>
    <t>-795.821638766621 121.433024308785 -644.346217795539</t>
  </si>
  <si>
    <t>-839.406615193283 136.444142411404 -514.520848958103</t>
  </si>
  <si>
    <t>-846.749851183411 271.185730406101 -488.281435213971</t>
  </si>
  <si>
    <t>-708.363226801504 313.126842653765 -231.9977840962</t>
  </si>
  <si>
    <t>-470.29331046854 349.153844775507 -223.305292455321</t>
  </si>
  <si>
    <t>-831.916683539046 81.650901277947 -518.093079757803</t>
  </si>
  <si>
    <t>-825.026552873251 205.590430721881 -63.6035479284255</t>
  </si>
  <si>
    <t>-828.699263723707 221.553950160262 339.616365734591</t>
  </si>
  <si>
    <t>-871.673471177426 203.686810646502 785.38885716614</t>
  </si>
  <si>
    <t>-745.108306039814 276.044401689164 847.299726971204</t>
  </si>
  <si>
    <t>-755.71464835295 26.9880613479786 -57.7176046096058</t>
  </si>
  <si>
    <t>-674.871424632325 3.18377806695662 336.937178380281</t>
  </si>
  <si>
    <t>-706.337273881143 -49.5345158099881 780.317521551593</t>
  </si>
  <si>
    <t>-582.683392463739 -118.638257280295 851.181272546583</t>
  </si>
  <si>
    <t>9763-20170724T111109.318976500.bin</t>
  </si>
  <si>
    <t>-790.317807278469 116.410738159253 -59.6319786472477</t>
  </si>
  <si>
    <t>-818.74054387465 102.33058891476 -171.032623140357</t>
  </si>
  <si>
    <t>-830.711593100326 99.5927535526425 -268.889026172786</t>
  </si>
  <si>
    <t>-836.843373294631 100.392134188285 -357.770943867913</t>
  </si>
  <si>
    <t>-837.791745828338 104.339540240647 -446.775211818772</t>
  </si>
  <si>
    <t>-833.562103774376 112.950124133159 -570.987883581544</t>
  </si>
  <si>
    <t>-795.426882971057 121.418042583473 -644.329711419953</t>
  </si>
  <si>
    <t>-839.08783123913 136.569318968383 -514.552760162793</t>
  </si>
  <si>
    <t>-845.959309358973 271.344798529653 -488.366090711104</t>
  </si>
  <si>
    <t>-706.680444006294 313.11241372474 -232.53811494408</t>
  </si>
  <si>
    <t>-468.6577327859 349.247409498231 -223.035082945137</t>
  </si>
  <si>
    <t>-831.758824403067 81.7528270471103 -518.103161059419</t>
  </si>
  <si>
    <t>-824.889972575507 205.689606728613 -63.6027997119335</t>
  </si>
  <si>
    <t>-828.596688147903 221.646914236246 339.61710981447</t>
  </si>
  <si>
    <t>-871.609531109001 203.700139059775 785.389283367897</t>
  </si>
  <si>
    <t>-745.079527485216 276.12222377648 847.296894113597</t>
  </si>
  <si>
    <t>-756.041913409452 26.9719350465257 -57.6996053308213</t>
  </si>
  <si>
    <t>-675.09062491744 3.13421355359651 336.931019477667</t>
  </si>
  <si>
    <t>-706.423098306396 -49.652247186305 780.315254232285</t>
  </si>
  <si>
    <t>-582.656283205992 -118.566882372158 851.165742386963</t>
  </si>
  <si>
    <t>9763-20170724T111109.379660100.bin</t>
  </si>
  <si>
    <t>-790.437388837394 116.576413994774 -59.5974506874777</t>
  </si>
  <si>
    <t>-818.761246925784 102.632690840695 -171.040496509976</t>
  </si>
  <si>
    <t>-830.589937452831 99.9003095272619 -268.914225169194</t>
  </si>
  <si>
    <t>-836.572038929097 100.658220720865 -357.806836250411</t>
  </si>
  <si>
    <t>-837.350878667138 104.513003600926 -446.816844040977</t>
  </si>
  <si>
    <t>-832.86493384294 112.9379000256 -571.033205530047</t>
  </si>
  <si>
    <t>-794.570990649519 121.162811552099 -644.320032209218</t>
  </si>
  <si>
    <t>-838.333943363771 136.663540248674 -514.637239811269</t>
  </si>
  <si>
    <t>-844.139563119014 271.511213051588 -488.536494052107</t>
  </si>
  <si>
    <t>-703.013477099329 312.755558438213 -233.637429121161</t>
  </si>
  <si>
    <t>-465.076147721157 348.997889419719 -222.540425102308</t>
  </si>
  <si>
    <t>-831.343767597969 81.7976332850371 -518.106173331927</t>
  </si>
  <si>
    <t>-824.59187950302 205.949915802009 -63.6058251601345</t>
  </si>
  <si>
    <t>-828.372600771263 221.771583453305 339.618759764877</t>
  </si>
  <si>
    <t>-871.435600561175 203.69581279931 785.383929959409</t>
  </si>
  <si>
    <t>-744.974198891236 276.233745556943 847.295200881008</t>
  </si>
  <si>
    <t>-756.589950868965 27.0497401929961 -57.6476554905149</t>
  </si>
  <si>
    <t>-675.401951184106 3.17875289311451 336.932319094566</t>
  </si>
  <si>
    <t>-706.549423892418 -49.6847628600178 780.312230184848</t>
  </si>
  <si>
    <t>-582.819898883194 -118.676220595951 851.153627094391</t>
  </si>
  <si>
    <t>9763-20170724T111109.416759000.bin</t>
  </si>
  <si>
    <t>-790.50525665551 116.711008576345 -59.5833977762539</t>
  </si>
  <si>
    <t>-818.782072609969 102.821751810607 -171.04523947211</t>
  </si>
  <si>
    <t>-830.552411742555 100.085988159909 -268.925933930792</t>
  </si>
  <si>
    <t>-836.475942908145 100.8195937756 -357.822564055345</t>
  </si>
  <si>
    <t>-837.189740664632 104.625908370578 -446.835249711244</t>
  </si>
  <si>
    <t>-832.606742755435 112.956589319727 -571.054413004294</t>
  </si>
  <si>
    <t>-794.250374391852 121.062614540995 -644.321702798295</t>
  </si>
  <si>
    <t>-838.031231295954 136.735855559919 -514.676706914152</t>
  </si>
  <si>
    <t>-843.283337285472 271.613669307153 -488.631959364604</t>
  </si>
  <si>
    <t>-701.314360192789 312.501175012097 -234.143760332811</t>
  </si>
  <si>
    <t>-463.413371300918 348.717224013293 -222.207537404159</t>
  </si>
  <si>
    <t>-831.215767380711 81.8455954933261 -518.106563049959</t>
  </si>
  <si>
    <t>-824.53470962657 206.130031770005 -63.6153965551545</t>
  </si>
  <si>
    <t>-828.311352305395 221.853479518345 339.613031973238</t>
  </si>
  <si>
    <t>-871.429813189889 203.769753639855 785.380479410481</t>
  </si>
  <si>
    <t>-744.995233705258 276.353327160847 847.293241910486</t>
  </si>
  <si>
    <t>-756.809906601756 27.1816461431304 -57.621991376313</t>
  </si>
  <si>
    <t>-675.547414265858 3.25872979545693 336.939481500717</t>
  </si>
  <si>
    <t>-706.579731549638 -49.5905216007664 780.310408212088</t>
  </si>
  <si>
    <t>-582.959727961746 -118.775275511961 851.154512888581</t>
  </si>
  <si>
    <t>9763-20170724T111109.482629000.bin</t>
  </si>
  <si>
    <t>-790.659618805455 116.970030247653 -59.5458402052681</t>
  </si>
  <si>
    <t>-818.853385448171 103.142575835676 -171.036284450936</t>
  </si>
  <si>
    <t>-830.540816225201 100.414412633558 -268.927147983842</t>
  </si>
  <si>
    <t>-836.383457978696 101.133859160564 -357.829313459221</t>
  </si>
  <si>
    <t>-837.010201250178 104.900588052554 -446.844196821348</t>
  </si>
  <si>
    <t>-832.298667121061 113.146882279149 -571.064203067328</t>
  </si>
  <si>
    <t>-793.823543484328 121.049751505781 -644.291585008234</t>
  </si>
  <si>
    <t>-837.619462950674 136.983603021762 -514.70105297879</t>
  </si>
  <si>
    <t>-841.853740936763 271.895088501376 -488.674365688163</t>
  </si>
  <si>
    <t>-698.166368324452 311.999863384437 -235.027512239646</t>
  </si>
  <si>
    <t>-460.431909942386 348.696102544509 -221.369062510872</t>
  </si>
  <si>
    <t>-831.124261495253 82.0525527258469 -518.101250665841</t>
  </si>
  <si>
    <t>-824.488726429906 206.493618520904 -63.6332101455017</t>
  </si>
  <si>
    <t>-828.26408491384 222.030619599119 339.602474160207</t>
  </si>
  <si>
    <t>-871.311161266493 203.817646498082 785.379684951026</t>
  </si>
  <si>
    <t>-744.826883757224 276.316743095191 847.290673158201</t>
  </si>
  <si>
    <t>-757.184609335421 27.3288712440058 -57.5556170944296</t>
  </si>
  <si>
    <t>-675.870931461691 3.26329363223977 336.986656930865</t>
  </si>
  <si>
    <t>-706.756067517676 -49.8328110978955 780.326104265109</t>
  </si>
  <si>
    <t>-582.91976887077 -118.655680113732 851.144721788494</t>
  </si>
  <si>
    <t>9763-20170724T111109.514714700.bin</t>
  </si>
  <si>
    <t>-790.713985813193 117.210084494056 -59.5305572081143</t>
  </si>
  <si>
    <t>-818.915454538343 103.411812100611 -171.022727623509</t>
  </si>
  <si>
    <t>-830.598817191605 100.702608359495 -268.914562692448</t>
  </si>
  <si>
    <t>-836.433471120398 101.435854626855 -357.817221983128</t>
  </si>
  <si>
    <t>-837.046594418294 105.211063002115 -446.831810814474</t>
  </si>
  <si>
    <t>-832.310480434739 113.462202760597 -571.050594970705</t>
  </si>
  <si>
    <t>-793.783712312415 121.297943547693 -644.257982853459</t>
  </si>
  <si>
    <t>-837.572646047256 137.304877055258 -514.684262935512</t>
  </si>
  <si>
    <t>-841.264145295622 272.229445076057 -488.606362523385</t>
  </si>
  <si>
    <t>-696.711577617635 311.596468796607 -235.335830855052</t>
  </si>
  <si>
    <t>-459.106043555256 348.845736299502 -220.951090617646</t>
  </si>
  <si>
    <t>-831.216493217611 82.3579096372805 -518.091798006497</t>
  </si>
  <si>
    <t>-824.553092695334 206.730548475076 -63.6289865075955</t>
  </si>
  <si>
    <t>-828.313187062106 222.213092969056 339.608960011215</t>
  </si>
  <si>
    <t>-871.31456762161 203.873828564184 785.419737317478</t>
  </si>
  <si>
    <t>-744.711350618844 276.200954401106 847.288202808223</t>
  </si>
  <si>
    <t>-757.227334629117 27.6095997283819 -57.541061839031</t>
  </si>
  <si>
    <t>-676.078604334566 3.31606643442183 337.021215626202</t>
  </si>
  <si>
    <t>-706.809877556723 -49.8482534994537 780.334172745591</t>
  </si>
  <si>
    <t>-583.147287622565 -118.964275430482 851.171218835163</t>
  </si>
  <si>
    <t>9763-20170724T111109.583437700.bin</t>
  </si>
  <si>
    <t>-791.027171108201 117.523763139989 -59.4113824960904</t>
  </si>
  <si>
    <t>-819.416279937504 103.67240438958 -170.84933259667</t>
  </si>
  <si>
    <t>-831.215592339033 100.972703888471 -268.727573596523</t>
  </si>
  <si>
    <t>-837.132405542826 101.734355136454 -357.624390032051</t>
  </si>
  <si>
    <t>-837.802918840402 105.553702410156 -446.636829230871</t>
  </si>
  <si>
    <t>-833.118862258124 113.88001590304 -570.852575000142</t>
  </si>
  <si>
    <t>-794.531858106638 121.630549052471 -644.037384058302</t>
  </si>
  <si>
    <t>-838.261706459549 137.698842732633 -514.465393949633</t>
  </si>
  <si>
    <t>-841.141927939549 272.63804418092 -488.297438739973</t>
  </si>
  <si>
    <t>-695.933730801598 310.714601297122 -235.204639521986</t>
  </si>
  <si>
    <t>-458.539249384902 349.036874319813 -220.167333543972</t>
  </si>
  <si>
    <t>-832.098634952101 82.7330218480847 -517.917404656516</t>
  </si>
  <si>
    <t>-825.455038908041 206.761893121377 -63.4474028240588</t>
  </si>
  <si>
    <t>-828.382483061634 222.556176760113 339.7853613332</t>
  </si>
  <si>
    <t>-871.079396429767 203.523540965697 785.784346634941</t>
  </si>
  <si>
    <t>-744.538057694888 276.338369712032 847.206060760573</t>
  </si>
  <si>
    <t>-757.152304281557 28.1320130075201 -57.4545377583449</t>
  </si>
  <si>
    <t>-676.504447415404 3.28834034024158 337.176181195648</t>
  </si>
  <si>
    <t>-706.846958453717 -49.5678459037642 780.410072091552</t>
  </si>
  <si>
    <t>-583.553653461747 -119.294039321608 851.292377993906</t>
  </si>
  <si>
    <t>9763-20170724T111109.616526900.bin</t>
  </si>
  <si>
    <t>-791.562479214696 117.298597096917 -59.2921237638408</t>
  </si>
  <si>
    <t>-820.063129681537 103.377567081912 -170.692952755177</t>
  </si>
  <si>
    <t>-831.947853156694 100.662187145808 -268.560373460295</t>
  </si>
  <si>
    <t>-837.933502856522 101.423773295762 -357.4525837281</t>
  </si>
  <si>
    <t>-838.662432439323 105.255178718123 -446.464009170161</t>
  </si>
  <si>
    <t>-834.047835602677 113.608947960411 -570.68056390357</t>
  </si>
  <si>
    <t>-795.455711881727 121.324958355765 -643.866297430711</t>
  </si>
  <si>
    <t>-839.128674851349 137.418723930669 -514.283843479329</t>
  </si>
  <si>
    <t>-841.878872918805 272.347350972992 -488.078387508853</t>
  </si>
  <si>
    <t>-697.645926237324 310.080725364113 -234.377311830504</t>
  </si>
  <si>
    <t>-460.22694501489 348.612326014777 -220.293120429192</t>
  </si>
  <si>
    <t>-833.028165583652 82.4469162680261 -517.754170572</t>
  </si>
  <si>
    <t>-826.300370554382 206.437647236833 -63.3106770941046</t>
  </si>
  <si>
    <t>-828.663554930818 222.292059142139 339.923444989194</t>
  </si>
  <si>
    <t>-870.961301370375 203.26118619409 786.000617422855</t>
  </si>
  <si>
    <t>-744.610528400215 276.643057890587 847.138273659406</t>
  </si>
  <si>
    <t>-757.308714417155 27.8645253153363 -57.3829180310573</t>
  </si>
  <si>
    <t>-676.942496109269 3.15014811778065 337.313377002955</t>
  </si>
  <si>
    <t>-706.931130780845 -49.5844037156171 780.525877614307</t>
  </si>
  <si>
    <t>-583.722153243626 -119.45958354672 851.40812934028</t>
  </si>
  <si>
    <t>9763-20170724T111109.681205000.bin</t>
  </si>
  <si>
    <t>-792.049891159306 116.330523073623 -59.1663603852315</t>
  </si>
  <si>
    <t>-820.706026763076 102.24346166289 -170.506448152242</t>
  </si>
  <si>
    <t>-832.74856646318 99.5220058192872 -268.354399570304</t>
  </si>
  <si>
    <t>-838.877111869009 100.326827458904 -357.236563123853</t>
  </si>
  <si>
    <t>-839.744383068959 104.246284740129 -446.242860483929</t>
  </si>
  <si>
    <t>-835.313594830578 112.76646151831 -570.454611241204</t>
  </si>
  <si>
    <t>-796.752391265662 120.490123336278 -643.655945586052</t>
  </si>
  <si>
    <t>-840.306112466685 136.501360371995 -514.018584932648</t>
  </si>
  <si>
    <t>-842.969363248318 271.342621259413 -487.407781961856</t>
  </si>
  <si>
    <t>-702.334672454532 306.613878905803 -231.343355998863</t>
  </si>
  <si>
    <t>-464.927280258175 346.193016035305 -220.292432455511</t>
  </si>
  <si>
    <t>-834.220465196578 81.5331254677594 -517.571929660766</t>
  </si>
  <si>
    <t>-826.841924908423 205.385308474031 -63.1421111490318</t>
  </si>
  <si>
    <t>-828.965704535785 222.140580796609 340.056888485643</t>
  </si>
  <si>
    <t>-870.822380815672 203.182373639123 786.113331649686</t>
  </si>
  <si>
    <t>-744.457022989404 276.74798217221 847.00017197862</t>
  </si>
  <si>
    <t>-757.435604045766 27.1462293848972 -57.2406005646328</t>
  </si>
  <si>
    <t>-677.470318322229 2.52948971638534 337.543133908781</t>
  </si>
  <si>
    <t>-707.207058868237 -49.9296522064187 780.818060931863</t>
  </si>
  <si>
    <t>-583.730511509724 -119.407424418322 851.625346447622</t>
  </si>
  <si>
    <t>9763-20170724T111109.718302800.bin</t>
  </si>
  <si>
    <t>-791.952239384018 115.721466062886 -59.1649841016102</t>
  </si>
  <si>
    <t>-820.714296704499 101.559630687721 -170.46820583692</t>
  </si>
  <si>
    <t>-832.839015180226 98.9024845254326 -268.307769158865</t>
  </si>
  <si>
    <t>-839.03104251804 99.8123889008184 -357.184537283207</t>
  </si>
  <si>
    <t>-839.947340611567 103.882798249409 -446.183520826805</t>
  </si>
  <si>
    <t>-835.568344492139 112.658862377247 -570.379548722177</t>
  </si>
  <si>
    <t>-797.034677123154 120.462760841615 -643.586644702731</t>
  </si>
  <si>
    <t>-840.546622455642 136.276329924529 -513.892891668241</t>
  </si>
  <si>
    <t>-843.161181953224 271.039228354392 -486.918265962236</t>
  </si>
  <si>
    <t>-703.618005595412 304.11011262067 -229.964507392548</t>
  </si>
  <si>
    <t>-466.346922532026 344.695392531517 -219.664515088548</t>
  </si>
  <si>
    <t>-834.444139042247 81.3174635694959 -517.561170602281</t>
  </si>
  <si>
    <t>-826.709506363734 204.789019701943 -63.1449493887951</t>
  </si>
  <si>
    <t>-828.654063879945 222.145842364753 340.029559358016</t>
  </si>
  <si>
    <t>-870.766980681838 203.197133790589 786.073205162622</t>
  </si>
  <si>
    <t>-744.459087842656 276.893475048919 846.920833100837</t>
  </si>
  <si>
    <t>-757.38183592219 26.5379012019202 -57.2321494270839</t>
  </si>
  <si>
    <t>-677.388844688065 2.21942897710414 337.564534012485</t>
  </si>
  <si>
    <t>-707.30954908833 -49.999380575365 780.880823016153</t>
  </si>
  <si>
    <t>-583.739170012292 -119.338340607135 851.660597765912</t>
  </si>
  <si>
    <t>9763-20170724T111109.782488000.bin</t>
  </si>
  <si>
    <t>-791.344570372639 114.613883571538 -59.1853258000532</t>
  </si>
  <si>
    <t>-820.358148348979 100.394864640857 -170.415928231795</t>
  </si>
  <si>
    <t>-832.710382997306 97.9200138430715 -268.231831915571</t>
  </si>
  <si>
    <t>-839.100756673968 99.0828959470905 -357.091594977381</t>
  </si>
  <si>
    <t>-840.20159736208 103.490232100261 -446.072561923843</t>
  </si>
  <si>
    <t>-836.059938200907 112.819907983564 -570.236057583157</t>
  </si>
  <si>
    <t>-797.619190219506 120.818731461608 -643.471056409725</t>
  </si>
  <si>
    <t>-840.895986758898 136.18897013722 -513.633944688986</t>
  </si>
  <si>
    <t>-843.162149431582 270.82062595788 -485.967946506658</t>
  </si>
  <si>
    <t>-703.617594353389 301.358716407736 -228.701811475973</t>
  </si>
  <si>
    <t>-466.767571853797 344.95559244892 -221.471291909854</t>
  </si>
  <si>
    <t>-834.868978696097 81.2397738502164 -517.5619009809</t>
  </si>
  <si>
    <t>-826.04617321147 203.726583436349 -63.109263658741</t>
  </si>
  <si>
    <t>-828.0207074516 221.415320393613 340.050675648235</t>
  </si>
  <si>
    <t>-870.546760131916 202.999164200553 786.046876566361</t>
  </si>
  <si>
    <t>-744.382380888744 277.086396036056 846.717846380532</t>
  </si>
  <si>
    <t>-756.94044885465 25.3672459440209 -57.2959684393912</t>
  </si>
  <si>
    <t>-676.968823553188 1.54822198889315 337.535453423694</t>
  </si>
  <si>
    <t>-707.456420887768 -49.9463085930106 780.934723206417</t>
  </si>
  <si>
    <t>-583.995118503014 -119.516643713291 851.67777517287</t>
  </si>
  <si>
    <t>9763-20170724T111109.814573000.bin</t>
  </si>
  <si>
    <t>-791.123946264395 114.097759903055 -59.2352945768204</t>
  </si>
  <si>
    <t>-820.280414008784 99.8684101791414 -170.427296432314</t>
  </si>
  <si>
    <t>-832.777121971474 97.4507612508555 -268.226352719189</t>
  </si>
  <si>
    <t>-839.303086621267 98.6904216742064 -357.075066086911</t>
  </si>
  <si>
    <t>-840.541907963759 103.198707515892 -446.04915534907</t>
  </si>
  <si>
    <t>-836.59371307975 112.693570178145 -570.206624569434</t>
  </si>
  <si>
    <t>-798.219135948345 120.766172199978 -643.468236536762</t>
  </si>
  <si>
    <t>-841.307725934035 135.990824796407 -513.5645038815</t>
  </si>
  <si>
    <t>-843.337385857607 270.599261417542 -485.725863468616</t>
  </si>
  <si>
    <t>-703.804135006081 300.615392044345 -228.392098453564</t>
  </si>
  <si>
    <t>-467.244880796717 346.213703365086 -225.019661198023</t>
  </si>
  <si>
    <t>-835.35438280948 81.0396600404106 -517.577686336609</t>
  </si>
  <si>
    <t>-825.957659568695 203.19139465845 -63.1096157148397</t>
  </si>
  <si>
    <t>-828.135182768747 220.908219553942 340.047933797262</t>
  </si>
  <si>
    <t>-870.554520623614 202.987832827881 786.061895191957</t>
  </si>
  <si>
    <t>-744.181872220018 276.825334746381 846.603368988609</t>
  </si>
  <si>
    <t>-756.623453892441 24.8873604163418 -57.4300346927548</t>
  </si>
  <si>
    <t>-677.251288217839 1.19630657615289 337.52996696251</t>
  </si>
  <si>
    <t>-707.546611950917 -49.9023402361647 780.98179455283</t>
  </si>
  <si>
    <t>-584.145642864891 -119.61746781708 851.687342286478</t>
  </si>
  <si>
    <t>9763-20170724T111109.883288200.bin</t>
  </si>
  <si>
    <t>-791.250617665558 113.0508107807 -59.3091029230086</t>
  </si>
  <si>
    <t>-820.675910592443 98.7200356462604 -170.417331730893</t>
  </si>
  <si>
    <t>-833.497987961229 96.3345820304494 -268.17501511129</t>
  </si>
  <si>
    <t>-840.348153422975 97.6504236930714 -356.998254119765</t>
  </si>
  <si>
    <t>-841.937760312389 102.280455042586 -445.960492337901</t>
  </si>
  <si>
    <t>-838.502434263792 111.993290641788 -570.116358154963</t>
  </si>
  <si>
    <t>-800.278056550466 120.209681690433 -643.440377098113</t>
  </si>
  <si>
    <t>-842.981631285392 135.191209650559 -513.414528411479</t>
  </si>
  <si>
    <t>-845.011327125741 269.750978007576 -485.314452775457</t>
  </si>
  <si>
    <t>-704.873836766457 299.280886785454 -228.252865492406</t>
  </si>
  <si>
    <t>-469.124698897926 348.955118863025 -230.635734850851</t>
  </si>
  <si>
    <t>-837.046722226899 80.247211122281 -517.548567568888</t>
  </si>
  <si>
    <t>-826.334657820109 202.176663769671 -63.1746082708183</t>
  </si>
  <si>
    <t>-828.37552014108 219.932480261126 339.98197916606</t>
  </si>
  <si>
    <t>-870.535884541554 202.907048596889 786.082505472702</t>
  </si>
  <si>
    <t>-744.175295033082 276.980157483403 846.36103761432</t>
  </si>
  <si>
    <t>-756.568595255565 23.8184429295839 -57.5913279566569</t>
  </si>
  <si>
    <t>-677.862664447693 0.523020402501515 337.525674952664</t>
  </si>
  <si>
    <t>-707.744417354523 -49.9022211841834 781.077391706001</t>
  </si>
  <si>
    <t>-584.362411362275 -119.731307716145 851.703936582077</t>
  </si>
  <si>
    <t>9763-20170724T111109.913376000.bin</t>
  </si>
  <si>
    <t>-791.25020764133 112.529942223263 -59.3677554974773</t>
  </si>
  <si>
    <t>-820.831578719095 98.1469687623076 -170.427714677929</t>
  </si>
  <si>
    <t>-833.832064933683 95.7443506661784 -268.161273082818</t>
  </si>
  <si>
    <t>-840.858956781593 97.0559442082322 -356.970902258095</t>
  </si>
  <si>
    <t>-842.640512341622 101.694626129604 -445.928965935779</t>
  </si>
  <si>
    <t>-839.487628632972 111.432510315912 -570.0904801105</t>
  </si>
  <si>
    <t>-801.318790909948 119.738164267552 -643.433431170354</t>
  </si>
  <si>
    <t>-843.877636997089 134.614508751383 -513.3751280892</t>
  </si>
  <si>
    <t>-846.113021464808 269.137719843667 -485.184867000846</t>
  </si>
  <si>
    <t>-706.247743662367 299.234301510403 -228.040730867105</t>
  </si>
  <si>
    <t>-470.683584340341 349.653246665076 -232.326681044871</t>
  </si>
  <si>
    <t>-837.872302208234 79.6798734547615 -517.531161296303</t>
  </si>
  <si>
    <t>-826.338930152814 201.691398803623 -63.1919971661914</t>
  </si>
  <si>
    <t>-828.382173485195 219.537899727738 339.960565854268</t>
  </si>
  <si>
    <t>-870.562373405343 202.9261446809 786.039743296741</t>
  </si>
  <si>
    <t>-744.150464780377 276.988358686408 846.223747327545</t>
  </si>
  <si>
    <t>-756.490170557827 23.2661613962459 -57.6683730629487</t>
  </si>
  <si>
    <t>-678.059387998871 0.27370992052056 337.520980001757</t>
  </si>
  <si>
    <t>-707.858333598459 -50.0329519400636 781.107923157964</t>
  </si>
  <si>
    <t>-584.328238075705 -119.631887627002 851.702642588538</t>
  </si>
  <si>
    <t>9763-20170724T111109.982053500.bin</t>
  </si>
  <si>
    <t>-790.790963601659 111.639127385957 -59.5291386028321</t>
  </si>
  <si>
    <t>-820.638161340912 97.0213056789853 -170.487144083368</t>
  </si>
  <si>
    <t>-833.994760653865 94.5292452262393 -268.1705208122</t>
  </si>
  <si>
    <t>-841.389509467762 95.8053561538259 -356.950790756748</t>
  </si>
  <si>
    <t>-843.5808333373 100.457433039189 -445.899017274721</t>
  </si>
  <si>
    <t>-841.041671242023 110.266763621703 -570.068932326681</t>
  </si>
  <si>
    <t>-803.013808100248 118.777496398714 -643.461569362174</t>
  </si>
  <si>
    <t>-845.277441976741 133.402595759113 -513.322898917642</t>
  </si>
  <si>
    <t>-848.075358384739 267.892129430014 -484.958088988434</t>
  </si>
  <si>
    <t>-709.588958812812 298.090405037748 -227.080618444724</t>
  </si>
  <si>
    <t>-474.626879201737 350.813159729184 -235.07734733899</t>
  </si>
  <si>
    <t>-839.040391063913 78.4976804515632 -517.532839238153</t>
  </si>
  <si>
    <t>-825.958413227687 200.683529999305 -63.3546139507107</t>
  </si>
  <si>
    <t>-828.151682635327 218.967150290243 339.777553113197</t>
  </si>
  <si>
    <t>-870.197999792968 202.797011144405 785.736065928597</t>
  </si>
  <si>
    <t>-744.08382960834 277.32634823865 845.968265271936</t>
  </si>
  <si>
    <t>-755.904396047094 22.412123719344 -57.81839753973</t>
  </si>
  <si>
    <t>-677.642471722348 0.0763161444024263 337.4420761956</t>
  </si>
  <si>
    <t>-707.925732855889 -49.9029238920414 781.078658682636</t>
  </si>
  <si>
    <t>-584.538311588067 -119.731441999377 851.69636186932</t>
  </si>
  <si>
    <t>9763-20170724T111110.014138800.bin</t>
  </si>
  <si>
    <t>-790.614893128733 111.357492195668 -59.6450986122622</t>
  </si>
  <si>
    <t>-820.555174144481 96.5814193890733 -170.557134665851</t>
  </si>
  <si>
    <t>-834.076302682661 94.0118126885504 -268.215886080093</t>
  </si>
  <si>
    <t>-841.650464475974 95.2416331655868 -356.981548150433</t>
  </si>
  <si>
    <t>-844.049664179944 99.8731315185796 -445.925674039285</t>
  </si>
  <si>
    <t>-841.830140902006 109.681723978449 -570.101629643445</t>
  </si>
  <si>
    <t>-803.894633091182 118.27574093051 -643.53241503838</t>
  </si>
  <si>
    <t>-845.99301643912 132.809732351412 -513.347078254688</t>
  </si>
  <si>
    <t>-849.133916254527 267.271370096338 -484.88309837411</t>
  </si>
  <si>
    <t>-711.299029885535 297.042979908838 -226.607247008756</t>
  </si>
  <si>
    <t>-476.716816434283 351.184201207128 -236.12999130718</t>
  </si>
  <si>
    <t>-839.62042768948 77.921285839634 -517.568754425126</t>
  </si>
  <si>
    <t>-825.879936275712 200.377156863679 -63.5197697877228</t>
  </si>
  <si>
    <t>-828.169351771827 218.859230348346 339.602787131699</t>
  </si>
  <si>
    <t>-870.043797608004 202.853712305986 785.52566334797</t>
  </si>
  <si>
    <t>-743.902866889684 277.257486707808 845.856130355339</t>
  </si>
  <si>
    <t>-755.672970841196 22.2431368934826 -57.8834493482095</t>
  </si>
  <si>
    <t>-677.364201656808 0.0682339740737916 337.376835445371</t>
  </si>
  <si>
    <t>-707.945805692408 -49.8748728097544 781.03211663064</t>
  </si>
  <si>
    <t>-584.509988441235 -119.596539909946 851.670576956164</t>
  </si>
  <si>
    <t>9763-20170724T111110.083884800.bin</t>
  </si>
  <si>
    <t>-790.555107024527 111.31612364308 -59.8916397375588</t>
  </si>
  <si>
    <t>-820.624599031146 96.2465176308433 -170.729193930822</t>
  </si>
  <si>
    <t>-834.43637821475 93.5069933261557 -268.34260721396</t>
  </si>
  <si>
    <t>-842.340892428374 94.6178016058229 -357.08111376187</t>
  </si>
  <si>
    <t>-845.136564891517 99.1702667132699 -446.017642672389</t>
  </si>
  <si>
    <t>-843.536811874973 108.912921383371 -570.20833062211</t>
  </si>
  <si>
    <t>-805.881235078103 117.636666230894 -643.767756020853</t>
  </si>
  <si>
    <t>-847.548570781249 132.055585776103 -513.448909828823</t>
  </si>
  <si>
    <t>-851.611454517431 266.500930226293 -484.994223928616</t>
  </si>
  <si>
    <t>-715.948247828243 295.23581776146 -225.454259749467</t>
  </si>
  <si>
    <t>-482.152079268709 352.830680907173 -234.00178445308</t>
  </si>
  <si>
    <t>-840.932702316405 77.195714554 -517.6673219027</t>
  </si>
  <si>
    <t>-826.196330367418 200.279294137036 -63.8379248149215</t>
  </si>
  <si>
    <t>-828.524606012556 218.830642465512 339.281305384333</t>
  </si>
  <si>
    <t>-870.091356438895 203.223475023236 785.239274862973</t>
  </si>
  <si>
    <t>-743.724070121545 277.124933429864 845.714141420966</t>
  </si>
  <si>
    <t>-755.332163690596 22.2392791552893 -58.0201329627446</t>
  </si>
  <si>
    <t>-677.096081094144 0.311015318713999 337.268254506178</t>
  </si>
  <si>
    <t>-708.014392063877 -49.8030077860246 780.963497380241</t>
  </si>
  <si>
    <t>-584.444163682382 -119.270888768104 851.616790430589</t>
  </si>
  <si>
    <t>9763-20170724T111110.116973000.bin</t>
  </si>
  <si>
    <t>-790.642442947234 111.32595714036 -59.9805250212107</t>
  </si>
  <si>
    <t>-820.754332229325 96.1552245791518 -170.792686233293</t>
  </si>
  <si>
    <t>-834.677819674235 93.3034533354912 -268.386993479676</t>
  </si>
  <si>
    <t>-842.715111369818 94.3052091719123 -357.114899351674</t>
  </si>
  <si>
    <t>-845.67543750427 98.7427498756629 -446.051910702823</t>
  </si>
  <si>
    <t>-844.339186189605 108.322142670664 -570.258484783985</t>
  </si>
  <si>
    <t>-806.853096530811 117.048326352398 -643.904172013461</t>
  </si>
  <si>
    <t>-848.281029017037 131.533457435241 -513.522243199363</t>
  </si>
  <si>
    <t>-852.735879881787 265.974380420404 -485.127550479084</t>
  </si>
  <si>
    <t>-719.598872597912 294.924611630986 -224.306463204793</t>
  </si>
  <si>
    <t>-486.012118864016 353.47802136672 -232.022744333663</t>
  </si>
  <si>
    <t>-841.573691932174 76.6800923095198 -517.680476038898</t>
  </si>
  <si>
    <t>-826.357077071699 200.289920914584 -63.9824836319787</t>
  </si>
  <si>
    <t>-828.717057642316 218.865960311574 339.135357844533</t>
  </si>
  <si>
    <t>-870.065614403322 203.375695604128 785.103627675952</t>
  </si>
  <si>
    <t>-743.683130687274 277.183696742237 845.660567354628</t>
  </si>
  <si>
    <t>-755.370354888618 22.2126359027725 -58.0635994382865</t>
  </si>
  <si>
    <t>-676.998979024021 0.454098020012225 337.207425573538</t>
  </si>
  <si>
    <t>-708.016196803051 -49.6910387274027 780.919468708473</t>
  </si>
  <si>
    <t>-584.548704612282 -119.313286251554 851.600604478277</t>
  </si>
  <si>
    <t>9763-20170724T111110.182250200.bin</t>
  </si>
  <si>
    <t>-790.615112605045 111.496067335629 -60.1070808478657</t>
  </si>
  <si>
    <t>-820.743366934484 96.239661417454 -170.903138821689</t>
  </si>
  <si>
    <t>-834.80874691979 93.1697552438027 -268.470424018013</t>
  </si>
  <si>
    <t>-843.034925910445 93.9242986652175 -357.183617620389</t>
  </si>
  <si>
    <t>-846.249136065091 98.0723942304408 -446.125706800511</t>
  </si>
  <si>
    <t>-845.338699903707 107.2093391275 -570.369401832731</t>
  </si>
  <si>
    <t>-808.170454186764 115.796821579223 -644.192176862036</t>
  </si>
  <si>
    <t>-849.188381417915 130.609947800107 -513.704535876858</t>
  </si>
  <si>
    <t>-854.250422904675 265.074598780713 -485.567534344969</t>
  </si>
  <si>
    <t>-729.072256754593 294.743461474521 -220.914167007444</t>
  </si>
  <si>
    <t>-495.814558883563 354.821974612039 -226.598528347663</t>
  </si>
  <si>
    <t>-842.29040205567 75.7673055141868 -517.687153346497</t>
  </si>
  <si>
    <t>-826.242461710591 200.530573583 -64.1700759343432</t>
  </si>
  <si>
    <t>-828.665662681964 218.907929433884 338.956535459096</t>
  </si>
  <si>
    <t>-869.807300975549 203.390254303392 784.947827308687</t>
  </si>
  <si>
    <t>-743.579655539984 277.380069424504 845.605906490757</t>
  </si>
  <si>
    <t>-755.391784591927 22.3301647545563 -58.1318197766855</t>
  </si>
  <si>
    <t>-676.907713753084 0.691475352711677 337.123361312823</t>
  </si>
  <si>
    <t>-708.078313454063 -49.6396230869027 780.870946497572</t>
  </si>
  <si>
    <t>-584.827929993131 -119.609400873573 851.587800821532</t>
  </si>
  <si>
    <t>9763-20170724T111110.214336600.bin</t>
  </si>
  <si>
    <t>-790.640305075996 111.7026053533 -60.1034230146297</t>
  </si>
  <si>
    <t>-820.820030433649 96.4190183517044 -170.881624087051</t>
  </si>
  <si>
    <t>-834.952239253883 93.2632861482398 -268.436659321611</t>
  </si>
  <si>
    <t>-843.253224289038 93.9203591680721 -357.143393374243</t>
  </si>
  <si>
    <t>-846.559812072172 97.955061138051 -446.087428238935</t>
  </si>
  <si>
    <t>-845.798689710402 106.92096593359 -570.34457828798</t>
  </si>
  <si>
    <t>-808.76988897816 115.423550531928 -644.247156843223</t>
  </si>
  <si>
    <t>-849.644304608431 130.391422496691 -513.708439425682</t>
  </si>
  <si>
    <t>-855.045954064719 264.863044704684 -485.649055760347</t>
  </si>
  <si>
    <t>-734.552647565094 294.801981937335 -218.860345793088</t>
  </si>
  <si>
    <t>-501.344230846086 355.246163578341 -222.209699085362</t>
  </si>
  <si>
    <t>-842.622978041423 75.5593833935127 -517.621828379251</t>
  </si>
  <si>
    <t>-826.184375449712 200.826868919452 -64.1906405916448</t>
  </si>
  <si>
    <t>-828.65398932149 219.126682924611 338.939180097975</t>
  </si>
  <si>
    <t>-869.978039193313 203.616454475413 784.929661562359</t>
  </si>
  <si>
    <t>-743.495290198839 277.160209004122 845.598180979903</t>
  </si>
  <si>
    <t>-755.559667637584 22.4582920982862 -58.1011630033012</t>
  </si>
  <si>
    <t>-676.827601581741 0.731991213939182 337.099901747056</t>
  </si>
  <si>
    <t>-708.136648731209 -49.7219393691084 780.854307601072</t>
  </si>
  <si>
    <t>-584.743105748426 -119.441736975541 851.568504691215</t>
  </si>
  <si>
    <t>9763-20170724T111110.280016800.bin</t>
  </si>
  <si>
    <t>-790.513644235973 112.045392986059 -60.0751641904156</t>
  </si>
  <si>
    <t>-820.713596974804 96.6996468669895 -170.839411635708</t>
  </si>
  <si>
    <t>-834.910587706358 93.414119809092 -268.380706332522</t>
  </si>
  <si>
    <t>-843.297291347507 93.9305212185286 -357.080277973702</t>
  </si>
  <si>
    <t>-846.720246094691 97.808409656494 -446.026926104131</t>
  </si>
  <si>
    <t>-846.157248495967 106.543437874027 -570.30157354213</t>
  </si>
  <si>
    <t>-809.340431492366 114.890496644413 -644.327836131998</t>
  </si>
  <si>
    <t>-850.025032646138 130.104694948604 -513.704630649989</t>
  </si>
  <si>
    <t>-856.133860160069 264.554740660256 -485.721053520271</t>
  </si>
  <si>
    <t>-745.694910785359 294.3565939155 -214.60055398464</t>
  </si>
  <si>
    <t>-512.924555086043 356.55354086736 -214.105834821684</t>
  </si>
  <si>
    <t>-842.784908594216 75.2945163066538 -517.524177323973</t>
  </si>
  <si>
    <t>-825.915296384791 201.303611622359 -64.2095430506212</t>
  </si>
  <si>
    <t>-828.345958760558 219.242701437599 338.936825146186</t>
  </si>
  <si>
    <t>-869.782772292039 203.590627711592 784.853703499648</t>
  </si>
  <si>
    <t>-743.464253845228 277.373429491788 845.57422276971</t>
  </si>
  <si>
    <t>-755.44539460216 22.6306820008326 -58.0446083894867</t>
  </si>
  <si>
    <t>-676.59661124436 0.815001469148683 337.128290974274</t>
  </si>
  <si>
    <t>-708.246140684006 -49.8474806854856 780.831340240653</t>
  </si>
  <si>
    <t>-584.774909551179 -119.421976301709 851.5527670452</t>
  </si>
  <si>
    <t>9763-20170724T111110.317115700.bin</t>
  </si>
  <si>
    <t>-790.399684149184 112.324268880143 -60.1132006118463</t>
  </si>
  <si>
    <t>-820.583234916179 96.9099219045115 -170.872314506296</t>
  </si>
  <si>
    <t>-834.787721284524 93.5654596049094 -268.410564555088</t>
  </si>
  <si>
    <t>-843.191685682375 94.0314479493541 -357.108913274431</t>
  </si>
  <si>
    <t>-846.643313053463 97.8633074904633 -446.056368193343</t>
  </si>
  <si>
    <t>-846.132767935421 106.541430708412 -570.335246685967</t>
  </si>
  <si>
    <t>-809.395060339381 114.819409215243 -644.408374682431</t>
  </si>
  <si>
    <t>-850.032902527048 130.121194566275 -513.748132760312</t>
  </si>
  <si>
    <t>-856.519912920205 264.558746155673 -485.783536163263</t>
  </si>
  <si>
    <t>-750.697057979598 294.00229501044 -212.789297773987</t>
  </si>
  <si>
    <t>-518.0675532585 356.719260844293 -211.799942810622</t>
  </si>
  <si>
    <t>-842.681959408734 75.3241574113708 -517.544259597717</t>
  </si>
  <si>
    <t>-825.86112546521 201.617812135307 -64.2619918306077</t>
  </si>
  <si>
    <t>-828.304355911434 219.384100990076 338.891844144707</t>
  </si>
  <si>
    <t>-869.82574378527 203.699570586031 784.806124290289</t>
  </si>
  <si>
    <t>-743.333832984475 277.165032531078 845.551080371415</t>
  </si>
  <si>
    <t>-755.278392341581 22.9057623420372 -58.0175724841077</t>
  </si>
  <si>
    <t>-676.495186120665 0.92474987015521 337.15921080116</t>
  </si>
  <si>
    <t>-708.28974141909 -49.8739452246678 780.832356731382</t>
  </si>
  <si>
    <t>-584.657472167937 -119.171954618512 851.544068085429</t>
  </si>
  <si>
    <t>9763-20170724T111110.385920500.bin</t>
  </si>
  <si>
    <t>-789.909279694618 112.724262720585 -60.1639877060949</t>
  </si>
  <si>
    <t>-820.102433043199 97.184907705112 -170.903036612565</t>
  </si>
  <si>
    <t>-834.354274732654 93.7262786005067 -268.430247103198</t>
  </si>
  <si>
    <t>-842.818019394942 94.0883660138325 -357.123481776641</t>
  </si>
  <si>
    <t>-846.347549563446 97.8187994424979 -446.072091964142</t>
  </si>
  <si>
    <t>-845.965388770604 106.359865357058 -570.360976968762</t>
  </si>
  <si>
    <t>-809.342334113952 114.541514945204 -644.501544526288</t>
  </si>
  <si>
    <t>-849.907057201054 129.988608941807 -513.797188414671</t>
  </si>
  <si>
    <t>-857.269465097943 264.367259343391 -485.765743722403</t>
  </si>
  <si>
    <t>-759.609448543939 292.877153784746 -209.648306895887</t>
  </si>
  <si>
    <t>-527.007461179275 355.692492903533 -210.87187089322</t>
  </si>
  <si>
    <t>-842.360334820176 75.2142639293943 -517.538031295133</t>
  </si>
  <si>
    <t>-825.482261470687 202.011799681027 -64.3425178884519</t>
  </si>
  <si>
    <t>-828.017341485877 219.578045923974 338.819533200565</t>
  </si>
  <si>
    <t>-869.715043426183 203.719201695356 784.722924241451</t>
  </si>
  <si>
    <t>-743.310256578294 277.306632236304 845.502211305775</t>
  </si>
  <si>
    <t>-754.656747032704 23.2504399162281 -58.0072055961396</t>
  </si>
  <si>
    <t>-675.961353043209 1.14845044301228 337.180303355884</t>
  </si>
  <si>
    <t>-708.365736620406 -49.9084364879702 780.809180525458</t>
  </si>
  <si>
    <t>-584.713262122656 -119.150471444246 851.540329009952</t>
  </si>
  <si>
    <t>9763-20170724T111110.419024200.bin</t>
  </si>
  <si>
    <t>-789.545096504673 112.921525150643 -60.1606968919505</t>
  </si>
  <si>
    <t>-819.701499593471 97.3331760429578 -170.902705146975</t>
  </si>
  <si>
    <t>-833.967474080491 93.7903034637934 -268.425043791728</t>
  </si>
  <si>
    <t>-842.464596049992 94.0604229486307 -357.115355764166</t>
  </si>
  <si>
    <t>-846.049166904556 97.685178490929 -446.066182827358</t>
  </si>
  <si>
    <t>-845.767287296655 106.066130921769 -570.366226572074</t>
  </si>
  <si>
    <t>-809.182920689602 114.200117931326 -644.531280760839</t>
  </si>
  <si>
    <t>-849.713364668408 129.760675942136 -513.830281447067</t>
  </si>
  <si>
    <t>-857.76597203164 264.129027037628 -485.938190800052</t>
  </si>
  <si>
    <t>-763.609296569216 292.73001536412 -208.615715850611</t>
  </si>
  <si>
    <t>-530.693839292551 354.328402024379 -211.234282961087</t>
  </si>
  <si>
    <t>-842.069076827305 74.9955773708134 -517.505482515272</t>
  </si>
  <si>
    <t>-825.22919404343 202.250672946723 -64.3584750163145</t>
  </si>
  <si>
    <t>-827.802927817028 219.548635142809 338.81495829874</t>
  </si>
  <si>
    <t>-869.590992111656 203.621346174912 784.716045385911</t>
  </si>
  <si>
    <t>-743.306435988553 277.433754952278 845.4714779712</t>
  </si>
  <si>
    <t>-754.204636408966 23.4312883235766 -58.0125733586365</t>
  </si>
  <si>
    <t>-675.647470801054 1.24529982469858 337.197760878035</t>
  </si>
  <si>
    <t>-708.389450563499 -49.890422152157 780.794686187301</t>
  </si>
  <si>
    <t>-584.763572443534 -119.163243341537 851.542144859624</t>
  </si>
  <si>
    <t>9763-20170724T111110.483714000.bin</t>
  </si>
  <si>
    <t>-788.853763430336 113.554450899099 -60.1895529526213</t>
  </si>
  <si>
    <t>-818.952500357341 97.8938604060336 -170.937188605713</t>
  </si>
  <si>
    <t>-833.220518554148 94.1132651255434 -268.450231430597</t>
  </si>
  <si>
    <t>-841.748855068493 94.1014814357454 -357.137946782639</t>
  </si>
  <si>
    <t>-845.398639854397 97.3833920939519 -446.099385031858</t>
  </si>
  <si>
    <t>-845.248049295924 105.224859544841 -570.434942179768</t>
  </si>
  <si>
    <t>-808.723316985755 113.249346235219 -644.641179570088</t>
  </si>
  <si>
    <t>-849.243936382411 129.149284920096 -513.999269400519</t>
  </si>
  <si>
    <t>-858.689279131839 263.565519811131 -486.816838720234</t>
  </si>
  <si>
    <t>-774.069657266864 293.671584315025 -206.594910312547</t>
  </si>
  <si>
    <t>-538.672705169899 344.917407824174 -210.212577644054</t>
  </si>
  <si>
    <t>-841.385145015084 74.3992692799584 -517.442736708187</t>
  </si>
  <si>
    <t>-824.765993340869 202.991010469484 -64.4021416162376</t>
  </si>
  <si>
    <t>-827.618077682069 219.44615124495 338.804708705321</t>
  </si>
  <si>
    <t>-869.44566552727 203.488026342283 784.709716515834</t>
  </si>
  <si>
    <t>-743.197934752749 277.426138746284 845.389098204508</t>
  </si>
  <si>
    <t>-753.373836387418 23.9365566250262 -57.9886324527661</t>
  </si>
  <si>
    <t>-674.997147374456 1.43279087458995 337.239614432839</t>
  </si>
  <si>
    <t>-708.463373202537 -49.9452041179375 780.77290271464</t>
  </si>
  <si>
    <t>-584.737040971078 -119.023972256399 851.534685068806</t>
  </si>
  <si>
    <t>9763-20170724T111110.517804000.bin</t>
  </si>
  <si>
    <t>-788.588586502538 113.98970750666 -60.1785937218809</t>
  </si>
  <si>
    <t>-818.65923606954 98.2941147170591 -170.928983228608</t>
  </si>
  <si>
    <t>-832.907846130361 94.3798814016377 -268.439441822833</t>
  </si>
  <si>
    <t>-841.423251201429 94.2051774620186 -357.128274673158</t>
  </si>
  <si>
    <t>-845.066932563093 97.2824467587757 -446.097392922637</t>
  </si>
  <si>
    <t>-844.915729647215 104.794423115585 -570.45315171166</t>
  </si>
  <si>
    <t>-808.400305525682 112.732561090254 -644.673328163625</t>
  </si>
  <si>
    <t>-848.931990477914 128.865232624258 -514.08130898099</t>
  </si>
  <si>
    <t>-858.807942379778 263.320937689614 -487.277852092544</t>
  </si>
  <si>
    <t>-780.372682854385 293.489473418158 -205.269002472415</t>
  </si>
  <si>
    <t>-544.102208287649 340.595458283252 -208.124584896666</t>
  </si>
  <si>
    <t>-841.032428910445 74.1122982842185 -517.379267895509</t>
  </si>
  <si>
    <t>-824.621701635041 203.448004869631 -64.40080677017</t>
  </si>
  <si>
    <t>-827.582896857249 219.557935690382 338.819138759866</t>
  </si>
  <si>
    <t>-869.49977594358 203.52778589225 784.720464596526</t>
  </si>
  <si>
    <t>-743.115753695018 277.269095384932 845.355603373506</t>
  </si>
  <si>
    <t>-752.962846672637 24.3900484829737 -57.9732556801785</t>
  </si>
  <si>
    <t>-674.620567903949 1.63595002050852 337.247459747079</t>
  </si>
  <si>
    <t>-708.446132894727 -49.771287856503 780.747161638111</t>
  </si>
  <si>
    <t>-584.87406207029 -119.098520049194 851.535454832851</t>
  </si>
  <si>
    <t>9763-20170724T111110.582482100.bin</t>
  </si>
  <si>
    <t>-787.919149921076 114.694697052733 -60.0901725391592</t>
  </si>
  <si>
    <t>-817.949836120181 98.888657616923 -170.835596784095</t>
  </si>
  <si>
    <t>-832.132195344901 94.8750708762454 -268.351809606152</t>
  </si>
  <si>
    <t>-840.573478998585 94.6064623946586 -357.047537808121</t>
  </si>
  <si>
    <t>-844.129310899417 97.5846704955247 -446.023416491161</t>
  </si>
  <si>
    <t>-843.840312237895 104.952478955308 -570.38755725592</t>
  </si>
  <si>
    <t>-807.310611107323 112.781706435548 -644.612293800452</t>
  </si>
  <si>
    <t>-847.944532491274 129.084933081975 -514.048600972972</t>
  </si>
  <si>
    <t>-858.095475851078 263.547569082914 -487.3813443427</t>
  </si>
  <si>
    <t>-791.139322990821 289.395317346133 -202.004545795517</t>
  </si>
  <si>
    <t>-553.558650289579 329.468001946619 -202.722865187097</t>
  </si>
  <si>
    <t>-839.990696816626 74.3355399784659 -517.273645758199</t>
  </si>
  <si>
    <t>-824.125294979727 204.264735311883 -64.3595892440374</t>
  </si>
  <si>
    <t>-826.951940123354 219.888267235881 338.880541135614</t>
  </si>
  <si>
    <t>-869.427623805264 203.390192212088 784.741683731691</t>
  </si>
  <si>
    <t>-743.098078340858 277.315646865598 845.265708985996</t>
  </si>
  <si>
    <t>-752.071549617458 24.9484253369865 -57.8898629810759</t>
  </si>
  <si>
    <t>-673.866219700064 1.79209117170467 337.334583115247</t>
  </si>
  <si>
    <t>-708.54364859416 -49.91847146433 780.721005242482</t>
  </si>
  <si>
    <t>-584.746051376555 -118.831213156458 851.519591934285</t>
  </si>
  <si>
    <t>9763-20170724T111110.615571700.bin</t>
  </si>
  <si>
    <t>-787.580753498339 115.181870328948 -60.070271248144</t>
  </si>
  <si>
    <t>-817.589687011137 99.3252441908121 -170.814487565957</t>
  </si>
  <si>
    <t>-831.723125400573 95.3371542689747 -268.338774751193</t>
  </si>
  <si>
    <t>-840.10654835331 95.1188758376093 -357.040074858856</t>
  </si>
  <si>
    <t>-843.589102981419 98.1747522124629 -446.016255925672</t>
  </si>
  <si>
    <t>-843.181827333717 105.679712914002 -570.371994219172</t>
  </si>
  <si>
    <t>-806.634302609759 113.493271927389 -644.589395830539</t>
  </si>
  <si>
    <t>-847.365756705107 129.746431342513 -514.010442956236</t>
  </si>
  <si>
    <t>-857.758348721163 264.166515432868 -487.208101506055</t>
  </si>
  <si>
    <t>-795.971474243689 286.990959857855 -200.410895257709</t>
  </si>
  <si>
    <t>-558.150574818209 325.601233076247 -199.270901233051</t>
  </si>
  <si>
    <t>-839.356539899262 75.0081512235765 -517.287666281813</t>
  </si>
  <si>
    <t>-823.843514176541 204.777224034644 -64.3541501289734</t>
  </si>
  <si>
    <t>-826.616015928542 220.137757581339 338.896434502774</t>
  </si>
  <si>
    <t>-869.4573372754 203.383811959492 784.715623715203</t>
  </si>
  <si>
    <t>-743.067922620062 277.249852758265 845.18693342309</t>
  </si>
  <si>
    <t>-751.668211071676 25.4554089450207 -57.835938013728</t>
  </si>
  <si>
    <t>-673.491078234561 2.04033914456522 337.378887575081</t>
  </si>
  <si>
    <t>-708.538507414219 -49.7497274470907 780.708955316238</t>
  </si>
  <si>
    <t>-584.877217789519 -118.886377249135 851.527738333331</t>
  </si>
  <si>
    <t>9763-20170724T111110.680425400.bin</t>
  </si>
  <si>
    <t>-786.907457209252 115.922275171948 -60.1680761355611</t>
  </si>
  <si>
    <t>-816.784728761889 100.047675156437 -170.945166838765</t>
  </si>
  <si>
    <t>-830.746220258864 96.223580834213 -268.500847471212</t>
  </si>
  <si>
    <t>-838.947753309914 96.2274879083661 -357.219425452664</t>
  </si>
  <si>
    <t>-842.222189316707 99.5823016534423 -446.19270451402</t>
  </si>
  <si>
    <t>-841.494794548363 107.586411902052 -570.515854932416</t>
  </si>
  <si>
    <t>-804.911990209305 115.579478174152 -644.696963331271</t>
  </si>
  <si>
    <t>-845.955354011667 131.407166911246 -514.071189019914</t>
  </si>
  <si>
    <t>-857.174431889406 265.681920583033 -486.867066627264</t>
  </si>
  <si>
    <t>-801.173439287198 284.641358689308 -198.603815957959</t>
  </si>
  <si>
    <t>-563.102291327839 321.372189012439 -193.731193560225</t>
  </si>
  <si>
    <t>-837.674273897811 76.7213824074311 -517.543564825363</t>
  </si>
  <si>
    <t>-823.192657703443 205.383638182512 -64.4518707930869</t>
  </si>
  <si>
    <t>-826.054542055435 220.524727595418 338.806400025581</t>
  </si>
  <si>
    <t>-869.228785468133 203.29822000848 784.48007991261</t>
  </si>
  <si>
    <t>-742.986973443503 277.347833885867 845.035622438591</t>
  </si>
  <si>
    <t>-750.938420348509 26.3527351085118 -57.8400922885654</t>
  </si>
  <si>
    <t>-672.923676003352 2.42990001933777 337.376430951019</t>
  </si>
  <si>
    <t>-708.556557129089 -49.5018139997665 780.677058774399</t>
  </si>
  <si>
    <t>-585.127997469991 -119.028204364751 851.520301887865</t>
  </si>
  <si>
    <t>9763-20170724T111110.717523500.bin</t>
  </si>
  <si>
    <t>-786.574782087456 116.109158114338 -60.2262320809868</t>
  </si>
  <si>
    <t>-816.33960636535 100.214097196606 -171.030638891343</t>
  </si>
  <si>
    <t>-830.205535736025 96.4700414739427 -268.603097648764</t>
  </si>
  <si>
    <t>-838.318234522987 96.5845926048396 -357.329680045614</t>
  </si>
  <si>
    <t>-841.500547935715 100.089525289277 -446.300679245877</t>
  </si>
  <si>
    <t>-840.640780144978 108.344625343129 -570.606480653393</t>
  </si>
  <si>
    <t>-804.036576522021 116.475074018261 -644.762122763053</t>
  </si>
  <si>
    <t>-845.22947909592 132.040913967791 -514.119843644179</t>
  </si>
  <si>
    <t>-856.934489117693 266.231145614231 -486.713284290293</t>
  </si>
  <si>
    <t>-800.265856904117 285.3290879562 -198.589883549576</t>
  </si>
  <si>
    <t>-562.236528976989 322.030784480266 -191.81077309305</t>
  </si>
  <si>
    <t>-836.808433430485 77.3829593069408 -517.691380348237</t>
  </si>
  <si>
    <t>-822.857404305897 205.518508954151 -64.5354825907641</t>
  </si>
  <si>
    <t>-825.879605475933 220.757027349096 338.717886591346</t>
  </si>
  <si>
    <t>-869.16474162221 203.368016971125 784.340707985945</t>
  </si>
  <si>
    <t>-742.86264336802 277.230695604132 844.998294653033</t>
  </si>
  <si>
    <t>-750.549697501802 26.5655707165765 -57.89992388341</t>
  </si>
  <si>
    <t>-672.727768490345 2.45686413870271 337.343269160298</t>
  </si>
  <si>
    <t>-708.636504080348 -49.6421205649674 780.660536543222</t>
  </si>
  <si>
    <t>-585.11241709041 -119.00763194808 851.494727385118</t>
  </si>
  <si>
    <t>9763-20170724T111110.782703800.bin</t>
  </si>
  <si>
    <t>-785.855738250323 116.473914441633 -60.3169538173951</t>
  </si>
  <si>
    <t>-815.351840762182 100.638781157139 -171.201856658077</t>
  </si>
  <si>
    <t>-829.023003530387 97.0443941431408 -268.807378300502</t>
  </si>
  <si>
    <t>-836.971614225025 97.332164802503 -357.548443715123</t>
  </si>
  <si>
    <t>-840.000229548238 101.048038682739 -446.516156575934</t>
  </si>
  <si>
    <t>-838.934330669288 109.63673551781 -570.797717851513</t>
  </si>
  <si>
    <t>-802.322957600124 117.994662610079 -644.924586460985</t>
  </si>
  <si>
    <t>-843.680475596605 133.17155029337 -514.25667469083</t>
  </si>
  <si>
    <t>-855.994491396266 267.263876301463 -486.692412342804</t>
  </si>
  <si>
    <t>-793.914738810659 288.602013094203 -199.84398661678</t>
  </si>
  <si>
    <t>-556.24428850404 327.543263408598 -192.978718314935</t>
  </si>
  <si>
    <t>-835.126202793575 78.5430658028827 -517.958455257312</t>
  </si>
  <si>
    <t>-822.078300481375 205.703277527407 -64.6279410523297</t>
  </si>
  <si>
    <t>-825.703732411276 220.857774674333 338.62369378473</t>
  </si>
  <si>
    <t>-869.038895300292 203.385888029387 784.230431991664</t>
  </si>
  <si>
    <t>-742.862245360113 277.380363981982 844.989461038516</t>
  </si>
  <si>
    <t>-749.989735188125 27.1027812124958 -57.9762235197328</t>
  </si>
  <si>
    <t>-672.45639409927 2.43627808423662 337.289265460794</t>
  </si>
  <si>
    <t>-708.730247533368 -49.7680804478848 780.62113792236</t>
  </si>
  <si>
    <t>-585.035274472059 -118.835659533796 851.44868218014</t>
  </si>
  <si>
    <t>9763-20170724T111110.815790900.bin</t>
  </si>
  <si>
    <t>-785.54706495933 116.558501216974 -60.3088505076312</t>
  </si>
  <si>
    <t>-814.909371517759 100.844032954794 -171.246397966566</t>
  </si>
  <si>
    <t>-828.45102310938 97.3591947634545 -268.873903298757</t>
  </si>
  <si>
    <t>-836.277688107295 97.7482584191607 -357.625368018157</t>
  </si>
  <si>
    <t>-839.179797830118 101.568335746012 -446.592958626598</t>
  </si>
  <si>
    <t>-837.933962201395 110.305742884594 -570.862445075603</t>
  </si>
  <si>
    <t>-801.338191222379 118.757329605097 -644.986289882176</t>
  </si>
  <si>
    <t>-842.766512879887 133.772131065384 -514.30021778349</t>
  </si>
  <si>
    <t>-855.208446639661 267.870946689177 -486.718815069228</t>
  </si>
  <si>
    <t>-789.48476773816 290.481272171785 -200.78116566131</t>
  </si>
  <si>
    <t>-551.937837870864 330.420376104864 -195.561927918693</t>
  </si>
  <si>
    <t>-834.197927224525 79.1493473255955 -518.054931180396</t>
  </si>
  <si>
    <t>-821.701121396292 205.853284996959 -64.6009806913261</t>
  </si>
  <si>
    <t>-825.682814274296 220.74399048102 338.657141134021</t>
  </si>
  <si>
    <t>-869.026139047684 203.394701057447 784.248441919509</t>
  </si>
  <si>
    <t>-742.805200461112 277.306251479633 845.015769309592</t>
  </si>
  <si>
    <t>-749.781073385084 27.0354209430166 -58.011132654883</t>
  </si>
  <si>
    <t>-672.322587502915 2.36198410169345 337.268565157557</t>
  </si>
  <si>
    <t>-708.778880808386 -49.8210581581552 780.612851743902</t>
  </si>
  <si>
    <t>-584.973059715137 -118.702360488007 851.428288836011</t>
  </si>
  <si>
    <t>9763-20170724T111110.885575300.bin</t>
  </si>
  <si>
    <t>-784.956037206842 116.779303415015 -60.3166877569256</t>
  </si>
  <si>
    <t>-814.101292529165 101.371190011505 -171.354214226509</t>
  </si>
  <si>
    <t>-827.355146998616 98.1319431924117 -269.029782793386</t>
  </si>
  <si>
    <t>-834.883924424395 98.7370495889299 -357.805849746526</t>
  </si>
  <si>
    <t>-837.452598588126 102.765036095849 -446.774527752328</t>
  </si>
  <si>
    <t>-835.706086306925 111.783429900468 -571.017907768968</t>
  </si>
  <si>
    <t>-799.163138948947 120.342440219228 -645.155480437047</t>
  </si>
  <si>
    <t>-840.717414074666 135.12964813685 -514.421452811727</t>
  </si>
  <si>
    <t>-852.916904992598 269.237526783814 -486.764926624227</t>
  </si>
  <si>
    <t>-779.993398855819 295.034899437631 -202.849846360405</t>
  </si>
  <si>
    <t>-542.368865415372 334.849717382986 -202.353076701077</t>
  </si>
  <si>
    <t>-832.23199250372 80.5002636903469 -518.26754514758</t>
  </si>
  <si>
    <t>-820.953016702934 206.252810980887 -64.5387020710531</t>
  </si>
  <si>
    <t>-825.493799468489 220.635856313419 338.731922038838</t>
  </si>
  <si>
    <t>-869.138053913458 203.548095734003 784.292180655755</t>
  </si>
  <si>
    <t>-742.647173783331 276.979051590864 845.081061070294</t>
  </si>
  <si>
    <t>-749.387915654134 27.1872529617558 -58.1703072584415</t>
  </si>
  <si>
    <t>-672.60917536189 2.35185250934273 337.231970107268</t>
  </si>
  <si>
    <t>-708.797994176557 -49.5944306902063 780.605971147172</t>
  </si>
  <si>
    <t>-585.190846766497 -118.831108083445 851.421518416726</t>
  </si>
  <si>
    <t>9763-20170724T111110.916655000.bin</t>
  </si>
  <si>
    <t>-784.608113687316 116.996912280371 -60.2794202193544</t>
  </si>
  <si>
    <t>-813.65913139549 101.754251758744 -171.364598436589</t>
  </si>
  <si>
    <t>-826.76083774625 98.6556108002801 -269.06516602872</t>
  </si>
  <si>
    <t>-834.125248948954 99.3869559231466 -357.854090088637</t>
  </si>
  <si>
    <t>-836.503300794592 103.539203152838 -446.822321352348</t>
  </si>
  <si>
    <t>-834.464036453442 112.728304392624 -571.048819819183</t>
  </si>
  <si>
    <t>-797.939424911937 121.314608951546 -645.192282796611</t>
  </si>
  <si>
    <t>-839.571724478966 136.00229245168 -514.431228766195</t>
  </si>
  <si>
    <t>-851.507244574906 270.115116263159 -486.726988494206</t>
  </si>
  <si>
    <t>-775.399651863731 297.150905528608 -203.764316933174</t>
  </si>
  <si>
    <t>-537.650902650773 336.205164374164 -204.834955858836</t>
  </si>
  <si>
    <t>-831.15109558184 81.3670427414008 -518.334416125916</t>
  </si>
  <si>
    <t>-820.354933555623 206.488538672592 -64.4658997468323</t>
  </si>
  <si>
    <t>-825.097010753667 220.630757658322 338.810856136771</t>
  </si>
  <si>
    <t>-868.984790198852 203.404072855632 784.34384886915</t>
  </si>
  <si>
    <t>-742.638104934393 277.08648715673 845.12867962502</t>
  </si>
  <si>
    <t>-749.285111421124 27.4437856354934 -58.1733809666893</t>
  </si>
  <si>
    <t>-672.635624054283 2.25776318386852 337.231770145472</t>
  </si>
  <si>
    <t>-708.836708909017 -49.6157867195716 780.609471820248</t>
  </si>
  <si>
    <t>-585.232635002511 -118.863219002449 851.420095155665</t>
  </si>
  <si>
    <t>9763-20170724T111110.980784100.bin</t>
  </si>
  <si>
    <t>-783.938782388183 117.666927717726 -60.1473781570979</t>
  </si>
  <si>
    <t>-812.84587072182 102.71614560529 -171.309833576231</t>
  </si>
  <si>
    <t>-825.643208824594 99.8667405985534 -269.058277143336</t>
  </si>
  <si>
    <t>-832.663336905171 100.821904980613 -357.873003548588</t>
  </si>
  <si>
    <t>-834.629629592703 105.19400180727 -446.840707638073</t>
  </si>
  <si>
    <t>-831.945968390556 114.684497214981 -571.032202427965</t>
  </si>
  <si>
    <t>-795.426989058933 123.331113849334 -645.171442800582</t>
  </si>
  <si>
    <t>-837.296341394666 137.82882084786 -514.384027886618</t>
  </si>
  <si>
    <t>-848.712095460334 271.962621341356 -486.514945513501</t>
  </si>
  <si>
    <t>-767.803414879781 300.292573049212 -205.014615852375</t>
  </si>
  <si>
    <t>-529.88054919227 338.136451202718 -208.407913391977</t>
  </si>
  <si>
    <t>-828.957373311322 83.1875359014157 -518.379393604622</t>
  </si>
  <si>
    <t>-819.161145041115 207.094513218045 -64.2396796470983</t>
  </si>
  <si>
    <t>-824.349956707021 220.828059482709 339.045740756774</t>
  </si>
  <si>
    <t>-868.893010986282 203.313781370997 784.476382460678</t>
  </si>
  <si>
    <t>-742.573749844589 277.03999478758 845.264939502396</t>
  </si>
  <si>
    <t>-749.032529018548 28.0956396099914 -58.0965874707622</t>
  </si>
  <si>
    <t>-672.289343670736 2.25640491681634 337.248232710053</t>
  </si>
  <si>
    <t>-708.839068214308 -49.3967405786614 780.601305058564</t>
  </si>
  <si>
    <t>-585.366209976418 -118.870548578878 851.418872559975</t>
  </si>
  <si>
    <t>9763-20170724T111111.013872300.bin</t>
  </si>
  <si>
    <t>-783.576564770727 117.908296922367 -60.0830884664165</t>
  </si>
  <si>
    <t>-812.363187221209 103.096147122631 -171.295167900898</t>
  </si>
  <si>
    <t>-824.972228782131 100.381717028791 -269.072057586875</t>
  </si>
  <si>
    <t>-831.788942946633 101.466216627543 -357.90108111417</t>
  </si>
  <si>
    <t>-833.520665793125 105.974471110013 -446.866865635941</t>
  </si>
  <si>
    <t>-830.478278843797 115.662470955617 -571.03490820358</t>
  </si>
  <si>
    <t>-793.968233629934 124.392578598745 -645.168910269493</t>
  </si>
  <si>
    <t>-836.000310823701 138.715611852218 -514.365924841477</t>
  </si>
  <si>
    <t>-847.215271444174 272.844113874522 -486.397798276541</t>
  </si>
  <si>
    <t>-765.073629476552 300.682883559416 -205.205789554006</t>
  </si>
  <si>
    <t>-527.229365740943 338.926777574351 -209.495218109131</t>
  </si>
  <si>
    <t>-827.633793118087 84.0828775211694 -518.423552530355</t>
  </si>
  <si>
    <t>-818.661485527337 207.394574000404 -64.1447876880775</t>
  </si>
  <si>
    <t>-824.085188291252 220.863117140944 339.146451568942</t>
  </si>
  <si>
    <t>-868.835534941021 203.275630054476 784.526476459645</t>
  </si>
  <si>
    <t>-742.498978722848 276.954102865008 845.336518145443</t>
  </si>
  <si>
    <t>-748.755904961356 28.2471684251864 -58.0941300928089</t>
  </si>
  <si>
    <t>-672.168455561123 2.17794927432578 337.265778293563</t>
  </si>
  <si>
    <t>-708.912087621063 -49.587490872864 780.609017169923</t>
  </si>
  <si>
    <t>-585.334613150846 -118.888047548068 851.413755155541</t>
  </si>
  <si>
    <t>9763-20170724T111111.081050800.bin</t>
  </si>
  <si>
    <t>-782.918272141151 118.421695723973 -60.0443378932273</t>
  </si>
  <si>
    <t>-811.368526533276 103.809505635809 -171.369453252547</t>
  </si>
  <si>
    <t>-823.562353559614 101.287314813784 -269.204031612257</t>
  </si>
  <si>
    <t>-829.957753303727 102.554312101501 -358.062006572547</t>
  </si>
  <si>
    <t>-831.223984725385 107.254569919174 -447.025773684457</t>
  </si>
  <si>
    <t>-827.488232851625 117.221010571389 -571.15275461006</t>
  </si>
  <si>
    <t>-791.002822514226 126.127069416468 -645.277850931997</t>
  </si>
  <si>
    <t>-833.393091076495 140.136850886964 -514.466675997414</t>
  </si>
  <si>
    <t>-844.840951448492 274.219189424735 -486.34755424151</t>
  </si>
  <si>
    <t>-761.038505582168 301.809956007162 -205.621595766139</t>
  </si>
  <si>
    <t>-523.334434298072 340.721058628352 -211.406914763479</t>
  </si>
  <si>
    <t>-824.87101083366 85.5336671730324 -518.59448374964</t>
  </si>
  <si>
    <t>-817.970838397774 208.102782308104 -64.0858377132785</t>
  </si>
  <si>
    <t>-823.911746963036 220.832383053847 339.222147494508</t>
  </si>
  <si>
    <t>-868.815988721522 203.349103391378 784.555033834581</t>
  </si>
  <si>
    <t>-742.558059708251 277.084612267181 845.45971588844</t>
  </si>
  <si>
    <t>-748.201598318869 28.6066031735459 -58.1011972844615</t>
  </si>
  <si>
    <t>-671.954777633099 2.15826413407831 337.299356559916</t>
  </si>
  <si>
    <t>-709.004623315327 -49.7510446493379 780.616357849319</t>
  </si>
  <si>
    <t>-585.30438161346 -118.846291748662 851.407660824959</t>
  </si>
  <si>
    <t>9763-20170724T111111.118148600.bin</t>
  </si>
  <si>
    <t>-782.631126962501 118.765365027084 -60.0583626605114</t>
  </si>
  <si>
    <t>-810.864205697985 104.230395455173 -171.44891076901</t>
  </si>
  <si>
    <t>-822.84036815763 101.765918120951 -269.311808404388</t>
  </si>
  <si>
    <t>-829.027673501985 103.081053630866 -358.183728010708</t>
  </si>
  <si>
    <t>-830.076625239557 107.826094427696 -447.147994526557</t>
  </si>
  <si>
    <t>-826.028163865319 117.851500344086 -571.260461913783</t>
  </si>
  <si>
    <t>-789.540164190608 126.836630939403 -645.374750007607</t>
  </si>
  <si>
    <t>-832.118451366538 140.733951085172 -514.58052875729</t>
  </si>
  <si>
    <t>-843.799078848197 274.790082737095 -486.465707158177</t>
  </si>
  <si>
    <t>-759.587707018313 302.940701916366 -205.917743267963</t>
  </si>
  <si>
    <t>-521.894459897151 341.857032819345 -212.108697486076</t>
  </si>
  <si>
    <t>-823.500876932147 86.1457374409665 -518.708862055372</t>
  </si>
  <si>
    <t>-817.666441843676 208.46336239142 -64.0967850469478</t>
  </si>
  <si>
    <t>-823.985187342932 220.803923894458 339.21752774935</t>
  </si>
  <si>
    <t>-868.698348479367 203.343381031437 784.528986280397</t>
  </si>
  <si>
    <t>-742.511980824169 277.119155233795 845.532806736887</t>
  </si>
  <si>
    <t>-747.90657968674 28.9466308150854 -58.1034956057309</t>
  </si>
  <si>
    <t>-671.718358661635 2.27253759181212 337.293131984243</t>
  </si>
  <si>
    <t>-708.996148879047 -49.6231907262068 780.601944231137</t>
  </si>
  <si>
    <t>-585.274502827061 -118.684591747654 851.389069042451</t>
  </si>
  <si>
    <t>9763-20170724T111111.184332400.bin</t>
  </si>
  <si>
    <t>-782.193401763108 119.641288459941 -60.0782411755919</t>
  </si>
  <si>
    <t>-809.972674837195 105.226478607522 -171.598336962135</t>
  </si>
  <si>
    <t>-821.520423170319 102.848986598392 -269.514982299454</t>
  </si>
  <si>
    <t>-827.307301307403 104.234644372759 -358.41287864551</t>
  </si>
  <si>
    <t>-827.944832338753 109.041364409263 -447.377632120074</t>
  </si>
  <si>
    <t>-823.311380788488 119.144333752888 -571.463317181382</t>
  </si>
  <si>
    <t>-786.737893809395 128.263643874071 -645.519112017128</t>
  </si>
  <si>
    <t>-829.738031645273 141.980594443903 -514.802025794157</t>
  </si>
  <si>
    <t>-841.742340640294 276.015204901368 -486.731205371058</t>
  </si>
  <si>
    <t>-756.303025776324 305.524643004017 -206.694407724031</t>
  </si>
  <si>
    <t>-518.6765637459 344.761452653163 -213.39680407737</t>
  </si>
  <si>
    <t>-820.96245254804 87.4166607294092 -518.916801726544</t>
  </si>
  <si>
    <t>-817.258170364647 209.323348445389 -64.128074331222</t>
  </si>
  <si>
    <t>-824.20523028679 221.009607893385 339.195453710371</t>
  </si>
  <si>
    <t>-868.511406540486 203.402892286136 784.509096238429</t>
  </si>
  <si>
    <t>-742.503052796894 277.273232575108 845.765293307382</t>
  </si>
  <si>
    <t>-747.417854031507 29.8412187394729 -58.0918287540003</t>
  </si>
  <si>
    <t>-671.148497182437 2.57847764147891 337.249012122889</t>
  </si>
  <si>
    <t>-709.021918892848 -49.6019290871004 780.555774634223</t>
  </si>
  <si>
    <t>-585.383740591657 -118.799280224759 851.355736458242</t>
  </si>
  <si>
    <t>9763-20170724T111111.216415600.bin</t>
  </si>
  <si>
    <t>-782.073278715932 120.084745104572 -60.0539219934054</t>
  </si>
  <si>
    <t>-809.6258750848 105.731278401645 -171.638295287348</t>
  </si>
  <si>
    <t>-820.980512664052 103.400067093469 -269.578579576159</t>
  </si>
  <si>
    <t>-826.594577214496 104.823578259999 -358.486981795332</t>
  </si>
  <si>
    <t>-827.061873435215 109.665656103912 -447.450849444848</t>
  </si>
  <si>
    <t>-822.193969664555 119.813920080254 -571.523839980681</t>
  </si>
  <si>
    <t>-785.537714082698 128.975182005245 -645.533334636106</t>
  </si>
  <si>
    <t>-828.756870647144 142.624719295668 -514.867795866659</t>
  </si>
  <si>
    <t>-840.876196616002 276.64908646385 -486.814943375257</t>
  </si>
  <si>
    <t>-754.368939217044 306.688741201725 -207.162693693258</t>
  </si>
  <si>
    <t>-516.869771250339 346.631233751653 -214.198717075154</t>
  </si>
  <si>
    <t>-819.915425850759 88.0715667519153 -518.983059422161</t>
  </si>
  <si>
    <t>-817.22960113108 209.860920830979 -64.1202644198512</t>
  </si>
  <si>
    <t>-824.37805501301 221.214324507285 339.209201891122</t>
  </si>
  <si>
    <t>-868.632570899915 203.613975415623 784.529344902581</t>
  </si>
  <si>
    <t>-742.406769878968 277.002651592506 845.91727280122</t>
  </si>
  <si>
    <t>-747.222417808938 30.13160481149 -58.0752625446495</t>
  </si>
  <si>
    <t>-670.962194803951 2.67998537058747 337.254319424502</t>
  </si>
  <si>
    <t>-709.085357278364 -49.7642329691232 780.548200507362</t>
  </si>
  <si>
    <t>-585.153882440143 -118.461288560466 851.322367252096</t>
  </si>
  <si>
    <t>9763-20170724T111111.282214700.bin</t>
  </si>
  <si>
    <t>-781.740688394496 121.067667155886 -59.9888004513808</t>
  </si>
  <si>
    <t>-808.929293044444 106.81332838625 -171.674999981185</t>
  </si>
  <si>
    <t>-819.951024418048 104.534645545962 -269.654468122269</t>
  </si>
  <si>
    <t>-825.259131440372 105.992088649905 -358.581109572444</t>
  </si>
  <si>
    <t>-825.418344290071 110.856372413142 -447.544921665708</t>
  </si>
  <si>
    <t>-820.119262843492 121.024170639279 -571.598756042505</t>
  </si>
  <si>
    <t>-783.247497853036 130.196614486626 -645.499737642548</t>
  </si>
  <si>
    <t>-826.932559900129 143.817606525402 -514.965183512458</t>
  </si>
  <si>
    <t>-839.362713104221 277.850038152805 -487.029223948698</t>
  </si>
  <si>
    <t>-750.140633164212 309.397614693797 -208.398005241629</t>
  </si>
  <si>
    <t>-512.866531032386 350.269584460241 -217.41902604111</t>
  </si>
  <si>
    <t>-817.96963398484 89.282070929979 -519.052377437106</t>
  </si>
  <si>
    <t>-817.005723109047 210.892833601476 -64.0608484910599</t>
  </si>
  <si>
    <t>-824.434280891856 221.517439764648 339.283490057226</t>
  </si>
  <si>
    <t>-868.628452703192 203.756423471851 784.626889531136</t>
  </si>
  <si>
    <t>-742.556742945577 277.263609789032 846.18962228214</t>
  </si>
  <si>
    <t>-746.874790873359 31.0994958058541 -58.0074282207011</t>
  </si>
  <si>
    <t>-670.650426982768 3.12796790461243 337.292663464251</t>
  </si>
  <si>
    <t>-709.072115993517 -49.5748116332043 780.514240696613</t>
  </si>
  <si>
    <t>-585.146585511841 -118.280541236136 851.290732166078</t>
  </si>
  <si>
    <t>9763-20170724T111111.317307200.bin</t>
  </si>
  <si>
    <t>-781.552947317091 121.553556309861 -59.9326306173914</t>
  </si>
  <si>
    <t>-808.58121232952 107.359140577885 -171.66542126963</t>
  </si>
  <si>
    <t>-819.44634184958 105.086089215353 -269.662594878892</t>
  </si>
  <si>
    <t>-824.608707858982 106.53085410219 -358.597929174912</t>
  </si>
  <si>
    <t>-824.618561982272 111.36475019647 -447.563408235395</t>
  </si>
  <si>
    <t>-819.109346371804 121.472143950883 -571.613091759038</t>
  </si>
  <si>
    <t>-782.127258468628 130.614132356456 -645.462814214728</t>
  </si>
  <si>
    <t>-826.039085684507 144.289790945311 -515.003532255421</t>
  </si>
  <si>
    <t>-838.651401203006 278.329228650297 -487.233043051277</t>
  </si>
  <si>
    <t>-748.352254026947 311.155017035514 -209.096953773377</t>
  </si>
  <si>
    <t>-511.106491925239 351.979828081654 -219.030114665943</t>
  </si>
  <si>
    <t>-817.028372283014 89.7587406798466 -519.046565374239</t>
  </si>
  <si>
    <t>-816.785074056589 211.400965021352 -63.9969635767309</t>
  </si>
  <si>
    <t>-824.377029521097 221.637695461606 339.354306164422</t>
  </si>
  <si>
    <t>-868.526953907012 203.696887506324 784.699785002231</t>
  </si>
  <si>
    <t>-742.504251779541 277.253017996511 846.303897327413</t>
  </si>
  <si>
    <t>-746.669559898433 31.5776392557937 -57.9558345967473</t>
  </si>
  <si>
    <t>-670.40668281682 3.27736522146051 337.313427143869</t>
  </si>
  <si>
    <t>-709.075823901097 -49.5689388542316 780.491661559819</t>
  </si>
  <si>
    <t>-585.077016444561 -118.133432688222 851.276756776817</t>
  </si>
  <si>
    <t>9763-20170724T111111.381861500.bin</t>
  </si>
  <si>
    <t>-781.086577755326 122.603707218544 -59.7945292858424</t>
  </si>
  <si>
    <t>-807.862362375701 108.500624995835 -171.599645731845</t>
  </si>
  <si>
    <t>-818.481380019806 106.205589932238 -269.623209602899</t>
  </si>
  <si>
    <t>-823.414253796908 107.590599406284 -358.57255721531</t>
  </si>
  <si>
    <t>-823.191132207196 112.325376216379 -447.54314639827</t>
  </si>
  <si>
    <t>-817.354074184019 122.254123063218 -571.592226970056</t>
  </si>
  <si>
    <t>-780.178276400837 131.320892567985 -645.353902007652</t>
  </si>
  <si>
    <t>-824.447470652733 145.151151378912 -515.034967905012</t>
  </si>
  <si>
    <t>-837.216109650574 279.249137504487 -487.593633687687</t>
  </si>
  <si>
    <t>-744.181944845768 314.280498411324 -210.630344974275</t>
  </si>
  <si>
    <t>-506.949492096136 354.907241895568 -221.641585875539</t>
  </si>
  <si>
    <t>-815.397406322485 90.6188718027338 -518.973781511255</t>
  </si>
  <si>
    <t>-816.316553583555 212.520417422081 -63.8391253215563</t>
  </si>
  <si>
    <t>-824.119017152568 221.995207806926 339.526798973238</t>
  </si>
  <si>
    <t>-868.44960671562 203.667900239563 784.84975275927</t>
  </si>
  <si>
    <t>-742.543604207219 277.38128649855 846.504704079776</t>
  </si>
  <si>
    <t>-746.139887287614 32.5429158285438 -57.807548952978</t>
  </si>
  <si>
    <t>-669.59811897515 3.6539371798699 337.365234305503</t>
  </si>
  <si>
    <t>-709.078186326082 -49.4956355075926 780.458454782494</t>
  </si>
  <si>
    <t>-585.196735245336 -118.23921056324 851.275023092475</t>
  </si>
  <si>
    <t>9763-20170724T111111.417957600.bin</t>
  </si>
  <si>
    <t>-780.760350935952 123.015260080752 -59.7131599262509</t>
  </si>
  <si>
    <t>-807.431470498547 108.949848969173 -171.547961491641</t>
  </si>
  <si>
    <t>-817.946585260399 106.649267485077 -269.582717999425</t>
  </si>
  <si>
    <t>-822.780368707476 108.013159522684 -358.537822716893</t>
  </si>
  <si>
    <t>-822.454023759803 112.710325323443 -447.510123162747</t>
  </si>
  <si>
    <t>-816.469551312548 122.568468825602 -571.557743930021</t>
  </si>
  <si>
    <t>-779.200397438777 131.597502610528 -645.276919363235</t>
  </si>
  <si>
    <t>-823.620423886304 145.499061902041 -515.021410687062</t>
  </si>
  <si>
    <t>-836.326376933893 279.619383847286 -487.683611594815</t>
  </si>
  <si>
    <t>-741.594632599017 315.389823072832 -211.391116934778</t>
  </si>
  <si>
    <t>-504.37213713278 356.038843040544 -222.52778940986</t>
  </si>
  <si>
    <t>-814.585520720691 90.9615549028413 -518.91973585393</t>
  </si>
  <si>
    <t>-815.997751155288 212.997522988328 -63.7567753793294</t>
  </si>
  <si>
    <t>-823.890475860878 222.161103205318 339.614524218336</t>
  </si>
  <si>
    <t>-868.355515855432 203.595179480457 784.916440261228</t>
  </si>
  <si>
    <t>-742.378704644139 277.17390975981 846.587582243842</t>
  </si>
  <si>
    <t>-745.768238697109 32.8402761537573 -57.730599384352</t>
  </si>
  <si>
    <t>-669.158355827389 3.75949310484157 337.414857219935</t>
  </si>
  <si>
    <t>-709.105574163904 -49.5264094355189 780.450380911763</t>
  </si>
  <si>
    <t>-585.168881949692 -118.167493559225 851.270004344294</t>
  </si>
  <si>
    <t>9763-20170724T111111.483914300.bin</t>
  </si>
  <si>
    <t>-780.148968272407 123.842448217443 -59.5275207715949</t>
  </si>
  <si>
    <t>-806.642395392955 109.868057084487 -171.416021468736</t>
  </si>
  <si>
    <t>-816.956756366912 107.571467436473 -269.47206327508</t>
  </si>
  <si>
    <t>-821.592577271726 108.908008201632 -358.438182654468</t>
  </si>
  <si>
    <t>-821.053301549092 113.545301605671 -447.412552014756</t>
  </si>
  <si>
    <t>-814.757113840004 123.285322111522 -571.454130409394</t>
  </si>
  <si>
    <t>-777.357614885676 132.239130457205 -645.116399598238</t>
  </si>
  <si>
    <t>-822.014222595809 146.275550175386 -514.955494071554</t>
  </si>
  <si>
    <t>-834.520710490003 280.446331669076 -487.821142106599</t>
  </si>
  <si>
    <t>-736.978242270843 317.904243225328 -212.732864820337</t>
  </si>
  <si>
    <t>-499.656607805367 358.050756750755 -223.575318980461</t>
  </si>
  <si>
    <t>-813.041644255949 91.7228394234726 -518.783704116632</t>
  </si>
  <si>
    <t>-815.456180934909 214.045029882183 -63.5702265649791</t>
  </si>
  <si>
    <t>-823.499881915674 222.525138369273 339.813014714132</t>
  </si>
  <si>
    <t>-868.432511353005 203.670507205552 785.065581504142</t>
  </si>
  <si>
    <t>-742.316238299362 277.003485075586 846.743806034051</t>
  </si>
  <si>
    <t>-745.18519216354 33.5096841118489 -57.5475713838772</t>
  </si>
  <si>
    <t>-668.492380142504 3.92038393004168 337.544050563656</t>
  </si>
  <si>
    <t>-709.204342080116 -49.6433618623098 780.474212533912</t>
  </si>
  <si>
    <t>-585.197449729429 -118.166968520444 851.284437319729</t>
  </si>
  <si>
    <t>9763-20170724T111111.517001400.bin</t>
  </si>
  <si>
    <t>-779.877566129637 124.298090839186 -59.4102460376076</t>
  </si>
  <si>
    <t>-806.284517080548 110.387863306471 -171.327343398956</t>
  </si>
  <si>
    <t>-816.508055714907 108.104240263093 -269.393106545314</t>
  </si>
  <si>
    <t>-821.05739887883 109.435547957763 -358.36370827545</t>
  </si>
  <si>
    <t>-820.427374082597 114.050113096792 -447.33873888756</t>
  </si>
  <si>
    <t>-814.001513236034 123.740585870426 -571.377529755511</t>
  </si>
  <si>
    <t>-776.562184805706 132.650748725703 -645.024852557411</t>
  </si>
  <si>
    <t>-821.293791419858 146.757300311016 -514.894194652242</t>
  </si>
  <si>
    <t>-833.690362735584 280.968806768579 -487.86388873198</t>
  </si>
  <si>
    <t>-735.074146389921 319.269266538754 -213.275017670004</t>
  </si>
  <si>
    <t>-497.702485419301 359.243354646947 -223.654387626477</t>
  </si>
  <si>
    <t>-812.364669242525 92.1953131993541 -518.694146463486</t>
  </si>
  <si>
    <t>-815.107435949104 214.538495144098 -63.455172632191</t>
  </si>
  <si>
    <t>-823.261584401248 222.677466660508 339.932863900431</t>
  </si>
  <si>
    <t>-868.273964833797 203.493997786997 785.167960102794</t>
  </si>
  <si>
    <t>-742.332426908349 277.152615551921 846.815395243088</t>
  </si>
  <si>
    <t>-744.989447926472 33.9499832229867 -57.4300885730041</t>
  </si>
  <si>
    <t>-668.235248546411 4.00183685379398 337.62245282113</t>
  </si>
  <si>
    <t>-709.242557258321 -49.6724925247811 780.486720772311</t>
  </si>
  <si>
    <t>-585.137065000187 -118.023787658238 851.290710266812</t>
  </si>
  <si>
    <t>9763-20170724T111111.580731700.bin</t>
  </si>
  <si>
    <t>-779.465496539879 125.37659642747 -59.186939984006</t>
  </si>
  <si>
    <t>-805.736320728344 111.599191942518 -171.152478418589</t>
  </si>
  <si>
    <t>-815.775597747037 109.363065635495 -269.238424281603</t>
  </si>
  <si>
    <t>-820.134591605924 110.710769137039 -358.218398987749</t>
  </si>
  <si>
    <t>-819.292606960083 115.313751502003 -447.192244922165</t>
  </si>
  <si>
    <t>-812.54913320943 124.957632056743 -571.217659951578</t>
  </si>
  <si>
    <t>-774.99090284558 133.78099140036 -644.814969242791</t>
  </si>
  <si>
    <t>-819.919276305234 148.006057629257 -514.757547512785</t>
  </si>
  <si>
    <t>-831.956411889207 282.291415710036 -487.906792975074</t>
  </si>
  <si>
    <t>-731.574469966903 321.363014481856 -214.06738778629</t>
  </si>
  <si>
    <t>-494.119756907809 361.172213271406 -223.085269453241</t>
  </si>
  <si>
    <t>-811.113775849817 93.4215349388755 -518.52306169125</t>
  </si>
  <si>
    <t>-814.588815795038 215.587867170749 -63.1949863563806</t>
  </si>
  <si>
    <t>-822.696785286494 223.305560009571 340.202331815885</t>
  </si>
  <si>
    <t>-868.244716032392 203.362292561997 785.40691746911</t>
  </si>
  <si>
    <t>-742.287683418399 277.086740169729 846.943966900874</t>
  </si>
  <si>
    <t>-744.652670047974 35.0864973069265 -57.2239560201791</t>
  </si>
  <si>
    <t>-667.768318522406 4.38543562977702 337.745589289435</t>
  </si>
  <si>
    <t>-709.253671747332 -49.478312020894 780.493158889564</t>
  </si>
  <si>
    <t>-585.457355228449 -118.351879056464 851.332304950488</t>
  </si>
  <si>
    <t>9763-20170724T111111.614822000.bin</t>
  </si>
  <si>
    <t>-779.307844126576 125.845636756599 -59.0758532035811</t>
  </si>
  <si>
    <t>-805.533086662544 112.135115626319 -171.060134151304</t>
  </si>
  <si>
    <t>-815.479327490648 109.939326578743 -269.156546889785</t>
  </si>
  <si>
    <t>-819.732948460668 111.316248463447 -358.141161233126</t>
  </si>
  <si>
    <t>-818.764898185767 115.939484489789 -447.112575779863</t>
  </si>
  <si>
    <t>-811.824551998328 125.601555468928 -571.125887283947</t>
  </si>
  <si>
    <t>-774.202775034351 134.388257892985 -644.694832152945</t>
  </si>
  <si>
    <t>-819.241181722576 148.648294140191 -514.670951451133</t>
  </si>
  <si>
    <t>-831.034689520873 282.955493513869 -487.845981884584</t>
  </si>
  <si>
    <t>-729.937855696251 322.158934649427 -214.288423438262</t>
  </si>
  <si>
    <t>-492.457160237685 361.950302145335 -222.68267633363</t>
  </si>
  <si>
    <t>-810.516234989776 94.0511131911503 -518.436518577139</t>
  </si>
  <si>
    <t>-814.370159135794 216.030716697143 -63.0676755721435</t>
  </si>
  <si>
    <t>-822.33867263029 223.668484485489 340.333868406616</t>
  </si>
  <si>
    <t>-868.202368284304 203.252559115513 785.520798143025</t>
  </si>
  <si>
    <t>-742.240565261925 277.0283047099 846.986844508888</t>
  </si>
  <si>
    <t>-744.54308919278 35.5333955811934 -57.1267157864762</t>
  </si>
  <si>
    <t>-667.591117484882 4.54709372137677 337.807476809103</t>
  </si>
  <si>
    <t>-709.258263211488 -49.4025277812077 780.497043781733</t>
  </si>
  <si>
    <t>-585.633586172113 -118.560873930641 851.358606567841</t>
  </si>
  <si>
    <t>9763-20170724T111111.681058000.bin</t>
  </si>
  <si>
    <t>-778.992185558246 126.520504425867 -58.8434787781706</t>
  </si>
  <si>
    <t>-805.13534132123 112.958518813077 -170.865043772505</t>
  </si>
  <si>
    <t>-814.915361019762 110.835498323449 -268.97979307186</t>
  </si>
  <si>
    <t>-818.982564846199 112.255382364867 -357.972336636366</t>
  </si>
  <si>
    <t>-817.792514502075 116.895560616095 -446.940192621202</t>
  </si>
  <si>
    <t>-810.506697581258 126.552138611513 -570.934163255899</t>
  </si>
  <si>
    <t>-772.7240011654 135.262150484418 -644.430006914772</t>
  </si>
  <si>
    <t>-817.976931059183 149.617510644767 -514.493814988415</t>
  </si>
  <si>
    <t>-829.188662865113 283.979145869871 -487.677551812348</t>
  </si>
  <si>
    <t>-726.681946260589 323.352912047105 -214.669716039832</t>
  </si>
  <si>
    <t>-489.142910116403 362.951564290584 -222.286674351566</t>
  </si>
  <si>
    <t>-809.448967858269 94.9882209989983 -518.247316656115</t>
  </si>
  <si>
    <t>-813.870346373498 216.776860269033 -62.8260040465771</t>
  </si>
  <si>
    <t>-821.659065570006 224.176697142242 340.58355748271</t>
  </si>
  <si>
    <t>-868.160641878294 203.118457202023 785.682755160086</t>
  </si>
  <si>
    <t>-742.05205760354 276.731923405341 847.041953247831</t>
  </si>
  <si>
    <t>-744.391294951707 36.1363329723536 -56.9344491203489</t>
  </si>
  <si>
    <t>-667.275922428695 4.58814073898884 337.923201466597</t>
  </si>
  <si>
    <t>-709.348008913125 -49.4407119574905 780.530389538962</t>
  </si>
  <si>
    <t>-585.63866463413 -118.445893679178 851.39341989847</t>
  </si>
  <si>
    <t>9763-20170724T111111.716151900.bin</t>
  </si>
  <si>
    <t>-778.826516223965 126.781701627403 -58.7469028430518</t>
  </si>
  <si>
    <t>-804.936846343332 113.285619543938 -170.783930537629</t>
  </si>
  <si>
    <t>-814.665487871372 111.204718995381 -268.904802249417</t>
  </si>
  <si>
    <t>-818.678016950797 112.656573658153 -357.899303671394</t>
  </si>
  <si>
    <t>-817.424536364204 117.321707770695 -446.865220228401</t>
  </si>
  <si>
    <t>-810.041300761015 127.004839382088 -570.851147210725</t>
  </si>
  <si>
    <t>-772.198374383533 135.708388372118 -644.316926216788</t>
  </si>
  <si>
    <t>-817.509788147909 150.064825536163 -514.408529213943</t>
  </si>
  <si>
    <t>-828.45236095952 284.448143446737 -487.594869572442</t>
  </si>
  <si>
    <t>-725.192725609363 323.87023186553 -214.877700514599</t>
  </si>
  <si>
    <t>-487.636382693093 363.359198767582 -222.520687573414</t>
  </si>
  <si>
    <t>-809.070386846191 95.4226137204773 -518.173526952259</t>
  </si>
  <si>
    <t>-813.573226703655 217.059811142067 -62.7245335118185</t>
  </si>
  <si>
    <t>-821.390440268939 224.343231352434 340.686605317203</t>
  </si>
  <si>
    <t>-868.175517005048 203.106452762941 785.745277110259</t>
  </si>
  <si>
    <t>-742.134014097086 276.863283079764 847.070515621006</t>
  </si>
  <si>
    <t>-744.336385220226 36.3878380211154 -56.8473895627693</t>
  </si>
  <si>
    <t>-667.17332225123 4.60812291689763 337.982418393576</t>
  </si>
  <si>
    <t>-709.390664978334 -49.4147224693695 780.554383643817</t>
  </si>
  <si>
    <t>-585.692066379934 -118.444755166015 851.412275638668</t>
  </si>
  <si>
    <t>9763-20170724T111111.781620900.bin</t>
  </si>
  <si>
    <t>-778.504398441129 127.2436485653 -58.6066902755605</t>
  </si>
  <si>
    <t>-804.575882291832 113.851235541391 -170.665322413284</t>
  </si>
  <si>
    <t>-814.258760674291 111.829835296097 -268.791811540625</t>
  </si>
  <si>
    <t>-818.225155692125 113.323845514116 -357.787732299422</t>
  </si>
  <si>
    <t>-816.922354638592 118.017549642828 -446.75130462758</t>
  </si>
  <si>
    <t>-809.466896563036 127.726238665016 -570.730971205474</t>
  </si>
  <si>
    <t>-771.579482054296 136.475267400083 -644.168380983496</t>
  </si>
  <si>
    <t>-816.892257011756 150.786049600348 -514.282647204884</t>
  </si>
  <si>
    <t>-827.409845452336 285.197722217494 -487.463514611525</t>
  </si>
  <si>
    <t>-722.365875590672 324.609836672328 -215.427298704741</t>
  </si>
  <si>
    <t>-484.795354752431 363.977823136375 -223.248533710159</t>
  </si>
  <si>
    <t>-808.603124418885 96.1220056333732 -518.064831269246</t>
  </si>
  <si>
    <t>-813.125308197856 217.546639600823 -62.5664762692398</t>
  </si>
  <si>
    <t>-820.926257032361 224.6027831249 340.848970558312</t>
  </si>
  <si>
    <t>-868.103796864686 203.008965985412 785.856732841421</t>
  </si>
  <si>
    <t>-742.031737262335 276.757357635508 847.128396098279</t>
  </si>
  <si>
    <t>-744.161995733149 36.8564882672722 -56.7261872429676</t>
  </si>
  <si>
    <t>-667.03777821255 4.68037989570394 338.079161276297</t>
  </si>
  <si>
    <t>-709.478375033129 -49.3448603084316 780.605905963105</t>
  </si>
  <si>
    <t>-585.782178632865 -118.395095370032 851.448090623381</t>
  </si>
  <si>
    <t>9763-20170724T111111.818720100.bin</t>
  </si>
  <si>
    <t>-778.373053776432 127.379382256615 -58.5544191213029</t>
  </si>
  <si>
    <t>-804.42715223314 114.051923823021 -170.624835653456</t>
  </si>
  <si>
    <t>-814.097695201353 112.05882668294 -268.753179838864</t>
  </si>
  <si>
    <t>-818.05520095178 113.568154539271 -357.749174242202</t>
  </si>
  <si>
    <t>-816.745792465998 118.266489893153 -446.71247960303</t>
  </si>
  <si>
    <t>-809.283732579552 127.969986819706 -570.692127932891</t>
  </si>
  <si>
    <t>-771.404335798856 136.766113931618 -644.127963703652</t>
  </si>
  <si>
    <t>-816.676657108831 151.037061929547 -514.242426672683</t>
  </si>
  <si>
    <t>-827.004257060961 285.477750019707 -487.452267144486</t>
  </si>
  <si>
    <t>-721.130979611218 324.990475603036 -215.752449611084</t>
  </si>
  <si>
    <t>-483.554961521666 364.365823665848 -223.378077838013</t>
  </si>
  <si>
    <t>-808.458098128366 96.3627437769437 -518.027025513377</t>
  </si>
  <si>
    <t>-812.916547871771 217.697103465135 -62.5037687878763</t>
  </si>
  <si>
    <t>-820.735602675333 224.657394140528 340.913001240755</t>
  </si>
  <si>
    <t>-868.064011669003 202.965919637692 785.906235780889</t>
  </si>
  <si>
    <t>-741.991237764643 276.726341440653 847.162974019984</t>
  </si>
  <si>
    <t>-744.102915276302 36.9309431653783 -56.6851676927431</t>
  </si>
  <si>
    <t>-667.01155127758 4.684841823434 338.120899322359</t>
  </si>
  <si>
    <t>-709.535439276119 -49.3722819313689 780.626125256634</t>
  </si>
  <si>
    <t>-585.868337713832 -118.477255116092 851.46612495625</t>
  </si>
  <si>
    <t>9763-20170724T111111.883899000.bin</t>
  </si>
  <si>
    <t>-778.165863429809 127.54895362762 -58.4853421830037</t>
  </si>
  <si>
    <t>-804.180575918334 114.292336187607 -170.573342810579</t>
  </si>
  <si>
    <t>-813.846655191646 112.354344653616 -268.703188217854</t>
  </si>
  <si>
    <t>-817.811722095963 113.910589125901 -357.698108855215</t>
  </si>
  <si>
    <t>-816.520121970641 118.651235516262 -446.659381230303</t>
  </si>
  <si>
    <t>-809.093834266009 128.408883323083 -570.636902273014</t>
  </si>
  <si>
    <t>-771.25999590928 137.348371835571 -644.078922227949</t>
  </si>
  <si>
    <t>-816.398759434818 151.461726645839 -514.170135151392</t>
  </si>
  <si>
    <t>-826.260931200579 285.930367536478 -487.360022516348</t>
  </si>
  <si>
    <t>-718.609545032791 325.699191220089 -216.397285907778</t>
  </si>
  <si>
    <t>-480.978824973188 364.945662420868 -222.896390915045</t>
  </si>
  <si>
    <t>-808.325168910231 96.7683254097683 -517.990988531379</t>
  </si>
  <si>
    <t>-812.52565974392 217.883334597275 -62.4229458703984</t>
  </si>
  <si>
    <t>-820.404129626377 224.754773073832 340.994220639777</t>
  </si>
  <si>
    <t>-867.928854159055 202.895298946992 785.938478677466</t>
  </si>
  <si>
    <t>-741.905352274467 276.708259405316 847.232541365022</t>
  </si>
  <si>
    <t>-744.066819474966 37.0955809987972 -56.6159176349195</t>
  </si>
  <si>
    <t>-666.885942665085 4.7031130165351 338.160660329223</t>
  </si>
  <si>
    <t>-709.642655389484 -49.3849576008015 780.663024917019</t>
  </si>
  <si>
    <t>-586.021075688446 -118.584971029099 851.489146591952</t>
  </si>
  <si>
    <t>9763-20170724T111111.916991000.bin</t>
  </si>
  <si>
    <t>-778.095561693289 127.538284868458 -58.4648125563238</t>
  </si>
  <si>
    <t>-804.086497799431 114.30877210018 -170.561514362752</t>
  </si>
  <si>
    <t>-813.752487109525 112.401432099854 -268.691989003905</t>
  </si>
  <si>
    <t>-817.724630863905 113.98735991176 -357.686043001597</t>
  </si>
  <si>
    <t>-816.446817209501 118.759108017262 -446.645760187281</t>
  </si>
  <si>
    <t>-809.046021083527 128.560919575888 -570.621635908238</t>
  </si>
  <si>
    <t>-771.263267495808 137.579361917915 -644.080048365958</t>
  </si>
  <si>
    <t>-816.304419796156 151.59871363258 -514.142442860682</t>
  </si>
  <si>
    <t>-825.926436233503 286.069199465713 -487.260127321888</t>
  </si>
  <si>
    <t>-717.282952122543 326.096524641976 -216.731790995809</t>
  </si>
  <si>
    <t>-479.621311918285 365.303582432622 -222.272136526046</t>
  </si>
  <si>
    <t>-808.301540050474 96.8964765414607 -517.989444481715</t>
  </si>
  <si>
    <t>-812.365430086583 217.84356607213 -62.4012438144001</t>
  </si>
  <si>
    <t>-820.242975692573 224.687193268845 341.016386062172</t>
  </si>
  <si>
    <t>-867.77796202426 202.797488891525 785.949133091248</t>
  </si>
  <si>
    <t>-741.925518837638 276.872538111219 847.278776271154</t>
  </si>
  <si>
    <t>-744.080039127791 37.093663780619 -56.5862686975796</t>
  </si>
  <si>
    <t>-666.875827138688 4.65484751851773 338.181889388411</t>
  </si>
  <si>
    <t>-709.692680887623 -49.3654397621317 780.684059260827</t>
  </si>
  <si>
    <t>-586.021226307909 -118.496943943823 851.490145266466</t>
  </si>
  <si>
    <t>9763-20170724T111111.982850800.bin</t>
  </si>
  <si>
    <t>-778.281611003692 127.615576655869 -58.4292865622751</t>
  </si>
  <si>
    <t>-804.18937736085 114.448402584113 -170.552531140497</t>
  </si>
  <si>
    <t>-813.835292473279 112.622915059533 -268.686560691308</t>
  </si>
  <si>
    <t>-817.8073215089 114.293179214176 -357.679012098813</t>
  </si>
  <si>
    <t>-816.546607379573 119.157799454163 -446.634045577988</t>
  </si>
  <si>
    <t>-809.185581976793 129.097050275804 -570.601134864739</t>
  </si>
  <si>
    <t>-771.532851959628 138.291026209486 -644.104618348695</t>
  </si>
  <si>
    <t>-816.366864027421 152.080500840353 -514.090076544711</t>
  </si>
  <si>
    <t>-825.458627699728 286.55738810105 -487.053192740538</t>
  </si>
  <si>
    <t>-714.841692520254 326.854443917355 -217.365985544243</t>
  </si>
  <si>
    <t>-477.155859957845 366.159422224713 -220.759667198583</t>
  </si>
  <si>
    <t>-808.482652256745 97.3661483452374 -518.008754711057</t>
  </si>
  <si>
    <t>-812.424460983404 217.938546942458 -62.3638680241045</t>
  </si>
  <si>
    <t>-820.447864226048 224.71088608748 341.052107187507</t>
  </si>
  <si>
    <t>-867.807844577902 202.931240369735 786.001557616616</t>
  </si>
  <si>
    <t>-741.782344836218 276.637292991998 847.4206813253</t>
  </si>
  <si>
    <t>-744.418077800699 37.1759101476446 -56.5595425136412</t>
  </si>
  <si>
    <t>-667.08586313376 4.7029332828788 338.180784907871</t>
  </si>
  <si>
    <t>-709.826822498935 -49.4862657982583 780.681257278094</t>
  </si>
  <si>
    <t>-586.092425457427 -118.537501026686 851.4556516156</t>
  </si>
  <si>
    <t>9763-20170724T111112.049025400.bin</t>
  </si>
  <si>
    <t>-778.732748453802 127.728245339017 -58.4560431604575</t>
  </si>
  <si>
    <t>-804.574126834114 114.636543802325 -170.603548750615</t>
  </si>
  <si>
    <t>-814.184144457649 112.896951553811 -268.742517896692</t>
  </si>
  <si>
    <t>-818.131235908053 114.652255169273 -357.734617794589</t>
  </si>
  <si>
    <t>-816.850821230163 119.606865121959 -446.684350369325</t>
  </si>
  <si>
    <t>-809.467205861809 129.675269588012 -570.639620561073</t>
  </si>
  <si>
    <t>-771.965633871588 139.009894010203 -644.202712871723</t>
  </si>
  <si>
    <t>-816.596675450563 152.608214705795 -514.1015268056</t>
  </si>
  <si>
    <t>-825.247829395016 287.089098975654 -486.92667703688</t>
  </si>
  <si>
    <t>-712.757508237328 327.726048908321 -218.066474996321</t>
  </si>
  <si>
    <t>-475.088146423303 367.256235235282 -219.267039897</t>
  </si>
  <si>
    <t>-808.836115447645 97.8810921414929 -518.084604882158</t>
  </si>
  <si>
    <t>-812.800007182398 218.03645688308 -62.3836199063215</t>
  </si>
  <si>
    <t>-820.856618973511 224.734049144125 341.032957897828</t>
  </si>
  <si>
    <t>-867.785528605804 203.000349574936 786.01543246325</t>
  </si>
  <si>
    <t>-741.737129437078 276.619584114479 847.491549947777</t>
  </si>
  <si>
    <t>-744.975279859456 37.3123023114917 -56.6218424309368</t>
  </si>
  <si>
    <t>-667.475159980218 4.81021500261431 338.083088779837</t>
  </si>
  <si>
    <t>-709.918823276381 -49.4694510570189 780.623795671602</t>
  </si>
  <si>
    <t>-586.155980943926 -118.494600463583 851.373883188309</t>
  </si>
  <si>
    <t>9763-20170724T111112.082875200.bin</t>
  </si>
  <si>
    <t>-779.069559503941 127.739415321302 -58.4831560782104</t>
  </si>
  <si>
    <t>-804.883772103861 114.672017734856 -170.639779452873</t>
  </si>
  <si>
    <t>-814.475937643966 112.969491495367 -268.781254707219</t>
  </si>
  <si>
    <t>-818.407427363281 114.763018743226 -357.773122355141</t>
  </si>
  <si>
    <t>-817.111479668626 119.759357416962 -446.720384403774</t>
  </si>
  <si>
    <t>-809.705847427451 129.888958430054 -570.669365181072</t>
  </si>
  <si>
    <t>-772.283569071752 139.288195530866 -644.26461957002</t>
  </si>
  <si>
    <t>-816.811195387859 152.798763598654 -514.11872037619</t>
  </si>
  <si>
    <t>-825.304046606213 287.278424797596 -486.910885173908</t>
  </si>
  <si>
    <t>-711.717986836678 328.028656165919 -218.529022771881</t>
  </si>
  <si>
    <t>-474.050804846188 367.590498512423 -218.768596395432</t>
  </si>
  <si>
    <t>-809.118154575146 98.06421070647 -518.132246687228</t>
  </si>
  <si>
    <t>-813.107588561999 218.036775786837 -62.4146659925505</t>
  </si>
  <si>
    <t>-821.087876419972 224.741100287902 341.003295765489</t>
  </si>
  <si>
    <t>-867.733013891094 202.992066853157 786.010080779512</t>
  </si>
  <si>
    <t>-741.593484842544 276.437930667464 847.50621303771</t>
  </si>
  <si>
    <t>-745.33061344151 37.3126183513109 -56.6417508272002</t>
  </si>
  <si>
    <t>-667.667145346626 4.82531588950133 338.032369976925</t>
  </si>
  <si>
    <t>-709.979435194992 -49.5327821298854 780.584612248086</t>
  </si>
  <si>
    <t>-586.1112535531 -118.388745746948 851.315050541501</t>
  </si>
  <si>
    <t>9763-20170724T111112.115963400.bin</t>
  </si>
  <si>
    <t>-779.31917919163 127.793074134915 -58.5258990436831</t>
  </si>
  <si>
    <t>-805.110038054847 114.771301124782 -170.693066023932</t>
  </si>
  <si>
    <t>-814.689436311205 113.108814061455 -268.836453567977</t>
  </si>
  <si>
    <t>-818.611257625868 114.93771273397 -357.828178555601</t>
  </si>
  <si>
    <t>-817.30655798057 119.966990045885 -446.773373813698</t>
  </si>
  <si>
    <t>-809.889671891935 130.13915855716 -570.718166661451</t>
  </si>
  <si>
    <t>-772.546147972914 139.593856257297 -644.346233815288</t>
  </si>
  <si>
    <t>-816.961759613839 153.034661625738 -514.157705145072</t>
  </si>
  <si>
    <t>-825.282703527059 287.517046476662 -486.903161039531</t>
  </si>
  <si>
    <t>-710.446165330193 328.235047350337 -219.049021472331</t>
  </si>
  <si>
    <t>-472.807185659848 367.958145350366 -218.313608246862</t>
  </si>
  <si>
    <t>-809.345486560356 98.2912090756827 -518.194722870516</t>
  </si>
  <si>
    <t>-813.303635988254 218.028690212814 -62.4399351397286</t>
  </si>
  <si>
    <t>-821.196619940147 224.756331077288 340.979355136696</t>
  </si>
  <si>
    <t>-867.644395894622 202.951764360267 786.005318316017</t>
  </si>
  <si>
    <t>-741.6745815991 276.674286393595 847.518583803314</t>
  </si>
  <si>
    <t>-745.575354497147 37.4228676727794 -56.6928879080966</t>
  </si>
  <si>
    <t>-667.756057205811 5.0299682362961 337.958210607122</t>
  </si>
  <si>
    <t>-709.970329683705 -49.3136906559471 780.517434995961</t>
  </si>
  <si>
    <t>-586.473910478291 -118.81566583928 851.266437756514</t>
  </si>
  <si>
    <t>9763-20170724T111112.181685600.bin</t>
  </si>
  <si>
    <t>-779.91743488711 127.74271241066 -58.5835493639129</t>
  </si>
  <si>
    <t>-805.679802185369 114.843571861556 -170.771444457472</t>
  </si>
  <si>
    <t>-815.235941424211 113.255503875367 -268.918438912182</t>
  </si>
  <si>
    <t>-819.136066877733 115.136992827116 -357.910006590711</t>
  </si>
  <si>
    <t>-817.808919015245 120.201055317422 -446.852803449755</t>
  </si>
  <si>
    <t>-810.358461572651 130.40082296744 -570.793456242794</t>
  </si>
  <si>
    <t>-773.1981142292 139.945477470837 -644.502601246145</t>
  </si>
  <si>
    <t>-817.335238092734 153.298264260432 -514.221832894306</t>
  </si>
  <si>
    <t>-825.126314351888 287.794339556862 -486.869577065391</t>
  </si>
  <si>
    <t>-707.925588488005 328.01445437311 -219.96596446288</t>
  </si>
  <si>
    <t>-470.344692617064 368.001492544325 -217.292284580027</t>
  </si>
  <si>
    <t>-809.938641283065 98.5265883626462 -518.284696318034</t>
  </si>
  <si>
    <t>-813.752437485631 218.080634160215 -62.4577767959601</t>
  </si>
  <si>
    <t>-821.470050152515 224.81558203257 340.964798414187</t>
  </si>
  <si>
    <t>-867.639561284012 203.012151849702 786.014129316432</t>
  </si>
  <si>
    <t>-741.617718323177 276.633736578621 847.542082183255</t>
  </si>
  <si>
    <t>-746.348931537808 37.243282762739 -56.7559191825304</t>
  </si>
  <si>
    <t>-667.984759932154 4.97483157023134 337.797655152932</t>
  </si>
  <si>
    <t>-710.15562301942 -49.6635808590554 780.361076847135</t>
  </si>
  <si>
    <t>-586.220796100751 -118.427225111437 851.065029788498</t>
  </si>
  <si>
    <t>9763-20170724T111112.215777400.bin</t>
  </si>
  <si>
    <t>-780.216179796095 127.809040277325 -58.6056415194524</t>
  </si>
  <si>
    <t>-805.955185662418 114.978640767259 -170.806782981579</t>
  </si>
  <si>
    <t>-815.492205115186 113.430462277409 -268.956152406458</t>
  </si>
  <si>
    <t>-819.374904227031 115.33906199593 -357.947891207674</t>
  </si>
  <si>
    <t>-818.029186175052 120.419115266743 -446.889528064476</t>
  </si>
  <si>
    <t>-810.55220123386 130.628108930189 -570.827789767739</t>
  </si>
  <si>
    <t>-773.521082296808 140.196813231513 -644.598861963718</t>
  </si>
  <si>
    <t>-817.457669249095 153.532170946807 -514.250144879212</t>
  </si>
  <si>
    <t>-824.800254078001 288.047890065363 -486.875064211061</t>
  </si>
  <si>
    <t>-706.937457670539 327.9694348489 -220.218219631012</t>
  </si>
  <si>
    <t>-469.376872297236 367.982895751719 -216.377645018437</t>
  </si>
  <si>
    <t>-810.227150744482 98.739200211668 -518.327333877532</t>
  </si>
  <si>
    <t>-813.955666366106 218.142050211071 -62.4716015809345</t>
  </si>
  <si>
    <t>-821.545964221907 224.843148579735 340.953887967361</t>
  </si>
  <si>
    <t>-867.520328361609 202.924303455036 786.03222166903</t>
  </si>
  <si>
    <t>-741.538377338002 276.625295310937 847.54689066105</t>
  </si>
  <si>
    <t>-746.730368561888 37.3239639620906 -56.7983201439524</t>
  </si>
  <si>
    <t>-668.106158811339 5.12904647647929 337.709489973881</t>
  </si>
  <si>
    <t>-710.148155543065 -49.4424359638683 780.256091634782</t>
  </si>
  <si>
    <t>-586.378620880274 -118.492191740364 850.97036128677</t>
  </si>
  <si>
    <t>9763-20170724T111112.284965100.bin</t>
  </si>
  <si>
    <t>-781.093881728842 128.065979628222 -58.6269406492465</t>
  </si>
  <si>
    <t>-806.852632956491 115.353122962519 -170.836981603204</t>
  </si>
  <si>
    <t>-816.368052318873 113.904562162283 -268.989904219606</t>
  </si>
  <si>
    <t>-820.213360668046 115.900035589285 -357.981404890632</t>
  </si>
  <si>
    <t>-818.811307227843 121.058359565321 -446.91775741896</t>
  </si>
  <si>
    <t>-811.233275518857 131.362802633032 -570.841964548025</t>
  </si>
  <si>
    <t>-774.503210721629 140.937450104925 -644.76259738959</t>
  </si>
  <si>
    <t>-817.98214031176 154.248207273798 -514.237691376152</t>
  </si>
  <si>
    <t>-824.213517233054 288.789822315778 -486.740547749174</t>
  </si>
  <si>
    <t>-705.749418517517 327.930870602935 -220.234599354018</t>
  </si>
  <si>
    <t>-468.18038222522 367.568875892293 -213.861135957265</t>
  </si>
  <si>
    <t>-811.153861910599 99.4086096693072 -518.380204228003</t>
  </si>
  <si>
    <t>-814.589442431805 218.3841841263 -62.502834278201</t>
  </si>
  <si>
    <t>-821.833156729598 225.167019344964 340.927670756802</t>
  </si>
  <si>
    <t>-867.539518641461 202.987032426976 786.057492367832</t>
  </si>
  <si>
    <t>-741.591752497074 276.775099743113 847.537235161896</t>
  </si>
  <si>
    <t>-747.916242073221 37.6502242546803 -56.8161636057619</t>
  </si>
  <si>
    <t>-668.608065529179 5.30515819884749 337.54238917189</t>
  </si>
  <si>
    <t>-710.275686696373 -49.5112124351415 780.070455909173</t>
  </si>
  <si>
    <t>-586.522486414704 -118.605420877358 850.769734329548</t>
  </si>
  <si>
    <t>9763-20170724T111112.317049800.bin</t>
  </si>
  <si>
    <t>-781.580102014857 128.280649757243 -58.6185514610133</t>
  </si>
  <si>
    <t>-807.356075896863 115.660611457455 -170.835082669452</t>
  </si>
  <si>
    <t>-816.870808094065 114.300662892593 -268.989459430141</t>
  </si>
  <si>
    <t>-820.708339027058 116.378492560246 -357.979210382475</t>
  </si>
  <si>
    <t>-819.289169839481 121.618217715524 -446.910572927772</t>
  </si>
  <si>
    <t>-811.678080433814 132.033834392636 -570.823376522633</t>
  </si>
  <si>
    <t>-775.139931664005 141.600955862002 -644.840240514657</t>
  </si>
  <si>
    <t>-818.324484312974 154.881887020259 -514.192203903444</t>
  </si>
  <si>
    <t>-823.925711879086 289.419636900408 -486.554728319611</t>
  </si>
  <si>
    <t>-705.342371394212 327.899732960628 -220.005655030949</t>
  </si>
  <si>
    <t>-467.765860772892 367.317215773215 -212.623962051238</t>
  </si>
  <si>
    <t>-811.729932579652 100.018561261199 -518.398790480756</t>
  </si>
  <si>
    <t>-814.879719594671 218.655382389108 -62.4925918587682</t>
  </si>
  <si>
    <t>-821.97298064854 225.33806602338 340.942248485957</t>
  </si>
  <si>
    <t>-867.496043250596 202.963618159786 786.084783944218</t>
  </si>
  <si>
    <t>-741.44552418599 276.591794732214 847.54582704845</t>
  </si>
  <si>
    <t>-748.549917702775 37.8416033647291 -56.8321099425693</t>
  </si>
  <si>
    <t>-668.979342972577 5.4903540817777 337.473073178023</t>
  </si>
  <si>
    <t>-710.333345959386 -49.5006933552838 779.974881306986</t>
  </si>
  <si>
    <t>-586.648876458772 -118.722609822805 850.669520767575</t>
  </si>
  <si>
    <t>9763-20170724T111112.382229700.bin</t>
  </si>
  <si>
    <t>-782.73512717181 128.757417006568 -58.6172606307321</t>
  </si>
  <si>
    <t>-808.656357893591 116.285218001319 -170.816991553002</t>
  </si>
  <si>
    <t>-818.218549376845 115.120712297494 -268.96922736989</t>
  </si>
  <si>
    <t>-822.063277599863 117.400400492942 -357.953757968818</t>
  </si>
  <si>
    <t>-820.61255876226 122.858517678598 -446.871394476661</t>
  </si>
  <si>
    <t>-812.914422234157 133.592483203537 -570.751759180425</t>
  </si>
  <si>
    <t>-776.865398793513 143.129246531089 -645.011769768216</t>
  </si>
  <si>
    <t>-819.357272286249 156.321787360607 -514.049292368014</t>
  </si>
  <si>
    <t>-823.618140360187 290.826814564574 -485.977925839926</t>
  </si>
  <si>
    <t>-704.970035381089 326.745971752929 -219.100287595322</t>
  </si>
  <si>
    <t>-467.289856384442 365.396406471052 -211.028685169932</t>
  </si>
  <si>
    <t>-813.246308990831 101.41582091322 -518.426954467146</t>
  </si>
  <si>
    <t>-815.657097774695 219.051647452899 -62.4603181230701</t>
  </si>
  <si>
    <t>-822.270444501963 225.828217394489 340.981118898024</t>
  </si>
  <si>
    <t>-867.502720688776 202.999330452476 786.162509395471</t>
  </si>
  <si>
    <t>-741.336366006911 276.471327414348 847.57304005797</t>
  </si>
  <si>
    <t>-750.163250128825 38.3131892235165 -56.8450402499299</t>
  </si>
  <si>
    <t>-669.742730642869 5.88094999685654 337.281038382762</t>
  </si>
  <si>
    <t>-710.432985368938 -49.4176366526083 779.766221945828</t>
  </si>
  <si>
    <t>-586.959228636828 -119.007277720148 850.468318248443</t>
  </si>
  <si>
    <t>9763-20170724T111112.464952300.bin</t>
  </si>
  <si>
    <t>-783.518585398435 128.978597362679 -58.5748188156125</t>
  </si>
  <si>
    <t>-809.556090467963 116.574752771697 -170.755111234418</t>
  </si>
  <si>
    <t>-819.139612508963 115.513617157344 -268.906437215023</t>
  </si>
  <si>
    <t>-822.969450668422 117.902577826004 -357.888901901755</t>
  </si>
  <si>
    <t>-821.46805206163 123.482190549251 -446.798201876137</t>
  </si>
  <si>
    <t>-813.660999529583 134.395124115026 -570.655951727174</t>
  </si>
  <si>
    <t>-777.906187778526 143.918416697867 -645.059789964094</t>
  </si>
  <si>
    <t>-820.029278568311 157.055483401995 -513.917386623274</t>
  </si>
  <si>
    <t>-823.5633622887 291.531536283433 -485.638808573988</t>
  </si>
  <si>
    <t>-705.16580919186 325.868968238868 -218.441826766805</t>
  </si>
  <si>
    <t>-467.386915297489 363.888656219266 -210.284722708594</t>
  </si>
  <si>
    <t>-814.163799656723 102.130221953597 -518.387043674909</t>
  </si>
  <si>
    <t>-816.357613801744 219.291934793346 -62.4245398487426</t>
  </si>
  <si>
    <t>-822.476378281085 226.05544940662 341.024919999894</t>
  </si>
  <si>
    <t>-867.558652980646 203.032779091491 786.25739074747</t>
  </si>
  <si>
    <t>-741.259677802107 276.341036485851 847.590575797165</t>
  </si>
  <si>
    <t>-751.058385425449 38.5136840580781 -56.844375660263</t>
  </si>
  <si>
    <t>-670.230381466648 6.02388197378014 337.193606097966</t>
  </si>
  <si>
    <t>-710.516752320994 -49.472576471614 779.668636904092</t>
  </si>
  <si>
    <t>-587.031634888762 -119.050309535381 850.362750938081</t>
  </si>
  <si>
    <t>9763-20170724T111112.516189000.bin</t>
  </si>
  <si>
    <t>-785.952797865029 130.056461077438 -58.5669017938635</t>
  </si>
  <si>
    <t>-812.34087061129 117.836596290806 -170.685431790019</t>
  </si>
  <si>
    <t>-821.998132823876 117.056151507161 -268.832236344823</t>
  </si>
  <si>
    <t>-825.794691945518 119.742055957181 -357.807473747462</t>
  </si>
  <si>
    <t>-824.155429526094 125.64787806136 -446.693266710771</t>
  </si>
  <si>
    <t>-816.04347978844 137.037878774741 -570.488522961737</t>
  </si>
  <si>
    <t>-781.408021862944 146.509136989724 -645.426473739063</t>
  </si>
  <si>
    <t>-822.15017907083 159.516656933175 -513.649222966694</t>
  </si>
  <si>
    <t>-823.361138460099 293.873302223856 -484.607077448309</t>
  </si>
  <si>
    <t>-705.364832639139 324.154923636388 -216.74321659869</t>
  </si>
  <si>
    <t>-467.190344140794 359.643187896394 -208.720432252048</t>
  </si>
  <si>
    <t>-817.076400531078 104.534474366199 -518.37560820709</t>
  </si>
  <si>
    <t>-818.245062064516 220.444936295157 -62.3878346699046</t>
  </si>
  <si>
    <t>-823.047978813364 226.614371725887 341.08891811952</t>
  </si>
  <si>
    <t>-867.340279352606 202.91840640015 786.370922955538</t>
  </si>
  <si>
    <t>-740.995753028771 276.26300102444 847.566680173476</t>
  </si>
  <si>
    <t>-753.946977155922 39.5675819390958 -56.7930554971871</t>
  </si>
  <si>
    <t>-671.717943244982 6.85418612491185 336.936357195741</t>
  </si>
  <si>
    <t>-710.704512278318 -49.3780058533944 779.322924004049</t>
  </si>
  <si>
    <t>-587.505338968314 -119.449057994168 850.028618514591</t>
  </si>
  <si>
    <t>9763-20170724T111112.581959800.bin</t>
  </si>
  <si>
    <t>-787.430564766577 130.886873214335 -58.6137941809476</t>
  </si>
  <si>
    <t>-814.023242078496 118.774509786872 -170.695726577701</t>
  </si>
  <si>
    <t>-823.71774525909 118.218076494177 -268.840222853686</t>
  </si>
  <si>
    <t>-827.483711564387 121.15208336083 -357.809023863331</t>
  </si>
  <si>
    <t>-825.744328404006 127.341150016685 -446.673584997006</t>
  </si>
  <si>
    <t>-817.417386329366 139.156242956773 -570.414888529563</t>
  </si>
  <si>
    <t>-783.74748051263 148.650624483379 -645.788718484707</t>
  </si>
  <si>
    <t>-823.38021326141 161.459954996271 -513.491059592025</t>
  </si>
  <si>
    <t>-823.323856445562 295.70611541123 -483.841107201882</t>
  </si>
  <si>
    <t>-705.259464027629 323.017478803803 -215.688044103224</t>
  </si>
  <si>
    <t>-466.693522513216 356.034180505151 -208.827950915653</t>
  </si>
  <si>
    <t>-818.783190005701 106.454423335078 -518.433826194906</t>
  </si>
  <si>
    <t>-819.561743297258 221.450104558077 -62.4707687395091</t>
  </si>
  <si>
    <t>-823.64115525874 227.09323431297 341.021714039342</t>
  </si>
  <si>
    <t>-867.298144509834 203.042735650376 786.402214588281</t>
  </si>
  <si>
    <t>-740.896207319455 276.329235641697 847.548652754778</t>
  </si>
  <si>
    <t>-755.509785201886 40.2782092991492 -56.891110726824</t>
  </si>
  <si>
    <t>-672.525692994371 7.69864494881222 336.690990781903</t>
  </si>
  <si>
    <t>-710.802959351299 -49.3230100242802 778.987816693223</t>
  </si>
  <si>
    <t>-587.732256511275 -119.5734931337 849.739082660348</t>
  </si>
  <si>
    <t>9763-20170724T111112.613042000.bin</t>
  </si>
  <si>
    <t>-788.004882203185 131.357961416249 -58.6509221619945</t>
  </si>
  <si>
    <t>-814.749089154876 119.258222326464 -170.698177904094</t>
  </si>
  <si>
    <t>-824.482025410493 118.770716202139 -268.839348462584</t>
  </si>
  <si>
    <t>-828.241296201945 121.785855281279 -357.80572116217</t>
  </si>
  <si>
    <t>-826.451941165298 128.06984026827 -446.662616211409</t>
  </si>
  <si>
    <t>-818.007970705193 140.027366695302 -570.382162642859</t>
  </si>
  <si>
    <t>-784.8780749623 149.540282664431 -645.992690034878</t>
  </si>
  <si>
    <t>-823.91176402943 162.273762695391 -513.429918159116</t>
  </si>
  <si>
    <t>-823.358841989341 296.455346027354 -483.500062114336</t>
  </si>
  <si>
    <t>-705.837683252026 322.232565596009 -214.956766326763</t>
  </si>
  <si>
    <t>-467.071409591066 353.909528747947 -208.785727049228</t>
  </si>
  <si>
    <t>-819.535565875392 107.257131796951 -518.448636085308</t>
  </si>
  <si>
    <t>-820.191812731333 221.894703891616 -62.4803769995838</t>
  </si>
  <si>
    <t>-823.946005572803 227.298987243461 341.018485247831</t>
  </si>
  <si>
    <t>-867.241225010765 203.025707925638 786.468566452332</t>
  </si>
  <si>
    <t>-740.824661929041 276.383374218186 847.499282385404</t>
  </si>
  <si>
    <t>-756.082972289153 40.7837279241608 -56.9613134629744</t>
  </si>
  <si>
    <t>-672.854660838966 8.03561789046807 336.555278412677</t>
  </si>
  <si>
    <t>-710.854579371888 -49.3588237771576 778.80102992137</t>
  </si>
  <si>
    <t>-587.747360943593 -119.498350342692 849.598997339731</t>
  </si>
  <si>
    <t>9763-20170724T111112.683779100.bin</t>
  </si>
  <si>
    <t>-789.195569858777 132.188172396823 -58.7616616988516</t>
  </si>
  <si>
    <t>-816.31233118768 120.11514343929 -170.722143195629</t>
  </si>
  <si>
    <t>-826.230297654118 119.775022567554 -268.845295875424</t>
  </si>
  <si>
    <t>-830.089149600418 122.960052164739 -357.801584422841</t>
  </si>
  <si>
    <t>-828.324740593857 129.437568699891 -446.645104784271</t>
  </si>
  <si>
    <t>-819.83283742513 141.678613941971 -570.333660727014</t>
  </si>
  <si>
    <t>-787.852016160914 151.24684125443 -646.430521503422</t>
  </si>
  <si>
    <t>-825.511857353576 163.811166319575 -513.314282143784</t>
  </si>
  <si>
    <t>-823.676306352292 297.789663802957 -482.610560040255</t>
  </si>
  <si>
    <t>-709.01549045772 319.551927891374 -212.479980917474</t>
  </si>
  <si>
    <t>-469.818359691238 348.227301558431 -208.817258863275</t>
  </si>
  <si>
    <t>-821.627674948554 108.772624314329 -518.494634863895</t>
  </si>
  <si>
    <t>-821.523962822231 222.607212823854 -62.481339944988</t>
  </si>
  <si>
    <t>-824.750940789637 227.277511578078 341.031252395762</t>
  </si>
  <si>
    <t>-867.054763724993 202.892275979029 786.648106687483</t>
  </si>
  <si>
    <t>-740.706708419196 276.660629525701 847.32476508548</t>
  </si>
  <si>
    <t>-757.179610553051 41.6239265385293 -57.1243945116804</t>
  </si>
  <si>
    <t>-673.099992027107 8.84684537383373 336.208720850382</t>
  </si>
  <si>
    <t>-710.771820021376 -49.0427943110617 778.365102878254</t>
  </si>
  <si>
    <t>-588.232784682851 -119.940830669307 849.393393245027</t>
  </si>
  <si>
    <t>9763-20170724T111112.715864500.bin</t>
  </si>
  <si>
    <t>-789.771670359389 132.531574379918 -58.7942662804251</t>
  </si>
  <si>
    <t>-817.070596186808 120.499499181852 -170.714805001976</t>
  </si>
  <si>
    <t>-827.082841326696 120.279385676933 -268.828918133462</t>
  </si>
  <si>
    <t>-830.995038385971 123.601562796546 -357.777771519226</t>
  </si>
  <si>
    <t>-829.249203901571 130.238671851494 -446.60987710696</t>
  </si>
  <si>
    <t>-820.744638624096 142.721642690175 -570.273380874377</t>
  </si>
  <si>
    <t>-789.357700874857 152.366482403946 -646.60732969529</t>
  </si>
  <si>
    <t>-826.325967708112 164.74900709342 -513.203531894165</t>
  </si>
  <si>
    <t>-823.986696632054 298.61382272939 -481.992677882327</t>
  </si>
  <si>
    <t>-711.135773741627 318.162658578473 -210.932195064695</t>
  </si>
  <si>
    <t>-471.815176232466 345.868228648515 -207.946300444385</t>
  </si>
  <si>
    <t>-822.64806333491 109.707911183932 -518.506737336728</t>
  </si>
  <si>
    <t>-822.140106390143 223.015672032308 -62.4878645637089</t>
  </si>
  <si>
    <t>-825.473558970889 227.271766829269 341.028479949754</t>
  </si>
  <si>
    <t>-867.13528622875 203.053158701637 786.675537414586</t>
  </si>
  <si>
    <t>-740.506534564338 276.422332677294 847.250987440054</t>
  </si>
  <si>
    <t>-757.637639966463 41.9357593756749 -57.241543497165</t>
  </si>
  <si>
    <t>-673.18448624911 9.21563354475757 336.016221907115</t>
  </si>
  <si>
    <t>-710.721090872122 -48.793548926812 778.149262769117</t>
  </si>
  <si>
    <t>-588.330116267274 -119.854788739867 849.269223273704</t>
  </si>
  <si>
    <t>9763-20170724T111112.783047900.bin</t>
  </si>
  <si>
    <t>-790.608167259092 132.767969520976 -59.0632485371419</t>
  </si>
  <si>
    <t>-818.231366403789 120.854468203817 -170.91688731103</t>
  </si>
  <si>
    <t>-828.321540252188 121.014706811768 -269.023023095965</t>
  </si>
  <si>
    <t>-832.21005336958 124.783154128797 -357.955130286498</t>
  </si>
  <si>
    <t>-830.33919651125 131.958035953377 -446.742909017922</t>
  </si>
  <si>
    <t>-821.549895261465 145.279761690387 -570.298895492947</t>
  </si>
  <si>
    <t>-791.261750992754 155.32043543679 -647.024660478265</t>
  </si>
  <si>
    <t>-827.131768488052 166.926891439636 -513.083879684286</t>
  </si>
  <si>
    <t>-824.425522524309 300.508160722885 -480.77734136365</t>
  </si>
  <si>
    <t>-716.071445162694 315.432252404027 -207.596271592484</t>
  </si>
  <si>
    <t>-476.600485671298 341.965526924468 -208.275173137238</t>
  </si>
  <si>
    <t>-823.703500814426 111.908076478637 -518.772085098719</t>
  </si>
  <si>
    <t>-823.047058347339 223.358578993092 -62.5927736569033</t>
  </si>
  <si>
    <t>-825.954050862745 227.270857694321 340.930380340629</t>
  </si>
  <si>
    <t>-866.878151701616 203.0644724567 786.689757995079</t>
  </si>
  <si>
    <t>-740.293397008162 276.606764598262 847.147827351967</t>
  </si>
  <si>
    <t>-758.483658305247 42.0515951961688 -57.6299809066011</t>
  </si>
  <si>
    <t>-673.949474794175 10.0264882878887 335.667732758804</t>
  </si>
  <si>
    <t>-710.689517939693 -48.4734122806435 777.749700581085</t>
  </si>
  <si>
    <t>-588.57394227636 -119.84277364286 849.034043974936</t>
  </si>
  <si>
    <t>9763-20170724T111112.815133700.bin</t>
  </si>
  <si>
    <t>-790.965533087052 132.801217343426 -59.1636130653027</t>
  </si>
  <si>
    <t>-818.687795088694 121.003009041325 -171.004997684128</t>
  </si>
  <si>
    <t>-828.744596216319 121.385658487758 -269.114063698636</t>
  </si>
  <si>
    <t>-832.551621398818 125.402726748122 -358.038837570566</t>
  </si>
  <si>
    <t>-830.547037306054 132.870953723977 -446.799352293687</t>
  </si>
  <si>
    <t>-821.51518630331 146.64609619116 -570.288134336849</t>
  </si>
  <si>
    <t>-791.749165430007 156.977204461931 -647.179419140192</t>
  </si>
  <si>
    <t>-827.19177556479 168.083881622692 -513.003729960777</t>
  </si>
  <si>
    <t>-824.624903582703 301.561410191435 -480.211083247815</t>
  </si>
  <si>
    <t>-719.140757201716 313.876483321604 -205.779604220599</t>
  </si>
  <si>
    <t>-479.693618889035 340.506935345312 -208.384154602194</t>
  </si>
  <si>
    <t>-823.787633839119 113.084633253561 -518.889992220563</t>
  </si>
  <si>
    <t>-823.283863757112 223.486855570281 -62.5985658170556</t>
  </si>
  <si>
    <t>-825.969914474068 227.322149990572 340.926933420414</t>
  </si>
  <si>
    <t>-866.874487599013 203.142260178411 786.737565632706</t>
  </si>
  <si>
    <t>-740.205247967134 276.589552456916 847.133331092672</t>
  </si>
  <si>
    <t>-759.00867237442 42.1041837837979 -57.7892268302621</t>
  </si>
  <si>
    <t>-674.21841174969 10.249329914398 335.467097676252</t>
  </si>
  <si>
    <t>-710.717977143209 -48.4009113451386 777.57314460242</t>
  </si>
  <si>
    <t>-588.672090583674 -119.81896396746 848.92837440423</t>
  </si>
  <si>
    <t>9763-20170724T111112.886002700.bin</t>
  </si>
  <si>
    <t>-791.541241466935 132.905803437063 -59.274767416515</t>
  </si>
  <si>
    <t>-819.358642332076 121.348015951185 -171.117780491173</t>
  </si>
  <si>
    <t>-829.303410140854 122.165289822489 -269.235506671942</t>
  </si>
  <si>
    <t>-832.925781960329 126.662876411072 -358.144863482618</t>
  </si>
  <si>
    <t>-830.649919418989 134.694252654266 -446.8497982141</t>
  </si>
  <si>
    <t>-821.148082662142 149.337619029117 -570.203311643123</t>
  </si>
  <si>
    <t>-792.3481712096 160.464836529258 -647.351026419583</t>
  </si>
  <si>
    <t>-827.017890921765 170.373515705933 -512.789571516611</t>
  </si>
  <si>
    <t>-824.857458831449 303.598497287974 -478.963309207502</t>
  </si>
  <si>
    <t>-726.723238073859 311.561970385776 -201.659294601641</t>
  </si>
  <si>
    <t>-487.333836271086 337.955552701389 -208.50379518611</t>
  </si>
  <si>
    <t>-823.641197991166 115.414186990016 -519.053633317634</t>
  </si>
  <si>
    <t>-823.446991914301 223.570176491479 -62.5032028027545</t>
  </si>
  <si>
    <t>-826.026289122922 227.333357537398 341.023564449846</t>
  </si>
  <si>
    <t>-866.892982471438 203.263552096807 786.876454124382</t>
  </si>
  <si>
    <t>-740.06796126035 276.57985173991 847.104632355758</t>
  </si>
  <si>
    <t>-759.954644906804 42.2260477655364 -58.0162774242244</t>
  </si>
  <si>
    <t>-674.648504692448 10.3586879983063 335.127513688824</t>
  </si>
  <si>
    <t>-710.873768822227 -48.4061401494521 777.30871090763</t>
  </si>
  <si>
    <t>-588.944710857611 -119.947347993545 848.740226016078</t>
  </si>
  <si>
    <t>9763-20170724T111112.918088400.bin</t>
  </si>
  <si>
    <t>-791.821496112795 132.844037828063 -59.2791059786921</t>
  </si>
  <si>
    <t>-819.644885543935 121.396767022097 -171.131816442159</t>
  </si>
  <si>
    <t>-829.501314212504 122.381075191031 -269.256951449005</t>
  </si>
  <si>
    <t>-833.001923410751 127.054619111465 -358.162151613062</t>
  </si>
  <si>
    <t>-830.56215555871 135.282343894865 -446.844862352159</t>
  </si>
  <si>
    <t>-820.786335284334 150.21779242973 -570.141893299076</t>
  </si>
  <si>
    <t>-792.34290429427 161.752239357123 -647.361990183566</t>
  </si>
  <si>
    <t>-826.719094652862 171.120699540465 -512.686052588765</t>
  </si>
  <si>
    <t>-824.555548504606 304.255801668516 -478.480776061679</t>
  </si>
  <si>
    <t>-731.509504413268 310.68227841421 -199.388730613365</t>
  </si>
  <si>
    <t>-492.187642172317 337.331045191139 -207.496422018495</t>
  </si>
  <si>
    <t>-823.457339570037 116.169981072439 -519.083884356773</t>
  </si>
  <si>
    <t>-823.580029876183 223.488430172831 -62.4559943742473</t>
  </si>
  <si>
    <t>-826.25274651119 227.186231631527 341.070745997985</t>
  </si>
  <si>
    <t>-866.788066066967 203.229433460908 786.931214140233</t>
  </si>
  <si>
    <t>-739.972769485749 276.609646515313 847.102193845421</t>
  </si>
  <si>
    <t>-760.357608061492 42.0771201723751 -58.1223307566503</t>
  </si>
  <si>
    <t>-674.933228558427 10.3226606897833 335.004920326415</t>
  </si>
  <si>
    <t>-710.94593334557 -48.249320472961 777.224366830717</t>
  </si>
  <si>
    <t>-589.189683130978 -120.088204027229 848.651711466334</t>
  </si>
  <si>
    <t>9763-20170724T111112.982997100.bin</t>
  </si>
  <si>
    <t>-792.104393938036 132.081989131246 -59.3312571044174</t>
  </si>
  <si>
    <t>-820.017285608608 120.786098811507 -171.177082618599</t>
  </si>
  <si>
    <t>-829.699723103781 122.018358666161 -269.316793978384</t>
  </si>
  <si>
    <t>-832.938126319068 126.956700838703 -358.217582867905</t>
  </si>
  <si>
    <t>-830.128606956924 135.480056912218 -446.861294971136</t>
  </si>
  <si>
    <t>-819.724855022277 150.853869507417 -570.053148491323</t>
  </si>
  <si>
    <t>-791.734292299956 163.145643409609 -647.321849173347</t>
  </si>
  <si>
    <t>-825.808323870051 171.558970042474 -512.541394789385</t>
  </si>
  <si>
    <t>-823.573927156949 304.607026126821 -478.011589269145</t>
  </si>
  <si>
    <t>-742.56635476424 307.653322885584 -195.134097503357</t>
  </si>
  <si>
    <t>-503.409101947944 335.300703679326 -204.636297447465</t>
  </si>
  <si>
    <t>-822.798198914584 116.618094453494 -519.14351384269</t>
  </si>
  <si>
    <t>-823.449086522659 222.953257366146 -62.472674430238</t>
  </si>
  <si>
    <t>-826.403543759296 226.52891908012 341.053269157647</t>
  </si>
  <si>
    <t>-866.651671722169 203.263717159448 786.98935162668</t>
  </si>
  <si>
    <t>-739.678746149191 276.416002384049 847.105243811821</t>
  </si>
  <si>
    <t>-761.044656507597 41.0727246206102 -58.2948297893074</t>
  </si>
  <si>
    <t>-676.072564045829 9.89548714650982 334.97653620244</t>
  </si>
  <si>
    <t>-711.288069146314 -48.5003392503775 777.210865995129</t>
  </si>
  <si>
    <t>-589.33965048524 -120.113395500956 848.537054054081</t>
  </si>
  <si>
    <t>9763-20170724T111113.016084200.bin</t>
  </si>
  <si>
    <t>-792.19093130026 131.637490775604 -59.3839708216049</t>
  </si>
  <si>
    <t>-820.183986539435 120.465814136739 -171.222330138873</t>
  </si>
  <si>
    <t>-829.828410642548 121.792052651089 -269.364442195379</t>
  </si>
  <si>
    <t>-832.990677524216 126.80905874862 -358.26370277884</t>
  </si>
  <si>
    <t>-830.064968031163 135.403572809983 -446.89671751992</t>
  </si>
  <si>
    <t>-819.457493953789 150.86628581809 -570.059983692154</t>
  </si>
  <si>
    <t>-791.63658698348 163.431787282831 -647.34605511275</t>
  </si>
  <si>
    <t>-825.584811733756 171.532296612701 -512.538779207126</t>
  </si>
  <si>
    <t>-823.591759896362 304.580100240888 -477.948973887051</t>
  </si>
  <si>
    <t>-748.9997388228 305.837744064349 -193.29898093421</t>
  </si>
  <si>
    <t>-509.844433073814 333.65567164608 -202.342087492494</t>
  </si>
  <si>
    <t>-822.66594796607 116.591600787536 -519.184997865417</t>
  </si>
  <si>
    <t>-823.261797116307 222.642297016366 -62.4782864315948</t>
  </si>
  <si>
    <t>-826.31612395011 226.235899332368 341.046737990082</t>
  </si>
  <si>
    <t>-866.682680816636 203.378625506222 787.004506267795</t>
  </si>
  <si>
    <t>-739.616755065841 276.375707106891 847.112020343411</t>
  </si>
  <si>
    <t>-761.494443708692 40.5723010457741 -58.3705062906539</t>
  </si>
  <si>
    <t>-676.655453624651 9.57741067734969 334.944066901015</t>
  </si>
  <si>
    <t>-711.478806597726 -48.6623104540329 777.239476083885</t>
  </si>
  <si>
    <t>-589.42777354455 -120.159910788967 848.506168476698</t>
  </si>
  <si>
    <t>9763-20170724T111113.085000100.bin</t>
  </si>
  <si>
    <t>-792.275279983735 130.803441210753 -59.4356206223542</t>
  </si>
  <si>
    <t>-820.444988972868 119.859421191953 -171.252044207709</t>
  </si>
  <si>
    <t>-829.964714129481 121.32190315666 -269.404405361553</t>
  </si>
  <si>
    <t>-832.910260374481 126.440037814708 -358.305399153133</t>
  </si>
  <si>
    <t>-829.668451197917 135.111454001044 -446.919935992656</t>
  </si>
  <si>
    <t>-818.521193078544 150.655960886343 -570.025253477664</t>
  </si>
  <si>
    <t>-790.770508487775 163.644908294291 -647.266426142576</t>
  </si>
  <si>
    <t>-824.858683537256 171.285285810946 -512.513647904905</t>
  </si>
  <si>
    <t>-823.141331084404 304.31513953496 -477.960199609105</t>
  </si>
  <si>
    <t>-762.548625157847 303.636692077303 -190.0031916938</t>
  </si>
  <si>
    <t>-523.211287120025 330.944691249429 -194.778653792466</t>
  </si>
  <si>
    <t>-821.994486554486 116.345797474995 -519.191463485343</t>
  </si>
  <si>
    <t>-822.496143442087 221.815221687558 -62.4409254089766</t>
  </si>
  <si>
    <t>-825.755658106964 225.673916280541 341.080032231752</t>
  </si>
  <si>
    <t>-866.23119699028 203.178356950842 786.99344366606</t>
  </si>
  <si>
    <t>-739.067670238913 276.05681468164 847.038848614358</t>
  </si>
  <si>
    <t>-762.402683741763 39.764583206214 -58.5048284135111</t>
  </si>
  <si>
    <t>-677.92148523437 8.90959182798633 334.897760688023</t>
  </si>
  <si>
    <t>-711.818492002957 -48.9227447414753 777.31512845304</t>
  </si>
  <si>
    <t>-589.637803102581 -120.317075167823 848.462725362404</t>
  </si>
  <si>
    <t>9763-20170724T111113.117085100.bin</t>
  </si>
  <si>
    <t>-792.374990731571 130.496628881243 -59.4776731395689</t>
  </si>
  <si>
    <t>-820.631018913425 119.642854942965 -171.281187689537</t>
  </si>
  <si>
    <t>-830.08284135895 121.153071529797 -269.439408281663</t>
  </si>
  <si>
    <t>-832.912572555436 126.303276754724 -358.342177322162</t>
  </si>
  <si>
    <t>-829.504046892546 134.994527752699 -446.948484302226</t>
  </si>
  <si>
    <t>-818.071802262498 150.554362463839 -570.025769223927</t>
  </si>
  <si>
    <t>-790.313210032713 163.696963980964 -647.238224686236</t>
  </si>
  <si>
    <t>-824.536029633936 171.176983276634 -512.525943762666</t>
  </si>
  <si>
    <t>-823.050083362876 304.252189021121 -478.116654798071</t>
  </si>
  <si>
    <t>-769.149919023852 303.025410252154 -188.833791655627</t>
  </si>
  <si>
    <t>-529.768034394435 330.322294600588 -190.283057302997</t>
  </si>
  <si>
    <t>-821.66892982709 116.237535969673 -519.205205769323</t>
  </si>
  <si>
    <t>-822.274091389213 221.474082976679 -62.4550793394827</t>
  </si>
  <si>
    <t>-825.573776936111 225.449846278291 341.06442406614</t>
  </si>
  <si>
    <t>-866.125436170574 203.090627108645 786.95921397619</t>
  </si>
  <si>
    <t>-738.984391432741 276.038526150262 846.968454294673</t>
  </si>
  <si>
    <t>-762.815922477201 39.5108821686222 -58.5980682670961</t>
  </si>
  <si>
    <t>-678.597986460984 8.61528042061036 334.857780125132</t>
  </si>
  <si>
    <t>-711.977936576983 -49.0284263761796 777.35214506184</t>
  </si>
  <si>
    <t>-589.701789914938 -120.318743533829 848.44020108243</t>
  </si>
  <si>
    <t>9763-20170724T111113.180989200.bin</t>
  </si>
  <si>
    <t>-792.69052141362 129.803617552499 -59.5900548429124</t>
  </si>
  <si>
    <t>-821.108489183231 119.079166746457 -171.364982207855</t>
  </si>
  <si>
    <t>-830.418270824428 120.681035723252 -269.535290740731</t>
  </si>
  <si>
    <t>-833.012244092596 125.907018711861 -358.440938961074</t>
  </si>
  <si>
    <t>-829.264799734197 134.667078500047 -447.026924193062</t>
  </si>
  <si>
    <t>-817.257481322074 150.315267500914 -570.038001381043</t>
  </si>
  <si>
    <t>-789.379841844315 163.701005144471 -647.165861739679</t>
  </si>
  <si>
    <t>-824.056527871493 170.893761965076 -512.560954004184</t>
  </si>
  <si>
    <t>-823.264541512935 304.024583434054 -478.352121222284</t>
  </si>
  <si>
    <t>-778.536517686063 302.026933129726 -187.514239566712</t>
  </si>
  <si>
    <t>-539.369329991936 330.628592955566 -181.873368913688</t>
  </si>
  <si>
    <t>-821.026291125117 115.96472066288 -519.252768235687</t>
  </si>
  <si>
    <t>-822.129478163055 220.639276375191 -62.4839215034998</t>
  </si>
  <si>
    <t>-825.35340776931 225.127719906258 341.03080454595</t>
  </si>
  <si>
    <t>-865.880012356881 203.090240367645 786.943584103186</t>
  </si>
  <si>
    <t>-738.747050869822 275.972414926945 847.049231839953</t>
  </si>
  <si>
    <t>-763.481974310171 38.8245681770609 -58.7529192774263</t>
  </si>
  <si>
    <t>-679.643287639937 8.28274414744692 334.811459608082</t>
  </si>
  <si>
    <t>-712.224673281975 -49.1151507291572 777.394459979345</t>
  </si>
  <si>
    <t>-589.945138030658 -120.496240534271 848.385658270395</t>
  </si>
  <si>
    <t>9763-20170724T111113.220093800.bin</t>
  </si>
  <si>
    <t>-792.821363815907 129.408844439266 -59.6403572553305</t>
  </si>
  <si>
    <t>-821.274261444084 118.693346734674 -171.407196142218</t>
  </si>
  <si>
    <t>-830.518186427015 120.319960559684 -269.583342293961</t>
  </si>
  <si>
    <t>-833.014601863953 125.57443543569 -358.490162628533</t>
  </si>
  <si>
    <t>-829.133472280475 134.369777304867 -447.066652184237</t>
  </si>
  <si>
    <t>-816.90262255856 150.073996051981 -570.048787397882</t>
  </si>
  <si>
    <t>-788.938001610965 163.569616951023 -647.126044082734</t>
  </si>
  <si>
    <t>-823.86019081684 170.623973398718 -512.580655177877</t>
  </si>
  <si>
    <t>-823.57628127837 303.752965924623 -478.371740552913</t>
  </si>
  <si>
    <t>-779.808128433712 301.415087690873 -187.390358189741</t>
  </si>
  <si>
    <t>-540.888861612775 331.495354621453 -179.416258454335</t>
  </si>
  <si>
    <t>-820.709655226896 115.702581967544 -519.280402952771</t>
  </si>
  <si>
    <t>-822.181321806596 220.227441224154 -62.4832968209811</t>
  </si>
  <si>
    <t>-825.2982975517 225.060847887426 341.028251000383</t>
  </si>
  <si>
    <t>-865.802039742184 203.173933813508 786.955967585585</t>
  </si>
  <si>
    <t>-738.901099251755 276.406499326689 847.125848546155</t>
  </si>
  <si>
    <t>-763.708940406539 38.4730754593452 -58.8194909958912</t>
  </si>
  <si>
    <t>-679.90695342951 8.22053312693197 334.77509061523</t>
  </si>
  <si>
    <t>-712.29914557192 -49.0578133045894 777.404551172013</t>
  </si>
  <si>
    <t>-590.121216376917 -120.636425616925 848.371734237613</t>
  </si>
  <si>
    <t>9763-20170724T111113.279961800.bin</t>
  </si>
  <si>
    <t>-792.95094344481 128.66134201446 -59.7101945587358</t>
  </si>
  <si>
    <t>-821.413186821511 117.878785276742 -171.468227678308</t>
  </si>
  <si>
    <t>-830.567156463999 119.484732742935 -269.653121639035</t>
  </si>
  <si>
    <t>-832.94304756393 124.732964239166 -358.563634434336</t>
  </si>
  <si>
    <t>-828.901794814024 133.533926261017 -447.132538544084</t>
  </si>
  <si>
    <t>-816.406468849853 149.256750940021 -570.085760178318</t>
  </si>
  <si>
    <t>-788.164942707 162.846844843273 -647.04487597659</t>
  </si>
  <si>
    <t>-823.566247520125 169.79424119989 -512.637748149096</t>
  </si>
  <si>
    <t>-823.994799557882 302.937212549383 -478.436413250619</t>
  </si>
  <si>
    <t>-777.145029584038 299.958832500507 -187.941230580528</t>
  </si>
  <si>
    <t>-538.638444806649 333.234088435741 -180.309524841124</t>
  </si>
  <si>
    <t>-820.2440211644 114.881219948671 -519.322317856347</t>
  </si>
  <si>
    <t>-822.1747496637 219.461661318729 -62.5149263676383</t>
  </si>
  <si>
    <t>-825.532823172434 224.804594827518 340.988269902214</t>
  </si>
  <si>
    <t>-865.543610178522 203.355859414913 786.932263539515</t>
  </si>
  <si>
    <t>-738.591303215007 276.43198522596 847.183630328399</t>
  </si>
  <si>
    <t>-764.007647280447 37.7295557161674 -58.9012931590971</t>
  </si>
  <si>
    <t>-680.305384197129 7.92612421646209 334.748732563354</t>
  </si>
  <si>
    <t>-712.50550187113 -49.285588681822 777.433931272563</t>
  </si>
  <si>
    <t>-590.125702672224 -120.572373975815 848.346878121028</t>
  </si>
  <si>
    <t>9763-20170724T111113.319063900.bin</t>
  </si>
  <si>
    <t>-792.999503251874 128.391888073492 -59.7583063990011</t>
  </si>
  <si>
    <t>-821.403707805063 117.569666994838 -171.527357009287</t>
  </si>
  <si>
    <t>-830.504190809857 119.127957806055 -269.71796594914</t>
  </si>
  <si>
    <t>-832.83046647608 124.326135604473 -358.632655944264</t>
  </si>
  <si>
    <t>-828.738314116266 133.069946481279 -447.204875774847</t>
  </si>
  <si>
    <t>-816.171248319577 148.705940501012 -570.161783340027</t>
  </si>
  <si>
    <t>-787.767318685405 162.286015202742 -647.063161668592</t>
  </si>
  <si>
    <t>-823.379497898306 169.283479160197 -512.73431480856</t>
  </si>
  <si>
    <t>-824.068839775463 302.468107546092 -478.693738568848</t>
  </si>
  <si>
    <t>-774.91789646953 299.847016541318 -188.575545618423</t>
  </si>
  <si>
    <t>-536.432734877467 333.720167375937 -183.255426107027</t>
  </si>
  <si>
    <t>-820.023278327658 114.367101080817 -519.374783346562</t>
  </si>
  <si>
    <t>-822.227685736946 219.187826235349 -62.5860538477554</t>
  </si>
  <si>
    <t>-825.747681788883 224.729977007805 340.913110908524</t>
  </si>
  <si>
    <t>-865.545541888753 203.477768973463 786.86139168756</t>
  </si>
  <si>
    <t>-738.560468078869 276.462728054573 847.154368883814</t>
  </si>
  <si>
    <t>-764.103114958444 37.4838966447032 -58.939977397991</t>
  </si>
  <si>
    <t>-680.521381544387 7.81891149366902 334.746068322881</t>
  </si>
  <si>
    <t>-712.59441001216 -49.390550890269 777.456216939716</t>
  </si>
  <si>
    <t>-590.200757557745 -120.66604518635 848.356684237119</t>
  </si>
  <si>
    <t>9763-20170724T111113.381234600.bin</t>
  </si>
  <si>
    <t>-793.017620686057 127.951444041284 -59.75761197271</t>
  </si>
  <si>
    <t>-821.299795824797 117.134819074083 -171.558126333116</t>
  </si>
  <si>
    <t>-830.297315218355 118.572304762331 -269.760013718073</t>
  </si>
  <si>
    <t>-832.537457116408 123.613793774693 -358.685862075333</t>
  </si>
  <si>
    <t>-828.370279582106 132.157577700744 -447.27414754641</t>
  </si>
  <si>
    <t>-815.712430109257 147.47093989557 -570.262272424822</t>
  </si>
  <si>
    <t>-786.99399291083 160.961894287896 -647.062501760474</t>
  </si>
  <si>
    <t>-823.023500119308 168.195950489012 -512.900911214762</t>
  </si>
  <si>
    <t>-824.211917449531 301.518532325311 -479.404753867793</t>
  </si>
  <si>
    <t>-770.704484513518 300.834036438068 -190.047242074348</t>
  </si>
  <si>
    <t>-531.911888065693 332.89769861588 -190.999583285001</t>
  </si>
  <si>
    <t>-819.541420446259 113.268642557073 -519.381665860578</t>
  </si>
  <si>
    <t>-822.187903418877 218.742214359846 -62.6536007930739</t>
  </si>
  <si>
    <t>-825.926633894346 224.455561700375 340.841147115423</t>
  </si>
  <si>
    <t>-865.397328484177 203.481546838605 786.870728802885</t>
  </si>
  <si>
    <t>-738.543718998896 276.730570559663 847.119933696353</t>
  </si>
  <si>
    <t>-764.272313613682 37.1315209847376 -58.9787338965915</t>
  </si>
  <si>
    <t>-681.026697483394 7.41806332953047 334.774977074593</t>
  </si>
  <si>
    <t>-712.729391979832 -49.5275646313021 777.530072905522</t>
  </si>
  <si>
    <t>-590.165109758551 -120.534828543667 848.40516649618</t>
  </si>
  <si>
    <t>9763-20170724T111113.414323100.bin</t>
  </si>
  <si>
    <t>-792.902837774186 127.790088078585 -59.7642204092483</t>
  </si>
  <si>
    <t>-821.200087352084 116.968570600576 -171.560362069091</t>
  </si>
  <si>
    <t>-830.184784334111 118.338459801331 -269.764590575218</t>
  </si>
  <si>
    <t>-832.406728591091 123.295789630132 -358.695618074536</t>
  </si>
  <si>
    <t>-828.216739254944 131.733991804331 -447.292875105168</t>
  </si>
  <si>
    <t>-815.523798959755 146.880450115134 -570.298067181031</t>
  </si>
  <si>
    <t>-786.624986363633 160.338375115628 -647.036348959873</t>
  </si>
  <si>
    <t>-822.900191977551 167.680865007484 -512.972429831466</t>
  </si>
  <si>
    <t>-824.377562860228 301.063288202581 -479.736068597284</t>
  </si>
  <si>
    <t>-769.292515422944 301.387805538503 -190.674331088056</t>
  </si>
  <si>
    <t>-530.354910160177 332.017867795431 -195.307872453045</t>
  </si>
  <si>
    <t>-819.317994123603 112.749631439175 -519.366783869263</t>
  </si>
  <si>
    <t>-822.09316277196 218.540744685592 -62.6251130921453</t>
  </si>
  <si>
    <t>-825.796064271917 224.360224269336 340.868479926699</t>
  </si>
  <si>
    <t>-865.217127984842 203.445746561635 786.92069236137</t>
  </si>
  <si>
    <t>-738.357759977398 276.760356874751 847.077913774758</t>
  </si>
  <si>
    <t>-764.106864713137 36.9982696112793 -59.0081419862053</t>
  </si>
  <si>
    <t>-681.193011728699 7.33227733415833 334.819048354558</t>
  </si>
  <si>
    <t>-712.746016057198 -49.4163524670187 777.59129742512</t>
  </si>
  <si>
    <t>-590.338450133874 -120.685617240275 848.474007749258</t>
  </si>
  <si>
    <t>9763-20170724T111113.482511200.bin</t>
  </si>
  <si>
    <t>-792.552741894582 127.217169805083 -59.8255739971321</t>
  </si>
  <si>
    <t>-820.887521696211 116.336831305753 -171.606566919579</t>
  </si>
  <si>
    <t>-829.923006159018 117.60249524731 -269.807453866287</t>
  </si>
  <si>
    <t>-832.202249571568 122.447062450432 -358.743134356171</t>
  </si>
  <si>
    <t>-828.082472929822 130.759735380122 -447.355766513968</t>
  </si>
  <si>
    <t>-815.503427346354 145.720518052637 -570.395331661671</t>
  </si>
  <si>
    <t>-786.200958215346 159.227497214196 -646.971753039435</t>
  </si>
  <si>
    <t>-822.959599808259 166.600129153771 -513.108671032552</t>
  </si>
  <si>
    <t>-825.087883152959 300.068266371823 -480.275626394378</t>
  </si>
  <si>
    <t>-767.819501963567 301.505159345791 -191.641726492678</t>
  </si>
  <si>
    <t>-528.75688469486 327.707140110841 -206.248061396006</t>
  </si>
  <si>
    <t>-819.118336265993 111.673806608941 -519.394659081214</t>
  </si>
  <si>
    <t>-821.944116572724 217.876319304648 -62.6626069675187</t>
  </si>
  <si>
    <t>-825.39020068732 224.046822907079 340.828043594211</t>
  </si>
  <si>
    <t>-865.146750709728 203.186980119945 786.805889449996</t>
  </si>
  <si>
    <t>-738.248220446409 276.646129120427 846.705054567909</t>
  </si>
  <si>
    <t>-763.498902336819 36.4604810890928 -59.0831512787979</t>
  </si>
  <si>
    <t>-681.083002033314 6.97631952937945 334.862258941847</t>
  </si>
  <si>
    <t>-712.802957277801 -49.3359812303345 777.68868052806</t>
  </si>
  <si>
    <t>-590.465365062631 -120.712955856865 848.584225754492</t>
  </si>
  <si>
    <t>9763-20170724T111113.516602600.bin</t>
  </si>
  <si>
    <t>-792.243540322646 126.814143508915 -59.8536637229585</t>
  </si>
  <si>
    <t>-820.620627429774 115.858113406305 -171.61654660425</t>
  </si>
  <si>
    <t>-829.732863057266 117.097802427459 -269.810696497642</t>
  </si>
  <si>
    <t>-832.096434673779 121.935537799387 -358.744485382734</t>
  </si>
  <si>
    <t>-828.076450453358 130.260310355759 -447.36040152613</t>
  </si>
  <si>
    <t>-815.650311897452 145.259451504243 -570.41107714568</t>
  </si>
  <si>
    <t>-786.164557272376 158.874262174435 -646.898057363314</t>
  </si>
  <si>
    <t>-823.127247420263 166.116000660552 -513.118485126838</t>
  </si>
  <si>
    <t>-825.685583852114 299.591164740464 -480.351468836973</t>
  </si>
  <si>
    <t>-767.27870720822 301.395823503031 -191.948134324479</t>
  </si>
  <si>
    <t>-528.449250111061 326.081294019749 -211.997800516103</t>
  </si>
  <si>
    <t>-819.109513391128 111.202371838197 -519.406550851443</t>
  </si>
  <si>
    <t>-821.691412188808 217.45028881607 -62.6816853571881</t>
  </si>
  <si>
    <t>-825.243446198897 223.832392102639 340.80481375612</t>
  </si>
  <si>
    <t>-865.100964500706 203.112206398475 786.759739571668</t>
  </si>
  <si>
    <t>-738.080031250539 276.428290038258 846.573857166953</t>
  </si>
  <si>
    <t>-763.076157645875 36.0768109648388 -59.106150878869</t>
  </si>
  <si>
    <t>-680.739825877443 6.65792636579954 334.860789271944</t>
  </si>
  <si>
    <t>-712.879798147306 -49.4629580550381 777.734372743585</t>
  </si>
  <si>
    <t>-590.412568351662 -120.631778589961 848.615215093669</t>
  </si>
  <si>
    <t>9763-20170724T111113.584387600.bin</t>
  </si>
  <si>
    <t>-791.554037958841 125.955084132947 -59.8557465706226</t>
  </si>
  <si>
    <t>-819.973104752514 114.753722321857 -171.583621638572</t>
  </si>
  <si>
    <t>-829.222940132305 115.914324966653 -269.765778993185</t>
  </si>
  <si>
    <t>-831.746851997536 120.733384522182 -358.696441622801</t>
  </si>
  <si>
    <t>-827.920927012155 129.097811724824 -447.317174674001</t>
  </si>
  <si>
    <t>-815.798906000484 144.215650522988 -570.383580127051</t>
  </si>
  <si>
    <t>-785.941832474188 158.120017464065 -646.674098840039</t>
  </si>
  <si>
    <t>-823.347300114383 165.002875625466 -513.075435967295</t>
  </si>
  <si>
    <t>-826.917190991181 298.477367942241 -480.334514183274</t>
  </si>
  <si>
    <t>-766.100738119296 300.70588976273 -192.432342561037</t>
  </si>
  <si>
    <t>-528.033144355765 324.595632871957 -220.787410656787</t>
  </si>
  <si>
    <t>-818.919261235118 110.123078620324 -519.380863929763</t>
  </si>
  <si>
    <t>-821.424624442232 216.640285812792 -62.6907215179714</t>
  </si>
  <si>
    <t>-825.07792866319 223.536232032213 340.786344554666</t>
  </si>
  <si>
    <t>-865.081491228035 203.167830722164 786.719977782117</t>
  </si>
  <si>
    <t>-738.3928232929 277.125957273333 846.448645852422</t>
  </si>
  <si>
    <t>-761.967984822697 35.1833935339587 -59.1121887702629</t>
  </si>
  <si>
    <t>-680.140537218624 6.07927680181956 334.984097687391</t>
  </si>
  <si>
    <t>-713.034632059249 -49.7151160266101 777.864095572891</t>
  </si>
  <si>
    <t>-590.411913003896 -120.65283251673 848.70750048984</t>
  </si>
  <si>
    <t>9763-20170724T111113.618476500.bin</t>
  </si>
  <si>
    <t>-791.166596490798 125.554734173876 -59.8714850637962</t>
  </si>
  <si>
    <t>-819.616653709859 114.210050218186 -171.576939990852</t>
  </si>
  <si>
    <t>-828.922792198672 115.319036636592 -269.754525916767</t>
  </si>
  <si>
    <t>-831.507170617971 120.119797076265 -358.684339509682</t>
  </si>
  <si>
    <t>-827.749657308545 128.49547038075 -447.30698860785</t>
  </si>
  <si>
    <t>-815.730314689557 143.660764878987 -570.377562504356</t>
  </si>
  <si>
    <t>-785.6975405947 157.724514678905 -646.569859010505</t>
  </si>
  <si>
    <t>-823.344225973553 164.417958824556 -513.067128972612</t>
  </si>
  <si>
    <t>-827.41110761502 297.866258567923 -480.333248819379</t>
  </si>
  <si>
    <t>-765.887528607437 300.389776412952 -192.58382460522</t>
  </si>
  <si>
    <t>-528.152638766402 324.433663152792 -223.483150235273</t>
  </si>
  <si>
    <t>-818.694677826378 109.556505444143 -519.373291775186</t>
  </si>
  <si>
    <t>-821.348036059223 216.207623357507 -62.7003073672805</t>
  </si>
  <si>
    <t>-824.895455242574 223.428470382232 340.772030510533</t>
  </si>
  <si>
    <t>-865.035552204194 203.141291820794 786.69671473409</t>
  </si>
  <si>
    <t>-738.325385731991 277.093535650036 846.387378222433</t>
  </si>
  <si>
    <t>-761.304350739005 34.8290679249162 -59.1171977894051</t>
  </si>
  <si>
    <t>-679.769342836353 5.95738061909924 335.056819635346</t>
  </si>
  <si>
    <t>-713.020979240982 -49.5723071721727 777.929126403863</t>
  </si>
  <si>
    <t>-590.509664426939 -120.690729446418 848.784422649919</t>
  </si>
  <si>
    <t>9763-20170724T111113.681728000.bin</t>
  </si>
  <si>
    <t>-790.428064258025 124.58865372532 -59.87205761045</t>
  </si>
  <si>
    <t>-818.870679384102 113.031493967507 -171.557740569181</t>
  </si>
  <si>
    <t>-828.248382980408 114.075571666167 -269.729042007193</t>
  </si>
  <si>
    <t>-830.924059034289 118.863566437421 -358.656819970418</t>
  </si>
  <si>
    <t>-827.283048085207 127.27758898538 -447.280732898831</t>
  </si>
  <si>
    <t>-815.450994096809 142.550463365072 -570.356185772159</t>
  </si>
  <si>
    <t>-785.204808167682 156.865280481647 -646.417161668534</t>
  </si>
  <si>
    <t>-823.180400426435 163.242233784152 -513.037553620617</t>
  </si>
  <si>
    <t>-828.100315370073 296.646154783795 -480.235273372138</t>
  </si>
  <si>
    <t>-766.183737111396 299.402081379173 -192.572332591384</t>
  </si>
  <si>
    <t>-528.882087159478 323.499459957635 -226.602402087574</t>
  </si>
  <si>
    <t>-818.134615241428 108.417125191709 -519.356005559962</t>
  </si>
  <si>
    <t>-820.991069191751 215.1643461664 -62.6934210358976</t>
  </si>
  <si>
    <t>-824.457573789352 223.144506486911 340.76537256878</t>
  </si>
  <si>
    <t>-864.959887536732 203.059802402818 786.638803013904</t>
  </si>
  <si>
    <t>-738.20551410908 277.014530483419 846.231866855451</t>
  </si>
  <si>
    <t>-760.181133316557 33.9502447876821 -59.1054239379237</t>
  </si>
  <si>
    <t>-679.112034216374 5.32102986500695 335.182319469531</t>
  </si>
  <si>
    <t>-713.105464289709 -49.7174619425575 778.101253902201</t>
  </si>
  <si>
    <t>-590.22995663276 -120.230302894003 848.931081580472</t>
  </si>
  <si>
    <t>9763-20170724T111113.715817600.bin</t>
  </si>
  <si>
    <t>-790.093352995244 124.162100634102 -59.8437112188135</t>
  </si>
  <si>
    <t>-818.518333577668 112.514251329113 -171.524314277403</t>
  </si>
  <si>
    <t>-827.92936566403 113.538264108538 -269.692739494923</t>
  </si>
  <si>
    <t>-830.65324847551 118.332172489393 -358.618855177718</t>
  </si>
  <si>
    <t>-827.077507832884 126.77830506366 -447.242248725744</t>
  </si>
  <si>
    <t>-815.353518104561 142.124896750839 -570.318901878254</t>
  </si>
  <si>
    <t>-785.043756778669 156.52934032585 -646.337736214322</t>
  </si>
  <si>
    <t>-823.121849292617 162.775138019143 -512.990442726938</t>
  </si>
  <si>
    <t>-828.406540854503 296.154578303054 -480.158202014036</t>
  </si>
  <si>
    <t>-766.421949384614 298.789529687547 -192.508857526227</t>
  </si>
  <si>
    <t>-529.322284218734 323.064402113334 -227.799311010719</t>
  </si>
  <si>
    <t>-817.903254915103 107.96827321639 -519.327352172204</t>
  </si>
  <si>
    <t>-820.776841544417 214.697519548863 -62.683584627587</t>
  </si>
  <si>
    <t>-824.26371140912 222.97525339249 340.768961617242</t>
  </si>
  <si>
    <t>-864.922172064759 203.016698919773 786.617262598627</t>
  </si>
  <si>
    <t>-738.112023932616 276.909056449523 846.169099265715</t>
  </si>
  <si>
    <t>-759.725227897399 33.5355846727266 -59.0704842186063</t>
  </si>
  <si>
    <t>-678.794910265385 5.05517894408467 335.256596318249</t>
  </si>
  <si>
    <t>-713.147463223901 -49.76659646807 778.205972744057</t>
  </si>
  <si>
    <t>-590.286946329214 -120.318558711459 849.023134895435</t>
  </si>
  <si>
    <t>9763-20170724T111113.781999300.bin</t>
  </si>
  <si>
    <t>-789.324960004805 123.239939856577 -59.8004592345269</t>
  </si>
  <si>
    <t>-817.787848286917 111.442418807726 -171.455618542893</t>
  </si>
  <si>
    <t>-827.331278173574 112.407451927329 -269.61186857188</t>
  </si>
  <si>
    <t>-830.212926146717 117.17876589643 -358.534241411776</t>
  </si>
  <si>
    <t>-826.831649339791 125.636443509388 -447.164195135552</t>
  </si>
  <si>
    <t>-815.416119646976 141.038055280057 -570.26281364974</t>
  </si>
  <si>
    <t>-785.025367262064 155.518255293287 -646.235133490074</t>
  </si>
  <si>
    <t>-823.173919011695 161.651336295613 -512.919891573061</t>
  </si>
  <si>
    <t>-828.868350989128 295.000763176201 -480.019329836509</t>
  </si>
  <si>
    <t>-766.177420158478 297.062113817266 -192.518239721984</t>
  </si>
  <si>
    <t>-529.55851030439 322.380029481311 -230.218217182541</t>
  </si>
  <si>
    <t>-817.704663911782 106.870110783998 -519.26667436109</t>
  </si>
  <si>
    <t>-820.167695240205 213.779734123227 -62.6516138003941</t>
  </si>
  <si>
    <t>-823.759476110252 222.535304457951 340.789939814413</t>
  </si>
  <si>
    <t>-864.900124917124 203.001896794908 786.578183232375</t>
  </si>
  <si>
    <t>-738.272229541678 277.260090171677 846.061846120453</t>
  </si>
  <si>
    <t>-758.831958671352 32.5771282151845 -59.0238675168508</t>
  </si>
  <si>
    <t>-678.374341396462 4.43492236086195 335.424125165462</t>
  </si>
  <si>
    <t>-713.228542922404 -49.9507657164836 778.421284724642</t>
  </si>
  <si>
    <t>-590.257274195907 -120.327662153644 849.220009427833</t>
  </si>
  <si>
    <t>9763-20170724T111113.815087100.bin</t>
  </si>
  <si>
    <t>-788.995415314146 122.847699122493 -59.756886399673</t>
  </si>
  <si>
    <t>-817.477992393152 110.991932040986 -171.40107768464</t>
  </si>
  <si>
    <t>-827.100177187069 111.932804609904 -269.549831850394</t>
  </si>
  <si>
    <t>-830.077065535143 116.693476435965 -358.469594406785</t>
  </si>
  <si>
    <t>-826.814656736363 125.154435940914 -447.103783024951</t>
  </si>
  <si>
    <t>-815.588844566213 140.576092094138 -570.217399007031</t>
  </si>
  <si>
    <t>-785.178151493754 155.061208198355 -646.180394600806</t>
  </si>
  <si>
    <t>-823.303942104877 161.175883839183 -512.863665981524</t>
  </si>
  <si>
    <t>-829.107961466104 294.519150728896 -479.947395220127</t>
  </si>
  <si>
    <t>-765.7836716295 296.334941973606 -192.583523120429</t>
  </si>
  <si>
    <t>-529.094894239555 322.31802396295 -229.381545069424</t>
  </si>
  <si>
    <t>-817.753532960175 106.403714412652 -519.218637180566</t>
  </si>
  <si>
    <t>-819.860794771279 213.389038562626 -62.6372829159512</t>
  </si>
  <si>
    <t>-823.516189412642 222.263456468587 340.801148567233</t>
  </si>
  <si>
    <t>-864.900395136568 203.012431803382 786.567763910252</t>
  </si>
  <si>
    <t>-738.37407480719 277.463800507157 846.026925554225</t>
  </si>
  <si>
    <t>-758.471477752149 32.2238731197108 -58.9864204646461</t>
  </si>
  <si>
    <t>-678.229154112596 4.25888514947383 335.518100907248</t>
  </si>
  <si>
    <t>-713.218699734732 -49.8136375630686 778.537575076861</t>
  </si>
  <si>
    <t>-590.311500604 -120.31372665534 849.325272931579</t>
  </si>
  <si>
    <t>9763-20170724T111113.884871100.bin</t>
  </si>
  <si>
    <t>-788.646902451662 122.257299546791 -59.684946996145</t>
  </si>
  <si>
    <t>-817.17400106365 110.289635747373 -171.305851772727</t>
  </si>
  <si>
    <t>-826.978786501704 111.188176977282 -269.436928801038</t>
  </si>
  <si>
    <t>-830.179135845305 115.938363831637 -358.349482383586</t>
  </si>
  <si>
    <t>-827.197037436398 124.421774978251 -446.991285356408</t>
  </si>
  <si>
    <t>-816.421524828082 139.9142904412 -570.13622579833</t>
  </si>
  <si>
    <t>-785.937424492473 154.360366651836 -646.077374591336</t>
  </si>
  <si>
    <t>-824.028425126088 160.471821849316 -512.752863777319</t>
  </si>
  <si>
    <t>-829.916332011108 293.798325764114 -479.775583049875</t>
  </si>
  <si>
    <t>-764.573642549998 295.935336059849 -192.866276285949</t>
  </si>
  <si>
    <t>-527.598489317467 323.230893534218 -226.757014340502</t>
  </si>
  <si>
    <t>-818.298594508829 105.722030082759 -519.139453470298</t>
  </si>
  <si>
    <t>-819.553939599725 212.660963709299 -62.5938823889087</t>
  </si>
  <si>
    <t>-823.1643800262 221.892726309082 340.836881605925</t>
  </si>
  <si>
    <t>-864.836040674251 202.948947945577 786.552235248674</t>
  </si>
  <si>
    <t>-738.179816017142 277.208742756754 845.973625841025</t>
  </si>
  <si>
    <t>-758.134469909673 31.7744731091466 -58.8626618170456</t>
  </si>
  <si>
    <t>-678.155989966668 3.90115986511319 335.701928638548</t>
  </si>
  <si>
    <t>-713.261266909133 -49.7715151311199 778.775340533885</t>
  </si>
  <si>
    <t>-590.451664318587 -120.479731064204 849.524982285014</t>
  </si>
  <si>
    <t>9763-20170724T111113.915953300.bin</t>
  </si>
  <si>
    <t>-788.586419894566 121.976861470052 -59.6525402623994</t>
  </si>
  <si>
    <t>-817.157625701916 109.942407455741 -171.254939592512</t>
  </si>
  <si>
    <t>-827.091696770077 110.778603217128 -269.373501468938</t>
  </si>
  <si>
    <t>-830.446661029666 115.474076572345 -358.283226543317</t>
  </si>
  <si>
    <t>-827.657097157368 123.908589168135 -446.936046240756</t>
  </si>
  <si>
    <t>-817.189772406632 139.342132005442 -570.11496266186</t>
  </si>
  <si>
    <t>-786.64485658942 153.710559819449 -646.04644425604</t>
  </si>
  <si>
    <t>-824.712906817675 159.921413015417 -512.728582982723</t>
  </si>
  <si>
    <t>-830.691813584167 293.259519756935 -479.807297063196</t>
  </si>
  <si>
    <t>-763.514179253318 296.186883195057 -193.329007477569</t>
  </si>
  <si>
    <t>-526.291453350716 324.057647851495 -224.943844266767</t>
  </si>
  <si>
    <t>-818.87864070388 105.179754913708 -519.091529710562</t>
  </si>
  <si>
    <t>-819.507751763543 212.338563468255 -62.5855487260767</t>
  </si>
  <si>
    <t>-823.077612737756 221.704906246995 340.842527912489</t>
  </si>
  <si>
    <t>-864.802344415029 202.925227836801 786.551491787926</t>
  </si>
  <si>
    <t>-738.04069242098 277.011431056624 845.965204285786</t>
  </si>
  <si>
    <t>-758.020475680915 31.4961551677802 -58.8066408086158</t>
  </si>
  <si>
    <t>-678.163152640379 3.75208053402321 335.791589448754</t>
  </si>
  <si>
    <t>-713.29234387244 -49.7894414744214 778.89377615796</t>
  </si>
  <si>
    <t>-590.392322570986 -120.370111789276 849.613435913612</t>
  </si>
  <si>
    <t>9763-20170724T111113.980642000.bin</t>
  </si>
  <si>
    <t>-788.640419294049 121.74215986036 -59.5516995817353</t>
  </si>
  <si>
    <t>-817.341754952927 109.43578591455 -171.091108876221</t>
  </si>
  <si>
    <t>-827.620622079078 109.961787602891 -269.176365913473</t>
  </si>
  <si>
    <t>-831.383455328761 114.355339357098 -358.085239260295</t>
  </si>
  <si>
    <t>-829.09928390015 122.474724249365 -446.78186086801</t>
  </si>
  <si>
    <t>-819.437891922937 137.46239027803 -570.081544121907</t>
  </si>
  <si>
    <t>-788.628905440414 151.597874310056 -645.949977596427</t>
  </si>
  <si>
    <t>-826.703593359065 158.237791314491 -512.732650655537</t>
  </si>
  <si>
    <t>-832.795679703039 291.696105242641 -480.346597590152</t>
  </si>
  <si>
    <t>-760.661285823994 298.595071754319 -195.144504708787</t>
  </si>
  <si>
    <t>-523.033360273108 327.01742515023 -223.001793370781</t>
  </si>
  <si>
    <t>-820.675126174853 103.496356931558 -518.914229726525</t>
  </si>
  <si>
    <t>-819.660598744736 212.044170508394 -62.5860944769013</t>
  </si>
  <si>
    <t>-823.22636699634 221.553588954154 340.838651812291</t>
  </si>
  <si>
    <t>-864.764941591968 203.0103011691 786.557622870832</t>
  </si>
  <si>
    <t>-738.059588381223 277.128598735609 846.051545485661</t>
  </si>
  <si>
    <t>-757.958957069973 31.3382636078513 -58.6047421113511</t>
  </si>
  <si>
    <t>-678.256865007229 3.69281256265276 336.031876127205</t>
  </si>
  <si>
    <t>-713.369860267272 -49.9033065096328 779.138991539432</t>
  </si>
  <si>
    <t>-590.341901324878 -120.327544742975 849.791716937886</t>
  </si>
  <si>
    <t>9763-20170724T111114.013729500.bin</t>
  </si>
  <si>
    <t>-788.771186559257 121.786454079045 -59.4738643338914</t>
  </si>
  <si>
    <t>-817.535240088735 109.307249100702 -170.977722717759</t>
  </si>
  <si>
    <t>-828.006011150543 109.605976561374 -269.043639384081</t>
  </si>
  <si>
    <t>-832.000945630511 113.76719168442 -357.953514609951</t>
  </si>
  <si>
    <t>-830.007938864956 121.632640849642 -446.680069731539</t>
  </si>
  <si>
    <t>-820.814517384363 136.246947687502 -570.060584024588</t>
  </si>
  <si>
    <t>-789.775012191072 150.221307583975 -645.864839730701</t>
  </si>
  <si>
    <t>-827.910542417903 157.190992432038 -512.751670820587</t>
  </si>
  <si>
    <t>-834.025659402751 290.765714499248 -480.849659458795</t>
  </si>
  <si>
    <t>-759.228512441872 300.558335569584 -196.419101517366</t>
  </si>
  <si>
    <t>-521.360105963512 328.579142406694 -222.579360418441</t>
  </si>
  <si>
    <t>-821.809300061933 102.440811495146 -518.782119778064</t>
  </si>
  <si>
    <t>-819.812041175368 212.060941546105 -62.5916586103455</t>
  </si>
  <si>
    <t>-823.392160454784 221.658594790126 340.830824227594</t>
  </si>
  <si>
    <t>-864.733307486485 203.138956551493 786.592436524602</t>
  </si>
  <si>
    <t>-738.022063619685 277.152451515946 846.2038904191</t>
  </si>
  <si>
    <t>-758.044342335045 31.4239302453425 -58.4357896660421</t>
  </si>
  <si>
    <t>-678.363378299639 3.75412869687807 336.203260918011</t>
  </si>
  <si>
    <t>-713.408893872608 -49.9996927253694 779.275969933047</t>
  </si>
  <si>
    <t>-590.151080336366 -120.0598105944 849.890589594443</t>
  </si>
  <si>
    <t>9763-20170724T111114.082415100.bin</t>
  </si>
  <si>
    <t>-789.320762983233 122.262420885293 -59.301030153801</t>
  </si>
  <si>
    <t>-818.313300869625 109.431455099531 -170.705906279923</t>
  </si>
  <si>
    <t>-829.197729409218 109.200713915805 -268.72684914579</t>
  </si>
  <si>
    <t>-833.662190510099 112.802061627598 -357.638906176896</t>
  </si>
  <si>
    <t>-832.236702361886 120.0364371268 -446.430046899895</t>
  </si>
  <si>
    <t>-823.939252617212 133.702592070178 -569.982508931004</t>
  </si>
  <si>
    <t>-792.385298668959 147.178437913485 -645.664647250602</t>
  </si>
  <si>
    <t>-830.688168182944 155.079040636738 -512.791581825962</t>
  </si>
  <si>
    <t>-836.826445355025 288.943853393871 -482.099082996138</t>
  </si>
  <si>
    <t>-757.66449173997 304.749981956589 -199.124289852965</t>
  </si>
  <si>
    <t>-519.545957328755 331.177071215703 -224.6596048029</t>
  </si>
  <si>
    <t>-824.492693687853 100.298311131493 -518.434819832923</t>
  </si>
  <si>
    <t>-820.559706616623 212.53035139346 -62.5946478344276</t>
  </si>
  <si>
    <t>-823.644578956274 222.232018827558 340.829494517053</t>
  </si>
  <si>
    <t>-864.77901976545 203.379903975249 786.622018857127</t>
  </si>
  <si>
    <t>-738.252342824802 277.625832863499 846.337143379389</t>
  </si>
  <si>
    <t>-758.470843548381 31.8680780017462 -58.0568774873811</t>
  </si>
  <si>
    <t>-678.519851210175 4.33121188897121 336.536931113065</t>
  </si>
  <si>
    <t>-713.398050637373 -49.9740936983312 779.546109015499</t>
  </si>
  <si>
    <t>-590.248160666984 -120.221175143693 850.162960655913</t>
  </si>
  <si>
    <t>9763-20170724T111114.116506500.bin</t>
  </si>
  <si>
    <t>-789.777047992761 122.563506043895 -59.2031832411617</t>
  </si>
  <si>
    <t>-818.853909765583 109.606053951645 -170.571296510808</t>
  </si>
  <si>
    <t>-829.895689524611 109.100917266493 -268.573689116029</t>
  </si>
  <si>
    <t>-834.542723900839 112.393569297492 -357.488447280276</t>
  </si>
  <si>
    <t>-833.343130564042 119.263682727972 -446.311796883744</t>
  </si>
  <si>
    <t>-825.40954277385 132.368399511312 -569.948901407328</t>
  </si>
  <si>
    <t>-793.574038885276 145.549283428345 -645.565011297122</t>
  </si>
  <si>
    <t>-832.015874599078 154.001935524906 -512.837898413933</t>
  </si>
  <si>
    <t>-838.199607676696 288.022241585511 -482.812394862178</t>
  </si>
  <si>
    <t>-757.451478341098 306.903301719279 -200.475022113485</t>
  </si>
  <si>
    <t>-519.218951981595 331.552073822837 -226.715113021861</t>
  </si>
  <si>
    <t>-825.7855218713 99.2015914148842 -518.246677586065</t>
  </si>
  <si>
    <t>-821.064657340296 212.828614627342 -62.6032840385996</t>
  </si>
  <si>
    <t>-823.828804519174 222.466305559234 340.824714206842</t>
  </si>
  <si>
    <t>-864.792974582874 203.493222420296 786.622970284377</t>
  </si>
  <si>
    <t>-738.417172950644 277.951188556642 846.392929535299</t>
  </si>
  <si>
    <t>-758.85017162152 32.1916808428996 -57.8733214632852</t>
  </si>
  <si>
    <t>-678.6453736389 4.76251375886704 336.67648918032</t>
  </si>
  <si>
    <t>-713.323278855428 -49.7728969175525 779.650876768702</t>
  </si>
  <si>
    <t>-590.388806650014 -120.356766530474 850.307413433602</t>
  </si>
  <si>
    <t>9763-20170724T111114.182687800.bin</t>
  </si>
  <si>
    <t>-790.747033106462 123.21503028754 -59.0296580862727</t>
  </si>
  <si>
    <t>-819.930875586402 109.979749679283 -170.337034322231</t>
  </si>
  <si>
    <t>-831.290034301063 108.858220766228 -268.298138963943</t>
  </si>
  <si>
    <t>-836.328494481791 111.453351303149 -357.214569710978</t>
  </si>
  <si>
    <t>-835.629329263615 117.494057440719 -446.103550716663</t>
  </si>
  <si>
    <t>-828.512611601718 129.311400643481 -569.920037038171</t>
  </si>
  <si>
    <t>-796.18653748592 141.768704377539 -645.450708574159</t>
  </si>
  <si>
    <t>-834.744545867415 151.537795927975 -512.995058387606</t>
  </si>
  <si>
    <t>-840.840424101446 285.859062852048 -484.452254784828</t>
  </si>
  <si>
    <t>-757.126747096778 312.694430191478 -203.626557603239</t>
  </si>
  <si>
    <t>-518.69042114817 333.32909444145 -231.432553068337</t>
  </si>
  <si>
    <t>-828.543996119124 96.6843541353123 -517.874043875255</t>
  </si>
  <si>
    <t>-821.985935757152 213.471084675894 -62.6480502499973</t>
  </si>
  <si>
    <t>-824.566905235843 222.828536107991 340.787719446319</t>
  </si>
  <si>
    <t>-864.752248155168 203.742605174155 786.680459595943</t>
  </si>
  <si>
    <t>-738.252992601939 277.854876727304 846.618969522471</t>
  </si>
  <si>
    <t>-759.823970760355 32.8453230507703 -57.4611560282821</t>
  </si>
  <si>
    <t>-678.86331100701 5.51505023147638 336.941068619355</t>
  </si>
  <si>
    <t>-713.262429703784 -49.6666815277124 779.860325895786</t>
  </si>
  <si>
    <t>-590.385232640013 -120.289473500236 850.577195312436</t>
  </si>
  <si>
    <t>9763-20170724T111114.215780200.bin</t>
  </si>
  <si>
    <t>-791.316732900955 123.594477617857 -58.9306164415768</t>
  </si>
  <si>
    <t>-820.513908635097 110.231696261913 -170.219324833187</t>
  </si>
  <si>
    <t>-832.00613526634 108.773531785376 -268.160353047784</t>
  </si>
  <si>
    <t>-837.21929667286 110.975685407546 -357.077213781536</t>
  </si>
  <si>
    <t>-836.751823291949 116.537579969692 -445.999070134064</t>
  </si>
  <si>
    <t>-830.020325622062 127.598701003204 -569.906915654189</t>
  </si>
  <si>
    <t>-797.526524316374 139.641488221234 -645.432840007158</t>
  </si>
  <si>
    <t>-836.043302793754 150.175992747697 -513.097504463798</t>
  </si>
  <si>
    <t>-842.113925012142 284.685442567057 -485.374392571124</t>
  </si>
  <si>
    <t>-756.898726867317 314.975448465759 -205.352851089509</t>
  </si>
  <si>
    <t>-518.386244457363 334.903982989848 -233.022577032623</t>
  </si>
  <si>
    <t>-829.92187723626 95.2866514321136 -517.664952249254</t>
  </si>
  <si>
    <t>-822.56249695825 213.870755644855 -62.671077169806</t>
  </si>
  <si>
    <t>-825.182324536333 222.949734775598 340.770832458326</t>
  </si>
  <si>
    <t>-864.765559913109 203.902530550305 786.709268800427</t>
  </si>
  <si>
    <t>-738.343767281042 278.080661855953 846.728516898216</t>
  </si>
  <si>
    <t>-760.383090315727 33.2265083739539 -57.2534187366637</t>
  </si>
  <si>
    <t>-678.953266227048 5.87340426885839 337.050558317316</t>
  </si>
  <si>
    <t>-713.235995953872 -49.6355883285351 779.951340499573</t>
  </si>
  <si>
    <t>-590.37272429917 -120.254508003535 850.696148097287</t>
  </si>
  <si>
    <t>9763-20170724T111114.284971800.bin</t>
  </si>
  <si>
    <t>-792.464695800843 124.276926805477 -58.8067920412996</t>
  </si>
  <si>
    <t>-821.657391486059 110.638374979113 -170.063327859074</t>
  </si>
  <si>
    <t>-833.319796732717 108.5612681208 -267.973036646137</t>
  </si>
  <si>
    <t>-838.765731662087 110.051597124761 -356.890777618797</t>
  </si>
  <si>
    <t>-838.613045074562 114.750323756994 -445.863523716164</t>
  </si>
  <si>
    <t>-832.408780876091 124.44987964571 -569.912875998728</t>
  </si>
  <si>
    <t>-799.756221147678 135.734699312882 -645.487179047345</t>
  </si>
  <si>
    <t>-838.084340659535 147.660893420331 -513.323510309358</t>
  </si>
  <si>
    <t>-843.882921475511 282.465194257234 -487.054441333988</t>
  </si>
  <si>
    <t>-757.834942927429 315.770202179387 -207.630557982412</t>
  </si>
  <si>
    <t>-519.218754602666 335.202360991269 -234.752238043979</t>
  </si>
  <si>
    <t>-832.193745499599 92.7023526124049 -517.326256172984</t>
  </si>
  <si>
    <t>-823.796442470619 214.607184922692 -62.7601162121358</t>
  </si>
  <si>
    <t>-826.425608016284 223.328986147618 340.689617396111</t>
  </si>
  <si>
    <t>-864.796253837173 204.27312459088 786.697476143536</t>
  </si>
  <si>
    <t>-738.490910586792 278.529518189539 846.866517646755</t>
  </si>
  <si>
    <t>-761.437990242658 33.7540900137274 -56.8878799212451</t>
  </si>
  <si>
    <t>-679.343267466687 6.66905555668518 337.296699874607</t>
  </si>
  <si>
    <t>-713.176884827589 -49.5670222263425 780.124634023677</t>
  </si>
  <si>
    <t>-590.453677692671 -120.358354077973 850.940830447838</t>
  </si>
  <si>
    <t>9763-20170724T111114.313037700.bin</t>
  </si>
  <si>
    <t>-793.005901943877 124.507036275153 -58.800401672971</t>
  </si>
  <si>
    <t>-822.184032067213 110.791123327088 -170.05122046091</t>
  </si>
  <si>
    <t>-833.902024264108 108.517337683258 -267.950031380161</t>
  </si>
  <si>
    <t>-839.428927285182 109.778627767943 -356.866316108325</t>
  </si>
  <si>
    <t>-839.389456935664 114.198416331848 -445.85346597555</t>
  </si>
  <si>
    <t>-833.378619755038 123.456691857994 -569.946010848648</t>
  </si>
  <si>
    <t>-800.745610106276 134.451314246838 -645.571437732432</t>
  </si>
  <si>
    <t>-838.920854966685 146.87354107603 -513.428274594516</t>
  </si>
  <si>
    <t>-844.546732601685 281.77314280396 -487.636253726525</t>
  </si>
  <si>
    <t>-759.042132971591 314.77181295904 -208.009353214845</t>
  </si>
  <si>
    <t>-520.41848810103 334.222359055421 -235.052447128594</t>
  </si>
  <si>
    <t>-833.126821369831 91.8919212216574 -517.249675904793</t>
  </si>
  <si>
    <t>-824.402834599335 214.89732188213 -62.873995015841</t>
  </si>
  <si>
    <t>-826.960631765823 223.427395143401 340.580307839267</t>
  </si>
  <si>
    <t>-864.79786867589 204.410565837011 786.60381672288</t>
  </si>
  <si>
    <t>-738.42535206192 278.503924044457 846.832225491413</t>
  </si>
  <si>
    <t>-761.960769707058 33.9573244794947 -56.7985774322941</t>
  </si>
  <si>
    <t>-679.728625335434 7.05915220986435 337.370224283891</t>
  </si>
  <si>
    <t>-713.135956610418 -49.4034504419074 780.194779789378</t>
  </si>
  <si>
    <t>-590.504939751965 -120.325115726128 851.040320718195</t>
  </si>
  <si>
    <t>9763-20170724T111114.385878900.bin</t>
  </si>
  <si>
    <t>-794.315961909878 124.867489970858 -58.8241484380284</t>
  </si>
  <si>
    <t>-823.555919073461 111.030936143298 -170.043714958239</t>
  </si>
  <si>
    <t>-835.395740861147 108.5282542494 -267.922295589305</t>
  </si>
  <si>
    <t>-841.063680356545 109.53526523681 -356.832942792612</t>
  </si>
  <si>
    <t>-841.197828672577 113.653743072017 -445.834283276485</t>
  </si>
  <si>
    <t>-835.463281795208 122.443594996698 -569.97403789724</t>
  </si>
  <si>
    <t>-802.893338275194 133.068189287065 -645.679619399636</t>
  </si>
  <si>
    <t>-840.819131038751 146.079519562986 -513.529619665588</t>
  </si>
  <si>
    <t>-846.081726658032 281.076815146094 -488.113600836872</t>
  </si>
  <si>
    <t>-761.830566677186 311.668565346032 -207.833228972005</t>
  </si>
  <si>
    <t>-523.232013740402 333.096286829289 -233.572145340755</t>
  </si>
  <si>
    <t>-835.154396710924 91.0717386349534 -517.162959094751</t>
  </si>
  <si>
    <t>-825.705225741297 215.24071427116 -63.07768827276</t>
  </si>
  <si>
    <t>-827.845451563884 223.700680241751 340.38053498814</t>
  </si>
  <si>
    <t>-864.835716718526 204.677516228586 786.493508401468</t>
  </si>
  <si>
    <t>-738.343540488471 278.498306436543 846.806205510842</t>
  </si>
  <si>
    <t>-763.376017503315 34.3942970601674 -56.6379169266497</t>
  </si>
  <si>
    <t>-680.505819072843 7.43451833004474 337.392982908955</t>
  </si>
  <si>
    <t>-713.184325394481 -49.5043224058966 780.269789857342</t>
  </si>
  <si>
    <t>-590.564681001116 -120.421236684137 851.139817418761</t>
  </si>
  <si>
    <t>9763-20170724T111114.413953600.bin</t>
  </si>
  <si>
    <t>-794.95752427757 125.016295575027 -58.8237515970015</t>
  </si>
  <si>
    <t>-824.242586667252 111.101966706946 -170.021821647773</t>
  </si>
  <si>
    <t>-836.142951208932 108.535695484547 -267.891358438386</t>
  </si>
  <si>
    <t>-841.874511513128 109.4869965372 -356.798544751901</t>
  </si>
  <si>
    <t>-842.079876824823 113.551823261101 -445.802318234763</t>
  </si>
  <si>
    <t>-836.45350154451 122.269496252546 -569.952170213464</t>
  </si>
  <si>
    <t>-803.891767803053 132.797607547483 -645.674780649858</t>
  </si>
  <si>
    <t>-841.740600043196 145.940246085443 -513.515891711007</t>
  </si>
  <si>
    <t>-846.848337187555 280.948770733943 -488.14306776301</t>
  </si>
  <si>
    <t>-763.226750695743 309.759050849174 -207.485767655353</t>
  </si>
  <si>
    <t>-524.676898868649 332.949065764454 -232.123609917933</t>
  </si>
  <si>
    <t>-836.118116985494 90.9264206037547 -517.124026251586</t>
  </si>
  <si>
    <t>-826.293005917976 215.311771313867 -63.1401959977884</t>
  </si>
  <si>
    <t>-828.122818351572 223.864257941122 340.317567767203</t>
  </si>
  <si>
    <t>-864.782217031398 204.695729650522 786.482496588856</t>
  </si>
  <si>
    <t>-738.277213587963 278.487719844793 846.802378518047</t>
  </si>
  <si>
    <t>-763.988288577721 34.6051168029735 -56.5760956610836</t>
  </si>
  <si>
    <t>-680.846707497589 7.63470635900967 337.396952834858</t>
  </si>
  <si>
    <t>-713.181124840514 -49.3958984510903 780.292437199064</t>
  </si>
  <si>
    <t>-590.622719867116 -120.415665608639 851.164786404658</t>
  </si>
  <si>
    <t>9763-20170724T111114.484660700.bin</t>
  </si>
  <si>
    <t>-795.834577488796 125.0647839688 -58.7974045135072</t>
  </si>
  <si>
    <t>-825.263265012008 111.060361135498 -169.946287325989</t>
  </si>
  <si>
    <t>-837.326635440955 108.470031573116 -267.795123593281</t>
  </si>
  <si>
    <t>-843.219217084917 109.422934292709 -356.691713095047</t>
  </si>
  <si>
    <t>-843.597973009984 113.513524394185 -445.693966618318</t>
  </si>
  <si>
    <t>-838.225165924729 122.292628521111 -569.850630980069</t>
  </si>
  <si>
    <t>-805.650424062532 132.769471814311 -645.574643648354</t>
  </si>
  <si>
    <t>-843.383575929253 145.936706317002 -513.391196013016</t>
  </si>
  <si>
    <t>-848.34205387499 280.925902173726 -487.883340446902</t>
  </si>
  <si>
    <t>-765.460458955237 306.668544607394 -206.708657651238</t>
  </si>
  <si>
    <t>-527.102310475084 331.843712467064 -231.253986189502</t>
  </si>
  <si>
    <t>-837.795385892874 90.9219584021866 -517.039529164738</t>
  </si>
  <si>
    <t>-827.065682580074 215.228005566887 -63.1522658147867</t>
  </si>
  <si>
    <t>-828.486087023895 224.158797631121 340.298940132456</t>
  </si>
  <si>
    <t>-864.803896937206 204.811372300472 786.495428783734</t>
  </si>
  <si>
    <t>-738.296353240373 278.611532213715 846.800433315322</t>
  </si>
  <si>
    <t>-764.908165565446 34.780255794969 -56.4809676814956</t>
  </si>
  <si>
    <t>-681.383445990385 7.86284905319917 337.414659044105</t>
  </si>
  <si>
    <t>-713.199410533776 -49.2677747857588 780.333742674546</t>
  </si>
  <si>
    <t>-590.83136894575 -120.611239707435 851.209878609646</t>
  </si>
  <si>
    <t>9763-20170724T111114.517748200.bin</t>
  </si>
  <si>
    <t>-796.130239548582 124.787067187616 -58.7719242606279</t>
  </si>
  <si>
    <t>-825.635360996161 110.731179831138 -169.894093133879</t>
  </si>
  <si>
    <t>-837.789960032645 108.135578166188 -267.73154898752</t>
  </si>
  <si>
    <t>-843.773085485506 109.099191365126 -356.622059420608</t>
  </si>
  <si>
    <t>-844.249803264402 113.216079969595 -445.622387186599</t>
  </si>
  <si>
    <t>-839.020293474081 122.048297564067 -569.781450060688</t>
  </si>
  <si>
    <t>-806.415369993632 132.544558332347 -645.489886010591</t>
  </si>
  <si>
    <t>-844.117046434698 145.667948688144 -513.306223510001</t>
  </si>
  <si>
    <t>-849.070665210646 280.641385022112 -487.668518801007</t>
  </si>
  <si>
    <t>-766.104208116001 305.217492272594 -206.414441713701</t>
  </si>
  <si>
    <t>-527.867014950138 330.201318291563 -232.292666184918</t>
  </si>
  <si>
    <t>-838.525925100792 90.6552803105124 -516.984033332748</t>
  </si>
  <si>
    <t>-827.367449772788 214.947203496985 -63.131445251679</t>
  </si>
  <si>
    <t>-828.63274285109 224.113115690908 340.315015430466</t>
  </si>
  <si>
    <t>-864.780750840952 204.828734264299 786.504772464562</t>
  </si>
  <si>
    <t>-738.296759632054 278.676140342468 846.801207003484</t>
  </si>
  <si>
    <t>-765.20972345833 34.4297336944705 -56.4513048144184</t>
  </si>
  <si>
    <t>-681.532475300561 7.68725960193524 337.42390866057</t>
  </si>
  <si>
    <t>-713.306458344954 -49.560589406191 780.362866978509</t>
  </si>
  <si>
    <t>-590.693833432775 -120.509280810933 851.212596864538</t>
  </si>
  <si>
    <t>9763-20170724T111114.585032200.bin</t>
  </si>
  <si>
    <t>-796.469538223344 124.125793252113 -58.7764253584073</t>
  </si>
  <si>
    <t>-826.180353340697 109.987251952796 -169.833307868462</t>
  </si>
  <si>
    <t>-838.557894622138 107.409290164499 -267.643244304896</t>
  </si>
  <si>
    <t>-844.755999772522 108.422672015092 -356.518416371586</t>
  </si>
  <si>
    <t>-845.457500341771 112.622292606602 -445.513398064906</t>
  </si>
  <si>
    <t>-840.550672690728 121.604250789501 -569.67485997864</t>
  </si>
  <si>
    <t>-807.895348491793 132.200461632883 -645.347665998325</t>
  </si>
  <si>
    <t>-845.512587882752 145.15465682744 -513.158791532336</t>
  </si>
  <si>
    <t>-850.561743773053 280.061171479164 -487.249271163055</t>
  </si>
  <si>
    <t>-767.167279628412 302.853385831405 -205.97161037197</t>
  </si>
  <si>
    <t>-529.525369621837 328.517198506293 -236.279954949153</t>
  </si>
  <si>
    <t>-839.907413661456 90.1489286890837 -516.9164352153</t>
  </si>
  <si>
    <t>-827.871215530229 214.287159435978 -63.1244869716903</t>
  </si>
  <si>
    <t>-828.84638592185 223.943672841173 340.311344477131</t>
  </si>
  <si>
    <t>-864.804318162575 204.948904961859 786.506167405538</t>
  </si>
  <si>
    <t>-738.190247712754 278.559121949792 846.819503332166</t>
  </si>
  <si>
    <t>-765.363911340564 33.8354613898946 -56.5172418751694</t>
  </si>
  <si>
    <t>-681.860949322027 7.64139589918705 337.431740925375</t>
  </si>
  <si>
    <t>-713.336882765977 -49.4926737988726 780.389113786814</t>
  </si>
  <si>
    <t>-590.920505697182 -120.772467707646 851.246680311597</t>
  </si>
  <si>
    <t>9763-20170724T111114.613105800.bin</t>
  </si>
  <si>
    <t>-796.506362640482 123.778665054526 -58.7916505046036</t>
  </si>
  <si>
    <t>-826.34316791284 109.602238461782 -169.809667014925</t>
  </si>
  <si>
    <t>-838.828815922145 107.053599481518 -267.606767276177</t>
  </si>
  <si>
    <t>-845.120663163214 108.116689683515 -356.474867824934</t>
  </si>
  <si>
    <t>-845.910785009758 112.388749604932 -445.465588927218</t>
  </si>
  <si>
    <t>-841.120375191705 121.494244427706 -569.622699823899</t>
  </si>
  <si>
    <t>-808.443271152338 132.169251693937 -645.274976059328</t>
  </si>
  <si>
    <t>-846.039456761958 144.987566743867 -513.078877246725</t>
  </si>
  <si>
    <t>-851.135244351259 279.864225094368 -486.979328332143</t>
  </si>
  <si>
    <t>-767.23996459558 301.579555491203 -205.765453776344</t>
  </si>
  <si>
    <t>-529.917760900812 327.590997000937 -238.207573154197</t>
  </si>
  <si>
    <t>-840.417730681168 89.9873912577996 -516.895637439107</t>
  </si>
  <si>
    <t>-827.964953609813 213.950813348488 -63.1263183279448</t>
  </si>
  <si>
    <t>-828.85383326122 223.7822652153 340.305465075932</t>
  </si>
  <si>
    <t>-864.743322538344 204.940634883937 786.504917590873</t>
  </si>
  <si>
    <t>-738.123507807507 278.526245809248 846.836335390912</t>
  </si>
  <si>
    <t>-765.37437442397 33.4914996816506 -56.554358430823</t>
  </si>
  <si>
    <t>-681.875679620085 7.54326557539889 337.411742248683</t>
  </si>
  <si>
    <t>-713.360438427171 -49.4962548247786 780.392865012643</t>
  </si>
  <si>
    <t>-590.879166641382 -120.674518875029 851.240013509144</t>
  </si>
  <si>
    <t>9763-20170724T111114.681871800.bin</t>
  </si>
  <si>
    <t>-796.553039672213 123.211196265755 -58.8268104199017</t>
  </si>
  <si>
    <t>-826.59721453749 108.985571414703 -169.782681265723</t>
  </si>
  <si>
    <t>-839.249490483519 106.512349609858 -267.560283226443</t>
  </si>
  <si>
    <t>-845.68203565127 107.689430647872 -356.416720078314</t>
  </si>
  <si>
    <t>-846.599912606511 112.120019917223 -445.398538832669</t>
  </si>
  <si>
    <t>-841.971981048088 121.492159143895 -569.541942156243</t>
  </si>
  <si>
    <t>-809.304732032431 132.361080038489 -645.170872768757</t>
  </si>
  <si>
    <t>-846.836287926551 144.861736277051 -512.942275490595</t>
  </si>
  <si>
    <t>-851.964316690748 279.649726069968 -486.42230891799</t>
  </si>
  <si>
    <t>-767.17187159994 299.584814199849 -205.345629279625</t>
  </si>
  <si>
    <t>-530.633283455884 326.300902080313 -242.581976691581</t>
  </si>
  <si>
    <t>-841.180761239395 89.8740410830274 -516.88270259025</t>
  </si>
  <si>
    <t>-828.026399659389 213.406072738934 -63.1116060187088</t>
  </si>
  <si>
    <t>-828.876146587301 223.449487918227 340.315040582531</t>
  </si>
  <si>
    <t>-864.591906323762 204.882791409042 786.507277695435</t>
  </si>
  <si>
    <t>-738.030951442739 278.553553974497 846.858621448465</t>
  </si>
  <si>
    <t>-765.410415721291 32.9018074987498 -56.609507354212</t>
  </si>
  <si>
    <t>-681.801447266185 7.36170972376567 337.35994303613</t>
  </si>
  <si>
    <t>-713.425672037195 -49.5898979654492 780.372444425033</t>
  </si>
  <si>
    <t>-590.796831750776 -120.53535492428 851.197573602296</t>
  </si>
  <si>
    <t>9763-20170724T111114.712954700.bin</t>
  </si>
  <si>
    <t>-796.526727243386 123.041810901163 -58.8495582674957</t>
  </si>
  <si>
    <t>-826.628570778468 108.805913780811 -169.788440428765</t>
  </si>
  <si>
    <t>-839.327241794909 106.370427410483 -267.560943914219</t>
  </si>
  <si>
    <t>-845.798367392767 107.600133926827 -356.413896301776</t>
  </si>
  <si>
    <t>-846.750810019775 112.101366451273 -445.391955462951</t>
  </si>
  <si>
    <t>-842.165680214079 121.590836405153 -569.5279304455</t>
  </si>
  <si>
    <t>-809.548403563014 132.570932840825 -645.162349642712</t>
  </si>
  <si>
    <t>-847.013969464673 144.906596436754 -512.90478398581</t>
  </si>
  <si>
    <t>-852.106582972835 279.66037501431 -486.209889775736</t>
  </si>
  <si>
    <t>-766.801742087657 298.537294362594 -205.215329797319</t>
  </si>
  <si>
    <t>-530.677821039532 325.786984073421 -244.633591420712</t>
  </si>
  <si>
    <t>-841.352866293844 89.9233611700638 -516.898785803566</t>
  </si>
  <si>
    <t>-828.00915369488 213.25196395793 -63.120298072805</t>
  </si>
  <si>
    <t>-828.911718509383 223.312365043541 340.305885644842</t>
  </si>
  <si>
    <t>-864.580193513105 204.922336275415 786.497098363699</t>
  </si>
  <si>
    <t>-738.081543371355 278.691090182171 846.858940774381</t>
  </si>
  <si>
    <t>-765.369951658726 32.7282234312315 -56.6446820395024</t>
  </si>
  <si>
    <t>-681.781860067687 7.36746081328329 337.340729949708</t>
  </si>
  <si>
    <t>-713.419468486272 -49.4816216707445 780.351997944015</t>
  </si>
  <si>
    <t>-590.846496191824 -120.527068046896 851.173546019676</t>
  </si>
  <si>
    <t>9763-20170724T111114.782670600.bin</t>
  </si>
  <si>
    <t>-796.693030250354 122.832433680924 -58.9206805172629</t>
  </si>
  <si>
    <t>-826.887646744173 108.559904046138 -169.829707547182</t>
  </si>
  <si>
    <t>-839.65290831797 106.19291282206 -267.595325072015</t>
  </si>
  <si>
    <t>-846.174286207141 107.522584907872 -356.443097204311</t>
  </si>
  <si>
    <t>-847.164890500354 112.160571725345 -445.41363124568</t>
  </si>
  <si>
    <t>-842.618329198228 121.878374867315 -569.533428412064</t>
  </si>
  <si>
    <t>-810.162203960861 133.076315328896 -645.205288610678</t>
  </si>
  <si>
    <t>-847.442078384377 145.090858826895 -512.865610478504</t>
  </si>
  <si>
    <t>-852.449391155619 279.790456208646 -485.857391177335</t>
  </si>
  <si>
    <t>-766.374878844245 297.119442032461 -204.997943440555</t>
  </si>
  <si>
    <t>-530.966608944586 325.401239289732 -247.822072084322</t>
  </si>
  <si>
    <t>-841.796277209062 90.1134890715089 -516.963196962941</t>
  </si>
  <si>
    <t>-828.2441393139 213.020390209186 -63.1746109542582</t>
  </si>
  <si>
    <t>-829.12408702451 223.153114694865 340.249749979097</t>
  </si>
  <si>
    <t>-864.542838510378 204.997718077245 786.46352210654</t>
  </si>
  <si>
    <t>-738.045264914116 278.747179645492 846.851420419595</t>
  </si>
  <si>
    <t>-765.548591206643 32.516867349977 -56.7116594768449</t>
  </si>
  <si>
    <t>-681.929047938111 7.3960858769824 337.282434232468</t>
  </si>
  <si>
    <t>-713.445708154207 -49.4965418068348 780.300412796213</t>
  </si>
  <si>
    <t>-590.910148264079 -120.604118554399 851.124454622321</t>
  </si>
  <si>
    <t>9763-20170724T111114.811748200.bin</t>
  </si>
  <si>
    <t>-796.775680125982 122.661475311892 -58.9678674898306</t>
  </si>
  <si>
    <t>-826.992622177239 108.397302963166 -169.871919907526</t>
  </si>
  <si>
    <t>-839.758011456128 106.081096034338 -267.638650545456</t>
  </si>
  <si>
    <t>-846.270443219218 107.473332851957 -356.486185540866</t>
  </si>
  <si>
    <t>-847.241356351771 112.189367731877 -445.45283736398</t>
  </si>
  <si>
    <t>-842.656507885627 122.031445028349 -569.561366996409</t>
  </si>
  <si>
    <t>-810.292662949709 133.338110459464 -645.25648223487</t>
  </si>
  <si>
    <t>-847.49426924467 145.18738691057 -512.871763597176</t>
  </si>
  <si>
    <t>-852.47855096075 279.858205940482 -485.73132432</t>
  </si>
  <si>
    <t>-766.249825846298 296.442490549176 -204.874235826083</t>
  </si>
  <si>
    <t>-531.119129485696 325.288242495232 -248.833341546926</t>
  </si>
  <si>
    <t>-841.853796189374 90.2134660562278 -517.023007809105</t>
  </si>
  <si>
    <t>-828.311142139344 212.881275531412 -63.2081548562426</t>
  </si>
  <si>
    <t>-829.240482123888 223.070621226058 340.214655909026</t>
  </si>
  <si>
    <t>-864.540236100212 205.050602947114 786.441781700032</t>
  </si>
  <si>
    <t>-738.000971189951 278.72036373806 846.838805567634</t>
  </si>
  <si>
    <t>-765.59904623406 32.3100124729203 -56.7835313360541</t>
  </si>
  <si>
    <t>-682.015785676505 7.35850016032282 337.229018559968</t>
  </si>
  <si>
    <t>-713.462175605011 -49.5354510611432 780.268101525696</t>
  </si>
  <si>
    <t>-590.839908322436 -120.49265363696 851.093189664857</t>
  </si>
  <si>
    <t>9763-20170724T111114.879956300.bin</t>
  </si>
  <si>
    <t>-796.697885975956 122.34062353373 -59.0341069077986</t>
  </si>
  <si>
    <t>-826.98604209712 108.115795746856 -169.923680214131</t>
  </si>
  <si>
    <t>-839.73218570411 105.910563020276 -267.695503004623</t>
  </si>
  <si>
    <t>-846.191050952883 107.43194807091 -356.544885829635</t>
  </si>
  <si>
    <t>-847.071784987892 112.303963645925 -445.503957008461</t>
  </si>
  <si>
    <t>-842.320447458864 122.389350456158 -569.586856468045</t>
  </si>
  <si>
    <t>-810.136478665247 133.882386028929 -645.330696913148</t>
  </si>
  <si>
    <t>-847.233592854745 145.433932908671 -512.858422797153</t>
  </si>
  <si>
    <t>-852.17854687026 280.045657307731 -485.391691402717</t>
  </si>
  <si>
    <t>-765.900835000808 295.311794933175 -204.474567913523</t>
  </si>
  <si>
    <t>-531.319032774821 325.190467482812 -250.620154744657</t>
  </si>
  <si>
    <t>-841.58891787948 90.4683405578489 -517.109839158546</t>
  </si>
  <si>
    <t>-828.188562522918 212.546371262103 -63.2279654850727</t>
  </si>
  <si>
    <t>-829.274374472665 222.90860477228 340.190044258203</t>
  </si>
  <si>
    <t>-864.455638118401 205.032170371065 786.450165012603</t>
  </si>
  <si>
    <t>-737.970944696154 278.810168852336 846.83005632922</t>
  </si>
  <si>
    <t>-765.558380143324 32.0239527827016 -56.9130402336029</t>
  </si>
  <si>
    <t>-681.955575228939 7.27064128549 337.107916867513</t>
  </si>
  <si>
    <t>-713.40508586291 -49.4272120788978 780.166918292038</t>
  </si>
  <si>
    <t>-590.885397267463 -120.504739194974 851.048654901392</t>
  </si>
  <si>
    <t>9763-20170724T111114.917054100.bin</t>
  </si>
  <si>
    <t>-796.637195119912 122.082343503459 -59.0557026363205</t>
  </si>
  <si>
    <t>-826.976056883977 107.859099958524 -169.931691264316</t>
  </si>
  <si>
    <t>-839.737211240983 105.707402581708 -267.702708102849</t>
  </si>
  <si>
    <t>-846.195748533052 107.295669066894 -356.550802762905</t>
  </si>
  <si>
    <t>-847.060545041735 112.252251997143 -445.505530987867</t>
  </si>
  <si>
    <t>-842.270752135235 122.472980377268 -569.575728435071</t>
  </si>
  <si>
    <t>-810.18865301235 134.056867005495 -645.348894646964</t>
  </si>
  <si>
    <t>-847.200810290127 145.455958540079 -512.823696010014</t>
  </si>
  <si>
    <t>-852.129057614397 280.025863347544 -485.160304539104</t>
  </si>
  <si>
    <t>-765.820858792284 294.458943520907 -204.208759107181</t>
  </si>
  <si>
    <t>-531.510874812977 325.054724073224 -251.257208930495</t>
  </si>
  <si>
    <t>-841.556135342499 90.4946295012232 -517.133496860092</t>
  </si>
  <si>
    <t>-828.204201830019 212.292191803088 -63.2012983991726</t>
  </si>
  <si>
    <t>-829.176045542565 222.833740397366 340.212444603969</t>
  </si>
  <si>
    <t>-864.479273744104 205.046573596334 786.486911816988</t>
  </si>
  <si>
    <t>-738.039436050083 278.930357813189 846.831355863023</t>
  </si>
  <si>
    <t>-765.461459881205 31.7250196309669 -56.9792001451182</t>
  </si>
  <si>
    <t>-681.881264941607 7.10020282616142 337.054621720132</t>
  </si>
  <si>
    <t>-713.396364446089 -49.4509664180966 780.138045597186</t>
  </si>
  <si>
    <t>-590.784226314299 -120.352499449343 851.03582107823</t>
  </si>
  <si>
    <t>9763-20170724T111114.979263900.bin</t>
  </si>
  <si>
    <t>-796.47176639601 121.4709641381 -59.069100431579</t>
  </si>
  <si>
    <t>-826.980876297723 107.250985321799 -169.898716812987</t>
  </si>
  <si>
    <t>-839.866596592947 105.256507927543 -267.656878798367</t>
  </si>
  <si>
    <t>-846.422471234642 107.046740109294 -356.494040199952</t>
  </si>
  <si>
    <t>-847.365674449124 112.263069920916 -445.432942890053</t>
  </si>
  <si>
    <t>-842.662424411666 122.905308929816 -569.471063985435</t>
  </si>
  <si>
    <t>-810.838500092144 134.72054013179 -645.317341966684</t>
  </si>
  <si>
    <t>-847.582169585675 145.692416760305 -512.63922451986</t>
  </si>
  <si>
    <t>-852.606367546192 280.146435557011 -484.445738453615</t>
  </si>
  <si>
    <t>-766.009994427258 292.91016925238 -203.501997183309</t>
  </si>
  <si>
    <t>-532.257333405594 324.714675763393 -252.482023513431</t>
  </si>
  <si>
    <t>-841.882375327012 90.7518202564397 -517.136928501322</t>
  </si>
  <si>
    <t>-828.161942272628 211.733805217615 -63.1412485911142</t>
  </si>
  <si>
    <t>-829.138973672051 222.45881563086 340.267586069467</t>
  </si>
  <si>
    <t>-864.375223739769 204.945504243826 786.531584221351</t>
  </si>
  <si>
    <t>-738.058596110821 279.075345158392 846.831798157175</t>
  </si>
  <si>
    <t>-765.129648749078 31.0756812792306 -57.1043325147944</t>
  </si>
  <si>
    <t>-681.89861880351 6.76418691941626 337.022805760652</t>
  </si>
  <si>
    <t>-713.42941187229 -49.5267797781707 780.131772995588</t>
  </si>
  <si>
    <t>-590.67500930498 -120.175533894653 851.03608078265</t>
  </si>
  <si>
    <t>9763-20170724T111115.018368500.bin</t>
  </si>
  <si>
    <t>-796.298397384822 121.246536476662 -59.1189186073958</t>
  </si>
  <si>
    <t>-826.893980608635 107.002351924292 -169.921585880012</t>
  </si>
  <si>
    <t>-839.861647957774 105.076609751777 -267.670254091814</t>
  </si>
  <si>
    <t>-846.490558347974 106.964088833106 -356.500028766238</t>
  </si>
  <si>
    <t>-847.50402196627 112.312518384575 -445.430415461548</t>
  </si>
  <si>
    <t>-842.894876346822 123.175309185197 -569.452916202813</t>
  </si>
  <si>
    <t>-811.212725420658 135.124839756815 -645.337594234302</t>
  </si>
  <si>
    <t>-847.797541891303 145.858726710322 -512.578089363488</t>
  </si>
  <si>
    <t>-852.952972280472 280.249736430085 -484.090131985609</t>
  </si>
  <si>
    <t>-765.959298063498 292.24846829759 -203.235555330112</t>
  </si>
  <si>
    <t>-532.624647984313 324.847334163816 -253.665281770793</t>
  </si>
  <si>
    <t>-842.048580491608 90.9316050197945 -517.175340881361</t>
  </si>
  <si>
    <t>-828.093394153416 211.509873982726 -63.1397655322139</t>
  </si>
  <si>
    <t>-829.103335725694 222.346526753944 340.265966390792</t>
  </si>
  <si>
    <t>-864.431399428738 205.022452758995 786.530866842344</t>
  </si>
  <si>
    <t>-737.996366237119 278.947552723383 846.834887283794</t>
  </si>
  <si>
    <t>-764.850411811321 30.8871323743606 -57.1866442525431</t>
  </si>
  <si>
    <t>-681.871963743639 6.72529319895011 337.003030500539</t>
  </si>
  <si>
    <t>-713.416374050329 -49.4422190179298 780.130001466844</t>
  </si>
  <si>
    <t>-590.771108850525 -120.269481877179 851.045008198466</t>
  </si>
  <si>
    <t>9763-20170724T111115.083179500.bin</t>
  </si>
  <si>
    <t>-795.871021835303 120.708925572904 -59.206926708123</t>
  </si>
  <si>
    <t>-826.630740300225 106.491332753938 -169.967548051112</t>
  </si>
  <si>
    <t>-839.765903774877 104.725884985032 -267.696804767401</t>
  </si>
  <si>
    <t>-846.551461775884 106.812131336658 -356.51044112631</t>
  </si>
  <si>
    <t>-847.723977913928 112.413480065632 -445.423117273394</t>
  </si>
  <si>
    <t>-843.336973526963 123.685679367941 -569.417060761674</t>
  </si>
  <si>
    <t>-811.977031504089 135.932765259483 -645.388035873675</t>
  </si>
  <si>
    <t>-848.187275196189 146.176095057267 -512.461400466224</t>
  </si>
  <si>
    <t>-853.616198680182 280.435256764461 -483.456670580999</t>
  </si>
  <si>
    <t>-765.87783422551 291.284476944295 -202.786990306031</t>
  </si>
  <si>
    <t>-533.576255162278 326.132253276187 -256.383150564414</t>
  </si>
  <si>
    <t>-842.347337436658 91.2745306739175 -517.245726572046</t>
  </si>
  <si>
    <t>-827.67528702476 210.965418620736 -63.114326201619</t>
  </si>
  <si>
    <t>-828.877452732332 222.000796389517 340.285573780564</t>
  </si>
  <si>
    <t>-864.30046451083 204.938675550718 786.53398008059</t>
  </si>
  <si>
    <t>-737.907592363447 278.923800261475 846.852120320845</t>
  </si>
  <si>
    <t>-764.415170462708 30.3404959581612 -57.337263624491</t>
  </si>
  <si>
    <t>-681.628135942309 6.58284745212541 336.917165131245</t>
  </si>
  <si>
    <t>-713.38376308192 -49.2967475655162 780.097980282037</t>
  </si>
  <si>
    <t>-590.803281113449 -120.222894496467 851.026270813763</t>
  </si>
  <si>
    <t>9763-20170724T111115.116267700.bin</t>
  </si>
  <si>
    <t>-795.7012753453 120.406029004127 -59.2407740529667</t>
  </si>
  <si>
    <t>-826.532689752441 106.204607646817 -169.98352357367</t>
  </si>
  <si>
    <t>-839.735729165049 104.529028519692 -267.705271558665</t>
  </si>
  <si>
    <t>-846.582304599482 106.727166340417 -356.511443378219</t>
  </si>
  <si>
    <t>-847.814662696293 112.471154120503 -445.414392147224</t>
  </si>
  <si>
    <t>-843.508322921338 123.974681419491 -569.389904718806</t>
  </si>
  <si>
    <t>-812.328648813211 136.393522346253 -645.407035300126</t>
  </si>
  <si>
    <t>-848.344471116571 146.356326727299 -512.390175518514</t>
  </si>
  <si>
    <t>-853.870151449722 280.558083273495 -483.119928729654</t>
  </si>
  <si>
    <t>-765.874744893516 290.746182216976 -202.505891831434</t>
  </si>
  <si>
    <t>-533.999900181675 326.618182787885 -257.26028085632</t>
  </si>
  <si>
    <t>-842.462347329397 91.4686745064282 -517.278703146367</t>
  </si>
  <si>
    <t>-827.515262445265 210.698304168013 -63.096352732554</t>
  </si>
  <si>
    <t>-828.784743284262 221.79034956717 340.301766949215</t>
  </si>
  <si>
    <t>-864.261642987488 204.915337539828 786.538699081168</t>
  </si>
  <si>
    <t>-737.94275108532 279.023955855989 846.860388147306</t>
  </si>
  <si>
    <t>-764.261756609008 29.9652400499381 -57.4099488661519</t>
  </si>
  <si>
    <t>-681.55426347212 6.38211209920428 336.871589222293</t>
  </si>
  <si>
    <t>-713.431133856647 -49.4285775929675 780.087206971131</t>
  </si>
  <si>
    <t>-590.697824134521 -120.106583457034 850.998735135684</t>
  </si>
  <si>
    <t>9763-20170724T111115.185460800.bin</t>
  </si>
  <si>
    <t>-795.589841368196 119.947331910473 -59.2992645790904</t>
  </si>
  <si>
    <t>-826.530859620698 105.801078016514 -170.01857696058</t>
  </si>
  <si>
    <t>-839.819651445154 104.348573420898 -267.732266705257</t>
  </si>
  <si>
    <t>-846.73472220086 106.818274424645 -356.525813584582</t>
  </si>
  <si>
    <t>-848.023138257347 112.903334634731 -445.405317676667</t>
  </si>
  <si>
    <t>-843.780130342074 124.954439252027 -569.33101644723</t>
  </si>
  <si>
    <t>-813.008166898582 137.733324670935 -645.454730210461</t>
  </si>
  <si>
    <t>-848.620111569537 147.080558545039 -512.231813314934</t>
  </si>
  <si>
    <t>-854.202786047337 281.138502405587 -482.317912031761</t>
  </si>
  <si>
    <t>-765.761909601812 289.898293018504 -201.79575765482</t>
  </si>
  <si>
    <t>-534.602707988465 327.795565050976 -258.187983881416</t>
  </si>
  <si>
    <t>-842.674478072451 92.2220829959324 -517.362991830045</t>
  </si>
  <si>
    <t>-827.443105550416 210.281765497222 -63.080274946118</t>
  </si>
  <si>
    <t>-828.84748444192 221.506791701441 340.313752810437</t>
  </si>
  <si>
    <t>-864.310193408515 205.00278014532 786.536473986942</t>
  </si>
  <si>
    <t>-737.859868316262 278.868824167657 846.880371839681</t>
  </si>
  <si>
    <t>-764.143751546857 29.4898621518687 -57.5549493193175</t>
  </si>
  <si>
    <t>-681.582716198958 6.13571384980241 336.770956954419</t>
  </si>
  <si>
    <t>-713.471801646376 -49.485682110296 780.038331785028</t>
  </si>
  <si>
    <t>-590.737520591943 -120.177334953534 850.93475669932</t>
  </si>
  <si>
    <t>9763-20170724T111115.217545800.bin</t>
  </si>
  <si>
    <t>-795.632938114699 119.770149060636 -59.3415115341385</t>
  </si>
  <si>
    <t>-826.626874014967 105.648224462238 -170.049122284585</t>
  </si>
  <si>
    <t>-839.954956205488 104.322415494527 -267.759156075102</t>
  </si>
  <si>
    <t>-846.899164080245 106.948320491594 -356.546212347027</t>
  </si>
  <si>
    <t>-848.208235202857 113.230313108905 -445.411597261407</t>
  </si>
  <si>
    <t>-843.983688785176 125.598361096829 -569.306634249704</t>
  </si>
  <si>
    <t>-813.445822693126 138.558869145279 -645.493801517763</t>
  </si>
  <si>
    <t>-848.829647749121 147.577181366568 -512.15096626715</t>
  </si>
  <si>
    <t>-854.41290317265 281.554389893778 -481.886490910431</t>
  </si>
  <si>
    <t>-765.776558518272 289.484919392731 -201.401383403827</t>
  </si>
  <si>
    <t>-534.884041617598 328.314424580586 -258.250688660247</t>
  </si>
  <si>
    <t>-842.855794822371 92.7347168889387 -517.422197319961</t>
  </si>
  <si>
    <t>-827.534597224414 210.159946535623 -63.081984815788</t>
  </si>
  <si>
    <t>-828.94156983679 221.415881648995 340.311134654878</t>
  </si>
  <si>
    <t>-864.384547543496 205.085120006224 786.541475801454</t>
  </si>
  <si>
    <t>-737.842198171939 278.78862493235 846.892128184981</t>
  </si>
  <si>
    <t>-764.148280985968 29.2407609866814 -57.6325262159983</t>
  </si>
  <si>
    <t>-681.671153956982 6.04929730790491 336.720625470279</t>
  </si>
  <si>
    <t>-713.534356008013 -49.6498719272677 780.014652531356</t>
  </si>
  <si>
    <t>-590.664945190087 -120.130616698458 850.886970931975</t>
  </si>
  <si>
    <t>9763-20170724T111115.280720000.bin</t>
  </si>
  <si>
    <t>-795.61773593295 119.422633496697 -59.4239731727057</t>
  </si>
  <si>
    <t>-826.703555843118 105.378460037118 -170.115609605864</t>
  </si>
  <si>
    <t>-840.057885650494 104.328528308574 -267.825474134355</t>
  </si>
  <si>
    <t>-846.99837630457 107.286286243754 -356.602312201882</t>
  </si>
  <si>
    <t>-848.273320244605 113.982097464741 -445.437938959425</t>
  </si>
  <si>
    <t>-843.966466571145 127.012270361721 -569.26233492497</t>
  </si>
  <si>
    <t>-813.921193602178 140.374280868328 -645.575879698216</t>
  </si>
  <si>
    <t>-848.898746225778 148.679984721647 -511.995500808865</t>
  </si>
  <si>
    <t>-854.610960822062 282.504524937869 -481.061425715967</t>
  </si>
  <si>
    <t>-765.68078716444 288.955999661292 -200.631362262483</t>
  </si>
  <si>
    <t>-535.200179300723 329.481314438157 -257.965974374045</t>
  </si>
  <si>
    <t>-842.824431219235 93.8767278131309 -517.551238615027</t>
  </si>
  <si>
    <t>-827.481631432319 209.770960746915 -63.0611440060728</t>
  </si>
  <si>
    <t>-828.887458443166 221.175148397803 340.327827538577</t>
  </si>
  <si>
    <t>-864.192975857713 204.93493938565 786.552025433507</t>
  </si>
  <si>
    <t>-737.91343858952 279.08348141793 846.907443751383</t>
  </si>
  <si>
    <t>-764.100806307333 28.9429670999639 -57.8111033907597</t>
  </si>
  <si>
    <t>-681.662726564909 5.99035524388592 336.564095116437</t>
  </si>
  <si>
    <t>-713.52375443451 -49.5568550023686 779.889349090711</t>
  </si>
  <si>
    <t>-590.630113003489 -119.994205116521 850.762283349943</t>
  </si>
  <si>
    <t>9763-20170724T111115.315815300.bin</t>
  </si>
  <si>
    <t>-795.672216044102 119.394965423638 -59.4518782631792</t>
  </si>
  <si>
    <t>-826.781959118283 105.390996152246 -170.141888607779</t>
  </si>
  <si>
    <t>-840.111694519393 104.47851418877 -267.856578883276</t>
  </si>
  <si>
    <t>-847.008658693272 107.601254541555 -356.631145864138</t>
  </si>
  <si>
    <t>-848.217980108376 114.502304651297 -445.45196117915</t>
  </si>
  <si>
    <t>-843.796132887147 127.860639749762 -569.237436923502</t>
  </si>
  <si>
    <t>-813.995334104476 141.445621357001 -645.607384603573</t>
  </si>
  <si>
    <t>-848.815407501208 149.37283740017 -511.919414721667</t>
  </si>
  <si>
    <t>-854.661468168267 283.121528460589 -480.694128970144</t>
  </si>
  <si>
    <t>-765.812450845957 288.888587873194 -200.223384286437</t>
  </si>
  <si>
    <t>-535.511330178312 330.157454998317 -257.74813873345</t>
  </si>
  <si>
    <t>-842.668947625605 94.5916589699491 -517.611634258122</t>
  </si>
  <si>
    <t>-827.61636441179 209.783026498531 -63.0442070848459</t>
  </si>
  <si>
    <t>-828.999355565303 221.162400845365 340.345549715104</t>
  </si>
  <si>
    <t>-864.299508935567 205.036632687582 786.56497952408</t>
  </si>
  <si>
    <t>-737.8042223513 278.819187518272 846.916948334182</t>
  </si>
  <si>
    <t>-764.12649371859 28.9134450282536 -57.8915297583587</t>
  </si>
  <si>
    <t>-681.668149174059 6.00578611310857 336.4821076084</t>
  </si>
  <si>
    <t>-713.523771158134 -49.5354679575005 779.815686873906</t>
  </si>
  <si>
    <t>-590.632245657199 -119.969337787429 850.695921886296</t>
  </si>
  <si>
    <t>9763-20170724T111115.380517000.bin</t>
  </si>
  <si>
    <t>-795.753173743757 119.470463661788 -59.5308600475516</t>
  </si>
  <si>
    <t>-826.936063339812 105.567443094761 -170.213142529453</t>
  </si>
  <si>
    <t>-840.250569753174 104.932142889576 -267.931954851066</t>
  </si>
  <si>
    <t>-847.098169394892 108.382297245232 -356.698156836943</t>
  </si>
  <si>
    <t>-848.221286767772 115.687269273612 -445.487981923034</t>
  </si>
  <si>
    <t>-843.639004306715 129.689025147538 -569.196292977345</t>
  </si>
  <si>
    <t>-814.278434942967 143.723275925016 -645.655538550731</t>
  </si>
  <si>
    <t>-848.812027782278 150.894394632367 -511.777804166665</t>
  </si>
  <si>
    <t>-854.994005522137 284.491022704622 -479.960862102347</t>
  </si>
  <si>
    <t>-766.252377590375 288.943053154539 -199.43226960311</t>
  </si>
  <si>
    <t>-536.273015198579 331.403950664955 -257.375390947172</t>
  </si>
  <si>
    <t>-842.498957807873 96.1608020289364 -517.738963552318</t>
  </si>
  <si>
    <t>-827.803911654712 209.841506613793 -63.0197156344606</t>
  </si>
  <si>
    <t>-829.298743819802 221.06049401513 340.374138040982</t>
  </si>
  <si>
    <t>-864.367874891254 205.103871821447 786.604168191569</t>
  </si>
  <si>
    <t>-737.784651609741 278.757951935777 846.929005773406</t>
  </si>
  <si>
    <t>-764.104242286757 29.019928097161 -58.0999878401869</t>
  </si>
  <si>
    <t>-681.681766816835 6.02986605682872 336.276303617012</t>
  </si>
  <si>
    <t>-713.513114754508 -49.5104059900943 779.621099012259</t>
  </si>
  <si>
    <t>-590.683066268255 -120.011327667032 850.541341962663</t>
  </si>
  <si>
    <t>9763-20170724T111115.412602400.bin</t>
  </si>
  <si>
    <t>-795.791923763491 119.484193506659 -59.5718715203282</t>
  </si>
  <si>
    <t>-826.988801992443 105.631206952735 -170.256475000359</t>
  </si>
  <si>
    <t>-840.315367313646 105.138118014055 -267.974427847261</t>
  </si>
  <si>
    <t>-847.171199706536 108.756913236003 -356.733340570229</t>
  </si>
  <si>
    <t>-848.298946705735 116.27070539647 -445.505620312181</t>
  </si>
  <si>
    <t>-843.718256689742 130.605983806344 -569.175833264709</t>
  </si>
  <si>
    <t>-814.553458815788 144.845558161432 -645.672104106975</t>
  </si>
  <si>
    <t>-848.929409306813 151.652224474298 -511.702155348201</t>
  </si>
  <si>
    <t>-855.24589785829 285.162332210383 -479.574169905104</t>
  </si>
  <si>
    <t>-766.466188805533 289.064427012966 -199.049366463879</t>
  </si>
  <si>
    <t>-536.448870708913 331.633008210205 -256.763076856888</t>
  </si>
  <si>
    <t>-842.538787896958 96.9431622869415 -517.807131747393</t>
  </si>
  <si>
    <t>-827.865291891011 209.811490250633 -63.0110344863314</t>
  </si>
  <si>
    <t>-829.475272209062 220.88635363887 340.386329157391</t>
  </si>
  <si>
    <t>-864.212206418985 204.962852711221 786.6224305003</t>
  </si>
  <si>
    <t>-737.897624080354 279.088971766766 846.931554169764</t>
  </si>
  <si>
    <t>-764.095337586514 29.037371577152 -58.2042733584561</t>
  </si>
  <si>
    <t>-681.605794511789 6.02331865884344 336.156575970921</t>
  </si>
  <si>
    <t>-713.510918463969 -49.5110367708533 779.509364087918</t>
  </si>
  <si>
    <t>-590.730728217211 -120.080779092767 850.447334013344</t>
  </si>
  <si>
    <t>9763-20170724T111115.480831700.bin</t>
  </si>
  <si>
    <t>-795.951933300353 119.328340781145 -59.734384572817</t>
  </si>
  <si>
    <t>-827.172807072928 105.60716084335 -170.428698148687</t>
  </si>
  <si>
    <t>-840.507165301196 105.420023085241 -268.146761127603</t>
  </si>
  <si>
    <t>-847.361327947016 109.392852946234 -356.890549635596</t>
  </si>
  <si>
    <t>-848.476811159754 117.339899929688 -445.625206508597</t>
  </si>
  <si>
    <t>-843.866755469404 132.363731521164 -569.212699577627</t>
  </si>
  <si>
    <t>-814.970291221384 147.005450878475 -645.734947286498</t>
  </si>
  <si>
    <t>-849.202067179542 153.07691103245 -511.629540637703</t>
  </si>
  <si>
    <t>-855.936905480845 286.398343167663 -478.781011178574</t>
  </si>
  <si>
    <t>-767.182896693328 289.048021660935 -198.233532507129</t>
  </si>
  <si>
    <t>-537.021179941259 331.72253572644 -255.288742923178</t>
  </si>
  <si>
    <t>-842.588355515632 98.4279937791421 -518.026263472808</t>
  </si>
  <si>
    <t>-828.293210662704 209.749495928057 -63.0186993053377</t>
  </si>
  <si>
    <t>-829.973382084799 220.653236774493 340.382973025841</t>
  </si>
  <si>
    <t>-864.273765227626 205.040208209423 786.643654804409</t>
  </si>
  <si>
    <t>-737.862702150267 279.009064910344 846.944512274821</t>
  </si>
  <si>
    <t>-763.981196921889 28.7586207114468 -58.5199830742544</t>
  </si>
  <si>
    <t>-681.529878199899 6.13659880866499 335.871485176006</t>
  </si>
  <si>
    <t>-713.467468876579 -49.3561551631381 779.245750971334</t>
  </si>
  <si>
    <t>-590.73117855882 -119.964812721282 850.221272777405</t>
  </si>
  <si>
    <t>9763-20170724T111115.513923000.bin</t>
  </si>
  <si>
    <t>-796.059059140024 119.158277936239 -59.8274113590029</t>
  </si>
  <si>
    <t>-827.249574014922 105.469946988655 -170.534339608199</t>
  </si>
  <si>
    <t>-840.551479351765 105.388198401676 -268.256964621609</t>
  </si>
  <si>
    <t>-847.372280581886 109.487772912034 -356.997559925673</t>
  </si>
  <si>
    <t>-848.450830152807 117.593905477926 -445.718330720539</t>
  </si>
  <si>
    <t>-843.784430129318 132.873990690665 -569.272262359519</t>
  </si>
  <si>
    <t>-814.976314302867 147.709112031081 -645.790401809948</t>
  </si>
  <si>
    <t>-849.21370190149 153.460042014935 -511.652293634454</t>
  </si>
  <si>
    <t>-856.228921275457 286.696074809871 -478.520517826043</t>
  </si>
  <si>
    <t>-767.56642789963 288.968904454739 -197.940848320633</t>
  </si>
  <si>
    <t>-537.255127885586 331.571377853798 -254.443969145265</t>
  </si>
  <si>
    <t>-842.46177326148 98.8399943019276 -518.152295809315</t>
  </si>
  <si>
    <t>-828.535394635626 209.637574957296 -63.0497792408373</t>
  </si>
  <si>
    <t>-830.193690737054 220.509242268683 340.352950237993</t>
  </si>
  <si>
    <t>-864.301740145946 205.08675566637 786.629559702882</t>
  </si>
  <si>
    <t>-737.840749542546 278.954725635473 846.94827708415</t>
  </si>
  <si>
    <t>-763.967327476422 28.5259878322727 -58.6635441866664</t>
  </si>
  <si>
    <t>-681.411429790975 6.09347075458982 335.716955599583</t>
  </si>
  <si>
    <t>-713.4848576205 -49.4296080977067 779.1022674214</t>
  </si>
  <si>
    <t>-590.693269909127 -119.929630551838 850.090159522104</t>
  </si>
  <si>
    <t>9763-20170724T111115.583171100.bin</t>
  </si>
  <si>
    <t>-796.018600967437 118.890613207143 -60.0197355345564</t>
  </si>
  <si>
    <t>-827.214463465445 105.197109757587 -170.724273572679</t>
  </si>
  <si>
    <t>-840.52621808254 105.225458529645 -268.445698893447</t>
  </si>
  <si>
    <t>-847.356298623665 109.470833134945 -357.178899496269</t>
  </si>
  <si>
    <t>-848.442879743728 117.771167765201 -445.881527034973</t>
  </si>
  <si>
    <t>-843.787380316559 133.374462615035 -569.395317387808</t>
  </si>
  <si>
    <t>-815.119185834989 148.531212720134 -645.903101560639</t>
  </si>
  <si>
    <t>-849.337451373772 153.794613112217 -511.72785747962</t>
  </si>
  <si>
    <t>-856.873623404206 286.901314838003 -478.22345020663</t>
  </si>
  <si>
    <t>-768.44404423591 289.037011852843 -197.569126732954</t>
  </si>
  <si>
    <t>-537.826612306787 331.062529111503 -253.249757304393</t>
  </si>
  <si>
    <t>-842.334879169824 99.222011058338 -518.358002274942</t>
  </si>
  <si>
    <t>-828.602554200802 209.379225641107 -63.1528603128451</t>
  </si>
  <si>
    <t>-830.447963738267 220.163644759053 340.251389695832</t>
  </si>
  <si>
    <t>-864.017971200953 204.899999475378 786.552788355947</t>
  </si>
  <si>
    <t>-737.864260351196 279.252266116534 846.92088283137</t>
  </si>
  <si>
    <t>-763.805131834213 28.2762801013796 -58.9115711747058</t>
  </si>
  <si>
    <t>-681.013670874467 5.95894056346424 335.426057517735</t>
  </si>
  <si>
    <t>-713.508708126382 -49.5311869853288 778.816072325627</t>
  </si>
  <si>
    <t>-590.492538650608 -119.63320607164 849.809338447209</t>
  </si>
  <si>
    <t>9763-20170724T111115.616258200.bin</t>
  </si>
  <si>
    <t>-796.022689989775 118.997950308028 -60.0971711302184</t>
  </si>
  <si>
    <t>-827.224566654142 105.28466113006 -170.797656023358</t>
  </si>
  <si>
    <t>-840.552799611794 105.339001376738 -268.516696436099</t>
  </si>
  <si>
    <t>-847.401566287034 109.624846506316 -357.246566639047</t>
  </si>
  <si>
    <t>-848.510504227668 117.984616196329 -445.9432661333</t>
  </si>
  <si>
    <t>-843.889038227511 133.690871431933 -569.445429561016</t>
  </si>
  <si>
    <t>-815.26386303033 148.96299148592 -645.946463011759</t>
  </si>
  <si>
    <t>-849.483188341769 154.055427367809 -511.762731938556</t>
  </si>
  <si>
    <t>-857.262065313569 287.12284451594 -478.150651278836</t>
  </si>
  <si>
    <t>-768.874193180853 289.417368009797 -197.484330385722</t>
  </si>
  <si>
    <t>-538.198674237257 331.297987682117 -253.03296391412</t>
  </si>
  <si>
    <t>-842.362329197291 99.5032497158732 -518.433918562603</t>
  </si>
  <si>
    <t>-828.761052853121 209.486160919444 -63.2065023797775</t>
  </si>
  <si>
    <t>-830.647417694983 220.221398611608 340.198790980624</t>
  </si>
  <si>
    <t>-864.106999817712 205.011754659321 786.522098849981</t>
  </si>
  <si>
    <t>-737.815606753004 279.109144637299 846.915824974616</t>
  </si>
  <si>
    <t>-763.64239351465 28.435474426185 -59.0378269458321</t>
  </si>
  <si>
    <t>-680.800797882089 6.14016739104727 335.290608819522</t>
  </si>
  <si>
    <t>-713.461542085496 -49.3752916171729 778.663672725187</t>
  </si>
  <si>
    <t>-590.646911365211 -119.798784584654 849.687699183229</t>
  </si>
  <si>
    <t>9763-20170724T111115.682455800.bin</t>
  </si>
  <si>
    <t>-796.030723380936 119.181797738331 -60.2436585042202</t>
  </si>
  <si>
    <t>-827.233304952102 105.422601549074 -170.938294100216</t>
  </si>
  <si>
    <t>-840.576932018918 105.484407088577 -268.655390493839</t>
  </si>
  <si>
    <t>-847.444202703408 109.795474845533 -357.382419694147</t>
  </si>
  <si>
    <t>-848.57575106689 118.200306324611 -446.07466411662</t>
  </si>
  <si>
    <t>-843.989583709898 133.990194557977 -569.567494751942</t>
  </si>
  <si>
    <t>-815.381060997618 149.333889886076 -646.060285684589</t>
  </si>
  <si>
    <t>-849.638971684659 154.30654315428 -511.873015272112</t>
  </si>
  <si>
    <t>-857.744302867202 287.333028720118 -478.157014575474</t>
  </si>
  <si>
    <t>-769.709067697443 289.755515056074 -197.381184796967</t>
  </si>
  <si>
    <t>-538.744583467396 330.203717664316 -252.790463284388</t>
  </si>
  <si>
    <t>-842.376486203889 99.7767987281386 -518.575722902491</t>
  </si>
  <si>
    <t>-829.028088420964 209.687155495169 -63.3080703716053</t>
  </si>
  <si>
    <t>-830.770830022758 220.273348405327 340.101829825487</t>
  </si>
  <si>
    <t>-864.050227667271 205.005637756335 786.459838198097</t>
  </si>
  <si>
    <t>-737.931332739289 279.368633170788 846.886938638194</t>
  </si>
  <si>
    <t>-763.41872579461 28.500771544625 -59.2218944632614</t>
  </si>
  <si>
    <t>-680.417893377855 6.34596651586025 335.080930573142</t>
  </si>
  <si>
    <t>-713.463578416299 -49.3756495630803 778.405797646094</t>
  </si>
  <si>
    <t>-590.520218931176 -119.556383030721 849.447153921629</t>
  </si>
  <si>
    <t>9763-20170724T111115.718547600.bin</t>
  </si>
  <si>
    <t>-796.03866977444 119.367547643454 -60.2951384200949</t>
  </si>
  <si>
    <t>-827.225185722251 105.603341668958 -170.993695251893</t>
  </si>
  <si>
    <t>-840.567576635575 105.638151323399 -268.710786716517</t>
  </si>
  <si>
    <t>-847.439588514043 109.91688538433 -357.439182352991</t>
  </si>
  <si>
    <t>-848.582898145928 118.281298250388 -446.135160708853</t>
  </si>
  <si>
    <t>-844.020307411902 134.007495409597 -569.636853345681</t>
  </si>
  <si>
    <t>-815.400331122955 149.300564995154 -646.135528572441</t>
  </si>
  <si>
    <t>-849.661171131184 154.353409622355 -511.952068348602</t>
  </si>
  <si>
    <t>-857.826656993015 287.391304076255 -478.286537750596</t>
  </si>
  <si>
    <t>-770.349738694631 289.881654761588 -197.336708194929</t>
  </si>
  <si>
    <t>-539.174742459449 328.598027564022 -253.104854585529</t>
  </si>
  <si>
    <t>-842.394902739284 99.8207357393685 -518.627590250328</t>
  </si>
  <si>
    <t>-829.072044026628 209.923806073829 -63.3471943370008</t>
  </si>
  <si>
    <t>-830.80742662117 220.418043314387 340.065182283373</t>
  </si>
  <si>
    <t>-864.132222698026 205.096142166628 786.431292598437</t>
  </si>
  <si>
    <t>-737.826468730457 279.129885302793 846.872992060445</t>
  </si>
  <si>
    <t>-763.403316638272 28.67282727252 -59.2680525697976</t>
  </si>
  <si>
    <t>-680.267909166552 6.50465099005442 335.005654817943</t>
  </si>
  <si>
    <t>-713.470879647639 -49.3892126473604 778.298314638915</t>
  </si>
  <si>
    <t>-590.59589871578 -119.675572779286 849.353653488805</t>
  </si>
  <si>
    <t>9763-20170724T111115.787275500.bin</t>
  </si>
  <si>
    <t>-796.052442448241 120.018201156993 -60.320682091411</t>
  </si>
  <si>
    <t>-827.204191343928 106.253843330467 -171.029124925368</t>
  </si>
  <si>
    <t>-840.528339333837 106.179411703002 -268.748585544158</t>
  </si>
  <si>
    <t>-847.393444928838 110.317988132954 -357.48406416392</t>
  </si>
  <si>
    <t>-848.540166689874 118.501023670254 -446.196877173955</t>
  </si>
  <si>
    <t>-843.995398037815 133.932804073746 -569.736455454562</t>
  </si>
  <si>
    <t>-815.318111911619 148.95672081992 -646.266972600262</t>
  </si>
  <si>
    <t>-849.579212300187 154.42250861728 -512.097005203549</t>
  </si>
  <si>
    <t>-857.672340591379 287.530611627669 -478.746790134534</t>
  </si>
  <si>
    <t>-771.74822426773 290.151857178888 -197.319362838042</t>
  </si>
  <si>
    <t>-539.180094478498 322.826570749807 -251.127146409233</t>
  </si>
  <si>
    <t>-842.411367247957 99.8619018814579 -518.64866851174</t>
  </si>
  <si>
    <t>-829.000596069564 210.613100771203 -63.4145353039858</t>
  </si>
  <si>
    <t>-830.636606359876 220.754189437747 340.007266477616</t>
  </si>
  <si>
    <t>-864.050316962969 205.026796540451 786.399746198129</t>
  </si>
  <si>
    <t>-737.857099837425 279.255361255973 846.837156970656</t>
  </si>
  <si>
    <t>-763.542030187665 29.3280769509856 -59.2545821602506</t>
  </si>
  <si>
    <t>-680.082565132315 6.85933956916188 334.933644378783</t>
  </si>
  <si>
    <t>-713.418169394266 -49.1151329480622 778.135207483818</t>
  </si>
  <si>
    <t>-590.690438231952 -119.633270015074 849.215434987991</t>
  </si>
  <si>
    <t>9763-20170724T111115.814347300.bin</t>
  </si>
  <si>
    <t>-796.14314143542 120.403910569047 -60.3066467887046</t>
  </si>
  <si>
    <t>-827.275720887193 106.644123857842 -171.02088046903</t>
  </si>
  <si>
    <t>-840.589979738905 106.499465542327 -268.741782417208</t>
  </si>
  <si>
    <t>-847.451619894768 110.546273788319 -357.481861828088</t>
  </si>
  <si>
    <t>-848.602407971559 118.610752049985 -446.205322796352</t>
  </si>
  <si>
    <t>-844.072750976496 133.849704830412 -569.769355712534</t>
  </si>
  <si>
    <t>-815.352808096688 148.683028550934 -646.32114682678</t>
  </si>
  <si>
    <t>-849.620227129374 154.432912202174 -512.159726764383</t>
  </si>
  <si>
    <t>-857.629692847678 287.606458683173 -479.026750089955</t>
  </si>
  <si>
    <t>-772.356143160898 290.384821723659 -197.403018925225</t>
  </si>
  <si>
    <t>-539.164893056094 320.913144810253 -249.755789790035</t>
  </si>
  <si>
    <t>-842.511876155869 99.8547991297305 -518.630199167486</t>
  </si>
  <si>
    <t>-828.993180908821 210.989931035374 -63.4285143683223</t>
  </si>
  <si>
    <t>-830.523035478886 221.017790004584 339.996557505952</t>
  </si>
  <si>
    <t>-864.088208073287 205.049330890866 786.395907755463</t>
  </si>
  <si>
    <t>-737.861291005155 279.231244543446 846.819956350235</t>
  </si>
  <si>
    <t>-763.714677007242 29.7238793213974 -59.2173422633809</t>
  </si>
  <si>
    <t>-680.115570298229 6.99480187140853 334.926298028389</t>
  </si>
  <si>
    <t>-713.433382594644 -49.1623073450182 778.083764806569</t>
  </si>
  <si>
    <t>-590.699734979633 -119.656237040014 849.177352361711</t>
  </si>
  <si>
    <t>9763-20170724T111115.882160200.bin</t>
  </si>
  <si>
    <t>-796.380648717396 121.148300284552 -60.2452882740935</t>
  </si>
  <si>
    <t>-827.41213490819 107.431086723035 -170.993295004769</t>
  </si>
  <si>
    <t>-840.670017948965 107.095856788128 -268.72128908284</t>
  </si>
  <si>
    <t>-847.502928245022 110.883718927867 -357.474866839426</t>
  </si>
  <si>
    <t>-848.651220837187 118.604113271106 -446.229113130068</t>
  </si>
  <si>
    <t>-844.148635052796 133.276629225006 -569.862677139256</t>
  </si>
  <si>
    <t>-815.299054273193 147.654813584433 -646.452483290795</t>
  </si>
  <si>
    <t>-849.609988897229 154.132527818361 -512.343109714253</t>
  </si>
  <si>
    <t>-857.510193731557 287.471050789633 -479.851365453394</t>
  </si>
  <si>
    <t>-773.0559864486 291.382863546432 -197.994285877296</t>
  </si>
  <si>
    <t>-538.630037892239 318.561699847357 -246.539631780537</t>
  </si>
  <si>
    <t>-842.649967042839 99.5071939683457 -518.572414179807</t>
  </si>
  <si>
    <t>-829.108491233777 211.752695528584 -63.4326594134575</t>
  </si>
  <si>
    <t>-830.366179161762 221.583498536043 339.998098253093</t>
  </si>
  <si>
    <t>-864.213156415719 205.12298045725 786.411679013269</t>
  </si>
  <si>
    <t>-737.77955206264 278.994400499349 846.783530195721</t>
  </si>
  <si>
    <t>-763.99672057911 30.4579314804259 -59.112389221594</t>
  </si>
  <si>
    <t>-680.229914585531 7.36367302168901 334.974437347286</t>
  </si>
  <si>
    <t>-713.394423532558 -48.9542608415711 778.047542949218</t>
  </si>
  <si>
    <t>-590.77061372119 -119.606386770002 849.173700021126</t>
  </si>
  <si>
    <t>9763-20170724T111115.915249100.bin</t>
  </si>
  <si>
    <t>-796.378961496196 121.392234392024 -60.2090886086252</t>
  </si>
  <si>
    <t>-827.296613163826 107.715882554282 -170.99389871615</t>
  </si>
  <si>
    <t>-840.491609904422 107.275428393033 -268.730074123136</t>
  </si>
  <si>
    <t>-847.286460428797 110.91373860979 -357.492815919267</t>
  </si>
  <si>
    <t>-848.418269526478 118.43100830452 -446.264794253395</t>
  </si>
  <si>
    <t>-843.916613591373 132.764929158307 -569.938077114065</t>
  </si>
  <si>
    <t>-814.974668117935 146.886978727408 -646.540741452635</t>
  </si>
  <si>
    <t>-849.328349899004 153.784233962504 -512.473227199221</t>
  </si>
  <si>
    <t>-857.093172796212 287.227553628148 -480.382195168629</t>
  </si>
  <si>
    <t>-773.011852535499 291.951557189532 -198.426226661682</t>
  </si>
  <si>
    <t>-538.053288508656 317.730050825218 -245.125479894541</t>
  </si>
  <si>
    <t>-842.466401700573 99.1301618570046 -518.557894831384</t>
  </si>
  <si>
    <t>-828.947155527987 211.964739994311 -63.4243520040719</t>
  </si>
  <si>
    <t>-830.189842830037 221.795781142915 340.006486595697</t>
  </si>
  <si>
    <t>-864.152373647534 205.056065254695 786.410073757309</t>
  </si>
  <si>
    <t>-737.815711793031 279.108133639235 846.76466941414</t>
  </si>
  <si>
    <t>-764.094270757946 30.681212681041 -59.037457232867</t>
  </si>
  <si>
    <t>-680.245099812516 7.48391682359897 335.025792250407</t>
  </si>
  <si>
    <t>-713.406334326022 -48.9512586619658 778.064609398151</t>
  </si>
  <si>
    <t>-590.857319235936 -119.718289374454 849.205740010384</t>
  </si>
  <si>
    <t>9763-20170724T111115.984988000.bin</t>
  </si>
  <si>
    <t>-796.320468703783 121.741157552653 -60.1142692255632</t>
  </si>
  <si>
    <t>-827.027001109706 108.051440343383 -170.956041088266</t>
  </si>
  <si>
    <t>-840.094280670336 107.33852211372 -268.707744069428</t>
  </si>
  <si>
    <t>-846.804068608563 110.627707187341 -357.490715473249</t>
  </si>
  <si>
    <t>-847.885115759794 117.693839286213 -446.300249676259</t>
  </si>
  <si>
    <t>-843.351826534724 131.293325137474 -570.055308900405</t>
  </si>
  <si>
    <t>-814.200985415281 144.870096167839 -646.677252619114</t>
  </si>
  <si>
    <t>-848.690289726319 152.664090903254 -512.713272845764</t>
  </si>
  <si>
    <t>-856.226288133378 286.31839622138 -481.434329732706</t>
  </si>
  <si>
    <t>-772.640100233324 292.222771926728 -199.353277024836</t>
  </si>
  <si>
    <t>-536.62917563951 316.883473355817 -241.083987612769</t>
  </si>
  <si>
    <t>-842.00330455893 97.9539342141893 -518.480484087743</t>
  </si>
  <si>
    <t>-828.752716124164 212.314670357198 -63.4322968098321</t>
  </si>
  <si>
    <t>-829.908429148096 222.195994755945 339.997635150126</t>
  </si>
  <si>
    <t>-864.207355549554 205.100545592901 786.402188417833</t>
  </si>
  <si>
    <t>-737.758327725602 278.984353169093 846.727210416226</t>
  </si>
  <si>
    <t>-764.249446593892 31.0642020895561 -58.8388082589586</t>
  </si>
  <si>
    <t>-680.297488535178 7.65946044287057 335.190297989127</t>
  </si>
  <si>
    <t>-713.40885424654 -48.7860722449136 778.175163904423</t>
  </si>
  <si>
    <t>-591.030894179875 -119.83802302999 849.326917142338</t>
  </si>
  <si>
    <t>9763-20170724T111116.013062300.bin</t>
  </si>
  <si>
    <t>-796.327958626445 121.816629490963 -60.0702152826267</t>
  </si>
  <si>
    <t>-826.938771719571 108.110142568844 -170.936609585265</t>
  </si>
  <si>
    <t>-839.9573367426 107.257278583784 -268.693684895888</t>
  </si>
  <si>
    <t>-846.641007380738 110.370385060686 -357.484877646299</t>
  </si>
  <si>
    <t>-847.71484989629 117.211730236216 -446.31214611072</t>
  </si>
  <si>
    <t>-843.193913742313 130.446747691324 -570.107115218085</t>
  </si>
  <si>
    <t>-813.939811453977 143.749735688374 -646.737712881738</t>
  </si>
  <si>
    <t>-848.490121343622 151.990312840332 -512.825877794946</t>
  </si>
  <si>
    <t>-855.910601368467 285.733473737219 -481.920783448041</t>
  </si>
  <si>
    <t>-772.756883160915 292.052761550573 -199.720875256913</t>
  </si>
  <si>
    <t>-536.317451644971 316.085487042778 -239.33981605386</t>
  </si>
  <si>
    <t>-841.876645214873 97.2549769765606 -518.436201871951</t>
  </si>
  <si>
    <t>-828.666025358941 212.375705428737 -63.4446966852809</t>
  </si>
  <si>
    <t>-829.822869422523 222.32998217193 339.983432777892</t>
  </si>
  <si>
    <t>-864.186834541737 205.103864151697 786.373853770963</t>
  </si>
  <si>
    <t>-737.698541815434 278.913123917776 846.708172221395</t>
  </si>
  <si>
    <t>-764.394180974102 31.1575119358017 -58.7293035379159</t>
  </si>
  <si>
    <t>-680.436902617975 7.57841287295196 335.28841733805</t>
  </si>
  <si>
    <t>-713.486800119792 -48.9768552973133 778.265521240699</t>
  </si>
  <si>
    <t>-590.909859089934 -119.710233071985 849.392243122537</t>
  </si>
  <si>
    <t>9763-20170724T111116.082758900.bin</t>
  </si>
  <si>
    <t>-796.298187228447 121.91304035031 -59.9484956638638</t>
  </si>
  <si>
    <t>-826.75405808296 108.139366661911 -170.849086963616</t>
  </si>
  <si>
    <t>-839.720816607513 107.039395061206 -268.610614942319</t>
  </si>
  <si>
    <t>-846.396363565072 109.855793204875 -357.412320155547</t>
  </si>
  <si>
    <t>-847.504491901216 116.327703112594 -446.266881475051</t>
  </si>
  <si>
    <t>-843.076103458229 128.97330639253 -570.126822300366</t>
  </si>
  <si>
    <t>-813.598561781741 141.781566242008 -646.756204614081</t>
  </si>
  <si>
    <t>-848.282718990072 150.794667186519 -512.942734397545</t>
  </si>
  <si>
    <t>-855.586398973482 284.693373616535 -482.682326743044</t>
  </si>
  <si>
    <t>-773.297986469145 291.723460343961 -200.245821093594</t>
  </si>
  <si>
    <t>-536.072592214136 315.754653105413 -234.851726427752</t>
  </si>
  <si>
    <t>-841.76686549775 96.022478268233 -518.301697330184</t>
  </si>
  <si>
    <t>-828.422651173499 212.362323368405 -63.4759663355935</t>
  </si>
  <si>
    <t>-829.600479501689 222.384891315715 339.950496143986</t>
  </si>
  <si>
    <t>-864.045127114252 205.010330111071 786.338051531511</t>
  </si>
  <si>
    <t>-737.710903078708 279.07652299456 846.680052991812</t>
  </si>
  <si>
    <t>-764.582325062205 31.3675831013275 -58.5160565786528</t>
  </si>
  <si>
    <t>-680.668518510584 7.48230524223618 335.492391725889</t>
  </si>
  <si>
    <t>-713.557788875212 -49.0325421679761 778.472685924008</t>
  </si>
  <si>
    <t>-590.92269754931 -119.696831061965 849.567862519655</t>
  </si>
  <si>
    <t>9763-20170724T111116.115840000.bin</t>
  </si>
  <si>
    <t>-796.270294986821 121.968246990388 -59.8941259459051</t>
  </si>
  <si>
    <t>-826.670973558618 108.155698604699 -170.805104732911</t>
  </si>
  <si>
    <t>-839.63780925566 106.946190108055 -268.56529997069</t>
  </si>
  <si>
    <t>-846.335140155955 109.633496985174 -357.369323835741</t>
  </si>
  <si>
    <t>-847.486838521025 115.947677799855 -446.234640108658</t>
  </si>
  <si>
    <t>-843.143620704197 128.344074261226 -570.122786427051</t>
  </si>
  <si>
    <t>-813.559088258035 140.914926458703 -646.75011161918</t>
  </si>
  <si>
    <t>-848.296934092159 150.282140314297 -512.978476058396</t>
  </si>
  <si>
    <t>-855.521722817325 284.240114883037 -482.98007417111</t>
  </si>
  <si>
    <t>-773.600450821301 291.496790390268 -200.442680486744</t>
  </si>
  <si>
    <t>-536.178520497652 315.626214379777 -233.600840998556</t>
  </si>
  <si>
    <t>-841.813210427292 95.4959085675441 -518.233096943068</t>
  </si>
  <si>
    <t>-828.328396799518 212.381514827176 -63.4747188951792</t>
  </si>
  <si>
    <t>-829.588176128951 222.421973977804 339.950932590951</t>
  </si>
  <si>
    <t>-864.050137748681 205.036869838802 786.321504263514</t>
  </si>
  <si>
    <t>-737.60992731101 278.91490652561 846.67238892441</t>
  </si>
  <si>
    <t>-764.580152404251 31.4810228674892 -58.42714376109</t>
  </si>
  <si>
    <t>-680.784874784129 7.49632175243869 335.600458038109</t>
  </si>
  <si>
    <t>-713.543236345188 -48.8542683745582 778.584989461395</t>
  </si>
  <si>
    <t>-590.964642739664 -119.632956632976 849.663654355524</t>
  </si>
  <si>
    <t>9763-20170724T111116.186033400.bin</t>
  </si>
  <si>
    <t>-796.019953081087 121.757837146453 -59.8241227958389</t>
  </si>
  <si>
    <t>-826.345304177601 107.826143855361 -170.740750907857</t>
  </si>
  <si>
    <t>-839.392873817205 106.39331576842 -268.487175226107</t>
  </si>
  <si>
    <t>-846.224794620101 108.832751987607 -357.288142530475</t>
  </si>
  <si>
    <t>-847.574011620552 114.855625189202 -446.170846109924</t>
  </si>
  <si>
    <t>-843.572597692626 126.801487321415 -570.114857265254</t>
  </si>
  <si>
    <t>-813.748512725499 138.889415057434 -646.727034373983</t>
  </si>
  <si>
    <t>-848.564442532002 148.94755569767 -513.036370505509</t>
  </si>
  <si>
    <t>-855.804750842148 283.020013951951 -483.511596035733</t>
  </si>
  <si>
    <t>-773.743191707846 290.519704959168 -201.021202498525</t>
  </si>
  <si>
    <t>-536.097087826157 316.394496600322 -231.115162357957</t>
  </si>
  <si>
    <t>-842.102305726187 94.1418705992892 -518.110033707881</t>
  </si>
  <si>
    <t>-828.006590384731 212.0667361229 -63.4838994997023</t>
  </si>
  <si>
    <t>-829.399287614089 222.381743884868 339.934379249896</t>
  </si>
  <si>
    <t>-864.024368981087 205.050733824022 786.293881894502</t>
  </si>
  <si>
    <t>-737.578009868212 278.907192431591 846.658449674514</t>
  </si>
  <si>
    <t>-764.377272256463 31.3041801077488 -58.2588010613326</t>
  </si>
  <si>
    <t>-680.91023667197 7.20271625810847 335.831321230552</t>
  </si>
  <si>
    <t>-713.650485659201 -48.9939396178343 778.855576915963</t>
  </si>
  <si>
    <t>-591.085327634921 -119.854026801017 849.876323735522</t>
  </si>
  <si>
    <t>9763-20170724T111116.218118800.bin</t>
  </si>
  <si>
    <t>-795.826115095669 121.542328868142 -59.7851318888871</t>
  </si>
  <si>
    <t>-826.138845723678 107.551215491516 -170.697634796519</t>
  </si>
  <si>
    <t>-839.247717879187 106.015005988979 -268.43450603843</t>
  </si>
  <si>
    <t>-846.165255911301 108.340537859804 -357.231778088225</t>
  </si>
  <si>
    <t>-847.63124761735 114.231054994485 -446.12158754363</t>
  </si>
  <si>
    <t>-843.825669241555 125.974061358026 -570.09106881671</t>
  </si>
  <si>
    <t>-813.851737725711 137.843419654031 -646.679076484896</t>
  </si>
  <si>
    <t>-848.744284178244 148.211718620678 -513.041935190697</t>
  </si>
  <si>
    <t>-856.043091589846 282.319222465938 -483.71757106977</t>
  </si>
  <si>
    <t>-773.673029711501 290.19550741594 -201.327057348769</t>
  </si>
  <si>
    <t>-536.011906712978 317.120262534787 -230.362205244942</t>
  </si>
  <si>
    <t>-842.256151825927 93.4015482968671 -518.034658052293</t>
  </si>
  <si>
    <t>-827.814771226589 211.831067057932 -63.4753798950507</t>
  </si>
  <si>
    <t>-829.292976716299 222.254571811256 339.939878092381</t>
  </si>
  <si>
    <t>-864.03280845362 205.067029667294 786.293893517958</t>
  </si>
  <si>
    <t>-737.622101103384 278.984667883813 846.657837440876</t>
  </si>
  <si>
    <t>-764.1614091787 31.121110526029 -58.193025636878</t>
  </si>
  <si>
    <t>-680.964281841652 7.01464107745869 335.95387313335</t>
  </si>
  <si>
    <t>-713.688631573439 -49.0001361055915 778.999982509271</t>
  </si>
  <si>
    <t>-591.08221323854 -119.826817861547 849.983064373224</t>
  </si>
  <si>
    <t>9763-20170724T111116.284299000.bin</t>
  </si>
  <si>
    <t>-795.417610547345 120.987532785602 -59.728864743734</t>
  </si>
  <si>
    <t>-825.722272582511 106.919866133359 -170.634099329895</t>
  </si>
  <si>
    <t>-838.935873522322 105.211521842267 -268.353700949823</t>
  </si>
  <si>
    <t>-845.998086267111 107.342056845985 -357.144578475908</t>
  </si>
  <si>
    <t>-847.659720392944 113.002478404981 -446.045882067531</t>
  </si>
  <si>
    <t>-844.182964064888 124.391342671798 -570.058151391437</t>
  </si>
  <si>
    <t>-813.902355531626 135.869736564114 -646.58501842031</t>
  </si>
  <si>
    <t>-849.018650199216 146.783872996889 -513.06249167989</t>
  </si>
  <si>
    <t>-856.634659633367 280.958231822554 -484.110614114842</t>
  </si>
  <si>
    <t>-773.432162630226 289.929459038593 -201.997065590889</t>
  </si>
  <si>
    <t>-535.935058912168 319.779926468173 -229.472895919892</t>
  </si>
  <si>
    <t>-842.407312968647 91.9755018801452 -517.910502533825</t>
  </si>
  <si>
    <t>-827.386871423897 211.268935422463 -63.4418483620345</t>
  </si>
  <si>
    <t>-829.132209342898 221.871080237367 339.967630954496</t>
  </si>
  <si>
    <t>-863.974800355335 205.032479657501 786.281347165436</t>
  </si>
  <si>
    <t>-737.652134304666 279.085238009837 846.66392487825</t>
  </si>
  <si>
    <t>-763.814092634803 30.5603996466257 -58.0903686396889</t>
  </si>
  <si>
    <t>-681.163506542713 6.51270595881078 336.175114426792</t>
  </si>
  <si>
    <t>-713.820587881054 -49.2529648471914 779.288040363925</t>
  </si>
  <si>
    <t>-590.946168055335 -119.708472566414 850.176627189653</t>
  </si>
  <si>
    <t>9763-20170724T111116.319392900.bin</t>
  </si>
  <si>
    <t>-795.221608332958 120.787780520721 -59.7244837332408</t>
  </si>
  <si>
    <t>-825.510332630751 106.700818642954 -170.631514720662</t>
  </si>
  <si>
    <t>-838.739058462636 104.913561991003 -268.347806146613</t>
  </si>
  <si>
    <t>-845.828673448634 106.949002491309 -357.138703595368</t>
  </si>
  <si>
    <t>-847.533393529355 112.492134329984 -446.046634660701</t>
  </si>
  <si>
    <t>-844.133274772349 123.69464945967 -570.077823652863</t>
  </si>
  <si>
    <t>-813.694741948107 134.989945652731 -646.569206962684</t>
  </si>
  <si>
    <t>-848.963040120181 146.169272648018 -513.114064917624</t>
  </si>
  <si>
    <t>-856.679089624196 280.370657620867 -484.33969086314</t>
  </si>
  <si>
    <t>-773.148299685123 290.24342665564 -202.353213098283</t>
  </si>
  <si>
    <t>-535.806819080332 321.278029184612 -229.862409592005</t>
  </si>
  <si>
    <t>-842.295586283633 91.3607877404074 -517.881683745768</t>
  </si>
  <si>
    <t>-827.171630077399 211.039968078797 -63.435654783197</t>
  </si>
  <si>
    <t>-829.059101558395 221.766486865433 339.969890093619</t>
  </si>
  <si>
    <t>-863.955995589855 205.036343793451 786.266506733387</t>
  </si>
  <si>
    <t>-737.538088282645 278.914210166201 846.664313538787</t>
  </si>
  <si>
    <t>-763.642741137663 30.3950947443209 -58.0513288495716</t>
  </si>
  <si>
    <t>-681.221107596055 6.41011769778288 336.265891454054</t>
  </si>
  <si>
    <t>-713.826267221041 -49.212921352507 779.405838078899</t>
  </si>
  <si>
    <t>-591.012551361675 -119.793405475645 850.275355495506</t>
  </si>
  <si>
    <t>9763-20170724T111116.386546400.bin</t>
  </si>
  <si>
    <t>-795.076583724479 120.525354367952 -59.6839246994252</t>
  </si>
  <si>
    <t>-825.296684173972 106.39736795257 -170.604448009426</t>
  </si>
  <si>
    <t>-838.48983658524 104.504915788324 -268.323446382721</t>
  </si>
  <si>
    <t>-845.558947488836 106.417577641302 -357.118905142388</t>
  </si>
  <si>
    <t>-847.256937404413 111.812046809455 -446.035904671096</t>
  </si>
  <si>
    <t>-843.863077981802 122.781436777232 -570.088308064825</t>
  </si>
  <si>
    <t>-813.038130719007 133.777332679556 -646.468468537484</t>
  </si>
  <si>
    <t>-848.7344603667 145.35761534278 -513.168215542303</t>
  </si>
  <si>
    <t>-856.633402889479 279.613719757547 -484.743234116964</t>
  </si>
  <si>
    <t>-771.890950306582 291.89026438995 -203.213201298266</t>
  </si>
  <si>
    <t>-534.909448796392 324.512850182331 -231.960255955601</t>
  </si>
  <si>
    <t>-841.97893852312 90.5508713460276 -517.829724228144</t>
  </si>
  <si>
    <t>-827.059403466778 210.769475506139 -63.435355471622</t>
  </si>
  <si>
    <t>-829.086957386216 221.574060575892 339.967497038633</t>
  </si>
  <si>
    <t>-863.94556598787 205.051639004774 786.253474428321</t>
  </si>
  <si>
    <t>-737.511431887345 278.891193257048 846.663844719604</t>
  </si>
  <si>
    <t>-763.494686049237 30.1556355701955 -57.9728882271639</t>
  </si>
  <si>
    <t>-681.253709132946 6.09961322156278 336.37773162933</t>
  </si>
  <si>
    <t>-713.887583149358 -49.3803147978588 779.588657008548</t>
  </si>
  <si>
    <t>-590.896047012033 -119.698189395251 850.410711254794</t>
  </si>
  <si>
    <t>9763-20170724T111116.414621400.bin</t>
  </si>
  <si>
    <t>-795.064334477643 120.475365307922 -59.659734683373</t>
  </si>
  <si>
    <t>-825.244765001922 106.339750071668 -170.590071694192</t>
  </si>
  <si>
    <t>-838.400895699668 104.40143276692 -268.313276006926</t>
  </si>
  <si>
    <t>-845.437674294471 106.257912550649 -357.112280625325</t>
  </si>
  <si>
    <t>-847.105277430704 111.58211430206 -446.034369075311</t>
  </si>
  <si>
    <t>-843.671852832322 122.439002883164 -570.095305241327</t>
  </si>
  <si>
    <t>-812.622220889049 133.289613150278 -646.405239503709</t>
  </si>
  <si>
    <t>-848.579038902423 145.064836536422 -513.198021716222</t>
  </si>
  <si>
    <t>-856.624777514736 279.362371527297 -484.96050234079</t>
  </si>
  <si>
    <t>-770.966068961241 292.884234875844 -203.764984190998</t>
  </si>
  <si>
    <t>-534.232963586901 326.044575698573 -233.911307168016</t>
  </si>
  <si>
    <t>-841.786447938015 90.2579985570515 -517.806330597759</t>
  </si>
  <si>
    <t>-826.981564323007 210.716508595928 -63.4307954482916</t>
  </si>
  <si>
    <t>-829.203747022126 221.546655053112 339.970292088471</t>
  </si>
  <si>
    <t>-863.981514447796 205.086221788954 786.257337932302</t>
  </si>
  <si>
    <t>-737.499128915428 278.84390639333 846.666296917817</t>
  </si>
  <si>
    <t>-763.488825530217 30.1102769188988 -57.9328877326988</t>
  </si>
  <si>
    <t>-681.366777625983 5.99567059218634 336.439018241018</t>
  </si>
  <si>
    <t>-713.903049607357 -49.4335763534643 779.661362749051</t>
  </si>
  <si>
    <t>-590.734841163469 -119.46611209184 850.459298754215</t>
  </si>
  <si>
    <t>9763-20170724T111116.483331000.bin</t>
  </si>
  <si>
    <t>-795.051326972303 120.449970026238 -59.6045877215084</t>
  </si>
  <si>
    <t>-825.155559487954 106.268494295989 -170.549785470065</t>
  </si>
  <si>
    <t>-838.208845405423 104.228023234214 -268.28471939661</t>
  </si>
  <si>
    <t>-845.139266606165 105.965583833385 -357.09455618141</t>
  </si>
  <si>
    <t>-846.689119751968 111.144714283742 -446.027236452523</t>
  </si>
  <si>
    <t>-843.080064066035 121.771293952321 -570.103226813469</t>
  </si>
  <si>
    <t>-811.498814406156 132.341089054307 -646.234279190572</t>
  </si>
  <si>
    <t>-848.091549694909 144.499912207166 -513.256001907713</t>
  </si>
  <si>
    <t>-856.441429685218 278.85556207161 -485.438129659184</t>
  </si>
  <si>
    <t>-768.637175064112 294.621512442512 -205.02236907962</t>
  </si>
  <si>
    <t>-532.601974661081 328.824349487275 -239.204543570181</t>
  </si>
  <si>
    <t>-841.244495779563 89.6902390318978 -517.750927813409</t>
  </si>
  <si>
    <t>-826.99538610627 210.600294737958 -63.4315685133363</t>
  </si>
  <si>
    <t>-829.236127530432 221.476168783915 339.968195931899</t>
  </si>
  <si>
    <t>-863.887406193298 205.008247729122 786.250057834544</t>
  </si>
  <si>
    <t>-737.7121141201 279.282013513304 846.669496680386</t>
  </si>
  <si>
    <t>-763.48072964844 30.1538207844869 -57.8476071829225</t>
  </si>
  <si>
    <t>-681.444031780681 5.97759772018435 336.538193282097</t>
  </si>
  <si>
    <t>-713.888908937075 -49.3811104323581 779.78440352039</t>
  </si>
  <si>
    <t>-590.81504236383 -119.594208195694 850.567408012453</t>
  </si>
  <si>
    <t>9763-20170724T111116.515423800.bin</t>
  </si>
  <si>
    <t>-795.08018729636 120.442990805258 -59.5874642508924</t>
  </si>
  <si>
    <t>-825.153445585677 106.259699239035 -170.540847584877</t>
  </si>
  <si>
    <t>-838.15085153148 104.176101789087 -268.282179437999</t>
  </si>
  <si>
    <t>-845.020521511645 105.857675040072 -357.09790385502</t>
  </si>
  <si>
    <t>-846.499623490487 110.962785935713 -446.036014431865</t>
  </si>
  <si>
    <t>-842.782881921219 121.467837427616 -570.119276435061</t>
  </si>
  <si>
    <t>-810.905252388651 131.903291610156 -646.145243197176</t>
  </si>
  <si>
    <t>-847.852913796899 144.250817471137 -513.299067992589</t>
  </si>
  <si>
    <t>-856.315465808139 278.642338926957 -485.659084705551</t>
  </si>
  <si>
    <t>-767.132645605723 295.616653604267 -205.749238420321</t>
  </si>
  <si>
    <t>-531.419684886645 330.23599376158 -241.689851686901</t>
  </si>
  <si>
    <t>-840.983719918673 89.4391663505617 -517.73362865796</t>
  </si>
  <si>
    <t>-827.002529367097 210.572759612539 -63.4233769380478</t>
  </si>
  <si>
    <t>-829.249121837617 221.521067087936 339.97445715409</t>
  </si>
  <si>
    <t>-863.874738551589 204.999427219833 786.251464696841</t>
  </si>
  <si>
    <t>-737.68031250505 279.237072908202 846.675557246911</t>
  </si>
  <si>
    <t>-763.507894798679 30.1671476378124 -57.8179652779066</t>
  </si>
  <si>
    <t>-681.512502648717 5.96218698716166 336.574684033651</t>
  </si>
  <si>
    <t>-713.902180083225 -49.4261363629364 779.838970143328</t>
  </si>
  <si>
    <t>-590.739904691398 -119.497781751925 850.608332377252</t>
  </si>
  <si>
    <t>9763-20170724T111116.583103400.bin</t>
  </si>
  <si>
    <t>-795.176536722787 120.534871631449 -59.5558563776227</t>
  </si>
  <si>
    <t>-825.235433527908 106.356782115034 -170.513839418606</t>
  </si>
  <si>
    <t>-838.15041910481 104.229053962272 -268.265160053486</t>
  </si>
  <si>
    <t>-844.919004386876 105.848976534341 -357.089753736175</t>
  </si>
  <si>
    <t>-846.271180090273 110.8703042617 -446.034774802539</t>
  </si>
  <si>
    <t>-842.350587126218 121.232960641207 -570.123638598374</t>
  </si>
  <si>
    <t>-809.838666860335 131.426173265083 -645.913429125072</t>
  </si>
  <si>
    <t>-847.510673729268 144.081677501751 -513.337809461995</t>
  </si>
  <si>
    <t>-856.015426057574 278.516721287205 -485.959003928612</t>
  </si>
  <si>
    <t>-763.864287291795 297.426087480214 -207.136879864673</t>
  </si>
  <si>
    <t>-528.902306959553 333.247210846949 -246.640704802352</t>
  </si>
  <si>
    <t>-840.640653471411 89.2641438979058 -517.69870234106</t>
  </si>
  <si>
    <t>-827.087905957021 210.653828552569 -63.406183736486</t>
  </si>
  <si>
    <t>-829.244281044771 221.720028652366 339.98885771872</t>
  </si>
  <si>
    <t>-863.927053685481 205.07177219779 786.240148496398</t>
  </si>
  <si>
    <t>-737.6404518235 279.128605710329 846.693946337811</t>
  </si>
  <si>
    <t>-763.639124048925 30.2661432107784 -57.7559888257061</t>
  </si>
  <si>
    <t>-681.525553576359 6.03626184647737 336.610535897687</t>
  </si>
  <si>
    <t>-713.896405197269 -49.4926955340068 779.888502041915</t>
  </si>
  <si>
    <t>-590.705685157687 -119.51981177366 850.652482494329</t>
  </si>
  <si>
    <t>9763-20170724T111116.616190200.bin</t>
  </si>
  <si>
    <t>-795.257493340152 120.649002791708 -59.5343098621097</t>
  </si>
  <si>
    <t>-825.347960482365 106.484409327442 -170.485410167752</t>
  </si>
  <si>
    <t>-838.264517482865 104.375480776504 -268.23701265176</t>
  </si>
  <si>
    <t>-845.024259464473 106.01525941891 -357.06191134708</t>
  </si>
  <si>
    <t>-846.357236839517 111.058895376231 -446.005826401636</t>
  </si>
  <si>
    <t>-842.399944306451 121.455954839245 -570.090703368471</t>
  </si>
  <si>
    <t>-809.56247395324 131.560944722511 -645.752017543919</t>
  </si>
  <si>
    <t>-847.579650843326 144.288577604817 -513.300252517063</t>
  </si>
  <si>
    <t>-856.076337678415 278.742013365709 -485.963841575846</t>
  </si>
  <si>
    <t>-761.901582438925 298.568828123182 -207.882629130262</t>
  </si>
  <si>
    <t>-527.263240805947 334.856320370299 -248.857591575984</t>
  </si>
  <si>
    <t>-840.703233475876 89.4728795921815 -517.673876216021</t>
  </si>
  <si>
    <t>-827.163542521476 210.772579956968 -63.3937329505854</t>
  </si>
  <si>
    <t>-829.2364783808 221.801126726275 340.002794295128</t>
  </si>
  <si>
    <t>-863.885044705008 205.049303831393 786.234532762619</t>
  </si>
  <si>
    <t>-737.587817420552 279.070792930614 846.708268055565</t>
  </si>
  <si>
    <t>-763.741845708614 30.410761453446 -57.7347925860627</t>
  </si>
  <si>
    <t>-681.480975320097 6.11479938576576 336.596919912355</t>
  </si>
  <si>
    <t>-713.86869673715 -49.4253111138312 779.877213975174</t>
  </si>
  <si>
    <t>-590.713204331669 -119.509543249925 850.646431315582</t>
  </si>
  <si>
    <t>9763-20170724T111116.679879200.bin</t>
  </si>
  <si>
    <t>-795.478394702489 120.865101788162 -59.5467725755742</t>
  </si>
  <si>
    <t>-825.656579809242 106.701855144951 -170.474314242433</t>
  </si>
  <si>
    <t>-838.622980173852 104.607968718374 -268.219532859735</t>
  </si>
  <si>
    <t>-845.416834408728 106.266541784316 -357.041376959718</t>
  </si>
  <si>
    <t>-846.772921720654 111.333975957477 -445.983843651154</t>
  </si>
  <si>
    <t>-842.835540082423 121.769277709032 -570.066026112749</t>
  </si>
  <si>
    <t>-809.271606648088 131.723344486777 -645.427826075172</t>
  </si>
  <si>
    <t>-848.014896876528 144.58329738271 -513.268169013683</t>
  </si>
  <si>
    <t>-856.518579756467 279.043797764147 -485.949646706651</t>
  </si>
  <si>
    <t>-756.595944289018 300.613277465251 -210.012349653082</t>
  </si>
  <si>
    <t>-522.82147783059 338.911647508602 -253.984381868721</t>
  </si>
  <si>
    <t>-841.121239492735 89.7713072846605 -517.658980096337</t>
  </si>
  <si>
    <t>-827.416128706684 210.937639203972 -63.3861262570248</t>
  </si>
  <si>
    <t>-829.284305111136 221.961202189213 340.01149289838</t>
  </si>
  <si>
    <t>-863.85784643189 205.071853934742 786.224242482739</t>
  </si>
  <si>
    <t>-737.672972609682 279.254215780771 846.73549367771</t>
  </si>
  <si>
    <t>-763.903179253933 30.6490699642277 -57.7650904840865</t>
  </si>
  <si>
    <t>-681.425701898184 6.38055981391426 336.523072713628</t>
  </si>
  <si>
    <t>-713.822840954221 -49.3227381813551 779.810298877148</t>
  </si>
  <si>
    <t>-590.871421972303 -119.748755239564 850.594603228417</t>
  </si>
  <si>
    <t>9763-20170724T111116.727003300.bin</t>
  </si>
  <si>
    <t>-795.627790555691 120.902020426296 -59.5662789057419</t>
  </si>
  <si>
    <t>-825.848321688401 106.759165619607 -170.484652569595</t>
  </si>
  <si>
    <t>-838.845617326385 104.656910849114 -268.225777173143</t>
  </si>
  <si>
    <t>-845.665261929461 106.297583256271 -357.046038736924</t>
  </si>
  <si>
    <t>-847.046497773659 111.337164251817 -445.989512523227</t>
  </si>
  <si>
    <t>-843.14319932729 121.722916380689 -570.077114012338</t>
  </si>
  <si>
    <t>-809.188234149189 131.614907091477 -645.271700237526</t>
  </si>
  <si>
    <t>-848.315265925482 144.558452840764 -513.287123430176</t>
  </si>
  <si>
    <t>-856.942661428079 279.030834425683 -486.04251992344</t>
  </si>
  <si>
    <t>-753.343822730256 301.112302941371 -211.504887591289</t>
  </si>
  <si>
    <t>-519.842234116094 340.092737980324 -256.319998978496</t>
  </si>
  <si>
    <t>-841.406425580734 89.7467637614709 -517.657335051131</t>
  </si>
  <si>
    <t>-827.57629857357 211.038756201592 -63.3902677928969</t>
  </si>
  <si>
    <t>-829.399678778269 222.03117073234 340.008379192147</t>
  </si>
  <si>
    <t>-863.875896784118 205.119390057852 786.210356817274</t>
  </si>
  <si>
    <t>-737.582550235122 279.096145846861 846.747225508317</t>
  </si>
  <si>
    <t>-764.015162465775 30.6108090621701 -57.8001356287217</t>
  </si>
  <si>
    <t>-681.394509790759 6.44296416441421 336.464317113856</t>
  </si>
  <si>
    <t>-713.833006603633 -49.4142727864303 779.748132637361</t>
  </si>
  <si>
    <t>-590.693100614837 -119.517111323112 850.525381881988</t>
  </si>
  <si>
    <t>9763-20170724T111116.780654700.bin</t>
  </si>
  <si>
    <t>-795.879768909085 121.046621352069 -59.6433542863857</t>
  </si>
  <si>
    <t>-826.113348536294 106.891939379106 -170.556829116918</t>
  </si>
  <si>
    <t>-839.082411506258 104.704136415188 -268.299784167662</t>
  </si>
  <si>
    <t>-845.863193207167 106.236403632561 -357.124988526977</t>
  </si>
  <si>
    <t>-847.193547526634 111.136599554695 -446.076856397937</t>
  </si>
  <si>
    <t>-843.207865274284 121.295212309596 -570.180607506977</t>
  </si>
  <si>
    <t>-808.554841056273 131.100793787306 -645.067464893972</t>
  </si>
  <si>
    <t>-848.43383536794 144.232960428465 -513.436680006178</t>
  </si>
  <si>
    <t>-857.267747808392 278.731610254772 -486.448435405783</t>
  </si>
  <si>
    <t>-746.180749853035 303.508531554849 -215.086913570162</t>
  </si>
  <si>
    <t>-512.70636550951 343.481690257792 -259.162287608114</t>
  </si>
  <si>
    <t>-841.489805310952 89.4170709765044 -517.700743644949</t>
  </si>
  <si>
    <t>-827.820228956627 211.201010337766 -63.4702546041971</t>
  </si>
  <si>
    <t>-829.644352854918 222.22562596116 339.927571177113</t>
  </si>
  <si>
    <t>-863.863953919333 205.211228364199 786.122376897963</t>
  </si>
  <si>
    <t>-737.586804146488 279.149377691411 846.740049585456</t>
  </si>
  <si>
    <t>-764.205811238877 30.6991806585315 -57.872116639309</t>
  </si>
  <si>
    <t>-681.156799907215 6.74837300948548 336.315561047135</t>
  </si>
  <si>
    <t>-713.778213421583 -49.3252421570776 779.574808416195</t>
  </si>
  <si>
    <t>-590.80702196387 -119.686865822373 850.388498621849</t>
  </si>
  <si>
    <t>9763-20170724T111116.817757100.bin</t>
  </si>
  <si>
    <t>-796.068092156312 121.18929965131 -59.704646368196</t>
  </si>
  <si>
    <t>-826.221631144563 107.02160989615 -170.63819455516</t>
  </si>
  <si>
    <t>-839.080719574256 104.776556652843 -268.394346725215</t>
  </si>
  <si>
    <t>-845.746777688982 106.23659235263 -357.229493893249</t>
  </si>
  <si>
    <t>-846.946867754507 111.042238665509 -446.188492601885</t>
  </si>
  <si>
    <t>-842.764353057136 121.04489722936 -570.298491048666</t>
  </si>
  <si>
    <t>-807.804833251244 130.826048709904 -645.045789840911</t>
  </si>
  <si>
    <t>-848.065251451481 144.055539744732 -513.591112314974</t>
  </si>
  <si>
    <t>-856.809508230326 278.606376801022 -486.798976749141</t>
  </si>
  <si>
    <t>-742.682255081462 304.618830872882 -216.818388323741</t>
  </si>
  <si>
    <t>-508.988041604404 344.829232375702 -259.491888810807</t>
  </si>
  <si>
    <t>-841.14458530073 89.2307771475066 -517.776435730878</t>
  </si>
  <si>
    <t>-828.039343394275 211.408505464635 -63.5297316451604</t>
  </si>
  <si>
    <t>-829.81847989549 222.560379263318 339.864881686405</t>
  </si>
  <si>
    <t>-863.93677836013 205.375129259826 786.029994690959</t>
  </si>
  <si>
    <t>-737.578224941125 279.097035046194 846.741627057427</t>
  </si>
  <si>
    <t>-764.362463833028 30.8340535614761 -57.8942494051279</t>
  </si>
  <si>
    <t>-681.092450394132 6.9435327279798 336.250390005201</t>
  </si>
  <si>
    <t>-713.751297808367 -49.2783576533773 779.481186766918</t>
  </si>
  <si>
    <t>-590.742775971101 -119.567248967387 850.302650122887</t>
  </si>
  <si>
    <t>9763-20170724T111116.886483600.bin</t>
  </si>
  <si>
    <t>-796.307031325024 121.701866822735 -59.988177356161</t>
  </si>
  <si>
    <t>-826.175100596401 107.557610046579 -171.001854782805</t>
  </si>
  <si>
    <t>-838.697781577967 105.251022365204 -268.800271134732</t>
  </si>
  <si>
    <t>-845.025416155505 106.620197841428 -357.661642198693</t>
  </si>
  <si>
    <t>-845.855450177716 111.297677416172 -446.631664561095</t>
  </si>
  <si>
    <t>-841.124429803863 121.07907191917 -570.73942187957</t>
  </si>
  <si>
    <t>-805.65629906012 130.785082924273 -645.256952142555</t>
  </si>
  <si>
    <t>-846.613137511562 144.198448420065 -514.094235066516</t>
  </si>
  <si>
    <t>-854.923802537181 278.842954184445 -487.617292414464</t>
  </si>
  <si>
    <t>-735.69557336406 306.809911507777 -220.047257580391</t>
  </si>
  <si>
    <t>-501.415083683524 347.337417644222 -259.047140480115</t>
  </si>
  <si>
    <t>-839.799008765981 89.351051619295 -518.157256251274</t>
  </si>
  <si>
    <t>-828.079191637608 212.200751313635 -63.9081752257226</t>
  </si>
  <si>
    <t>-829.409039077824 223.929236560859 339.471690759283</t>
  </si>
  <si>
    <t>-864.131694663757 205.990587164705 785.53912710596</t>
  </si>
  <si>
    <t>-737.546557572093 278.915659643762 846.739148507595</t>
  </si>
  <si>
    <t>-764.765452948966 31.1749792589239 -58.0008362906219</t>
  </si>
  <si>
    <t>-680.921939216651 7.65108087531416 336.044376098676</t>
  </si>
  <si>
    <t>-713.654496392042 -49.0913633559487 779.242446769789</t>
  </si>
  <si>
    <t>-590.891740570566 -119.747687895735 850.124880147084</t>
  </si>
  <si>
    <t>9763-20170724T111116.916561200.bin</t>
  </si>
  <si>
    <t>-796.097737000594 121.924328999514 -60.144972996738</t>
  </si>
  <si>
    <t>-825.680519932579 107.803910083756 -171.238111143072</t>
  </si>
  <si>
    <t>-837.965241626609 105.483291385593 -269.066248100161</t>
  </si>
  <si>
    <t>-844.083106467997 106.826660118586 -357.942627357613</t>
  </si>
  <si>
    <t>-844.709745520201 111.464917027805 -446.916477890325</t>
  </si>
  <si>
    <t>-839.702357020543 121.177678130664 -571.018898956762</t>
  </si>
  <si>
    <t>-804.04147507393 130.824548489893 -645.451673156556</t>
  </si>
  <si>
    <t>-845.283044464389 144.332489441287 -514.397021229085</t>
  </si>
  <si>
    <t>-853.275866650116 279.005969021977 -487.972822796101</t>
  </si>
  <si>
    <t>-731.655279638253 307.716421879514 -221.560667173262</t>
  </si>
  <si>
    <t>-497.084348031064 348.326677382745 -258.683676029596</t>
  </si>
  <si>
    <t>-838.528746582502 89.4745054250357 -518.417984441348</t>
  </si>
  <si>
    <t>-827.319612504936 212.43205791299 -64.1172207335507</t>
  </si>
  <si>
    <t>-828.275430761708 224.758524210446 339.245912923527</t>
  </si>
  <si>
    <t>-864.045912388068 206.181448015468 785.206308081183</t>
  </si>
  <si>
    <t>-737.524725355889 278.942052409154 846.733235900069</t>
  </si>
  <si>
    <t>-765.025556059856 31.359966402546 -58.013735493323</t>
  </si>
  <si>
    <t>-680.571507334056 7.83702565213707 335.901012138178</t>
  </si>
  <si>
    <t>-713.643630141775 -49.1811446441823 779.11960350784</t>
  </si>
  <si>
    <t>-590.673281579969 -119.46312177908 850.014213826588</t>
  </si>
  <si>
    <t>9763-20170724T111116.983802800.bin</t>
  </si>
  <si>
    <t>-795.851244570151 122.299343663442 -60.1690944076407</t>
  </si>
  <si>
    <t>-824.807652070299 108.249507192623 -171.436125561606</t>
  </si>
  <si>
    <t>-836.517094967536 105.950813542901 -269.335360242189</t>
  </si>
  <si>
    <t>-842.103164329677 107.29662119468 -358.246753565598</t>
  </si>
  <si>
    <t>-842.188569285454 111.918133871947 -447.223590387456</t>
  </si>
  <si>
    <t>-836.417739455291 121.586727567012 -571.296261696215</t>
  </si>
  <si>
    <t>-800.397774211469 131.171914256605 -645.56413645265</t>
  </si>
  <si>
    <t>-842.296145076291 144.76772346505 -514.715447543604</t>
  </si>
  <si>
    <t>-849.729906166061 279.493241810609 -488.440100325592</t>
  </si>
  <si>
    <t>-724.418500160649 309.075543991447 -223.840102947832</t>
  </si>
  <si>
    <t>-489.602790702547 350.743696643003 -258.135519083139</t>
  </si>
  <si>
    <t>-835.618188994877 89.8965026465571 -518.680637784088</t>
  </si>
  <si>
    <t>-826.203988937918 212.514655211119 -64.3050815194694</t>
  </si>
  <si>
    <t>-826.157021397392 227.060987995548 338.985253849807</t>
  </si>
  <si>
    <t>-864.110042355809 206.632693211152 784.711496401014</t>
  </si>
  <si>
    <t>-737.321857140547 278.489998982771 846.748547559563</t>
  </si>
  <si>
    <t>-765.807739549405 31.8414765234879 -57.8545959264449</t>
  </si>
  <si>
    <t>-679.46203616387 8.27819063842389 335.647432122229</t>
  </si>
  <si>
    <t>-713.538778015751 -49.2943497054293 778.86371122124</t>
  </si>
  <si>
    <t>-590.488550054457 -119.341329228056 849.852349356479</t>
  </si>
  <si>
    <t>9763-20170724T111117.016890000.bin</t>
  </si>
  <si>
    <t>-795.970038773581 122.260186876121 -59.965382066601</t>
  </si>
  <si>
    <t>-824.666421487936 108.351996582044 -171.31759372503</t>
  </si>
  <si>
    <t>-836.101973470638 106.11782649671 -269.250577509415</t>
  </si>
  <si>
    <t>-841.424316861646 107.499109663213 -358.177672440313</t>
  </si>
  <si>
    <t>-841.231813781622 112.132943958658 -447.153768913181</t>
  </si>
  <si>
    <t>-835.059741690101 121.794203536304 -571.207537027845</t>
  </si>
  <si>
    <t>-798.87685195303 131.365697466877 -645.397931673448</t>
  </si>
  <si>
    <t>-841.112163586057 144.979562565754 -514.646773416063</t>
  </si>
  <si>
    <t>-848.402546510963 279.733550329341 -488.435533781486</t>
  </si>
  <si>
    <t>-721.584185700156 309.786251678421 -224.607594252671</t>
  </si>
  <si>
    <t>-486.81225871851 352.329247542142 -258.119129707559</t>
  </si>
  <si>
    <t>-834.439302088986 90.1061885682357 -518.58839647395</t>
  </si>
  <si>
    <t>-826.424397012566 212.655774240749 -64.2234231777946</t>
  </si>
  <si>
    <t>-825.423889997518 227.634589168497 339.049792991763</t>
  </si>
  <si>
    <t>-864.133933725415 206.669075588668 784.672963621876</t>
  </si>
  <si>
    <t>-737.367616358712 278.4749959092 846.814140505677</t>
  </si>
  <si>
    <t>-766.088779252889 31.6796288305691 -57.7497996807479</t>
  </si>
  <si>
    <t>-678.939993851603 8.38665943215119 335.591293444068</t>
  </si>
  <si>
    <t>-713.477504411746 -49.3256343829401 778.737716751898</t>
  </si>
  <si>
    <t>-590.425395575152 -119.335171713211 849.759988658757</t>
  </si>
  <si>
    <t>9763-20170724T111117.082075900.bin</t>
  </si>
  <si>
    <t>-796.345518079912 122.760821075571 -59.7080252213339</t>
  </si>
  <si>
    <t>-824.698390443146 108.998824336637 -171.166222946821</t>
  </si>
  <si>
    <t>-835.75735586188 106.846076939023 -269.144409870917</t>
  </si>
  <si>
    <t>-840.711372503436 108.284279368073 -358.091751452218</t>
  </si>
  <si>
    <t>-840.124926434872 112.958201986174 -447.064020377047</t>
  </si>
  <si>
    <t>-833.37938334753 122.658325957828 -571.085016044362</t>
  </si>
  <si>
    <t>-796.889903147478 132.241681395295 -645.123423619673</t>
  </si>
  <si>
    <t>-839.687289422923 145.826498516867 -514.545206550316</t>
  </si>
  <si>
    <t>-847.039579841849 280.597162661817 -488.492268139978</t>
  </si>
  <si>
    <t>-718.236702128853 311.916238375338 -225.775270083546</t>
  </si>
  <si>
    <t>-483.590879596263 355.483687839097 -258.851183859718</t>
  </si>
  <si>
    <t>-833.008366809352 90.9530136528515 -518.473720945809</t>
  </si>
  <si>
    <t>-826.608719109175 213.200435884129 -64.0730928375034</t>
  </si>
  <si>
    <t>-825.531317507759 228.184895794475 339.199742261453</t>
  </si>
  <si>
    <t>-864.307343263699 206.826192227479 784.641037783274</t>
  </si>
  <si>
    <t>-737.398554167823 278.296503074187 846.878090364464</t>
  </si>
  <si>
    <t>-766.673091866485 32.1858732774435 -57.5603629631207</t>
  </si>
  <si>
    <t>-678.516892830245 8.57195528023794 335.53698086426</t>
  </si>
  <si>
    <t>-713.452151997431 -49.4991151675963 778.546973516815</t>
  </si>
  <si>
    <t>-590.327806100721 -119.388621774292 849.561815168897</t>
  </si>
  <si>
    <t>9763-20170724T111117.114161900.bin</t>
  </si>
  <si>
    <t>-796.6307404411 123.18736309321 -59.6713896946693</t>
  </si>
  <si>
    <t>-824.804477908493 109.46577744458 -171.180024400597</t>
  </si>
  <si>
    <t>-835.70502437744 107.349501931911 -269.176855350191</t>
  </si>
  <si>
    <t>-840.514272010538 108.821425414867 -358.131422717237</t>
  </si>
  <si>
    <t>-839.783590475917 113.530263067079 -447.100786896015</t>
  </si>
  <si>
    <t>-832.836685416215 123.28036393576 -571.10682427543</t>
  </si>
  <si>
    <t>-796.216289654633 132.889121331991 -645.077362149499</t>
  </si>
  <si>
    <t>-839.25017543533 146.424193407199 -514.568718025225</t>
  </si>
  <si>
    <t>-846.727917826329 281.20914181935 -488.544855816762</t>
  </si>
  <si>
    <t>-716.884109534254 313.336537877309 -226.438910158281</t>
  </si>
  <si>
    <t>-482.121239647139 356.853022396025 -258.744507318607</t>
  </si>
  <si>
    <t>-832.537478190374 91.5553223262964 -518.506955722578</t>
  </si>
  <si>
    <t>-826.971444556642 213.737060734653 -64.077489395032</t>
  </si>
  <si>
    <t>-825.903338987743 228.285784634242 339.211317234332</t>
  </si>
  <si>
    <t>-864.266326618195 206.77208677659 784.641521026552</t>
  </si>
  <si>
    <t>-737.516530908388 278.507971506202 846.89704606374</t>
  </si>
  <si>
    <t>-766.823447075413 32.5741664726479 -57.5770507506951</t>
  </si>
  <si>
    <t>-678.63967040498 8.86527927519001 335.508330107029</t>
  </si>
  <si>
    <t>-713.430919511632 -49.4461869259883 778.456327620614</t>
  </si>
  <si>
    <t>-590.304268411411 -119.353690037106 849.450027991707</t>
  </si>
  <si>
    <t>9763-20170724T111117.193389700.bin</t>
  </si>
  <si>
    <t>-796.992681110892 124.324552004641 -59.7870589729191</t>
  </si>
  <si>
    <t>-824.844055240834 110.628411169906 -171.379788081255</t>
  </si>
  <si>
    <t>-835.465106260174 108.540957090906 -269.407859685897</t>
  </si>
  <si>
    <t>-840.020914258539 110.037909073681 -358.375559297156</t>
  </si>
  <si>
    <t>-839.035266893167 114.769272104942 -447.341186942589</t>
  </si>
  <si>
    <t>-831.730712679406 124.546272554704 -571.324456886669</t>
  </si>
  <si>
    <t>-794.952942012806 134.213529031479 -645.209430783925</t>
  </si>
  <si>
    <t>-838.326792355536 147.675815114098 -514.801492154016</t>
  </si>
  <si>
    <t>-845.947699276486 282.440711989068 -488.762974333123</t>
  </si>
  <si>
    <t>-715.553927104148 315.30835195309 -227.021762266199</t>
  </si>
  <si>
    <t>-480.551525502055 358.272489483074 -258.307042000935</t>
  </si>
  <si>
    <t>-831.563399174643 92.8122816409964 -518.729535660979</t>
  </si>
  <si>
    <t>-827.364552958161 214.7547063848 -64.1283050638789</t>
  </si>
  <si>
    <t>-826.404901352149 228.740908328635 339.180711601953</t>
  </si>
  <si>
    <t>-864.211264740009 206.660703106019 784.653182635879</t>
  </si>
  <si>
    <t>-737.498042456145 278.456316215394 846.914388415222</t>
  </si>
  <si>
    <t>-766.885952969586 33.7236935480087 -57.5886339340777</t>
  </si>
  <si>
    <t>-678.46689507324 9.48963650527503 335.411909560022</t>
  </si>
  <si>
    <t>-713.369667564848 -49.5217714064795 778.246552912671</t>
  </si>
  <si>
    <t>-590.18115003568 -119.332783038937 849.227647173275</t>
  </si>
  <si>
    <t>9763-20170724T111117.213444500.bin</t>
  </si>
  <si>
    <t>-796.911021109604 124.596726791368 -59.8542262691278</t>
  </si>
  <si>
    <t>-824.62039918211 110.967561518403 -171.490450802516</t>
  </si>
  <si>
    <t>-835.099624643232 108.936563271854 -269.534997390962</t>
  </si>
  <si>
    <t>-839.519593832261 110.483124801806 -358.508654625083</t>
  </si>
  <si>
    <t>-838.390895924393 115.261705453259 -447.470048098479</t>
  </si>
  <si>
    <t>-830.879653041909 125.101964323341 -571.436059947228</t>
  </si>
  <si>
    <t>-794.060739340346 134.827916861723 -645.292626007593</t>
  </si>
  <si>
    <t>-837.574144788483 148.202095326263 -514.912726068074</t>
  </si>
  <si>
    <t>-845.185879020443 282.953598951628 -488.837914000709</t>
  </si>
  <si>
    <t>-714.762760684514 315.612014197048 -227.085166674172</t>
  </si>
  <si>
    <t>-479.63095185918 358.277835995022 -257.801620363941</t>
  </si>
  <si>
    <t>-830.796013567802 93.3414427943826 -518.856871895962</t>
  </si>
  <si>
    <t>-827.363948678346 215.148776126151 -64.155479286229</t>
  </si>
  <si>
    <t>-826.488199031612 228.794358551023 339.165334210361</t>
  </si>
  <si>
    <t>-864.199167824012 206.594957843533 784.653051478988</t>
  </si>
  <si>
    <t>-737.536485223709 278.479498894067 846.914245583602</t>
  </si>
  <si>
    <t>-766.714106882114 33.8052195497389 -57.6646837969556</t>
  </si>
  <si>
    <t>-678.100882211018 9.67315640073502 335.298422376195</t>
  </si>
  <si>
    <t>-713.328230646839 -49.5843698512861 778.119885490397</t>
  </si>
  <si>
    <t>-589.915254772289 -118.999790012383 849.098627915273</t>
  </si>
  <si>
    <t>9763-20170724T111117.282193200.bin</t>
  </si>
  <si>
    <t>-796.465057505682 125.132092806506 -59.9429308461965</t>
  </si>
  <si>
    <t>-824.046993769601 111.626841982851 -171.625792598325</t>
  </si>
  <si>
    <t>-834.305226127049 109.737958022899 -269.69655883874</t>
  </si>
  <si>
    <t>-838.479666166803 111.423454460087 -358.679499191336</t>
  </si>
  <si>
    <t>-837.060424191444 116.349639635327 -447.628623759044</t>
  </si>
  <si>
    <t>-829.09598914504 126.401994438198 -571.549304624468</t>
  </si>
  <si>
    <t>-792.207460353922 136.264881071088 -645.353243477612</t>
  </si>
  <si>
    <t>-835.993801077926 149.40556008754 -515.011132890263</t>
  </si>
  <si>
    <t>-843.496858614115 284.135779570354 -488.707087917564</t>
  </si>
  <si>
    <t>-712.686846434303 316.341796760375 -227.091581404819</t>
  </si>
  <si>
    <t>-477.267195688187 358.330872424368 -256.509628564941</t>
  </si>
  <si>
    <t>-829.207477457153 94.5512429691889 -519.024751997105</t>
  </si>
  <si>
    <t>-827.044341965918 215.869763557272 -64.1696473803433</t>
  </si>
  <si>
    <t>-826.27993441636 228.968765901928 339.169560630473</t>
  </si>
  <si>
    <t>-864.119362135731 206.429117148037 784.656533577322</t>
  </si>
  <si>
    <t>-737.608627168642 278.57478605507 846.924932539237</t>
  </si>
  <si>
    <t>-766.204978262445 34.2660639464134 -57.7641005870902</t>
  </si>
  <si>
    <t>-676.832707012653 10.1903991904214 335.030536386045</t>
  </si>
  <si>
    <t>-713.166721578952 -49.3971423581904 777.801874079412</t>
  </si>
  <si>
    <t>-590.098544810809 -119.344889926426 848.857054283555</t>
  </si>
  <si>
    <t>9763-20170724T111117.315280700.bin</t>
  </si>
  <si>
    <t>-796.109758704718 125.394792648191 -59.9303583907054</t>
  </si>
  <si>
    <t>-823.660798179973 111.948170950321 -171.627949135245</t>
  </si>
  <si>
    <t>-833.84312977907 110.104435907009 -269.707356967091</t>
  </si>
  <si>
    <t>-837.928130483458 111.826400734285 -358.693824100753</t>
  </si>
  <si>
    <t>-836.399042352293 116.782199366719 -447.639568119663</t>
  </si>
  <si>
    <t>-828.260243258736 126.867660390564 -571.546256914438</t>
  </si>
  <si>
    <t>-791.347657489672 136.788000498478 -645.330079791862</t>
  </si>
  <si>
    <t>-835.223025080789 149.858066586281 -515.010503147625</t>
  </si>
  <si>
    <t>-842.661219050146 284.570734656988 -488.613117077154</t>
  </si>
  <si>
    <t>-711.643992895583 316.599381541888 -227.079450162498</t>
  </si>
  <si>
    <t>-476.094065008089 358.101272271707 -256.141939967574</t>
  </si>
  <si>
    <t>-828.46051401537 95.0012325169541 -519.031537059286</t>
  </si>
  <si>
    <t>-826.783345304056 216.273320742502 -64.122091329578</t>
  </si>
  <si>
    <t>-825.943738567187 229.18908493791 339.222872079579</t>
  </si>
  <si>
    <t>-864.16180827255 206.394463468968 784.680427697721</t>
  </si>
  <si>
    <t>-737.600948053174 278.451980889065 846.948810951694</t>
  </si>
  <si>
    <t>-765.747850016485 34.3875275044834 -57.7954403611071</t>
  </si>
  <si>
    <t>-676.055888356376 10.3660778509256 334.929643725862</t>
  </si>
  <si>
    <t>-713.106112820704 -49.4018722236199 777.626840295707</t>
  </si>
  <si>
    <t>-589.951530339798 -119.17280817144 848.705969012762</t>
  </si>
  <si>
    <t>9763-20170724T111117.383465600.bin</t>
  </si>
  <si>
    <t>-795.100176985667 126.391110702307 -59.8245247072936</t>
  </si>
  <si>
    <t>-822.612915665858 113.083549994468 -171.548230264585</t>
  </si>
  <si>
    <t>-832.73263811956 111.355979493538 -269.636204901193</t>
  </si>
  <si>
    <t>-836.749804685196 113.180057645899 -358.623747523106</t>
  </si>
  <si>
    <t>-835.140990665295 118.233952954925 -447.562454002258</t>
  </si>
  <si>
    <t>-826.878794176201 128.450339478009 -571.450259657381</t>
  </si>
  <si>
    <t>-789.961285682589 138.488010093954 -645.215981502826</t>
  </si>
  <si>
    <t>-833.856231501471 151.385579229062 -514.894075520314</t>
  </si>
  <si>
    <t>-841.056786488982 286.056635331138 -488.293092624305</t>
  </si>
  <si>
    <t>-709.345635079324 317.946852543003 -227.091367034057</t>
  </si>
  <si>
    <t>-473.566608873221 358.652795767643 -255.413376293477</t>
  </si>
  <si>
    <t>-827.17270211229 96.5235316508733 -518.972702016999</t>
  </si>
  <si>
    <t>-825.743413990323 217.506831845904 -63.9309839475119</t>
  </si>
  <si>
    <t>-824.817579232697 229.664713130141 339.437348718185</t>
  </si>
  <si>
    <t>-864.104019626197 206.152003068774 784.762676080249</t>
  </si>
  <si>
    <t>-737.67757605121 278.456083513629 847.018110736898</t>
  </si>
  <si>
    <t>-764.800587074797 35.2597921725874 -57.7385269420619</t>
  </si>
  <si>
    <t>-674.11349669666 10.6400557477264 334.720928433185</t>
  </si>
  <si>
    <t>-712.939361433622 -49.1961250872528 777.269813443242</t>
  </si>
  <si>
    <t>-589.921763558781 -119.130054317984 848.425774127054</t>
  </si>
  <si>
    <t>9763-20170724T111117.415551300.bin</t>
  </si>
  <si>
    <t>-794.547220283036 127.022591878677 -59.7485050110153</t>
  </si>
  <si>
    <t>-822.063420403255 113.804072658863 -171.481777457284</t>
  </si>
  <si>
    <t>-832.184485530939 112.149613542158 -269.571001262946</t>
  </si>
  <si>
    <t>-836.202447083765 114.039094327387 -358.557058199495</t>
  </si>
  <si>
    <t>-834.593771148953 119.156913068242 -447.492188756811</t>
  </si>
  <si>
    <t>-826.331680397366 129.461002755315 -571.372845976677</t>
  </si>
  <si>
    <t>-789.421056839165 139.558514221233 -645.13367903453</t>
  </si>
  <si>
    <t>-833.279985326887 152.359886869826 -514.798220740296</t>
  </si>
  <si>
    <t>-840.317348852336 287.023800108684 -488.086327140696</t>
  </si>
  <si>
    <t>-708.16575855127 318.69007661774 -227.079751327018</t>
  </si>
  <si>
    <t>-472.294372111023 359.165305279459 -254.960358726736</t>
  </si>
  <si>
    <t>-826.654973437868 97.493708462132 -518.919908676729</t>
  </si>
  <si>
    <t>-825.269505219994 218.211108268841 -63.8216012059926</t>
  </si>
  <si>
    <t>-824.347058327917 229.869807266529 339.561479603229</t>
  </si>
  <si>
    <t>-864.094137155925 206.042462212955 784.821200592788</t>
  </si>
  <si>
    <t>-737.741338143266 278.485774938979 847.064891573975</t>
  </si>
  <si>
    <t>-764.213832918007 35.7123221258848 -57.7201658358854</t>
  </si>
  <si>
    <t>-673.190937585738 10.8483253510335 334.646159087411</t>
  </si>
  <si>
    <t>-712.86813218845 -49.1242651452044 777.084627597355</t>
  </si>
  <si>
    <t>-589.796927889048 -118.934945248366 848.269388266209</t>
  </si>
  <si>
    <t>9763-20170724T111117.483747500.bin</t>
  </si>
  <si>
    <t>-793.684945704282 128.367163974736 -59.6013684864606</t>
  </si>
  <si>
    <t>-821.211023525579 115.293154644178 -171.349247524678</t>
  </si>
  <si>
    <t>-831.35096707245 113.786818941998 -269.438984067482</t>
  </si>
  <si>
    <t>-835.389590387785 115.819818296925 -358.420980490607</t>
  </si>
  <si>
    <t>-833.803879191734 121.088623559664 -447.347631669097</t>
  </si>
  <si>
    <t>-825.575676420503 131.61137922121 -571.212160805039</t>
  </si>
  <si>
    <t>-788.707332125766 141.828039810986 -644.97772410474</t>
  </si>
  <si>
    <t>-832.426148491188 154.419483722455 -514.589132410088</t>
  </si>
  <si>
    <t>-838.962951680858 289.047224859984 -487.576664299186</t>
  </si>
  <si>
    <t>-705.921633170243 319.990560216648 -226.935655305923</t>
  </si>
  <si>
    <t>-469.813527799519 359.928436519784 -253.558448511097</t>
  </si>
  <si>
    <t>-825.966905702073 99.5420452556227 -518.821924812116</t>
  </si>
  <si>
    <t>-824.364958341865 219.717768265542 -63.6263833556101</t>
  </si>
  <si>
    <t>-823.558044518232 230.256853800796 339.787761244811</t>
  </si>
  <si>
    <t>-863.982268054465 205.70770092407 784.962314404565</t>
  </si>
  <si>
    <t>-737.751578939587 278.396611384672 847.16682046445</t>
  </si>
  <si>
    <t>-763.341779394255 36.8839547657963 -57.6630453992011</t>
  </si>
  <si>
    <t>-671.737375693699 11.2177060566773 334.516157561468</t>
  </si>
  <si>
    <t>-712.75809930271 -49.0353808442815 776.749609598374</t>
  </si>
  <si>
    <t>-589.643579608223 -118.710053944538 847.992589603629</t>
  </si>
  <si>
    <t>9763-20170724T111117.516836400.bin</t>
  </si>
  <si>
    <t>-793.108709453037 128.985285248871 -59.561146445541</t>
  </si>
  <si>
    <t>-820.662699800044 115.994205235888 -171.311968446373</t>
  </si>
  <si>
    <t>-830.819781237478 114.586642012441 -269.401195960736</t>
  </si>
  <si>
    <t>-834.869943184689 116.719643804844 -358.380343229054</t>
  </si>
  <si>
    <t>-833.291279374155 122.097919437275 -447.300745705178</t>
  </si>
  <si>
    <t>-825.068129482463 132.782186005421 -571.151569212505</t>
  </si>
  <si>
    <t>-788.213982539145 143.069778719016 -644.91445823399</t>
  </si>
  <si>
    <t>-831.870103578941 155.521642728197 -514.494959794606</t>
  </si>
  <si>
    <t>-838.148135146704 290.12450256359 -487.299346340513</t>
  </si>
  <si>
    <t>-704.732391963531 320.685382551202 -226.804669506626</t>
  </si>
  <si>
    <t>-468.487796793184 360.255663824481 -252.756759976588</t>
  </si>
  <si>
    <t>-825.503478427392 100.639737955622 -518.806879156876</t>
  </si>
  <si>
    <t>-823.743504166713 220.488729719662 -63.5248226844501</t>
  </si>
  <si>
    <t>-823.179303319821 230.556632702486 339.901791371997</t>
  </si>
  <si>
    <t>-864.159221609637 205.748547676493 785.034509170174</t>
  </si>
  <si>
    <t>-737.696814942509 278.061014927652 847.207596610586</t>
  </si>
  <si>
    <t>-762.72299171716 37.3409480851469 -57.6924025151447</t>
  </si>
  <si>
    <t>-671.155152532879 11.3201943645827 334.471990664353</t>
  </si>
  <si>
    <t>-712.746944772308 -49.1459724038821 776.616397800976</t>
  </si>
  <si>
    <t>-589.484289772232 -118.535115221103 847.881867617618</t>
  </si>
  <si>
    <t>9763-20170724T111117.581546900.bin</t>
  </si>
  <si>
    <t>-791.783744812139 130.362567459627 -59.4400173895799</t>
  </si>
  <si>
    <t>-819.382305806351 117.596484115694 -171.205587678803</t>
  </si>
  <si>
    <t>-829.549330681127 116.417350442038 -269.296989684686</t>
  </si>
  <si>
    <t>-833.596173637377 118.771426522112 -358.270653533129</t>
  </si>
  <si>
    <t>-832.002068860628 124.383458530553 -447.176286903917</t>
  </si>
  <si>
    <t>-823.744080602496 135.406683073738 -570.995060867341</t>
  </si>
  <si>
    <t>-786.904615783434 145.86651949645 -644.741115272944</t>
  </si>
  <si>
    <t>-830.492361211614 157.998592982599 -514.27306930613</t>
  </si>
  <si>
    <t>-836.320602276701 292.548716124631 -486.679401634845</t>
  </si>
  <si>
    <t>-702.147726419928 322.135704181904 -226.461336201557</t>
  </si>
  <si>
    <t>-465.674209694127 361.390424276574 -250.754257713214</t>
  </si>
  <si>
    <t>-824.263815457954 103.113139976095 -518.74392214613</t>
  </si>
  <si>
    <t>-822.348492778031 222.045125963784 -63.2406209022367</t>
  </si>
  <si>
    <t>-821.956279330599 231.148724476929 340.209068016193</t>
  </si>
  <si>
    <t>-864.201826903717 205.49213685232 785.220176134454</t>
  </si>
  <si>
    <t>-737.739522535678 277.890193333389 847.293732526202</t>
  </si>
  <si>
    <t>-761.522124361991 38.5789502195075 -57.6766768121314</t>
  </si>
  <si>
    <t>-669.721270760725 11.7172710795994 334.376577957884</t>
  </si>
  <si>
    <t>-712.62736099154 -48.8492804498751 776.38333208428</t>
  </si>
  <si>
    <t>-589.584067416569 -118.565804642856 847.708226615497</t>
  </si>
  <si>
    <t>9763-20170724T111117.613632300.bin</t>
  </si>
  <si>
    <t>-791.125969016077 130.874491285452 -59.3371287316809</t>
  </si>
  <si>
    <t>-818.754936239886 118.239193086778 -171.110144186018</t>
  </si>
  <si>
    <t>-828.925319925404 117.174367132125 -269.202386612733</t>
  </si>
  <si>
    <t>-832.967465085097 119.63382678967 -358.173533469406</t>
  </si>
  <si>
    <t>-831.360323381545 125.352141163506 -447.072075933329</t>
  </si>
  <si>
    <t>-823.07585752789 136.525210055234 -570.875761953778</t>
  </si>
  <si>
    <t>-786.252513756721 147.080055580377 -644.616241562114</t>
  </si>
  <si>
    <t>-829.803465746968 159.051808849184 -514.125529769204</t>
  </si>
  <si>
    <t>-835.430712986404 293.574712451999 -486.382073309981</t>
  </si>
  <si>
    <t>-700.946806864376 322.702375126428 -226.27277067443</t>
  </si>
  <si>
    <t>-464.3559829373 361.850852903243 -249.576308382208</t>
  </si>
  <si>
    <t>-823.63919034666 104.164989806258 -518.666312560828</t>
  </si>
  <si>
    <t>-821.662231510792 222.603045335761 -63.0595163379304</t>
  </si>
  <si>
    <t>-821.338094879261 231.34128854451 340.398293771249</t>
  </si>
  <si>
    <t>-864.225414217783 205.354922832914 785.338322142609</t>
  </si>
  <si>
    <t>-737.85448049973 277.968753822969 847.345015251204</t>
  </si>
  <si>
    <t>-760.912996803486 38.9817470730204 -57.6330806181771</t>
  </si>
  <si>
    <t>-668.964168754903 11.7490072609216 334.359855768023</t>
  </si>
  <si>
    <t>-712.625804061341 -48.8690113439136 776.284082439181</t>
  </si>
  <si>
    <t>-589.512003851012 -118.458928946537 847.611211596857</t>
  </si>
  <si>
    <t>9763-20170724T111117.686528800.bin</t>
  </si>
  <si>
    <t>-789.830235284154 132.044756315169 -59.1479786820762</t>
  </si>
  <si>
    <t>-817.484410558016 119.653469989584 -170.942136994787</t>
  </si>
  <si>
    <t>-827.657637467209 118.811842001466 -269.03618557296</t>
  </si>
  <si>
    <t>-831.695100479348 121.478873534194 -358.001567018175</t>
  </si>
  <si>
    <t>-830.075707495872 127.409029152388 -446.886037917301</t>
  </si>
  <si>
    <t>-821.766593875501 138.881363013768 -570.660625655859</t>
  </si>
  <si>
    <t>-785.002954063662 149.618964385574 -644.404457982298</t>
  </si>
  <si>
    <t>-828.423856376874 161.279216731213 -513.851061617517</t>
  </si>
  <si>
    <t>-833.627361081061 295.756060990872 -485.791276051713</t>
  </si>
  <si>
    <t>-698.804225471297 324.250646026957 -225.787357707874</t>
  </si>
  <si>
    <t>-461.972153596706 363.487603235264 -246.328461611458</t>
  </si>
  <si>
    <t>-822.422441503491 106.386673589588 -518.536174565387</t>
  </si>
  <si>
    <t>-820.380102383627 224.089705848634 -62.7716837561039</t>
  </si>
  <si>
    <t>-820.461112691462 231.748724484088 340.708180086373</t>
  </si>
  <si>
    <t>-864.427728293654 205.277989258198 785.497575350128</t>
  </si>
  <si>
    <t>-737.71463928858 277.372223457303 847.412672161181</t>
  </si>
  <si>
    <t>-759.562227372495 39.9068683301639 -57.6042639017098</t>
  </si>
  <si>
    <t>-667.603968909646 11.90566127991 334.332389162944</t>
  </si>
  <si>
    <t>-712.628191705094 -48.7832423586544 776.094821797005</t>
  </si>
  <si>
    <t>-589.698350942275 -118.687507354422 847.431700162413</t>
  </si>
  <si>
    <t>9763-20170724T111117.716611300.bin</t>
  </si>
  <si>
    <t>-789.064954614016 132.688230004709 -59.0865741102991</t>
  </si>
  <si>
    <t>-816.728670275188 120.406336155233 -170.89052262041</t>
  </si>
  <si>
    <t>-826.898429872365 119.678696354614 -268.985886702902</t>
  </si>
  <si>
    <t>-830.927019220548 122.455869310062 -357.948157952875</t>
  </si>
  <si>
    <t>-829.293320079039 128.502270293766 -446.824603702423</t>
  </si>
  <si>
    <t>-820.957088975176 140.142370102644 -570.581631015196</t>
  </si>
  <si>
    <t>-784.226954308888 150.971042664433 -644.329081641687</t>
  </si>
  <si>
    <t>-827.589690244601 162.467007290406 -513.740351672457</t>
  </si>
  <si>
    <t>-832.559580667164 296.908537242368 -485.476615844429</t>
  </si>
  <si>
    <t>-697.676741670164 325.050400116362 -225.465317691249</t>
  </si>
  <si>
    <t>-460.707170741966 364.570171742016 -243.754235581916</t>
  </si>
  <si>
    <t>-821.661144844737 107.573455082357 -518.504266398738</t>
  </si>
  <si>
    <t>-819.581208037198 224.812602767063 -62.6296985316565</t>
  </si>
  <si>
    <t>-819.926131991341 232.040445031684 340.858000409957</t>
  </si>
  <si>
    <t>-864.415926127551 205.15764435414 785.580328041068</t>
  </si>
  <si>
    <t>-737.707811601632 277.304703743807 847.444676815751</t>
  </si>
  <si>
    <t>-758.828154296414 40.4650573522731 -57.5918582274385</t>
  </si>
  <si>
    <t>-666.92176735395 11.9697419677459 334.321282195562</t>
  </si>
  <si>
    <t>-712.674964616437 -48.8371660180853 776.010741387002</t>
  </si>
  <si>
    <t>-589.823665510417 -118.887652161416 847.339608032076</t>
  </si>
  <si>
    <t>9763-20170724T111117.782849100.bin</t>
  </si>
  <si>
    <t>-787.820001986327 134.002795134303 -58.923669649005</t>
  </si>
  <si>
    <t>-815.412666989946 122.013767455908 -170.776837049355</t>
  </si>
  <si>
    <t>-825.487435990229 121.570440064624 -268.883682842784</t>
  </si>
  <si>
    <t>-829.417366452602 124.619241803998 -357.841615159198</t>
  </si>
  <si>
    <t>-827.672584665673 130.950277548648 -446.696146422849</t>
  </si>
  <si>
    <t>-819.168821393702 143.000925369518 -570.402461374849</t>
  </si>
  <si>
    <t>-782.536438820311 154.043725672618 -644.166385370313</t>
  </si>
  <si>
    <t>-825.828064600442 165.141865913606 -513.492598997682</t>
  </si>
  <si>
    <t>-830.447286960462 299.490012199345 -484.712113703082</t>
  </si>
  <si>
    <t>-696.254842592332 326.711921766237 -224.246026111498</t>
  </si>
  <si>
    <t>-459.053547549813 366.223921916291 -239.253001412588</t>
  </si>
  <si>
    <t>-819.994209733563 110.254075610265 -518.438327937605</t>
  </si>
  <si>
    <t>-818.345278393231 226.314831910627 -62.3080704111915</t>
  </si>
  <si>
    <t>-818.864116847388 232.578606377415 341.195556264012</t>
  </si>
  <si>
    <t>-864.422181969543 204.881563221782 785.796689618428</t>
  </si>
  <si>
    <t>-737.811336322324 277.309012776058 847.531707491391</t>
  </si>
  <si>
    <t>-757.600387975219 41.6385441335478 -57.5853330622431</t>
  </si>
  <si>
    <t>-665.902121208622 12.1112595385016 334.300220198731</t>
  </si>
  <si>
    <t>-712.721040130508 -48.7818146937459 775.816838997577</t>
  </si>
  <si>
    <t>-589.798425473981 -118.721699572317 847.13129854791</t>
  </si>
  <si>
    <t>9763-20170724T111117.814968300.bin</t>
  </si>
  <si>
    <t>-787.206143013059 134.522110538454 -58.8653669890138</t>
  </si>
  <si>
    <t>-814.762374263026 122.690252466595 -170.744354037934</t>
  </si>
  <si>
    <t>-824.79967366087 122.407531570085 -268.855696783682</t>
  </si>
  <si>
    <t>-828.695085853295 125.61403863213 -357.809399420416</t>
  </si>
  <si>
    <t>-826.915137408138 132.116217486381 -446.650765938601</t>
  </si>
  <si>
    <t>-818.362956875183 144.421668128626 -570.328827385102</t>
  </si>
  <si>
    <t>-781.816411013034 155.598221093444 -644.11537638264</t>
  </si>
  <si>
    <t>-825.039295164911 166.445982225751 -513.375689496938</t>
  </si>
  <si>
    <t>-829.605971939758 300.731571679411 -484.319872430538</t>
  </si>
  <si>
    <t>-696.01671637066 327.459887146825 -223.492846158878</t>
  </si>
  <si>
    <t>-458.735702307325 366.697653051475 -237.947563336346</t>
  </si>
  <si>
    <t>-819.213330579242 111.567150831975 -518.43303501688</t>
  </si>
  <si>
    <t>-817.708245413169 226.787138107931 -62.132746903265</t>
  </si>
  <si>
    <t>-818.399995220846 232.849646538879 341.373648932849</t>
  </si>
  <si>
    <t>-864.415415611983 204.695425767783 785.948981503105</t>
  </si>
  <si>
    <t>-737.831597802498 277.280713257964 847.554029854777</t>
  </si>
  <si>
    <t>-756.986826849649 42.1031759787375 -57.6101122293235</t>
  </si>
  <si>
    <t>-665.452327077829 12.1225588574571 334.279218008884</t>
  </si>
  <si>
    <t>-712.71555434291 -48.7738169725728 775.700540330358</t>
  </si>
  <si>
    <t>-589.81219035182 -118.702098395542 847.059298134686</t>
  </si>
  <si>
    <t>9763-20170724T111117.881179600.bin</t>
  </si>
  <si>
    <t>-786.472831291163 135.4051492251 -58.6871844900855</t>
  </si>
  <si>
    <t>-814.028921582846 123.832182130483 -170.593206270288</t>
  </si>
  <si>
    <t>-824.072342221467 123.837587247276 -268.704282408587</t>
  </si>
  <si>
    <t>-827.975378859075 127.333286141379 -357.646817808028</t>
  </si>
  <si>
    <t>-826.205257460098 134.152705839601 -446.464673659946</t>
  </si>
  <si>
    <t>-817.668200337183 146.931311718435 -570.095843549982</t>
  </si>
  <si>
    <t>-781.314822008566 158.407322178318 -643.931703495374</t>
  </si>
  <si>
    <t>-824.320117084321 168.739150387546 -513.056535173323</t>
  </si>
  <si>
    <t>-828.782538919126 302.931439117973 -483.535595691671</t>
  </si>
  <si>
    <t>-695.807620960645 328.206441989807 -222.25025927123</t>
  </si>
  <si>
    <t>-458.476695016988 367.274447374554 -236.340431309884</t>
  </si>
  <si>
    <t>-818.529616909117 113.877021000971 -518.327232783329</t>
  </si>
  <si>
    <t>-817.157471690209 227.933389305645 -61.822472748716</t>
  </si>
  <si>
    <t>-817.574808607704 233.349849174231 341.693526963211</t>
  </si>
  <si>
    <t>-864.395973594764 204.377279106039 786.156056460347</t>
  </si>
  <si>
    <t>-737.682024602497 276.896799703767 847.57098550366</t>
  </si>
  <si>
    <t>-756.075765874601 42.7994233101554 -57.6436712436366</t>
  </si>
  <si>
    <t>-664.581316522422 12.0914425154815 334.198714999009</t>
  </si>
  <si>
    <t>-712.723381058342 -48.7893142342409 775.499761224364</t>
  </si>
  <si>
    <t>-589.763960555887 -118.524205942985 846.951441668707</t>
  </si>
  <si>
    <t>9763-20170724T111117.914268500.bin</t>
  </si>
  <si>
    <t>-785.908704028946 135.859123726347 -58.6443648639346</t>
  </si>
  <si>
    <t>-813.49403469462 124.362408991945 -170.551043129496</t>
  </si>
  <si>
    <t>-823.579377535194 124.482642143605 -268.657715093189</t>
  </si>
  <si>
    <t>-827.525425766669 128.101193954753 -357.593560533857</t>
  </si>
  <si>
    <t>-825.802414178249 135.062746207754 -446.401144086528</t>
  </si>
  <si>
    <t>-817.334826960024 148.059536102067 -570.014319900592</t>
  </si>
  <si>
    <t>-781.103763672304 159.689461030297 -643.886317594602</t>
  </si>
  <si>
    <t>-823.943741970522 169.767626373162 -512.93204871419</t>
  </si>
  <si>
    <t>-828.285206103828 303.909126481373 -483.166679085189</t>
  </si>
  <si>
    <t>-695.394635615075 328.494804597783 -221.772741715974</t>
  </si>
  <si>
    <t>-458.022170348969 367.27895935531 -235.94968259695</t>
  </si>
  <si>
    <t>-818.178169020473 114.912730912513 -518.304561893622</t>
  </si>
  <si>
    <t>-816.558952696341 228.432122846815 -61.689639656111</t>
  </si>
  <si>
    <t>-816.935248556271 233.616614735465 341.829428108302</t>
  </si>
  <si>
    <t>-864.380413758457 204.286755680331 786.19497261831</t>
  </si>
  <si>
    <t>-737.746237987232 276.975401823375 847.574689500055</t>
  </si>
  <si>
    <t>-755.443720453547 43.173910737356 -57.6540055615761</t>
  </si>
  <si>
    <t>-663.964947910914 12.2994687457895 334.178941319086</t>
  </si>
  <si>
    <t>-712.694930676347 -48.6279179049509 775.407956253396</t>
  </si>
  <si>
    <t>-589.853904315977 -118.524834097301 846.905038219432</t>
  </si>
  <si>
    <t>9763-20170724T111117.980813700.bin</t>
  </si>
  <si>
    <t>-784.629009646811 136.571628958397 -58.5489217741996</t>
  </si>
  <si>
    <t>-812.251903430863 125.265237171657 -170.465592567194</t>
  </si>
  <si>
    <t>-822.38701059552 125.642838560861 -268.566667531929</t>
  </si>
  <si>
    <t>-826.380919968106 129.530327269295 -357.488956573243</t>
  </si>
  <si>
    <t>-824.706486235028 136.794780654245 -446.273280244956</t>
  </si>
  <si>
    <t>-816.306354866831 150.247860525536 -569.842089224513</t>
  </si>
  <si>
    <t>-780.360654883904 162.214787830399 -643.799824298461</t>
  </si>
  <si>
    <t>-822.849704764326 171.748412503686 -512.673837209136</t>
  </si>
  <si>
    <t>-826.953372113878 305.788236286507 -482.455382212623</t>
  </si>
  <si>
    <t>-694.246339613964 329.339526008313 -220.872899262649</t>
  </si>
  <si>
    <t>-456.791819429126 367.528196135419 -235.290474346494</t>
  </si>
  <si>
    <t>-817.155914930523 116.907122935228 -518.257380380829</t>
  </si>
  <si>
    <t>-815.257306946093 229.346997950042 -61.4716747698843</t>
  </si>
  <si>
    <t>-815.840802295425 233.752867934415 342.056413391456</t>
  </si>
  <si>
    <t>-864.163294424498 203.966009980962 786.261033503559</t>
  </si>
  <si>
    <t>-737.817307497191 277.179031612542 847.610770948294</t>
  </si>
  <si>
    <t>-754.226930306129 43.7330606297392 -57.6262348484491</t>
  </si>
  <si>
    <t>-662.329781094225 12.4825238714348 334.078970877264</t>
  </si>
  <si>
    <t>-712.753048065508 -48.71949897278 775.169693114191</t>
  </si>
  <si>
    <t>-589.773994562686 -118.308648183298 846.729217486988</t>
  </si>
  <si>
    <t>9763-20170724T111118.015904400.bin</t>
  </si>
  <si>
    <t>-784.157361961219 137.006521124466 -58.5059480943191</t>
  </si>
  <si>
    <t>-811.757441242537 125.793537495773 -170.437731225736</t>
  </si>
  <si>
    <t>-821.877770731975 126.30733617135 -268.539715087204</t>
  </si>
  <si>
    <t>-825.858153199638 130.338449848024 -357.456208501427</t>
  </si>
  <si>
    <t>-824.168791301495 137.765385384324 -446.226815354987</t>
  </si>
  <si>
    <t>-815.744908241803 151.464551211245 -569.766907060838</t>
  </si>
  <si>
    <t>-779.97121891204 163.609921494764 -643.778946813732</t>
  </si>
  <si>
    <t>-822.280084081937 172.853335349565 -512.555648023176</t>
  </si>
  <si>
    <t>-826.270910047062 306.846779472193 -482.069005943901</t>
  </si>
  <si>
    <t>-693.601337817817 329.869080849872 -220.420373275241</t>
  </si>
  <si>
    <t>-456.109722145284 367.801191503472 -234.903479913744</t>
  </si>
  <si>
    <t>-816.623532027384 118.019499208344 -518.250356454266</t>
  </si>
  <si>
    <t>-814.873954363243 229.860888450862 -61.3816653387171</t>
  </si>
  <si>
    <t>-815.514447426772 233.861175050832 342.150557144763</t>
  </si>
  <si>
    <t>-864.163094983017 203.944023428895 786.274193752083</t>
  </si>
  <si>
    <t>-737.77118056874 277.062699319107 847.642156833235</t>
  </si>
  <si>
    <t>-753.735143476867 44.0885249210805 -57.6187413088894</t>
  </si>
  <si>
    <t>-661.520935485399 12.6543443008345 333.997213195178</t>
  </si>
  <si>
    <t>-712.767460357011 -48.6292083624573 775.011990091552</t>
  </si>
  <si>
    <t>-589.844309986702 -118.300606064812 846.587951567026</t>
  </si>
  <si>
    <t>9763-20170724T111118.080630800.bin</t>
  </si>
  <si>
    <t>-783.574295401664 137.792321154035 -58.5056128465623</t>
  </si>
  <si>
    <t>-811.08355737631 126.803013595606 -170.48188995568</t>
  </si>
  <si>
    <t>-821.131573109115 127.610528639076 -268.589294562322</t>
  </si>
  <si>
    <t>-825.045036537014 131.944704811333 -357.494387376595</t>
  </si>
  <si>
    <t>-823.284515328693 139.708673254332 -446.234899921783</t>
  </si>
  <si>
    <t>-814.755320300649 153.911414750337 -569.711058402808</t>
  </si>
  <si>
    <t>-779.400963466897 166.4547402945 -643.857935850537</t>
  </si>
  <si>
    <t>-821.294874667292 175.071069001727 -512.415001593161</t>
  </si>
  <si>
    <t>-825.01795883177 308.926484279541 -481.326127678098</t>
  </si>
  <si>
    <t>-692.507804897622 330.449447922794 -219.469278205357</t>
  </si>
  <si>
    <t>-454.934297160689 367.877404946977 -233.91935789039</t>
  </si>
  <si>
    <t>-815.722447822809 120.252505870766 -518.335499914917</t>
  </si>
  <si>
    <t>-814.390466072319 230.797314271033 -61.2743137202098</t>
  </si>
  <si>
    <t>-815.236129948915 234.09943556451 342.263794519893</t>
  </si>
  <si>
    <t>-864.21295972898 203.962878351754 786.298430644825</t>
  </si>
  <si>
    <t>-737.631153958485 276.71717746984 847.708322477779</t>
  </si>
  <si>
    <t>-753.089180507381 44.7171998960202 -57.7540385806157</t>
  </si>
  <si>
    <t>-660.440089370545 13.0566681956516 333.741121993922</t>
  </si>
  <si>
    <t>-712.811980954285 -48.4960582156475 774.612198501846</t>
  </si>
  <si>
    <t>-590.010368922611 -118.32951234442 846.238882025802</t>
  </si>
  <si>
    <t>9763-20170724T111118.113718000.bin</t>
  </si>
  <si>
    <t>-783.290911255723 138.153373680231 -58.5300715930308</t>
  </si>
  <si>
    <t>-810.777941031486 127.28434543284 -170.523623941993</t>
  </si>
  <si>
    <t>-820.789306847673 128.250893141611 -268.633259177594</t>
  </si>
  <si>
    <t>-824.660126651855 132.749758115559 -357.532133091112</t>
  </si>
  <si>
    <t>-822.847264045123 140.698141558264 -446.255151225055</t>
  </si>
  <si>
    <t>-814.233331996076 155.177032658205 -569.693361396034</t>
  </si>
  <si>
    <t>-779.105407333833 167.941541040768 -643.910057549539</t>
  </si>
  <si>
    <t>-820.79071660747 176.209856792811 -512.352899024834</t>
  </si>
  <si>
    <t>-824.353024802148 309.999045076099 -480.948033818245</t>
  </si>
  <si>
    <t>-691.984944451651 330.857514662808 -218.965533287075</t>
  </si>
  <si>
    <t>-454.345104398283 367.886506445519 -233.35320964507</t>
  </si>
  <si>
    <t>-815.257375055486 121.401074266098 -518.395673346281</t>
  </si>
  <si>
    <t>-814.026617714003 231.231397393533 -61.2374501881568</t>
  </si>
  <si>
    <t>-815.053925055239 234.163519862145 342.303147499137</t>
  </si>
  <si>
    <t>-864.10472519367 203.845771035337 786.302028212676</t>
  </si>
  <si>
    <t>-737.570830886364 276.659566972171 847.73955041263</t>
  </si>
  <si>
    <t>-752.842675469025 45.0261842109617 -57.862197478112</t>
  </si>
  <si>
    <t>-659.96970602181 13.2350002928388 333.569316242588</t>
  </si>
  <si>
    <t>-712.823363645957 -48.3926212733702 774.386548323593</t>
  </si>
  <si>
    <t>-590.02956275275 -118.21494470444 846.03708702541</t>
  </si>
  <si>
    <t>9763-20170724T111118.184986800.bin</t>
  </si>
  <si>
    <t>-782.953856549734 138.882606995293 -58.5916016850118</t>
  </si>
  <si>
    <t>-810.363342166761 128.28396096081 -170.629957871426</t>
  </si>
  <si>
    <t>-820.284067183452 129.565601689153 -268.745198646389</t>
  </si>
  <si>
    <t>-824.061341949509 134.380635437874 -357.631600849435</t>
  </si>
  <si>
    <t>-822.140978186984 142.672378013526 -446.320939558722</t>
  </si>
  <si>
    <t>-813.361796310227 157.657496477163 -569.686990217344</t>
  </si>
  <si>
    <t>-778.661083204907 170.827990851714 -644.033679734437</t>
  </si>
  <si>
    <t>-819.932284279984 178.460749312441 -512.264468960047</t>
  </si>
  <si>
    <t>-823.10155617466 312.121578176649 -480.276403446576</t>
  </si>
  <si>
    <t>-690.898249819906 331.555168991712 -218.101245329403</t>
  </si>
  <si>
    <t>-453.141271006381 367.960050040202 -232.143979960926</t>
  </si>
  <si>
    <t>-814.517898979964 123.665715699183 -518.53507777401</t>
  </si>
  <si>
    <t>-813.594408574435 232.070118257257 -61.1543286751834</t>
  </si>
  <si>
    <t>-814.861314645626 234.368273975725 342.389713457455</t>
  </si>
  <si>
    <t>-864.092472693238 203.772188706916 786.338271471343</t>
  </si>
  <si>
    <t>-737.485402148498 276.429532161849 847.810844879934</t>
  </si>
  <si>
    <t>-752.62801341274 45.5910027064961 -58.0883845700573</t>
  </si>
  <si>
    <t>-659.320006169106 13.6077336578419 333.223936933041</t>
  </si>
  <si>
    <t>-712.916274578385 -48.2742776603832 773.944380948271</t>
  </si>
  <si>
    <t>-590.155482011433 -118.143219563392 845.606023418513</t>
  </si>
  <si>
    <t>9763-20170724T111118.213061200.bin</t>
  </si>
  <si>
    <t>-782.842088915565 139.287603589427 -58.6383828954754</t>
  </si>
  <si>
    <t>-810.250656165388 128.833159091924 -170.690554666637</t>
  </si>
  <si>
    <t>-820.15424227602 130.261965089016 -268.805466243147</t>
  </si>
  <si>
    <t>-823.908549954944 135.218980805289 -357.685140761593</t>
  </si>
  <si>
    <t>-821.958046727662 143.660444470047 -446.35963865481</t>
  </si>
  <si>
    <t>-813.129098025888 158.861627061745 -569.695682000038</t>
  </si>
  <si>
    <t>-778.649783404419 172.196740934928 -644.116116885293</t>
  </si>
  <si>
    <t>-819.68399352351 179.5679191279 -512.236150382469</t>
  </si>
  <si>
    <t>-822.610226070584 313.167005858066 -479.99030343282</t>
  </si>
  <si>
    <t>-690.369066726442 331.958057457442 -217.787342266809</t>
  </si>
  <si>
    <t>-452.542111068631 368.004053395718 -231.567058271086</t>
  </si>
  <si>
    <t>-814.344638047751 124.776892113401 -518.606989633091</t>
  </si>
  <si>
    <t>-813.480877409042 232.578562441973 -61.124340228783</t>
  </si>
  <si>
    <t>-814.748947266782 234.477832283637 342.421782839921</t>
  </si>
  <si>
    <t>-864.121634276325 203.764062358926 786.357197463077</t>
  </si>
  <si>
    <t>-737.499242829714 276.387725935519 847.838016678531</t>
  </si>
  <si>
    <t>-752.575937134019 45.9452298553465 -58.2223157708265</t>
  </si>
  <si>
    <t>-659.076062972931 13.8951924580306 333.038808002</t>
  </si>
  <si>
    <t>-712.920184907329 -48.0257598159828 773.711270124097</t>
  </si>
  <si>
    <t>-590.417174324435 -118.324146995426 845.39415255901</t>
  </si>
  <si>
    <t>9763-20170724T111118.283255300.bin</t>
  </si>
  <si>
    <t>-782.692983108393 140.009886002121 -58.6909766396823</t>
  </si>
  <si>
    <t>-810.077166784239 129.829860045684 -170.77434164904</t>
  </si>
  <si>
    <t>-819.936116163027 131.541400669409 -268.889284619009</t>
  </si>
  <si>
    <t>-823.638941625526 136.771526356004 -357.755432661385</t>
  </si>
  <si>
    <t>-821.625459603126 145.500251037039 -446.400656799236</t>
  </si>
  <si>
    <t>-812.695061662695 161.116165486137 -569.677671761394</t>
  </si>
  <si>
    <t>-778.61046679396 174.71651857017 -644.231664110817</t>
  </si>
  <si>
    <t>-819.206982440218 181.636867668803 -512.146811861011</t>
  </si>
  <si>
    <t>-821.607331146385 315.134813587839 -479.437677019905</t>
  </si>
  <si>
    <t>-689.217019853201 332.798710419287 -217.231593701982</t>
  </si>
  <si>
    <t>-451.256080320371 368.175126118116 -230.424050065462</t>
  </si>
  <si>
    <t>-814.043220725658 126.851991814867 -518.712531419343</t>
  </si>
  <si>
    <t>-813.107261238363 233.463020642731 -61.043220229372</t>
  </si>
  <si>
    <t>-814.52432073252 234.632950469191 342.505203997242</t>
  </si>
  <si>
    <t>-863.959001314001 203.535818732927 786.396596926821</t>
  </si>
  <si>
    <t>-737.269746696741 276.037930053961 847.883071836126</t>
  </si>
  <si>
    <t>-752.621425284272 46.4968225255052 -58.3834972713141</t>
  </si>
  <si>
    <t>-658.578785500558 13.9547398426416 332.706950083299</t>
  </si>
  <si>
    <t>-713.185607915849 -48.3251890412 773.276143007983</t>
  </si>
  <si>
    <t>-590.301417498804 -118.010765356873 844.905336148464</t>
  </si>
  <si>
    <t>9763-20170724T111118.318346300.bin</t>
  </si>
  <si>
    <t>-782.531251580733 140.467627014215 -58.7067027765061</t>
  </si>
  <si>
    <t>-809.922313808219 130.406201137338 -170.799076141861</t>
  </si>
  <si>
    <t>-819.774042365945 132.241377055715 -268.912524570069</t>
  </si>
  <si>
    <t>-823.46349865656 137.591115074548 -357.772040910078</t>
  </si>
  <si>
    <t>-821.429694977517 146.445567931812 -446.404305620092</t>
  </si>
  <si>
    <t>-812.463066154581 162.241702454957 -569.655707771598</t>
  </si>
  <si>
    <t>-778.572568952176 175.95135542645 -644.278283908525</t>
  </si>
  <si>
    <t>-818.942919833025 182.682086622805 -512.092729258618</t>
  </si>
  <si>
    <t>-821.067104971884 316.137130336451 -479.168971941839</t>
  </si>
  <si>
    <t>-688.658343852367 333.250946162471 -216.9358094211</t>
  </si>
  <si>
    <t>-450.619050586026 368.238894671143 -229.743369630843</t>
  </si>
  <si>
    <t>-813.87460434484 127.89882775032 -518.745078496436</t>
  </si>
  <si>
    <t>-812.840446808878 233.949648742884 -60.9884263701424</t>
  </si>
  <si>
    <t>-814.302972941217 234.830805476539 342.56057220466</t>
  </si>
  <si>
    <t>-863.90527596548 203.447436320592 786.409866624028</t>
  </si>
  <si>
    <t>-737.271647591335 276.046583317411 847.896223759293</t>
  </si>
  <si>
    <t>-752.517907045923 46.8864152057213 -58.470667053361</t>
  </si>
  <si>
    <t>-658.259067448877 14.1001906996312 332.547198530973</t>
  </si>
  <si>
    <t>-713.317931120967 -48.3693728045751 773.048899315768</t>
  </si>
  <si>
    <t>-590.56804234005 -118.304524268287 844.665039278007</t>
  </si>
  <si>
    <t>9763-20170724T111118.382522000.bin</t>
  </si>
  <si>
    <t>-782.269978188803 141.481310432371 -58.6492481463233</t>
  </si>
  <si>
    <t>-809.676340512811 131.689082821914 -170.761770535325</t>
  </si>
  <si>
    <t>-819.521279996408 133.792703094985 -268.870524480075</t>
  </si>
  <si>
    <t>-823.196186184616 139.399122416333 -357.714822784476</t>
  </si>
  <si>
    <t>-821.137264702773 148.521094008908 -446.319429902129</t>
  </si>
  <si>
    <t>-812.125025642858 164.700743107629 -569.517765297159</t>
  </si>
  <si>
    <t>-778.647826539268 178.596216412466 -644.292203913143</t>
  </si>
  <si>
    <t>-818.535310468801 184.969525809377 -511.886073247075</t>
  </si>
  <si>
    <t>-820.162502360115 318.313294875279 -478.533570220222</t>
  </si>
  <si>
    <t>-687.943875321634 334.346802495475 -216.136168674488</t>
  </si>
  <si>
    <t>-449.745815204791 368.571013402247 -228.018916265014</t>
  </si>
  <si>
    <t>-813.646142397262 130.192584704906 -518.722308563189</t>
  </si>
  <si>
    <t>-812.316555530988 235.171052909618 -60.8067879276626</t>
  </si>
  <si>
    <t>-813.710736438292 235.420147373229 342.743278775344</t>
  </si>
  <si>
    <t>-863.929111664984 203.379042559288 786.460317613435</t>
  </si>
  <si>
    <t>-737.0954888565 275.635469034622 847.93846560834</t>
  </si>
  <si>
    <t>-752.517413257064 47.6976994038578 -58.5424776262317</t>
  </si>
  <si>
    <t>-657.583840812713 14.0891601323401 332.242307239518</t>
  </si>
  <si>
    <t>-713.762117851288 -48.8443099333122 772.621806104234</t>
  </si>
  <si>
    <t>-590.764222444573 -118.426839731211 844.155406089788</t>
  </si>
  <si>
    <t>9763-20170724T111118.415611600.bin</t>
  </si>
  <si>
    <t>-782.176106606963 141.986294754737 -58.6017494637384</t>
  </si>
  <si>
    <t>-809.594195486452 132.360929752189 -170.725938447819</t>
  </si>
  <si>
    <t>-819.42257244575 134.608001902629 -268.833152771411</t>
  </si>
  <si>
    <t>-823.07253001105 140.344075612987 -357.670125144139</t>
  </si>
  <si>
    <t>-820.978931185278 149.595051529469 -446.260643898987</t>
  </si>
  <si>
    <t>-811.908772956375 165.952594624237 -569.43113519331</t>
  </si>
  <si>
    <t>-778.629527664204 179.927671066376 -644.279040404877</t>
  </si>
  <si>
    <t>-818.299507165963 186.141748734429 -511.769347627241</t>
  </si>
  <si>
    <t>-819.681499792431 319.447603767714 -478.203461188442</t>
  </si>
  <si>
    <t>-687.58703105314 334.933526034981 -215.710646261649</t>
  </si>
  <si>
    <t>-449.310791981432 368.77002026959 -227.129336522054</t>
  </si>
  <si>
    <t>-813.500736717021 131.367205351844 -518.690331013455</t>
  </si>
  <si>
    <t>-812.093047712825 235.785512473286 -60.6865851102898</t>
  </si>
  <si>
    <t>-813.391627603317 235.695814322605 342.863891028005</t>
  </si>
  <si>
    <t>-863.932856465727 203.333434989412 786.492557680114</t>
  </si>
  <si>
    <t>-737.111636294171 275.618118212291 847.963145101976</t>
  </si>
  <si>
    <t>-752.603688596868 48.075984732548 -58.5281712961647</t>
  </si>
  <si>
    <t>-657.078260515234 14.0977717275409 332.08044028781</t>
  </si>
  <si>
    <t>-713.971650524688 -49.0244011233065 772.369467724349</t>
  </si>
  <si>
    <t>-591.111072972345 -118.870547932044 843.88183176519</t>
  </si>
  <si>
    <t>9763-20170724T111118.483730900.bin</t>
  </si>
  <si>
    <t>-781.938730399585 142.949533032008 -58.4752730545613</t>
  </si>
  <si>
    <t>-809.392410341256 133.673156269886 -170.620116807877</t>
  </si>
  <si>
    <t>-819.189048311317 136.195504852377 -268.723675245912</t>
  </si>
  <si>
    <t>-822.786104640316 142.169696764143 -357.547171768541</t>
  </si>
  <si>
    <t>-820.616084497145 151.644533352116 -446.112103806082</t>
  </si>
  <si>
    <t>-811.414829872473 168.298752279379 -569.233205683587</t>
  </si>
  <si>
    <t>-778.534633864678 182.410168219762 -644.231896783351</t>
  </si>
  <si>
    <t>-817.75580825212 188.35728025131 -511.520484468126</t>
  </si>
  <si>
    <t>-818.566983290628 321.569960695985 -477.583366583789</t>
  </si>
  <si>
    <t>-686.831633716491 335.769687064857 -214.837674485116</t>
  </si>
  <si>
    <t>-448.407792912089 368.870176169211 -225.291885761224</t>
  </si>
  <si>
    <t>-813.17187349617 133.582975206518 -518.586937592416</t>
  </si>
  <si>
    <t>-811.583514014174 237.096665692404 -60.3912358460196</t>
  </si>
  <si>
    <t>-812.677371898995 236.273287572836 343.159001239254</t>
  </si>
  <si>
    <t>-863.977731081373 203.249345269933 786.600925960556</t>
  </si>
  <si>
    <t>-737.07439754129 275.414180512784 848.04267404721</t>
  </si>
  <si>
    <t>-752.611870382399 48.7154750649206 -58.5513774576666</t>
  </si>
  <si>
    <t>-655.778207893099 14.0598890200508 331.675381429425</t>
  </si>
  <si>
    <t>-714.327864512943 -49.4043170648529 771.71414532576</t>
  </si>
  <si>
    <t>-591.421659834844 -119.165121099879 843.231836769818</t>
  </si>
  <si>
    <t>9763-20170724T111118.516812000.bin</t>
  </si>
  <si>
    <t>-781.777275238237 143.509635950666 -58.4207906246698</t>
  </si>
  <si>
    <t>-809.247115555064 134.43220030692 -170.577990242152</t>
  </si>
  <si>
    <t>-819.025786275502 137.10205048487 -268.679423919202</t>
  </si>
  <si>
    <t>-822.5952456266 143.200478930834 -357.495676969622</t>
  </si>
  <si>
    <t>-820.386517850066 152.788432793382 -446.047495446351</t>
  </si>
  <si>
    <t>-811.120421567344 169.587621385194 -569.143978972484</t>
  </si>
  <si>
    <t>-778.426708784253 183.75031408542 -644.214379795325</t>
  </si>
  <si>
    <t>-817.429832724299 189.582633792962 -511.405640920311</t>
  </si>
  <si>
    <t>-817.925112778783 322.744244634344 -477.282824613305</t>
  </si>
  <si>
    <t>-686.403736318619 336.286785026919 -214.39534104391</t>
  </si>
  <si>
    <t>-447.915964120007 369.026298690574 -224.524447753782</t>
  </si>
  <si>
    <t>-812.966143157106 134.807870455895 -518.544977503223</t>
  </si>
  <si>
    <t>-811.288974258619 237.811418534362 -60.2512217557928</t>
  </si>
  <si>
    <t>-812.320802931423 236.485388134749 343.297878058671</t>
  </si>
  <si>
    <t>-863.840427169081 203.046047053641 786.653056353499</t>
  </si>
  <si>
    <t>-737.052790418189 275.426817749362 848.079578333145</t>
  </si>
  <si>
    <t>-752.562812929193 49.11502756967 -58.6151391399658</t>
  </si>
  <si>
    <t>-655.062309943556 14.1699045397299 331.419690417931</t>
  </si>
  <si>
    <t>-714.428678939212 -49.4739114274726 771.303233228662</t>
  </si>
  <si>
    <t>-591.655987177439 -119.405071062232 842.883657318631</t>
  </si>
  <si>
    <t>9763-20170724T111118.581989500.bin</t>
  </si>
  <si>
    <t>-781.469427217263 144.930376087374 -58.3603610212274</t>
  </si>
  <si>
    <t>-809.011996034049 136.215315491154 -170.528569673067</t>
  </si>
  <si>
    <t>-818.765373191529 139.173899349321 -268.62425150563</t>
  </si>
  <si>
    <t>-822.277943680179 145.522743770186 -357.425146817225</t>
  </si>
  <si>
    <t>-819.978705456783 155.346983162551 -445.948753131457</t>
  </si>
  <si>
    <t>-810.552433649383 172.45928235771 -568.98993367701</t>
  </si>
  <si>
    <t>-778.212206257436 186.694497321359 -644.199547373868</t>
  </si>
  <si>
    <t>-816.81827598485 192.315245035422 -511.199018336014</t>
  </si>
  <si>
    <t>-816.714096858875 325.385921180596 -476.699183927466</t>
  </si>
  <si>
    <t>-685.558697709962 337.648393058498 -213.56581963574</t>
  </si>
  <si>
    <t>-446.891962731924 369.25021364442 -223.074718473891</t>
  </si>
  <si>
    <t>-812.582501841366 137.542760245123 -518.492214468253</t>
  </si>
  <si>
    <t>-808.758479042076 0.398530556296009 -509.831128467466</t>
  </si>
  <si>
    <t>-810.840116318576 239.568641785738 -59.9811974299935</t>
  </si>
  <si>
    <t>-811.449023620964 237.415883929373 343.565120566109</t>
  </si>
  <si>
    <t>-863.762988112004 202.838371917884 786.749805194132</t>
  </si>
  <si>
    <t>-736.894576531429 275.115898852907 848.130898261509</t>
  </si>
  <si>
    <t>-752.417651472146 50.209935971252 -58.806814614812</t>
  </si>
  <si>
    <t>-653.513897032842 14.5777218207982 330.812289702983</t>
  </si>
  <si>
    <t>-714.574300227271 -49.650243144315 770.377520379529</t>
  </si>
  <si>
    <t>-591.881489524528 -119.514243472267 842.160420209468</t>
  </si>
  <si>
    <t>9763-20170724T111118.613071300.bin</t>
  </si>
  <si>
    <t>-781.339792132037 145.808185492267 -58.3260236527512</t>
  </si>
  <si>
    <t>-808.924996442597 137.287301837529 -170.498399160678</t>
  </si>
  <si>
    <t>-818.678305370098 140.390430267615 -268.589792434806</t>
  </si>
  <si>
    <t>-822.177207072089 146.861357346081 -357.382416283179</t>
  </si>
  <si>
    <t>-819.850540602102 156.79639144277 -445.892946932462</t>
  </si>
  <si>
    <t>-810.372893378873 174.051780620597 -568.910214507198</t>
  </si>
  <si>
    <t>-778.191143145114 188.322787530806 -644.181142205738</t>
  </si>
  <si>
    <t>-816.610669634963 193.843817236777 -511.094405237837</t>
  </si>
  <si>
    <t>-816.242726153966 326.859765105002 -476.407938966299</t>
  </si>
  <si>
    <t>-685.332696482666 338.448322149225 -213.122236343095</t>
  </si>
  <si>
    <t>-446.580996808678 369.443288003005 -222.494420252089</t>
  </si>
  <si>
    <t>-812.476695132645 139.073033961382 -518.458494101976</t>
  </si>
  <si>
    <t>-808.883153598101 1.91241349718484 -509.965383973441</t>
  </si>
  <si>
    <t>-810.700300854527 240.60111190795 -59.8211128262499</t>
  </si>
  <si>
    <t>-810.930456645925 238.015496457149 343.723087477127</t>
  </si>
  <si>
    <t>-863.802165028571 202.768888592195 786.830065957248</t>
  </si>
  <si>
    <t>-736.795031313638 274.835289269824 848.172348725297</t>
  </si>
  <si>
    <t>-752.311702098681 50.9722477558703 -58.9278488357455</t>
  </si>
  <si>
    <t>-652.760017912318 14.8889957838078 330.48468600015</t>
  </si>
  <si>
    <t>-714.579380991195 -49.6597221500469 769.865188447672</t>
  </si>
  <si>
    <t>-592.099385573581 -119.705005592757 841.834567967222</t>
  </si>
  <si>
    <t>9763-20170724T111118.684267500.bin</t>
  </si>
  <si>
    <t>-781.135289349358 147.782405879487 -58.2338918990056</t>
  </si>
  <si>
    <t>-808.823038945837 139.639829402807 -170.409231547243</t>
  </si>
  <si>
    <t>-818.622874251356 143.020240015981 -268.486707882973</t>
  </si>
  <si>
    <t>-822.14933000828 149.723382049632 -357.260945564292</t>
  </si>
  <si>
    <t>-819.837560510861 159.87062722 -445.747912368815</t>
  </si>
  <si>
    <t>-810.367197167793 177.39997426225 -568.727017219068</t>
  </si>
  <si>
    <t>-778.492420209206 191.758516123562 -644.111658772205</t>
  </si>
  <si>
    <t>-816.49959802225 197.069450683079 -510.858016171643</t>
  </si>
  <si>
    <t>-815.63291682932 329.989586652758 -475.789427103803</t>
  </si>
  <si>
    <t>-685.026898656656 340.194452742082 -212.295477685499</t>
  </si>
  <si>
    <t>-446.092317419856 369.712523750299 -221.774351844037</t>
  </si>
  <si>
    <t>-812.569616239944 142.302409358157 -518.361930127153</t>
  </si>
  <si>
    <t>-809.435517608925 5.11890321115379 -510.165724089393</t>
  </si>
  <si>
    <t>-810.414037057809 242.794913537975 -59.4505003775789</t>
  </si>
  <si>
    <t>-809.842929560132 239.133960452688 344.084988837688</t>
  </si>
  <si>
    <t>-863.605605303174 202.327062045648 787.005067801254</t>
  </si>
  <si>
    <t>-736.661291811912 274.588576668159 848.247990206129</t>
  </si>
  <si>
    <t>-752.20254236694 52.7162537142171 -59.0991684118097</t>
  </si>
  <si>
    <t>-651.12763797648 15.8054088952863 329.843119425599</t>
  </si>
  <si>
    <t>-714.468727791639 -49.4728449254467 768.799396480151</t>
  </si>
  <si>
    <t>-592.302395893884 -119.579259022385 841.241267304517</t>
  </si>
  <si>
    <t>9763-20170724T111118.716353600.bin</t>
  </si>
  <si>
    <t>-781.084836006647 148.794546290736 -58.2306734205906</t>
  </si>
  <si>
    <t>-808.796796558358 140.845077940127 -170.4140354325</t>
  </si>
  <si>
    <t>-818.595943016762 144.366186775816 -268.486540092033</t>
  </si>
  <si>
    <t>-822.113971497551 151.185554003113 -357.252302346321</t>
  </si>
  <si>
    <t>-819.786072997271 161.436347737943 -445.726843579677</t>
  </si>
  <si>
    <t>-810.285287057649 179.096540140073 -568.684914194559</t>
  </si>
  <si>
    <t>-778.524981637254 193.501616459727 -644.108966518302</t>
  </si>
  <si>
    <t>-816.377303654342 198.707722676911 -510.79183150262</t>
  </si>
  <si>
    <t>-815.258376478637 331.576002731893 -475.544830893153</t>
  </si>
  <si>
    <t>-684.766676826581 341.145999788815 -211.970297770629</t>
  </si>
  <si>
    <t>-445.716110036343 369.709266134092 -221.446899046344</t>
  </si>
  <si>
    <t>-812.555118831556 143.942360746296 -518.362273929456</t>
  </si>
  <si>
    <t>-809.660102859849 6.73744134002573 -510.31138362909</t>
  </si>
  <si>
    <t>-810.303070875829 243.856007295442 -59.2990867896729</t>
  </si>
  <si>
    <t>-809.393025308455 239.711067164249 344.231120490687</t>
  </si>
  <si>
    <t>-863.498472568223 202.122458275159 787.061903938154</t>
  </si>
  <si>
    <t>-736.705980913465 274.683787594835 848.26520525753</t>
  </si>
  <si>
    <t>-752.123477339295 53.6728103384303 -59.2233331754319</t>
  </si>
  <si>
    <t>-650.315870996481 16.3037280082972 329.484124017905</t>
  </si>
  <si>
    <t>-714.382498428725 -49.4758324394093 768.214041668792</t>
  </si>
  <si>
    <t>-592.408927530541 -119.57874808891 840.983156450749</t>
  </si>
  <si>
    <t>9763-20170724T111118.779179400.bin</t>
  </si>
  <si>
    <t>-781.373174931272 150.824608209884 -58.2167021735228</t>
  </si>
  <si>
    <t>-809.123568340098 143.286066168114 -170.41871062764</t>
  </si>
  <si>
    <t>-818.844640215328 147.109033502653 -268.487872510339</t>
  </si>
  <si>
    <t>-822.247659937252 154.175886425725 -357.238647989306</t>
  </si>
  <si>
    <t>-819.761016545775 164.642761570679 -445.683691403434</t>
  </si>
  <si>
    <t>-809.99377480776 182.567878455862 -568.582520802918</t>
  </si>
  <si>
    <t>-778.43757525196 197.076943917627 -644.07223393275</t>
  </si>
  <si>
    <t>-816.093334491548 202.061128017236 -510.650374272224</t>
  </si>
  <si>
    <t>-814.5649609566 334.83092074665 -475.011101166293</t>
  </si>
  <si>
    <t>-684.611579788872 343.052575989644 -211.125206904071</t>
  </si>
  <si>
    <t>-445.321400148473 369.697910173179 -220.129005874646</t>
  </si>
  <si>
    <t>-812.490097150327 147.299043583931 -518.351066489934</t>
  </si>
  <si>
    <t>-810.092770267323 10.0720931544461 -510.635962329311</t>
  </si>
  <si>
    <t>-810.728710585663 246.112111531351 -58.9613840367572</t>
  </si>
  <si>
    <t>-808.538703028521 241.233165911441 344.555701182979</t>
  </si>
  <si>
    <t>-863.446141959473 201.847470897716 787.234596610549</t>
  </si>
  <si>
    <t>-736.436264013033 274.153454662433 848.28892725873</t>
  </si>
  <si>
    <t>-752.282156087876 55.4595424439731 -59.4583626441894</t>
  </si>
  <si>
    <t>-648.529925770851 17.3206171654019 328.659530868107</t>
  </si>
  <si>
    <t>-714.149864706402 -49.382621572287 766.989309394306</t>
  </si>
  <si>
    <t>-592.855899244848 -119.830672662803 840.556617293576</t>
  </si>
  <si>
    <t>9763-20170724T111118.817280000.bin</t>
  </si>
  <si>
    <t>-781.625151089039 151.627837833588 -58.1163823440197</t>
  </si>
  <si>
    <t>-809.40011236597 144.316037986654 -170.327282862725</t>
  </si>
  <si>
    <t>-819.06379741728 148.300732317158 -268.395800313071</t>
  </si>
  <si>
    <t>-822.383443630235 155.497235631086 -357.139214193293</t>
  </si>
  <si>
    <t>-819.78320882249 166.073845625262 -445.567935584539</t>
  </si>
  <si>
    <t>-809.825642350484 184.128862000498 -568.432356955005</t>
  </si>
  <si>
    <t>-778.378227324164 198.688660233891 -643.957994447767</t>
  </si>
  <si>
    <t>-815.958998172508 203.56355688465 -510.484282308466</t>
  </si>
  <si>
    <t>-814.301401249715 336.268210891382 -474.619455640793</t>
  </si>
  <si>
    <t>-684.793131152841 343.469004297927 -210.485012093933</t>
  </si>
  <si>
    <t>-445.385294623857 369.155438260711 -219.143167544098</t>
  </si>
  <si>
    <t>-812.455486251944 148.803944479278 -518.247283684117</t>
  </si>
  <si>
    <t>-810.270291101405 11.563228997682 -510.694995977919</t>
  </si>
  <si>
    <t>-811.038388663715 247.072912958073 -58.6953842653842</t>
  </si>
  <si>
    <t>-808.016018254663 241.883718526807 344.812469198404</t>
  </si>
  <si>
    <t>-863.415396425876 201.64529692544 787.380821756869</t>
  </si>
  <si>
    <t>-736.395658682839 274.04292352042 848.306347993272</t>
  </si>
  <si>
    <t>-752.427487112647 56.0849912859549 -59.5117440427587</t>
  </si>
  <si>
    <t>-647.434014039487 17.7388248857419 328.251815018165</t>
  </si>
  <si>
    <t>-714.033115509779 -49.5227916132083 766.336349449321</t>
  </si>
  <si>
    <t>-592.792691579196 -119.600231566252 840.344333916485</t>
  </si>
  <si>
    <t>9763-20170724T111118.885495600.bin</t>
  </si>
  <si>
    <t>-782.171148791105 152.344051530793 -58.2003149982038</t>
  </si>
  <si>
    <t>-810.068278574744 145.437858390395 -170.406829545408</t>
  </si>
  <si>
    <t>-819.656896769804 149.783746258656 -268.467116381476</t>
  </si>
  <si>
    <t>-822.835002120795 157.304569751894 -357.188938333644</t>
  </si>
  <si>
    <t>-820.018757527739 168.196336747602 -445.572788188732</t>
  </si>
  <si>
    <t>-809.683610595181 186.676358246156 -568.342751468089</t>
  </si>
  <si>
    <t>-778.488778606415 201.384162685628 -643.944304531141</t>
  </si>
  <si>
    <t>-815.928901461743 205.913778083171 -510.340742586291</t>
  </si>
  <si>
    <t>-814.296934341663 338.492391084517 -473.964036333404</t>
  </si>
  <si>
    <t>-686.228360275012 343.212568136605 -209.07275714086</t>
  </si>
  <si>
    <t>-446.591047538711 366.718457584933 -217.57622484167</t>
  </si>
  <si>
    <t>-812.534623991234 151.174608269663 -518.29469413111</t>
  </si>
  <si>
    <t>-810.616299851942 13.9115280976989 -511.218571969572</t>
  </si>
  <si>
    <t>-812.382151484556 248.477008262568 -58.5091485890792</t>
  </si>
  <si>
    <t>-807.879607479926 242.3235487791 344.971379046469</t>
  </si>
  <si>
    <t>-863.420126320495 201.330162818713 787.363686465957</t>
  </si>
  <si>
    <t>-736.310854726461 273.911547676561 847.882146015287</t>
  </si>
  <si>
    <t>-752.04759464436 56.0821387113078 -59.9670002219367</t>
  </si>
  <si>
    <t>-645.370620298696 18.44068679155 327.40597410709</t>
  </si>
  <si>
    <t>-713.62549714148 -49.3713321515772 764.94676492285</t>
  </si>
  <si>
    <t>-592.748853872657 -119.069342814139 839.902188806741</t>
  </si>
  <si>
    <t>9763-20170724T111118.917550300.bin</t>
  </si>
  <si>
    <t>-782.485932977556 152.182356988963 -58.4695006239274</t>
  </si>
  <si>
    <t>-810.479593610391 145.335358850391 -170.655454597897</t>
  </si>
  <si>
    <t>-820.068255322821 149.843430154252 -268.708580683052</t>
  </si>
  <si>
    <t>-823.20620640142 157.545728180999 -357.416320389429</t>
  </si>
  <si>
    <t>-820.306289176455 168.649204435261 -445.770997009716</t>
  </si>
  <si>
    <t>-809.806778135491 187.44997806099 -568.47841498257</t>
  </si>
  <si>
    <t>-778.767612402224 202.295088472829 -644.116978593375</t>
  </si>
  <si>
    <t>-816.13980669041 206.535222279667 -510.435659024163</t>
  </si>
  <si>
    <t>-814.818958744689 339.028220249099 -473.769128938924</t>
  </si>
  <si>
    <t>-687.859124032937 342.538957858045 -208.325745174975</t>
  </si>
  <si>
    <t>-448.151643838204 365.066046880691 -217.471824623447</t>
  </si>
  <si>
    <t>-812.714408777469 151.817885144506 -518.52624115874</t>
  </si>
  <si>
    <t>-810.782503089348 14.5324083402038 -511.809381607399</t>
  </si>
  <si>
    <t>-813.636358425521 248.684510262055 -58.618594818921</t>
  </si>
  <si>
    <t>-808.268148354257 242.22200179201 344.846498645982</t>
  </si>
  <si>
    <t>-863.531458137374 201.216805352151 787.26940707111</t>
  </si>
  <si>
    <t>-736.385982274495 274.011142377635 847.455524771057</t>
  </si>
  <si>
    <t>-751.491491914888 55.5451425698893 -60.3559939590209</t>
  </si>
  <si>
    <t>-644.080887589588 18.9073666766844 326.910456972355</t>
  </si>
  <si>
    <t>-713.308769772665 -48.8297712712272 764.239003222534</t>
  </si>
  <si>
    <t>-592.820639720481 -118.722978017321 839.637026688928</t>
  </si>
  <si>
    <t>9763-20170724T111118.978435300.bin</t>
  </si>
  <si>
    <t>-783.558937400053 150.694922312517 -59.1181528252411</t>
  </si>
  <si>
    <t>-811.747997503437 143.907024713341 -171.258768593184</t>
  </si>
  <si>
    <t>-821.34489124903 148.738360578306 -269.29555112405</t>
  </si>
  <si>
    <t>-824.4059962023 156.817275018214 -357.972528836723</t>
  </si>
  <si>
    <t>-821.338207719752 168.370022408969 -446.264010334205</t>
  </si>
  <si>
    <t>-810.502720098878 187.859030920692 -568.834658383534</t>
  </si>
  <si>
    <t>-779.768435375159 203.156164973983 -644.507814314646</t>
  </si>
  <si>
    <t>-817.079362051631 206.614231569124 -510.711432132424</t>
  </si>
  <si>
    <t>-816.830665399859 338.904414226671 -473.261091984126</t>
  </si>
  <si>
    <t>-695.047699595533 339.310484409842 -205.380701041359</t>
  </si>
  <si>
    <t>-455.284177813014 359.905780241474 -217.219292619854</t>
  </si>
  <si>
    <t>-813.462493391923 151.95162137736 -519.083237805837</t>
  </si>
  <si>
    <t>-811.109566509974 14.6185653011303 -513.17117344816</t>
  </si>
  <si>
    <t>-816.755007176534 248.02917734225 -59.012282405376</t>
  </si>
  <si>
    <t>-809.721877688107 241.296542265278 344.422855102195</t>
  </si>
  <si>
    <t>-863.678357498068 200.977988200577 787.100130033332</t>
  </si>
  <si>
    <t>-736.759620310329 274.67224999925 846.66567885129</t>
  </si>
  <si>
    <t>-750.5523416097 53.3294139910295 -61.3697770661511</t>
  </si>
  <si>
    <t>-641.31383552975 20.2853228112313 325.708601609154</t>
  </si>
  <si>
    <t>-712.531403664025 -47.0334865738541 762.733459869339</t>
  </si>
  <si>
    <t>-592.98893263406 -117.675510006577 838.934603213733</t>
  </si>
  <si>
    <t>9763-20170724T111119.018542300.bin</t>
  </si>
  <si>
    <t>-783.770562376106 149.822119566058 -59.4396833775472</t>
  </si>
  <si>
    <t>-812.087078958281 143.030536297521 -171.547959311449</t>
  </si>
  <si>
    <t>-821.685224353018 148.036002819601 -269.575875635754</t>
  </si>
  <si>
    <t>-824.694343016196 156.332402338074 -358.234443306112</t>
  </si>
  <si>
    <t>-821.516573266529 168.155416753269 -446.486271360126</t>
  </si>
  <si>
    <t>-810.463387488412 188.07081006112 -568.969004250236</t>
  </si>
  <si>
    <t>-779.832894138136 203.66513014539 -644.623429267675</t>
  </si>
  <si>
    <t>-817.191950333018 206.620994731222 -510.797466274502</t>
  </si>
  <si>
    <t>-817.20946124127 338.714100245996 -472.72332910417</t>
  </si>
  <si>
    <t>-699.594161191817 337.919168024917 -202.987877364438</t>
  </si>
  <si>
    <t>-459.745295746206 356.912975610228 -215.742879518746</t>
  </si>
  <si>
    <t>-813.462896170403 151.993006298022 -519.343380266978</t>
  </si>
  <si>
    <t>-810.93461625228 14.6468277568438 -513.879418625745</t>
  </si>
  <si>
    <t>-817.644199784867 247.583690900196 -59.1808546439739</t>
  </si>
  <si>
    <t>-810.076663346905 240.856643246967 344.24463654667</t>
  </si>
  <si>
    <t>-863.602805183449 200.827458433677 787.039081510354</t>
  </si>
  <si>
    <t>-736.635733824834 274.556803498313 846.458491545778</t>
  </si>
  <si>
    <t>-750.044391622754 52.1280336793834 -61.8290228512473</t>
  </si>
  <si>
    <t>-639.915835980568 20.7514258455235 325.135884568542</t>
  </si>
  <si>
    <t>-712.201099755389 -45.990083966698 762.089671930878</t>
  </si>
  <si>
    <t>-593.100778499807 -117.060541895766 838.584186307213</t>
  </si>
  <si>
    <t>9763-20170724T111119.080253200.bin</t>
  </si>
  <si>
    <t>-783.386154668822 148.59163871835 -59.668233280617</t>
  </si>
  <si>
    <t>-812.053727415696 141.755086501369 -171.684521075652</t>
  </si>
  <si>
    <t>-821.759788825428 147.079988075276 -269.684941921814</t>
  </si>
  <si>
    <t>-824.771241354488 155.7929863253 -358.303626040437</t>
  </si>
  <si>
    <t>-821.492420301332 168.15129143793 -446.478217573072</t>
  </si>
  <si>
    <t>-810.186730372984 188.927437409405 -568.794807874539</t>
  </si>
  <si>
    <t>-779.779912563039 204.99839390766 -644.439979476047</t>
  </si>
  <si>
    <t>-817.089342881556 207.065187581569 -510.513773331815</t>
  </si>
  <si>
    <t>-817.637629282812 338.807661830711 -471.297748974938</t>
  </si>
  <si>
    <t>-709.915926631635 335.914099561157 -197.475120707723</t>
  </si>
  <si>
    <t>-470.226120667045 353.939269027976 -214.051213199444</t>
  </si>
  <si>
    <t>-813.234395169256 152.504166319126 -519.424811599083</t>
  </si>
  <si>
    <t>-810.564621299769 15.1359585781674 -514.826633496091</t>
  </si>
  <si>
    <t>-818.11720786606 246.990738330799 -59.2113084137097</t>
  </si>
  <si>
    <t>-809.659834803289 240.313232434435 344.197336174298</t>
  </si>
  <si>
    <t>-863.208011140974 200.643280482668 787.069774038962</t>
  </si>
  <si>
    <t>-736.131712708484 274.054365765514 846.649438989306</t>
  </si>
  <si>
    <t>-748.946933283583 50.2113880688739 -62.2582341311437</t>
  </si>
  <si>
    <t>-636.754047171184 22.2177192336749 324.373082254332</t>
  </si>
  <si>
    <t>-711.625627948057 -43.3605126756966 761.064338239366</t>
  </si>
  <si>
    <t>-593.799429989965 -116.250159041114 837.819820838326</t>
  </si>
  <si>
    <t>9763-20170724T111119.118353800.bin</t>
  </si>
  <si>
    <t>-783.237987637476 148.134227489677 -59.7485040855606</t>
  </si>
  <si>
    <t>-812.17656089612 141.277097007683 -171.693851692346</t>
  </si>
  <si>
    <t>-822.05056971777 146.719615516663 -269.671115437356</t>
  </si>
  <si>
    <t>-825.181645728044 155.592736824999 -358.269735224301</t>
  </si>
  <si>
    <t>-821.989659226352 168.16210397179 -446.417610278602</t>
  </si>
  <si>
    <t>-810.767981795162 189.28520167145 -568.682554049396</t>
  </si>
  <si>
    <t>-780.502642209716 205.526888976597 -644.347965125968</t>
  </si>
  <si>
    <t>-817.637689985124 207.257299050534 -510.346209598069</t>
  </si>
  <si>
    <t>-818.402606106645 338.871174801017 -470.656287515881</t>
  </si>
  <si>
    <t>-716.217742455622 333.984731753431 -194.747579716419</t>
  </si>
  <si>
    <t>-476.920947853157 352.579513679461 -215.774049264944</t>
  </si>
  <si>
    <t>-813.774642281488 152.722542227065 -519.413342143782</t>
  </si>
  <si>
    <t>-811.16014415575 15.3314063450848 -515.1161708417</t>
  </si>
  <si>
    <t>-818.234333696526 246.903664858728 -59.2019744721415</t>
  </si>
  <si>
    <t>-809.245321795195 239.937815173126 344.1903062897</t>
  </si>
  <si>
    <t>-863.005131586579 200.477676854829 787.060152800779</t>
  </si>
  <si>
    <t>-735.906890918335 273.829409156455 846.666192378982</t>
  </si>
  <si>
    <t>-748.841250520697 49.4817727761006 -62.4857897634624</t>
  </si>
  <si>
    <t>-636.250185655105 23.0943722852712 324.142678266118</t>
  </si>
  <si>
    <t>-711.454029654306 -41.8399088874064 760.852190882641</t>
  </si>
  <si>
    <t>-594.280848882081 -115.873331132206 837.512531215263</t>
  </si>
  <si>
    <t>9763-20170724T111119.183533000.bin</t>
  </si>
  <si>
    <t>-784.007667662788 148.2334051778 -59.9047977296258</t>
  </si>
  <si>
    <t>-813.456923493297 141.431575162949 -171.720327803809</t>
  </si>
  <si>
    <t>-823.747572449928 147.050733205063 -269.644704046399</t>
  </si>
  <si>
    <t>-827.24462849452 156.141401760248 -358.207378182222</t>
  </si>
  <si>
    <t>-824.405070657934 168.988105677476 -446.327471936974</t>
  </si>
  <si>
    <t>-813.660147607943 190.562045905096 -568.556584042409</t>
  </si>
  <si>
    <t>-783.66477778504 207.011755062991 -644.284350891506</t>
  </si>
  <si>
    <t>-820.269447220472 208.320380177597 -510.124787200973</t>
  </si>
  <si>
    <t>-820.936210876664 339.65981718318 -469.533930179718</t>
  </si>
  <si>
    <t>-732.287766021034 330.744552953996 -189.082131039734</t>
  </si>
  <si>
    <t>-493.903508876653 350.579449562481 -217.898236344488</t>
  </si>
  <si>
    <t>-816.50754767232 153.816171253492 -519.414310997054</t>
  </si>
  <si>
    <t>-814.350270194927 16.4158305435649 -515.448055235376</t>
  </si>
  <si>
    <t>-818.457998670363 247.328692010971 -59.2304373192889</t>
  </si>
  <si>
    <t>-809.020433053976 239.466160343884 344.135132026042</t>
  </si>
  <si>
    <t>-862.507591300557 200.105146479377 787.045966557495</t>
  </si>
  <si>
    <t>-735.12360795876 272.825043251225 846.815510314951</t>
  </si>
  <si>
    <t>-750.417363823108 49.5530340426467 -62.663195223945</t>
  </si>
  <si>
    <t>-636.589281206901 24.8615347901937 323.715031093068</t>
  </si>
  <si>
    <t>-710.982028130674 -37.4759948243577 760.910879147499</t>
  </si>
  <si>
    <t>-596.08357172001 -115.521579147017 837.032639476269</t>
  </si>
  <si>
    <t>9763-20170724T111119.229655300.bin</t>
  </si>
  <si>
    <t>-784.799416865071 149.079787520017 -59.8526481717536</t>
  </si>
  <si>
    <t>-814.405613822424 142.308556605182 -171.628558604834</t>
  </si>
  <si>
    <t>-824.839864684683 147.990531777679 -269.53405571974</t>
  </si>
  <si>
    <t>-828.471172958423 157.15839692344 -358.083537890567</t>
  </si>
  <si>
    <t>-825.770667907509 170.104041976563 -446.193368573606</t>
  </si>
  <si>
    <t>-815.224757941185 191.842281168233 -568.410740525376</t>
  </si>
  <si>
    <t>-785.384806045061 208.324234174277 -644.192999511475</t>
  </si>
  <si>
    <t>-821.702243461724 209.524106448353 -509.940873334582</t>
  </si>
  <si>
    <t>-822.258402542011 340.77344902105 -469.09962197661</t>
  </si>
  <si>
    <t>-742.331346357279 330.627262417969 -186.080410068546</t>
  </si>
  <si>
    <t>-504.325798137879 350.092969946611 -218.100340946489</t>
  </si>
  <si>
    <t>-818.028935018823 155.02869282886 -519.316952859116</t>
  </si>
  <si>
    <t>-816.264343490557 17.6168875174872 -515.441405054719</t>
  </si>
  <si>
    <t>-818.573327250398 248.098388668665 -59.1884442967283</t>
  </si>
  <si>
    <t>-808.951986654006 239.832775337918 344.164721147417</t>
  </si>
  <si>
    <t>-862.307796072746 199.915617884821 787.02995064728</t>
  </si>
  <si>
    <t>-735.014074152814 272.757100732316 846.844203756222</t>
  </si>
  <si>
    <t>-751.677899421941 50.4833983085769 -62.5188248032745</t>
  </si>
  <si>
    <t>-636.674277511735 25.8663270386373 323.515942656983</t>
  </si>
  <si>
    <t>-710.749553028865 -35.3026940466343 760.931944021753</t>
  </si>
  <si>
    <t>-596.900986340542 -115.178361666114 836.732292456605</t>
  </si>
  <si>
    <t>9763-20170724T111119.282830700.bin</t>
  </si>
  <si>
    <t>-785.673523512155 150.997585999883 -59.6998847751918</t>
  </si>
  <si>
    <t>-815.51990338128 144.4275011155 -171.423868210877</t>
  </si>
  <si>
    <t>-826.027185766706 150.229013620751 -269.314703310701</t>
  </si>
  <si>
    <t>-829.684427806351 159.502121084893 -357.852042017523</t>
  </si>
  <si>
    <t>-826.976265915296 172.556185611792 -445.945604565908</t>
  </si>
  <si>
    <t>-816.390856735438 194.458322576211 -568.130237302354</t>
  </si>
  <si>
    <t>-786.828128415728 210.850715941311 -644.04039830759</t>
  </si>
  <si>
    <t>-822.828824009358 212.064840387134 -509.633399244176</t>
  </si>
  <si>
    <t>-823.335336713781 343.350570356863 -468.939677804603</t>
  </si>
  <si>
    <t>-762.626380824685 332.252963272884 -181.220246665717</t>
  </si>
  <si>
    <t>-524.880681642308 348.219974452212 -216.898481181242</t>
  </si>
  <si>
    <t>-819.268988278461 157.576121314326 -519.092303621407</t>
  </si>
  <si>
    <t>-818.216465068494 20.170478823341 -515.120304493949</t>
  </si>
  <si>
    <t>-818.143943839289 249.953316861756 -59.0393734867552</t>
  </si>
  <si>
    <t>-808.194823971837 240.808346985328 344.286845768784</t>
  </si>
  <si>
    <t>-861.898802918764 199.478236148874 786.990316332776</t>
  </si>
  <si>
    <t>-734.409837990305 271.926392050979 846.865826193227</t>
  </si>
  <si>
    <t>-753.530953471698 52.059110151165 -62.4185604124451</t>
  </si>
  <si>
    <t>-636.664185864075 27.8110397157707 323.079640311948</t>
  </si>
  <si>
    <t>-710.491909155541 -32.3819497581335 760.756208379099</t>
  </si>
  <si>
    <t>-598.055144516222 -114.559273028076 836.202916548933</t>
  </si>
  <si>
    <t>9763-20170724T111119.313914300.bin</t>
  </si>
  <si>
    <t>-785.884678778041 151.902326786743 -59.6519753601038</t>
  </si>
  <si>
    <t>-815.761128100901 145.47387307703 -171.376105272317</t>
  </si>
  <si>
    <t>-826.24412988829 151.297738976566 -269.268212310846</t>
  </si>
  <si>
    <t>-829.867696560656 160.559838178376 -357.80816951869</t>
  </si>
  <si>
    <t>-827.119276762265 173.575934398948 -445.906121685112</t>
  </si>
  <si>
    <t>-816.474514339093 195.401533373698 -568.099268228665</t>
  </si>
  <si>
    <t>-787.04978463563 211.648861693231 -644.094290087173</t>
  </si>
  <si>
    <t>-822.911775743597 213.045948276983 -509.613887566539</t>
  </si>
  <si>
    <t>-823.406939083232 344.412571323339 -469.121204044607</t>
  </si>
  <si>
    <t>-770.41757734593 332.373311546917 -179.918143591087</t>
  </si>
  <si>
    <t>-532.710371014551 346.701855502737 -216.535049550299</t>
  </si>
  <si>
    <t>-819.40559021935 158.548407153228 -519.04235587808</t>
  </si>
  <si>
    <t>-818.682501255859 21.1545660487036 -514.92534523089</t>
  </si>
  <si>
    <t>-817.822446599917 250.739128284361 -58.9752225685659</t>
  </si>
  <si>
    <t>-807.823437018891 241.069783754549 344.337557235579</t>
  </si>
  <si>
    <t>-861.645692259723 199.135598907827 786.962047972381</t>
  </si>
  <si>
    <t>-733.895532755927 271.14013956522 846.816429978368</t>
  </si>
  <si>
    <t>-754.198801333834 53.0876918055678 -62.3684681973758</t>
  </si>
  <si>
    <t>-636.652231487807 28.6313456340558 322.909830654027</t>
  </si>
  <si>
    <t>-710.456337795911 -31.4512018130786 760.57770756168</t>
  </si>
  <si>
    <t>-598.634065769831 -114.487827153539 835.996408554211</t>
  </si>
  <si>
    <t>9763-20170724T111119.382159100.bin</t>
  </si>
  <si>
    <t>-786.402319796653 152.980928286747 -59.559785828216</t>
  </si>
  <si>
    <t>-816.218989330571 146.569163390175 -171.300951562954</t>
  </si>
  <si>
    <t>-826.613637174088 152.340268077297 -269.205487650463</t>
  </si>
  <si>
    <t>-830.147382691205 161.531831904905 -357.756391638389</t>
  </si>
  <si>
    <t>-827.301298151824 174.455028091383 -445.865018688562</t>
  </si>
  <si>
    <t>-816.513550441891 196.128907836453 -568.072531075386</t>
  </si>
  <si>
    <t>-787.341532312369 212.093972239207 -644.224718221041</t>
  </si>
  <si>
    <t>-822.971415804834 213.848048856675 -509.611957833978</t>
  </si>
  <si>
    <t>-823.251957639862 345.220645709723 -469.218433240848</t>
  </si>
  <si>
    <t>-775.350491039447 330.95008421504 -179.230492753681</t>
  </si>
  <si>
    <t>-537.216563878218 341.274081295413 -214.394898787878</t>
  </si>
  <si>
    <t>-819.549970177416 159.33460294032 -518.97806335282</t>
  </si>
  <si>
    <t>-819.376484466696 21.9316194683361 -514.605693203408</t>
  </si>
  <si>
    <t>-818.044396338899 251.492785257246 -58.9621012874651</t>
  </si>
  <si>
    <t>-807.552729446727 241.485323758951 344.329927548595</t>
  </si>
  <si>
    <t>-861.212762375605 198.556275431311 786.916092590106</t>
  </si>
  <si>
    <t>-733.363118690738 270.42470866962 846.721752134748</t>
  </si>
  <si>
    <t>-755.019301141856 54.3939328794863 -62.1343492244141</t>
  </si>
  <si>
    <t>-636.215707714198 29.2751401617434 322.715443688566</t>
  </si>
  <si>
    <t>-710.736314202323 -30.7482999712042 760.215036073648</t>
  </si>
  <si>
    <t>-599.151237196404 -114.113118910702 835.622798414756</t>
  </si>
  <si>
    <t>9763-20170724T111119.415247000.bin</t>
  </si>
  <si>
    <t>-786.669786255167 153.332305188913 -59.5241961420609</t>
  </si>
  <si>
    <t>-816.37729421123 146.894263669119 -171.292848833051</t>
  </si>
  <si>
    <t>-826.662140712277 152.635985602814 -269.210767571011</t>
  </si>
  <si>
    <t>-830.088947940173 161.794681133958 -357.769370925275</t>
  </si>
  <si>
    <t>-827.127079628131 174.675941435124 -445.880286912905</t>
  </si>
  <si>
    <t>-816.168311686501 196.27924854605 -568.085210191775</t>
  </si>
  <si>
    <t>-787.069799144073 212.09506814303 -644.296430214332</t>
  </si>
  <si>
    <t>-822.670263520097 214.033974333431 -509.640093075463</t>
  </si>
  <si>
    <t>-822.733091269815 345.390189682902 -469.212234449096</t>
  </si>
  <si>
    <t>-772.898114301168 331.884799783656 -179.513722395969</t>
  </si>
  <si>
    <t>-534.367865284607 339.973898028901 -212.509144483303</t>
  </si>
  <si>
    <t>-819.310887772745 159.511510403994 -518.977418439046</t>
  </si>
  <si>
    <t>-819.320133351627 22.1209026531847 -514.540196186949</t>
  </si>
  <si>
    <t>-818.213596495452 251.764634623231 -58.9747992107142</t>
  </si>
  <si>
    <t>-807.574962035135 241.657558504879 344.310860592166</t>
  </si>
  <si>
    <t>-861.017257276793 198.312392250237 786.889511022415</t>
  </si>
  <si>
    <t>-733.224827917627 270.288864636328 846.68796506628</t>
  </si>
  <si>
    <t>-755.325440805586 54.8325132814989 -62.0305046755323</t>
  </si>
  <si>
    <t>-636.074460463285 29.5529680520226 322.670492493327</t>
  </si>
  <si>
    <t>-710.92813553933 -30.6100198428176 760.040749840092</t>
  </si>
  <si>
    <t>-599.307381521622 -113.919088557448 835.45751176226</t>
  </si>
  <si>
    <t>9763-20170724T111119.479341200.bin</t>
  </si>
  <si>
    <t>-786.320673895731 153.748827289585 -59.6149235736457</t>
  </si>
  <si>
    <t>-815.697498978383 147.367623568362 -171.474164805763</t>
  </si>
  <si>
    <t>-825.661924861173 153.060240442615 -269.428105657902</t>
  </si>
  <si>
    <t>-828.786555182764 162.131829284059 -358.006748565549</t>
  </si>
  <si>
    <t>-825.512458630773 174.880159652716 -446.125940374389</t>
  </si>
  <si>
    <t>-814.108612933333 196.247553729962 -568.331493028403</t>
  </si>
  <si>
    <t>-785.034073744001 211.769295061256 -644.612281299857</t>
  </si>
  <si>
    <t>-820.717021767495 214.119691396461 -509.934394787147</t>
  </si>
  <si>
    <t>-820.330448812964 345.603680208083 -469.810040666683</t>
  </si>
  <si>
    <t>-763.327077421392 332.986321606707 -181.395959773582</t>
  </si>
  <si>
    <t>-524.636417039013 339.622404350289 -213.544612491597</t>
  </si>
  <si>
    <t>-817.536898115589 159.570252608853 -519.175483695594</t>
  </si>
  <si>
    <t>-818.030224550606 22.1799781432906 -514.452189502451</t>
  </si>
  <si>
    <t>-817.723168425076 252.111251771095 -59.0650315039388</t>
  </si>
  <si>
    <t>-807.319825448718 241.81295820039 344.221910795599</t>
  </si>
  <si>
    <t>-860.631438722288 197.915672851397 786.835368087657</t>
  </si>
  <si>
    <t>-732.867659496567 269.90934463838 846.673867877196</t>
  </si>
  <si>
    <t>-755.15505862881 55.345409001382 -62.1456244625958</t>
  </si>
  <si>
    <t>-636.036921824474 30.2114559375809 322.606004822787</t>
  </si>
  <si>
    <t>-711.142741481428 -30.0430199833136 759.806424580669</t>
  </si>
  <si>
    <t>-599.794318493554 -113.635618926453 835.312127084756</t>
  </si>
  <si>
    <t>9763-20170724T111119.516406500.bin</t>
  </si>
  <si>
    <t>-786.15109155741 153.951191939587 -59.6253006431251</t>
  </si>
  <si>
    <t>-815.332581237661 147.649024982625 -171.540214404698</t>
  </si>
  <si>
    <t>-825.110113571778 153.30738286549 -269.514877725408</t>
  </si>
  <si>
    <t>-828.063787786048 162.307966581326 -358.106680095867</t>
  </si>
  <si>
    <t>-824.618324606654 174.946333310475 -446.235284482256</t>
  </si>
  <si>
    <t>-812.97792026512 196.119708059299 -568.452430598255</t>
  </si>
  <si>
    <t>-783.854387747594 211.507770861871 -644.741686285436</t>
  </si>
  <si>
    <t>-819.661116544412 214.086060018391 -510.092528692765</t>
  </si>
  <si>
    <t>-819.173190670831 345.651723928215 -470.280018128946</t>
  </si>
  <si>
    <t>-756.966005207529 335.426640072519 -182.848422629277</t>
  </si>
  <si>
    <t>-518.25464414579 341.196633866417 -215.011354989109</t>
  </si>
  <si>
    <t>-816.539666689968 159.518767287457 -519.248781438169</t>
  </si>
  <si>
    <t>-817.206516692324 22.1399039862058 -514.2952556845</t>
  </si>
  <si>
    <t>-817.56271871021 252.362051585653 -59.1046789855136</t>
  </si>
  <si>
    <t>-807.144648285107 241.748906410868 344.173795733808</t>
  </si>
  <si>
    <t>-860.416098068592 197.691167555888 786.808277083376</t>
  </si>
  <si>
    <t>-732.649582131664 269.668501068002 846.660252754946</t>
  </si>
  <si>
    <t>-755.189397952791 55.5263876406266 -62.1712628917264</t>
  </si>
  <si>
    <t>-635.955128561081 30.395672308176 322.544645563658</t>
  </si>
  <si>
    <t>-711.252727796999 -29.7309749200931 759.728715193355</t>
  </si>
  <si>
    <t>-600.056529770267 -113.489637752589 835.274725542398</t>
  </si>
  <si>
    <t>9763-20170724T111119.585626700.bin</t>
  </si>
  <si>
    <t>-785.991084698656 154.597204512231 -59.5315065276762</t>
  </si>
  <si>
    <t>-814.760173332973 148.508438585332 -171.564945840974</t>
  </si>
  <si>
    <t>-824.099714793898 154.064987424691 -269.588105162918</t>
  </si>
  <si>
    <t>-826.638531586983 162.864623906491 -358.213079078009</t>
  </si>
  <si>
    <t>-822.7666933818 175.193612022918 -446.367600986185</t>
  </si>
  <si>
    <t>-810.524980140534 195.825358780473 -568.618560578261</t>
  </si>
  <si>
    <t>-781.188360969459 210.968963242889 -644.875083549495</t>
  </si>
  <si>
    <t>-817.419009105266 214.053053461725 -510.364457941331</t>
  </si>
  <si>
    <t>-816.608855088653 345.877919907075 -471.372264746355</t>
  </si>
  <si>
    <t>-746.391289102348 339.603418830846 -185.67786796529</t>
  </si>
  <si>
    <t>-507.706919572403 343.718433154004 -218.291967728924</t>
  </si>
  <si>
    <t>-814.404772223756 159.439754233119 -519.279542918518</t>
  </si>
  <si>
    <t>-815.416925013821 22.086257235218 -513.653570607734</t>
  </si>
  <si>
    <t>-816.911879277857 252.992647832202 -59.0656577698799</t>
  </si>
  <si>
    <t>-806.660466993336 241.719445383062 344.199138042842</t>
  </si>
  <si>
    <t>-859.993676851357 197.305317333412 786.789564893586</t>
  </si>
  <si>
    <t>-732.139024956341 269.059707393675 846.721503726115</t>
  </si>
  <si>
    <t>-755.510907664806 56.351708092076 -62.0575676444663</t>
  </si>
  <si>
    <t>-635.929994730212 30.4133402245479 322.497151534495</t>
  </si>
  <si>
    <t>-711.759858198441 -29.6620833537409 759.627841694283</t>
  </si>
  <si>
    <t>-600.300019062918 -113.048062630497 835.197339153716</t>
  </si>
  <si>
    <t>9763-20170724T111119.613700700.bin</t>
  </si>
  <si>
    <t>-785.624818431984 155.200939989984 -59.4573274772416</t>
  </si>
  <si>
    <t>-814.181468263746 149.226445716161 -171.551257098333</t>
  </si>
  <si>
    <t>-823.287690559889 154.771827428789 -269.597080475866</t>
  </si>
  <si>
    <t>-825.600870606026 163.518915729866 -358.233298764907</t>
  </si>
  <si>
    <t>-821.493833424184 175.7553925047 -446.39011526737</t>
  </si>
  <si>
    <t>-808.915404289813 196.217080464758 -568.635493471519</t>
  </si>
  <si>
    <t>-779.446785315497 211.27965433801 -644.857018910593</t>
  </si>
  <si>
    <t>-815.964794256422 214.52589737696 -510.425470979654</t>
  </si>
  <si>
    <t>-815.183892875729 346.455817196814 -471.862454265799</t>
  </si>
  <si>
    <t>-743.245512877997 341.927834198587 -186.563569401484</t>
  </si>
  <si>
    <t>-504.667853754343 345.065409885232 -220.055074851746</t>
  </si>
  <si>
    <t>-812.936340393667 159.900015200579 -519.257295824343</t>
  </si>
  <si>
    <t>-814.048017564919 22.5529121143127 -513.314362939676</t>
  </si>
  <si>
    <t>-816.233290391056 253.518204280213 -58.9986508055754</t>
  </si>
  <si>
    <t>-806.238723000473 241.895767395849 344.262752408118</t>
  </si>
  <si>
    <t>-859.775374273988 197.116570612923 786.796769620035</t>
  </si>
  <si>
    <t>-731.975509549934 268.92517067065 846.780035192738</t>
  </si>
  <si>
    <t>-755.297355682617 57.0418386611118 -61.9697760747709</t>
  </si>
  <si>
    <t>-635.606739504936 30.554140452783 322.513330785516</t>
  </si>
  <si>
    <t>-711.959779024944 -29.5288622713038 759.555952701829</t>
  </si>
  <si>
    <t>-600.703216741433 -113.139739137712 835.176545741576</t>
  </si>
  <si>
    <t>9763-20170724T111119.682888800.bin</t>
  </si>
  <si>
    <t>-784.596082473309 156.068093969122 -59.3477880990382</t>
  </si>
  <si>
    <t>-812.775974115546 150.360111456219 -171.550947513517</t>
  </si>
  <si>
    <t>-821.529352636661 156.003650520469 -269.623225755099</t>
  </si>
  <si>
    <t>-823.52307416959 164.792211252348 -358.2630664682</t>
  </si>
  <si>
    <t>-819.101848173749 177.028494312618 -446.404954371363</t>
  </si>
  <si>
    <t>-806.096001696435 197.450983967146 -568.612017143106</t>
  </si>
  <si>
    <t>-776.363661385186 212.425077040073 -644.748595234878</t>
  </si>
  <si>
    <t>-813.462318480171 215.773941626706 -510.445758446932</t>
  </si>
  <si>
    <t>-812.988488500885 347.79229611438 -472.123053803617</t>
  </si>
  <si>
    <t>-738.481654744615 344.564348069574 -187.466267712549</t>
  </si>
  <si>
    <t>-500.068420716774 345.589793081327 -222.237127855927</t>
  </si>
  <si>
    <t>-810.176216827186 161.154047030553 -519.223686835618</t>
  </si>
  <si>
    <t>-810.907600573616 23.8292473092856 -513.007949820644</t>
  </si>
  <si>
    <t>-815.253996748721 254.527477146508 -58.799522809375</t>
  </si>
  <si>
    <t>-805.712185885596 241.861975770997 344.4414017664</t>
  </si>
  <si>
    <t>-859.349795856208 196.84371717679 786.845755864814</t>
  </si>
  <si>
    <t>-731.608423679345 268.592858135767 847.02438707711</t>
  </si>
  <si>
    <t>-754.201925744039 57.634636488795 -61.9574631446665</t>
  </si>
  <si>
    <t>-634.388091720912 31.0242425907632 322.478698788273</t>
  </si>
  <si>
    <t>-712.315504038873 -29.5256239582423 759.190336145431</t>
  </si>
  <si>
    <t>-601.004139828819 -112.823343488692 835.075589747843</t>
  </si>
  <si>
    <t>9763-20170724T111119.714973400.bin</t>
  </si>
  <si>
    <t>-784.022606874818 156.2281050089 -59.331535377818</t>
  </si>
  <si>
    <t>-812.00601045166 150.590048080492 -171.587375008016</t>
  </si>
  <si>
    <t>-820.626026287855 156.269467491688 -269.669465531062</t>
  </si>
  <si>
    <t>-822.513831832924 165.078969399512 -358.309608634307</t>
  </si>
  <si>
    <t>-818.002338370561 177.324908391483 -446.445478479678</t>
  </si>
  <si>
    <t>-804.887173722777 197.74920338581 -568.640521620736</t>
  </si>
  <si>
    <t>-775.005657779675 212.672351053894 -644.728897234096</t>
  </si>
  <si>
    <t>-812.358057000547 216.068894098448 -510.486657271857</t>
  </si>
  <si>
    <t>-811.843843962575 348.034736665194 -471.976411520789</t>
  </si>
  <si>
    <t>-735.590909842999 344.939979731359 -187.780856575378</t>
  </si>
  <si>
    <t>-497.161702981364 344.59485756809 -222.455404261848</t>
  </si>
  <si>
    <t>-808.958820946859 161.453922574533 -519.250454047097</t>
  </si>
  <si>
    <t>-809.429043890159 24.1397117590145 -513.045445128745</t>
  </si>
  <si>
    <t>-814.867111355549 254.77777489086 -58.7060732003787</t>
  </si>
  <si>
    <t>-805.679894767848 241.645473575961 344.528092103421</t>
  </si>
  <si>
    <t>-859.123910907253 196.739726394251 786.909311703048</t>
  </si>
  <si>
    <t>-731.506791446499 268.58932858149 847.231659640456</t>
  </si>
  <si>
    <t>-753.385787381195 57.6361425196542 -61.9645750127412</t>
  </si>
  <si>
    <t>-633.283346958604 31.1921224958346 322.393112364564</t>
  </si>
  <si>
    <t>-712.399213513147 -29.4618522834503 758.89654521998</t>
  </si>
  <si>
    <t>-601.070694048652 -112.537763198952 834.999215696164</t>
  </si>
  <si>
    <t>9763-20170724T111119.783754600.bin</t>
  </si>
  <si>
    <t>-782.630443101353 156.350753336525 -59.2153593226241</t>
  </si>
  <si>
    <t>-810.234754985624 150.744494383157 -171.566533175479</t>
  </si>
  <si>
    <t>-818.579060144498 156.477821848004 -269.669348219643</t>
  </si>
  <si>
    <t>-820.232791017273 165.335374717439 -358.309313371222</t>
  </si>
  <si>
    <t>-815.499523353055 177.623454255816 -446.427692350987</t>
  </si>
  <si>
    <t>-802.085833126639 198.093981362362 -568.582612712735</t>
  </si>
  <si>
    <t>-771.928467166796 212.911343825827 -644.582743454964</t>
  </si>
  <si>
    <t>-809.709096699986 216.391317946652 -510.441327460341</t>
  </si>
  <si>
    <t>-808.90836467016 348.293551116979 -471.727067511593</t>
  </si>
  <si>
    <t>-730.619349200741 343.624396409705 -188.10707466093</t>
  </si>
  <si>
    <t>-492.28183121605 341.876367763102 -223.364484215199</t>
  </si>
  <si>
    <t>-806.268041585413 161.780522602829 -519.215240128039</t>
  </si>
  <si>
    <t>-806.617201795058 24.4448589645131 -513.086635520336</t>
  </si>
  <si>
    <t>-814.204127339427 255.182416370682 -58.5594503003299</t>
  </si>
  <si>
    <t>-805.618787983313 241.208458714969 344.659722894671</t>
  </si>
  <si>
    <t>-858.726575733754 196.421144362097 787.022637200392</t>
  </si>
  <si>
    <t>-731.202237643632 268.351198389516 847.445892331653</t>
  </si>
  <si>
    <t>-751.236086873667 57.3770434912763 -61.8483834201654</t>
  </si>
  <si>
    <t>-630.432655431694 31.2863326871561 322.313683596399</t>
  </si>
  <si>
    <t>-712.57986571482 -29.192320606604 758.26683100753</t>
  </si>
  <si>
    <t>-601.552467332588 -112.302384566768 834.77128322648</t>
  </si>
  <si>
    <t>9763-20170724T111119.816841000.bin</t>
  </si>
  <si>
    <t>-782.056873451378 156.085689434167 -59.1459694658666</t>
  </si>
  <si>
    <t>-809.499050788632 150.511342859786 -171.53853156436</t>
  </si>
  <si>
    <t>-817.689850086724 156.283443989727 -269.65205555588</t>
  </si>
  <si>
    <t>-819.198918132004 165.178277621722 -358.290777002187</t>
  </si>
  <si>
    <t>-814.315143437178 177.504134608295 -446.395788315753</t>
  </si>
  <si>
    <t>-800.685247697238 198.027351192645 -568.517885924774</t>
  </si>
  <si>
    <t>-770.40899090654 212.826331246248 -644.474315962313</t>
  </si>
  <si>
    <t>-808.402940031318 216.30001258738 -510.38149576526</t>
  </si>
  <si>
    <t>-807.689906353312 348.21098679376 -471.673304031434</t>
  </si>
  <si>
    <t>-729.254498692938 342.016808098193 -188.122974194842</t>
  </si>
  <si>
    <t>-491.028877375363 341.409999852277 -224.164666859902</t>
  </si>
  <si>
    <t>-804.963432094379 161.692270956375 -519.174611360552</t>
  </si>
  <si>
    <t>-805.301344244783 24.3548381970381 -513.034382846182</t>
  </si>
  <si>
    <t>-814.003033718297 255.203490735173 -58.5169582966612</t>
  </si>
  <si>
    <t>-805.413461975635 240.889359546079 344.690211502822</t>
  </si>
  <si>
    <t>-858.566150957352 196.170233603269 787.033427699703</t>
  </si>
  <si>
    <t>-731.062298736678 268.200774915172 847.379149314484</t>
  </si>
  <si>
    <t>-750.412501056372 56.7585726354878 -61.8392154350369</t>
  </si>
  <si>
    <t>-629.432253219364 31.1464752814977 322.299368836112</t>
  </si>
  <si>
    <t>-712.755398606762 -29.1108668320198 758.008989145352</t>
  </si>
  <si>
    <t>-601.593660157403 -111.954257427493 834.607381628537</t>
  </si>
  <si>
    <t>9763-20170724T111119.882033300.bin</t>
  </si>
  <si>
    <t>-781.083820207275 155.34139322717 -59.2426232820311</t>
  </si>
  <si>
    <t>-808.403610761656 149.890902717054 -171.671014778011</t>
  </si>
  <si>
    <t>-816.394987743435 155.823741329867 -269.791399057238</t>
  </si>
  <si>
    <t>-817.688796971964 164.888629607461 -358.416379907473</t>
  </si>
  <si>
    <t>-812.557964893788 177.411144544819 -446.479476807028</t>
  </si>
  <si>
    <t>-798.551830340419 198.237753981593 -568.507643874481</t>
  </si>
  <si>
    <t>-768.110417526274 213.140882267431 -644.377330418834</t>
  </si>
  <si>
    <t>-806.520494472142 216.362543178908 -510.35850770895</t>
  </si>
  <si>
    <t>-806.241992716569 348.249961217795 -471.579087049315</t>
  </si>
  <si>
    <t>-727.291396900897 340.823751210053 -188.201542656398</t>
  </si>
  <si>
    <t>-489.090090241865 342.452766966716 -224.372963780111</t>
  </si>
  <si>
    <t>-802.910283342766 161.783525061314 -519.259455300476</t>
  </si>
  <si>
    <t>-802.917040096979 24.4466374389121 -513.158546606975</t>
  </si>
  <si>
    <t>-813.311194112127 255.010213306535 -58.5258458878442</t>
  </si>
  <si>
    <t>-804.309143435817 240.210616969587 344.654753552618</t>
  </si>
  <si>
    <t>-858.200098784322 195.696883241395 786.9687422527</t>
  </si>
  <si>
    <t>-730.857734431456 268.054629549279 847.263506029782</t>
  </si>
  <si>
    <t>-749.3604427725 55.7150552436906 -62.106716287945</t>
  </si>
  <si>
    <t>-628.801107930272 31.0161206947582 322.223988513186</t>
  </si>
  <si>
    <t>-713.262189838403 -28.9123593033178 757.721110393574</t>
  </si>
  <si>
    <t>-601.950980534626 -111.472306487662 834.408354698767</t>
  </si>
  <si>
    <t>9763-20170724T111119.916109500.bin</t>
  </si>
  <si>
    <t>-780.822912001914 155.429310781323 -59.3019646083093</t>
  </si>
  <si>
    <t>-808.089856936517 150.071288179322 -171.747594481183</t>
  </si>
  <si>
    <t>-816.004721316522 156.077756204649 -269.869639589836</t>
  </si>
  <si>
    <t>-817.219482346472 165.207385758748 -358.489188564478</t>
  </si>
  <si>
    <t>-812.000784135796 177.794017928537 -446.537982887683</t>
  </si>
  <si>
    <t>-797.864148530974 198.710680003083 -568.535643115031</t>
  </si>
  <si>
    <t>-767.340848218191 213.683827634743 -644.358950794717</t>
  </si>
  <si>
    <t>-805.949817804613 216.790276977413 -510.388646127784</t>
  </si>
  <si>
    <t>-805.884612680544 348.667155265314 -471.545922629653</t>
  </si>
  <si>
    <t>-726.496495294355 341.527804565937 -188.283160329461</t>
  </si>
  <si>
    <t>-488.281966809272 343.443518395687 -224.353301156997</t>
  </si>
  <si>
    <t>-802.220637343035 162.222679764611 -519.312234604599</t>
  </si>
  <si>
    <t>-801.968978727766 24.901779301847 -513.262654003508</t>
  </si>
  <si>
    <t>-812.930064175074 255.060684366056 -58.4722796255973</t>
  </si>
  <si>
    <t>-803.714942621122 240.221210655391 344.702092447544</t>
  </si>
  <si>
    <t>-857.942287437081 195.447454438643 786.972871118123</t>
  </si>
  <si>
    <t>-730.404660372943 267.409432717883 847.329433547868</t>
  </si>
  <si>
    <t>-749.151839348126 56.0100184866424 -62.2050834768265</t>
  </si>
  <si>
    <t>-628.543585042284 31.0743308086094 322.094992173681</t>
  </si>
  <si>
    <t>-713.518709766306 -28.9189650142971 757.530125265854</t>
  </si>
  <si>
    <t>-602.239166560908 -111.414398922692 834.332900707608</t>
  </si>
  <si>
    <t>9763-20170724T111119.986333600.bin</t>
  </si>
  <si>
    <t>-780.764360791972 156.590231423513 -59.2945360957493</t>
  </si>
  <si>
    <t>-807.889397011206 151.476324646156 -171.785966736882</t>
  </si>
  <si>
    <t>-815.695033104796 157.613350085931 -269.908540145259</t>
  </si>
  <si>
    <t>-816.819929253334 166.829294501526 -358.52038515463</t>
  </si>
  <si>
    <t>-811.522414127778 179.471074661954 -446.556541001304</t>
  </si>
  <si>
    <t>-797.288037829533 200.433588858563 -568.535032737117</t>
  </si>
  <si>
    <t>-766.624171712185 215.487895068668 -644.285449097203</t>
  </si>
  <si>
    <t>-805.467874895294 218.488951321089 -510.393805987668</t>
  </si>
  <si>
    <t>-805.506515462149 350.324209254163 -471.431220986405</t>
  </si>
  <si>
    <t>-724.791600078123 343.020368507795 -188.548024728686</t>
  </si>
  <si>
    <t>-486.694888376661 346.112671979387 -225.307926121815</t>
  </si>
  <si>
    <t>-801.635969886439 163.929213123754 -519.322886306724</t>
  </si>
  <si>
    <t>-801.17019492908 26.5877218789769 -513.33673249003</t>
  </si>
  <si>
    <t>-812.370470153778 255.93017418594 -58.2953325646499</t>
  </si>
  <si>
    <t>-803.416436481141 240.498799364437 344.862658937605</t>
  </si>
  <si>
    <t>-857.540752343703 195.036098528778 786.986453769783</t>
  </si>
  <si>
    <t>-730.190927588966 267.254026751055 847.433612506154</t>
  </si>
  <si>
    <t>-749.511012136736 57.4988112601045 -62.3097006398258</t>
  </si>
  <si>
    <t>-628.328800361882 31.400467837645 321.732469759243</t>
  </si>
  <si>
    <t>-714.04680226986 -29.3745181135337 757.029959857797</t>
  </si>
  <si>
    <t>-602.509704964831 -111.172972037971 834.203454581158</t>
  </si>
  <si>
    <t>9763-20170724T111120.014417800.bin</t>
  </si>
  <si>
    <t>-780.831490373413 157.333062203559 -59.2354885987731</t>
  </si>
  <si>
    <t>-807.905048580614 152.302463751039 -171.743030955468</t>
  </si>
  <si>
    <t>-815.6670130896 158.500710255924 -269.865326007038</t>
  </si>
  <si>
    <t>-816.752938921295 167.766193918356 -358.472411228483</t>
  </si>
  <si>
    <t>-811.416387643629 180.45197132324 -446.499886679258</t>
  </si>
  <si>
    <t>-797.12811012981 201.467508934147 -568.462984739316</t>
  </si>
  <si>
    <t>-766.414537654545 216.539898710238 -644.189677016682</t>
  </si>
  <si>
    <t>-805.327232386464 219.497676227883 -510.316681431995</t>
  </si>
  <si>
    <t>-805.325771710552 351.311717796723 -471.28631391795</t>
  </si>
  <si>
    <t>-723.83991128878 343.836581192093 -188.628573222626</t>
  </si>
  <si>
    <t>-485.852253233764 347.769564062429 -226.009250498141</t>
  </si>
  <si>
    <t>-801.504349022773 164.941359057176 -519.269477534373</t>
  </si>
  <si>
    <t>-801.04974509724 27.5991710714216 -513.330322654837</t>
  </si>
  <si>
    <t>-812.270074049881 256.511681827602 -58.1912219210624</t>
  </si>
  <si>
    <t>-803.554288734526 240.732045772369 344.958549255713</t>
  </si>
  <si>
    <t>-857.363803550991 194.8736049155 787.022923177392</t>
  </si>
  <si>
    <t>-729.982106042632 266.997836193705 847.51460313403</t>
  </si>
  <si>
    <t>-749.763609760852 58.2626682790801 -62.2285578139038</t>
  </si>
  <si>
    <t>-627.935317411763 31.4178332703905 321.557750519008</t>
  </si>
  <si>
    <t>-714.311473679285 -29.6098861548176 756.73862291072</t>
  </si>
  <si>
    <t>-602.541226128813 -110.93335415143 834.077101791335</t>
  </si>
  <si>
    <t>9763-20170724T111120.085142200.bin</t>
  </si>
  <si>
    <t>-781.16346008288 158.357494195768 -59.0725899855446</t>
  </si>
  <si>
    <t>-808.123523360897 153.509077813572 -171.615303275901</t>
  </si>
  <si>
    <t>-815.739784597579 159.890749249559 -269.737270693713</t>
  </si>
  <si>
    <t>-816.674087144564 169.329709797847 -358.327742193448</t>
  </si>
  <si>
    <t>-811.167257072359 182.194791424505 -446.318749434491</t>
  </si>
  <si>
    <t>-796.621776771004 203.466045135282 -568.207152057712</t>
  </si>
  <si>
    <t>-765.816160835844 218.584636155404 -643.887116711328</t>
  </si>
  <si>
    <t>-804.926983033583 221.375280468844 -510.038428327247</t>
  </si>
  <si>
    <t>-804.889373103549 353.099517866288 -470.73821090911</t>
  </si>
  <si>
    <t>-722.045652726954 345.792254404523 -188.471068073432</t>
  </si>
  <si>
    <t>-484.254928532655 351.038042082893 -226.927548236767</t>
  </si>
  <si>
    <t>-801.118496275895 166.836201112737 -519.101838319589</t>
  </si>
  <si>
    <t>-800.672146914683 29.4808490413011 -513.444189936743</t>
  </si>
  <si>
    <t>-812.459972644772 257.624266864099 -57.9985409246062</t>
  </si>
  <si>
    <t>-803.687845434695 241.075886287914 345.119216902074</t>
  </si>
  <si>
    <t>-857.049829811606 194.570798200878 787.098540636554</t>
  </si>
  <si>
    <t>-729.741226535481 266.766524599278 847.659689417316</t>
  </si>
  <si>
    <t>-750.198296670463 59.0096646297752 -62.1694754847492</t>
  </si>
  <si>
    <t>-627.227465241504 31.8569924261269 321.230588050923</t>
  </si>
  <si>
    <t>-714.666194693891 -29.5483719573926 756.16474174518</t>
  </si>
  <si>
    <t>-602.896997117407 -110.643285816248 833.744033202204</t>
  </si>
  <si>
    <t>9763-20170724T111120.117229300.bin</t>
  </si>
  <si>
    <t>-781.193730871009 158.880649283229 -59.0333540748003</t>
  </si>
  <si>
    <t>-808.141285129649 154.155443438058 -171.584277367271</t>
  </si>
  <si>
    <t>-815.710861847478 160.656805005852 -269.702000914307</t>
  </si>
  <si>
    <t>-816.589130030439 170.210810268879 -358.280866613292</t>
  </si>
  <si>
    <t>-811.013570823585 183.196605789877 -446.249609370865</t>
  </si>
  <si>
    <t>-796.359642125002 204.642673435279 -568.094386412957</t>
  </si>
  <si>
    <t>-765.534103957998 219.805412972058 -643.757553425148</t>
  </si>
  <si>
    <t>-804.716765697071 222.468455124699 -509.907516080101</t>
  </si>
  <si>
    <t>-804.645245241843 354.147901576758 -470.438657953525</t>
  </si>
  <si>
    <t>-721.09349139108 347.016303016335 -188.375873891708</t>
  </si>
  <si>
    <t>-483.387476847946 352.472501932851 -227.323499690153</t>
  </si>
  <si>
    <t>-800.899589395779 167.942389313525 -519.045589178247</t>
  </si>
  <si>
    <t>-800.423890457025 30.5797572450815 -513.58036867876</t>
  </si>
  <si>
    <t>-812.427371765556 258.197731702298 -57.886183581492</t>
  </si>
  <si>
    <t>-803.429337553114 241.326118543181 345.213121959799</t>
  </si>
  <si>
    <t>-856.863835104334 194.348374175872 787.121357798078</t>
  </si>
  <si>
    <t>-729.435433791666 266.328445592324 847.687109314977</t>
  </si>
  <si>
    <t>-750.256008265164 59.5903341451917 -62.2597080820419</t>
  </si>
  <si>
    <t>-626.969150332444 32.2880847139863 321.028132780276</t>
  </si>
  <si>
    <t>-714.698976347699 -29.204012667622 755.829386054719</t>
  </si>
  <si>
    <t>-603.211351003164 -110.543415620819 833.558005958413</t>
  </si>
  <si>
    <t>9763-20170724T111120.186011600.bin</t>
  </si>
  <si>
    <t>-781.171399871109 160.350324015573 -59.1011074799292</t>
  </si>
  <si>
    <t>-808.155544389005 155.901572001958 -171.654629808273</t>
  </si>
  <si>
    <t>-815.775394505839 162.655133533041 -269.751461935339</t>
  </si>
  <si>
    <t>-816.707293191165 172.443166654635 -358.304110222516</t>
  </si>
  <si>
    <t>-811.193219383514 185.668582799153 -446.241121659457</t>
  </si>
  <si>
    <t>-796.632595377538 207.455337971418 -568.036584722244</t>
  </si>
  <si>
    <t>-765.833018370568 222.755859763149 -643.682536989161</t>
  </si>
  <si>
    <t>-804.925909283177 225.119126399145 -509.791297386855</t>
  </si>
  <si>
    <t>-804.53802415394 356.674025626004 -469.927133347694</t>
  </si>
  <si>
    <t>-719.062492852944 349.858021748843 -188.433497984815</t>
  </si>
  <si>
    <t>-481.408730732703 354.912886153731 -227.753760238934</t>
  </si>
  <si>
    <t>-801.153793865201 170.616852467231 -519.089655888123</t>
  </si>
  <si>
    <t>-800.715842375554 33.2367999253247 -514.022345697957</t>
  </si>
  <si>
    <t>-812.237327374642 259.450497008546 -57.7099564811183</t>
  </si>
  <si>
    <t>-802.780360128472 242.022600181689 345.35524799357</t>
  </si>
  <si>
    <t>-856.495438286026 193.79729909075 787.102893070127</t>
  </si>
  <si>
    <t>-728.991064176225 265.683822118996 847.619441258795</t>
  </si>
  <si>
    <t>-750.394161049925 61.3949877061636 -62.5979135487507</t>
  </si>
  <si>
    <t>-626.560899747262 33.0914782568339 320.44107968932</t>
  </si>
  <si>
    <t>-714.792749997166 -28.8058231589921 755.091359456654</t>
  </si>
  <si>
    <t>-603.752061849783 -110.364933953799 833.228270461397</t>
  </si>
  <si>
    <t>9763-20170724T111120.215084800.bin</t>
  </si>
  <si>
    <t>-781.135501398549 161.14651073224 -59.1400035268998</t>
  </si>
  <si>
    <t>-808.144321875932 156.839119495279 -171.693060015276</t>
  </si>
  <si>
    <t>-815.816428108433 163.724112934725 -269.776735168903</t>
  </si>
  <si>
    <t>-816.807487134411 173.635460934587 -358.31493180921</t>
  </si>
  <si>
    <t>-811.364183366752 186.988292607537 -446.237186033538</t>
  </si>
  <si>
    <t>-796.914358656972 208.957355351891 -568.013068132933</t>
  </si>
  <si>
    <t>-766.136178538148 224.352560541061 -643.648610416441</t>
  </si>
  <si>
    <t>-805.13830209591 226.534548023183 -509.731802975985</t>
  </si>
  <si>
    <t>-804.530576590838 358.038665825748 -469.677491532876</t>
  </si>
  <si>
    <t>-718.121771865766 351.265621636764 -188.467864990429</t>
  </si>
  <si>
    <t>-480.472821542981 356.08423723482 -227.845848138103</t>
  </si>
  <si>
    <t>-801.407834062733 172.044948950729 -519.119307512174</t>
  </si>
  <si>
    <t>-801.037391443377 34.6616066468869 -514.26850672132</t>
  </si>
  <si>
    <t>-812.106576836888 260.142646573365 -57.6231085279231</t>
  </si>
  <si>
    <t>-802.509063730112 242.370009973955 345.42366926598</t>
  </si>
  <si>
    <t>-856.344126555482 193.548582746667 787.098469605761</t>
  </si>
  <si>
    <t>-729.02050533889 265.798759254593 847.561918983353</t>
  </si>
  <si>
    <t>-750.462070993668 62.2045061850031 -62.7069996973225</t>
  </si>
  <si>
    <t>-626.173120514839 33.3490680367581 320.143218160974</t>
  </si>
  <si>
    <t>-714.943801907895 -28.9177742720003 754.699731259796</t>
  </si>
  <si>
    <t>-603.745380175748 -110.055414705599 833.050820946399</t>
  </si>
  <si>
    <t>9763-20170724T111120.279294000.bin</t>
  </si>
  <si>
    <t>-781.155259753273 162.265557807878 -59.1778721934314</t>
  </si>
  <si>
    <t>-808.213652199928 158.236018537396 -171.729381710786</t>
  </si>
  <si>
    <t>-815.964384640675 165.40218243105 -269.786628170766</t>
  </si>
  <si>
    <t>-817.040515816987 175.584933636264 -358.293045193813</t>
  </si>
  <si>
    <t>-811.694191930325 189.225496781437 -446.17702672284</t>
  </si>
  <si>
    <t>-797.392181468437 211.613294767046 -567.894187511557</t>
  </si>
  <si>
    <t>-766.69412640336 227.229803978821 -643.516815539036</t>
  </si>
  <si>
    <t>-805.515009094897 228.991371339669 -509.539019120285</t>
  </si>
  <si>
    <t>-804.579885139546 360.366955932657 -469.070018838812</t>
  </si>
  <si>
    <t>-716.902812660828 353.16040072624 -188.263845940529</t>
  </si>
  <si>
    <t>-479.348162886384 357.835916175577 -228.223465064798</t>
  </si>
  <si>
    <t>-801.856786938924 174.531576780847 -519.1259591692</t>
  </si>
  <si>
    <t>-801.545847654547 37.1323331191634 -514.78817330675</t>
  </si>
  <si>
    <t>-811.950498173475 261.097067980856 -57.4407327907282</t>
  </si>
  <si>
    <t>-801.41023627009 243.066121156928 345.57097844707</t>
  </si>
  <si>
    <t>-856.081256805066 192.841045837529 787.009544980911</t>
  </si>
  <si>
    <t>-728.797269790517 265.432830351383 847.14671941243</t>
  </si>
  <si>
    <t>-750.642965839876 63.3921132039827 -62.9431824636565</t>
  </si>
  <si>
    <t>-625.5263882881 33.8260610061466 319.583107577238</t>
  </si>
  <si>
    <t>-715.162346653982 -29.0445689075718 753.87078071269</t>
  </si>
  <si>
    <t>-604.134792100076 -109.90951846431 832.744310204616</t>
  </si>
  <si>
    <t>9763-20170724T111120.316362200.bin</t>
  </si>
  <si>
    <t>-781.157454430597 162.603504149975 -59.2473804628761</t>
  </si>
  <si>
    <t>-808.282959527904 158.769343726831 -171.789462953892</t>
  </si>
  <si>
    <t>-816.083577433429 166.109261870683 -269.830025574461</t>
  </si>
  <si>
    <t>-817.20163009709 176.451303522262 -358.317362503841</t>
  </si>
  <si>
    <t>-811.895398782111 190.253532794715 -446.178598225726</t>
  </si>
  <si>
    <t>-797.646529618238 212.86969247292 -567.859768061491</t>
  </si>
  <si>
    <t>-766.991655891112 228.611697756087 -643.473932006758</t>
  </si>
  <si>
    <t>-805.742506602538 230.138386933559 -509.46829037173</t>
  </si>
  <si>
    <t>-804.736559217087 361.441796568748 -468.766514691811</t>
  </si>
  <si>
    <t>-716.470827851457 353.972704660649 -188.151908936296</t>
  </si>
  <si>
    <t>-478.972977946671 358.514453405094 -228.463046776374</t>
  </si>
  <si>
    <t>-802.090799609772 175.696457759845 -519.159415064382</t>
  </si>
  <si>
    <t>-801.759234791003 38.2846151591639 -515.130183224132</t>
  </si>
  <si>
    <t>-811.87461581581 261.390160333875 -57.3722212157734</t>
  </si>
  <si>
    <t>-800.78724580577 243.256517811947 345.620191752476</t>
  </si>
  <si>
    <t>-855.945541352148 192.467801967151 786.937505410157</t>
  </si>
  <si>
    <t>-728.550294853762 265.000341875601 846.910793231338</t>
  </si>
  <si>
    <t>-750.744570716216 63.7910700180009 -63.1617834976272</t>
  </si>
  <si>
    <t>-625.242589963186 34.059861754386 319.225437214779</t>
  </si>
  <si>
    <t>-715.174168127474 -29.0255508429868 753.388396477549</t>
  </si>
  <si>
    <t>-604.313723793274 -109.783036735283 832.606271585274</t>
  </si>
  <si>
    <t>9763-20170724T111120.381540700.bin</t>
  </si>
  <si>
    <t>-781.204725006319 163.44906343049 -59.4211131155068</t>
  </si>
  <si>
    <t>-808.458906897224 160.009762253 -171.944818832086</t>
  </si>
  <si>
    <t>-816.390662524802 167.706062761568 -269.94734675507</t>
  </si>
  <si>
    <t>-817.634511750807 178.37604598345 -358.39430860035</t>
  </si>
  <si>
    <t>-812.458830609163 192.50877532861 -446.210667072153</t>
  </si>
  <si>
    <t>-798.397551828729 215.58827369206 -567.826705530979</t>
  </si>
  <si>
    <t>-767.845807317239 231.5800579131 -643.430045794129</t>
  </si>
  <si>
    <t>-806.372274793694 232.635708961924 -509.353545948706</t>
  </si>
  <si>
    <t>-805.04053804229 363.783104569728 -468.172087048099</t>
  </si>
  <si>
    <t>-715.466357735864 356.016612381357 -187.980567831458</t>
  </si>
  <si>
    <t>-477.981141405674 359.426442793535 -228.47830389787</t>
  </si>
  <si>
    <t>-802.798659893388 178.22848036215 -519.26528091812</t>
  </si>
  <si>
    <t>-802.562418179493 40.8011210567579 -515.893095162984</t>
  </si>
  <si>
    <t>-811.655669458334 262.093620028545 -57.2273351158157</t>
  </si>
  <si>
    <t>-800.064241903083 243.574782877984 345.733470591289</t>
  </si>
  <si>
    <t>-855.575576590683 191.890463221024 786.889249757607</t>
  </si>
  <si>
    <t>-728.137190029468 264.414729087053 846.78021840106</t>
  </si>
  <si>
    <t>-751.017255695615 64.8758508374426 -63.648340384273</t>
  </si>
  <si>
    <t>-624.689124537245 34.450907805724 318.412148425509</t>
  </si>
  <si>
    <t>-715.236685263223 -29.1973758706254 752.377411280025</t>
  </si>
  <si>
    <t>-604.67049073185 -109.609396723302 832.354249283691</t>
  </si>
  <si>
    <t>9763-20170724T111120.416633800.bin</t>
  </si>
  <si>
    <t>-781.354343740862 163.950971421108 -59.4842188986474</t>
  </si>
  <si>
    <t>-808.649598030893 160.708990095142 -172.003853405688</t>
  </si>
  <si>
    <t>-816.648948048871 168.597102976025 -269.985731918174</t>
  </si>
  <si>
    <t>-817.965765307278 179.448459043282 -358.40940247187</t>
  </si>
  <si>
    <t>-812.873868141393 193.769089744418 -446.200296193028</t>
  </si>
  <si>
    <t>-798.939539581689 217.116904408017 -567.779595280474</t>
  </si>
  <si>
    <t>-768.44427816927 233.239816731177 -643.378053952301</t>
  </si>
  <si>
    <t>-806.832930669204 234.036161864212 -509.258253518189</t>
  </si>
  <si>
    <t>-805.267686741388 365.092288680323 -467.80268664807</t>
  </si>
  <si>
    <t>-714.862163641445 357.025654308477 -187.886659742636</t>
  </si>
  <si>
    <t>-477.394795684508 359.884178152921 -228.530004308863</t>
  </si>
  <si>
    <t>-803.309840083513 179.649232313479 -519.298841521692</t>
  </si>
  <si>
    <t>-803.148130538555 42.2104791514857 -516.27394448029</t>
  </si>
  <si>
    <t>-811.78839392451 262.542663162214 -57.1371975019347</t>
  </si>
  <si>
    <t>-799.943454447897 243.799980131195 345.8057970653</t>
  </si>
  <si>
    <t>-855.41190929382 191.686812086104 786.907692468232</t>
  </si>
  <si>
    <t>-728.065124527139 264.373944467452 846.796347255673</t>
  </si>
  <si>
    <t>-751.234642700741 65.444655155452 -63.8718071210322</t>
  </si>
  <si>
    <t>-624.468397284281 34.7736531715709 318.023843117467</t>
  </si>
  <si>
    <t>-715.280730779452 -29.2885938736067 751.876187169492</t>
  </si>
  <si>
    <t>-604.834140946425 -109.502200220956 832.21685002819</t>
  </si>
  <si>
    <t>9763-20170724T111120.484449500.bin</t>
  </si>
  <si>
    <t>-782.018019702329 165.120599658469 -59.602477010924</t>
  </si>
  <si>
    <t>-809.38590422717 162.270568753715 -172.115091178117</t>
  </si>
  <si>
    <t>-817.495428028451 170.542271581116 -270.056299743764</t>
  </si>
  <si>
    <t>-818.928257629299 181.758345903565 -358.432648760532</t>
  </si>
  <si>
    <t>-813.968599960311 196.460494630127 -446.168122271884</t>
  </si>
  <si>
    <t>-800.234164083176 220.35633957579 -567.663523364606</t>
  </si>
  <si>
    <t>-769.888456201557 236.766245098037 -643.26046351093</t>
  </si>
  <si>
    <t>-807.974060486567 237.013741523888 -509.046706580788</t>
  </si>
  <si>
    <t>-806.024909260424 367.888361176948 -467.027582481927</t>
  </si>
  <si>
    <t>-714.036017938332 358.857603147045 -187.657484317211</t>
  </si>
  <si>
    <t>-476.675968098053 361.178813580939 -228.957302284744</t>
  </si>
  <si>
    <t>-804.581895644419 182.667957171846 -519.352033984511</t>
  </si>
  <si>
    <t>-804.664246789412 45.212740884685 -517.025880229402</t>
  </si>
  <si>
    <t>-812.288247268844 263.650937733273 -56.9739615638526</t>
  </si>
  <si>
    <t>-799.931508987735 244.204976126996 345.920300870211</t>
  </si>
  <si>
    <t>-855.161207702036 191.273078357884 786.917661530263</t>
  </si>
  <si>
    <t>-727.997108447179 264.378361735423 846.685194083737</t>
  </si>
  <si>
    <t>-752.059667368119 66.6616830802282 -64.2659291098778</t>
  </si>
  <si>
    <t>-624.274532844999 35.5483505970728 317.254195865287</t>
  </si>
  <si>
    <t>-715.34462478296 -29.3236666206194 750.9017961706</t>
  </si>
  <si>
    <t>-605.281139049021 -109.401435777345 831.900860961085</t>
  </si>
  <si>
    <t>9763-20170724T111120.516535900.bin</t>
  </si>
  <si>
    <t>-782.55166699366 165.536258051461 -59.6834748892435</t>
  </si>
  <si>
    <t>-809.924765084951 162.878811977904 -172.199569761893</t>
  </si>
  <si>
    <t>-818.062962014014 171.341863039143 -270.122088497515</t>
  </si>
  <si>
    <t>-819.531828263403 182.742559721757 -358.474194582527</t>
  </si>
  <si>
    <t>-814.617494875476 197.63999537893 -446.179129735805</t>
  </si>
  <si>
    <t>-800.955872837391 221.821458265278 -567.626421197798</t>
  </si>
  <si>
    <t>-770.70724887715 238.393760477835 -643.226743619265</t>
  </si>
  <si>
    <t>-808.629045619337 238.342287846282 -508.962173029674</t>
  </si>
  <si>
    <t>-806.464186050752 369.120603725374 -466.657321987794</t>
  </si>
  <si>
    <t>-713.876049893082 359.610891695473 -187.501246221425</t>
  </si>
  <si>
    <t>-476.559461820159 361.675542586195 -229.064157972526</t>
  </si>
  <si>
    <t>-805.306392748336 184.01868923903 -519.404777455897</t>
  </si>
  <si>
    <t>-805.547542594157 46.5607462828989 -517.40925086621</t>
  </si>
  <si>
    <t>-812.670624945839 264.069731469145 -56.9345362147008</t>
  </si>
  <si>
    <t>-800.031385555476 244.332863326581 345.936857799999</t>
  </si>
  <si>
    <t>-855.00451613398 191.027667424302 786.91001413191</t>
  </si>
  <si>
    <t>-727.733269149642 263.983913980425 846.632375238803</t>
  </si>
  <si>
    <t>-752.783701438806 67.0413123144349 -64.452168061054</t>
  </si>
  <si>
    <t>-624.398180134706 35.8931497121384 316.863456824016</t>
  </si>
  <si>
    <t>-715.406086074448 -29.3764336249842 750.441623168025</t>
  </si>
  <si>
    <t>-605.131387282335 -108.908279893405 831.691173006765</t>
  </si>
  <si>
    <t>9763-20170724T111120.581747600.bin</t>
  </si>
  <si>
    <t>-783.782171858389 166.448479659588 -59.8811461631592</t>
  </si>
  <si>
    <t>-811.108525633984 164.167749190421 -172.416806809121</t>
  </si>
  <si>
    <t>-819.230759649038 172.995028245035 -270.308455154216</t>
  </si>
  <si>
    <t>-820.695474113749 184.742626846504 -358.615170881118</t>
  </si>
  <si>
    <t>-815.787081845774 200.003397524179 -446.258025354658</t>
  </si>
  <si>
    <t>-802.143492798356 224.708843731989 -567.60177272965</t>
  </si>
  <si>
    <t>-772.099847586951 241.618285452783 -643.209272062388</t>
  </si>
  <si>
    <t>-809.719608917042 240.979658739981 -508.855028258146</t>
  </si>
  <si>
    <t>-807.046027958476 371.580310015643 -466.040314113444</t>
  </si>
  <si>
    <t>-713.776368786592 361.097966557915 -187.145898233486</t>
  </si>
  <si>
    <t>-476.536861105097 362.280943527504 -229.179915419237</t>
  </si>
  <si>
    <t>-806.574958339523 186.694977269775 -519.553830576532</t>
  </si>
  <si>
    <t>-807.156257655266 49.2298964290558 -518.152995705564</t>
  </si>
  <si>
    <t>-813.593246465954 264.932878465163 -56.9121281876337</t>
  </si>
  <si>
    <t>-800.242534276326 244.605678596574 345.906969456908</t>
  </si>
  <si>
    <t>-854.726046449304 190.573217112656 786.887178339407</t>
  </si>
  <si>
    <t>-727.359538897596 263.472384690609 846.475451942849</t>
  </si>
  <si>
    <t>-754.288213000719 68.0945858525583 -64.9103686301489</t>
  </si>
  <si>
    <t>-624.905424608668 36.8329601197474 316.058745945304</t>
  </si>
  <si>
    <t>-715.447558181852 -29.0127105103898 749.620970502053</t>
  </si>
  <si>
    <t>-605.744174664706 -108.865592839159 831.327764574153</t>
  </si>
  <si>
    <t>9763-20170724T111120.613834700.bin</t>
  </si>
  <si>
    <t>-784.590854307348 167.005635810686 -59.9989345813557</t>
  </si>
  <si>
    <t>-811.899013081033 164.89517639856 -172.542442226546</t>
  </si>
  <si>
    <t>-820.016374962412 173.882387439809 -270.419837934543</t>
  </si>
  <si>
    <t>-821.481379891959 185.780530345376 -358.706393304192</t>
  </si>
  <si>
    <t>-816.576978088513 201.196819389436 -446.322237416251</t>
  </si>
  <si>
    <t>-802.943974565261 226.123948326065 -567.621909844972</t>
  </si>
  <si>
    <t>-773.020895440324 243.198894761679 -643.239744214581</t>
  </si>
  <si>
    <t>-810.466386953026 242.288859016594 -508.839024020931</t>
  </si>
  <si>
    <t>-807.534017449841 372.810925077046 -465.804299376218</t>
  </si>
  <si>
    <t>-713.919881967548 361.826691441109 -187.044800468032</t>
  </si>
  <si>
    <t>-476.710415216838 362.509117190829 -229.260549520286</t>
  </si>
  <si>
    <t>-807.420176559173 188.020628733268 -519.648783226481</t>
  </si>
  <si>
    <t>-808.21041256035 50.5579840637201 -518.482992300657</t>
  </si>
  <si>
    <t>-814.233455882756 265.393490318093 -56.9203068585823</t>
  </si>
  <si>
    <t>-800.483185852235 244.747677282796 345.869148512499</t>
  </si>
  <si>
    <t>-854.604713220489 190.326591992139 786.860315473222</t>
  </si>
  <si>
    <t>-727.248226126861 263.337658551365 846.333279670287</t>
  </si>
  <si>
    <t>-755.320330589757 68.76290266156 -65.0987545757519</t>
  </si>
  <si>
    <t>-625.223984250787 37.1907510231222 315.601680495506</t>
  </si>
  <si>
    <t>-715.511051877366 -28.8937330613949 749.213375550101</t>
  </si>
  <si>
    <t>-605.968664542177 -108.765974291264 831.1166489756</t>
  </si>
  <si>
    <t>9763-20170724T111120.684025300.bin</t>
  </si>
  <si>
    <t>-786.636446296551 168.125925176635 -60.2260474360459</t>
  </si>
  <si>
    <t>-813.777853361506 166.336399068317 -172.815350133133</t>
  </si>
  <si>
    <t>-821.788709431547 175.557889121958 -270.679827533004</t>
  </si>
  <si>
    <t>-823.174487795661 187.653847422087 -358.940747109676</t>
  </si>
  <si>
    <t>-818.209515433892 203.252401866354 -446.521004707419</t>
  </si>
  <si>
    <t>-804.511110635385 228.418111167734 -567.763908495895</t>
  </si>
  <si>
    <t>-774.848763756061 245.787540389109 -643.417575187041</t>
  </si>
  <si>
    <t>-811.951080390964 244.470736524758 -508.939865057418</t>
  </si>
  <si>
    <t>-808.406606242006 374.889607489808 -465.615013494511</t>
  </si>
  <si>
    <t>-714.329843252441 362.489856325528 -187.070490047877</t>
  </si>
  <si>
    <t>-477.22832375443 362.363527213222 -229.892200997659</t>
  </si>
  <si>
    <t>-809.126929368184 190.217079539304 -519.881873789489</t>
  </si>
  <si>
    <t>-810.345490127067 52.7601156846931 -519.026867605444</t>
  </si>
  <si>
    <t>-816.026504187804 266.330667870802 -57.0103493606946</t>
  </si>
  <si>
    <t>-801.561559589583 244.914196173178 345.7138723971</t>
  </si>
  <si>
    <t>-854.4063125997 189.87904054548 786.792351515142</t>
  </si>
  <si>
    <t>-726.941276322792 262.919022982158 845.996850167947</t>
  </si>
  <si>
    <t>-757.539500947334 70.0219078911368 -65.4726771802466</t>
  </si>
  <si>
    <t>-626.169185329932 38.2488834471387 314.773218781104</t>
  </si>
  <si>
    <t>-715.650710101856 -28.5574062999794 748.408964308299</t>
  </si>
  <si>
    <t>-606.620620039951 -108.765503684495 830.667077521081</t>
  </si>
  <si>
    <t>9763-20170724T111120.715106400.bin</t>
  </si>
  <si>
    <t>-787.94700748437 168.613680176039 -60.3687121312596</t>
  </si>
  <si>
    <t>-814.926157976169 166.960611932313 -172.999149356972</t>
  </si>
  <si>
    <t>-822.834537307758 176.276547457584 -270.862915387476</t>
  </si>
  <si>
    <t>-824.143836017315 188.449632992759 -359.11458372757</t>
  </si>
  <si>
    <t>-819.118755282521 204.116560864623 -446.679061821403</t>
  </si>
  <si>
    <t>-805.354147296437 229.369209860195 -567.89646691887</t>
  </si>
  <si>
    <t>-775.8712226594 246.881478215463 -643.587304409529</t>
  </si>
  <si>
    <t>-812.769200125696 245.381485418769 -509.05813609756</t>
  </si>
  <si>
    <t>-808.926348020682 375.762891498511 -465.667532405175</t>
  </si>
  <si>
    <t>-714.916791635871 362.803264643007 -187.125808692055</t>
  </si>
  <si>
    <t>-477.897820025088 362.317620201386 -230.399296670791</t>
  </si>
  <si>
    <t>-810.053545739814 191.132216982358 -520.051197981751</t>
  </si>
  <si>
    <t>-811.421900072549 53.6705648201582 -519.296652070913</t>
  </si>
  <si>
    <t>-817.266650719196 266.764728009824 -57.0952112993374</t>
  </si>
  <si>
    <t>-802.330405351491 244.971287633052 345.591504841735</t>
  </si>
  <si>
    <t>-854.239761273908 189.670975779921 786.777125015176</t>
  </si>
  <si>
    <t>-726.709334816922 262.641123697284 845.926818062073</t>
  </si>
  <si>
    <t>-758.904279896492 70.5749293475519 -65.6408208951963</t>
  </si>
  <si>
    <t>-626.907350521197 38.8794205734462 314.394594490156</t>
  </si>
  <si>
    <t>-715.765549796843 -28.3973357936961 748.04775682189</t>
  </si>
  <si>
    <t>-606.953567605082 -108.763716828886 830.440231380973</t>
  </si>
  <si>
    <t>9763-20170724T111120.781287300.bin</t>
  </si>
  <si>
    <t>-791.320442042022 169.433502559603 -60.6648227904061</t>
  </si>
  <si>
    <t>-817.907881425678 168.074768011721 -173.392312659376</t>
  </si>
  <si>
    <t>-825.518073716535 177.583699107377 -271.261190675927</t>
  </si>
  <si>
    <t>-826.579251170503 189.912679215528 -359.494422884223</t>
  </si>
  <si>
    <t>-821.330982286231 205.717893023035 -447.020958763441</t>
  </si>
  <si>
    <t>-807.282777611037 231.147920655233 -568.168665179003</t>
  </si>
  <si>
    <t>-778.287213602894 249.016120154492 -643.964546261386</t>
  </si>
  <si>
    <t>-814.77903299884 247.075312831399 -509.317605154524</t>
  </si>
  <si>
    <t>-810.633284940212 377.442662100056 -465.877129109082</t>
  </si>
  <si>
    <t>-717.431248622355 364.01878730849 -187.086192460483</t>
  </si>
  <si>
    <t>-480.637271870653 363.481025716304 -231.574557117142</t>
  </si>
  <si>
    <t>-812.150518576458 192.83960014682 -520.397389686665</t>
  </si>
  <si>
    <t>-813.463358226031 55.3809006570987 -519.824461981229</t>
  </si>
  <si>
    <t>-820.5661721524 267.348862891049 -57.264259319536</t>
  </si>
  <si>
    <t>-804.01595995124 245.294411002977 345.34518629054</t>
  </si>
  <si>
    <t>-853.910722407418 189.344484684912 786.769604152829</t>
  </si>
  <si>
    <t>-726.222659030159 262.081348414381 845.865779609924</t>
  </si>
  <si>
    <t>-762.417427119818 71.6566406973279 -65.9559148404005</t>
  </si>
  <si>
    <t>-628.894788942813 39.9356058636804 313.544012798194</t>
  </si>
  <si>
    <t>-716.039971127138 -28.1855148301474 747.330878294553</t>
  </si>
  <si>
    <t>-607.386183662497 -108.541713167823 829.941830473154</t>
  </si>
  <si>
    <t>9763-20170724T111120.817383000.bin</t>
  </si>
  <si>
    <t>-793.35140509596 169.778070875892 -60.8642239875536</t>
  </si>
  <si>
    <t>-819.740855319294 168.554524067351 -173.639808478165</t>
  </si>
  <si>
    <t>-827.138285936813 178.144295383569 -271.517116953287</t>
  </si>
  <si>
    <t>-827.994859331883 190.533979593015 -359.744074353726</t>
  </si>
  <si>
    <t>-822.532237945449 206.389070417131 -447.248406015018</t>
  </si>
  <si>
    <t>-808.176297524422 231.878643245101 -568.347595073281</t>
  </si>
  <si>
    <t>-779.48105954587 249.95187928453 -644.209219029846</t>
  </si>
  <si>
    <t>-815.82136272053 247.777227892121 -509.507859553628</t>
  </si>
  <si>
    <t>-811.729524920192 378.159055599616 -466.108860968776</t>
  </si>
  <si>
    <t>-719.342049016854 364.805145468798 -187.043508344111</t>
  </si>
  <si>
    <t>-482.533043972483 364.519392961359 -231.453634318333</t>
  </si>
  <si>
    <t>-813.165964274317 193.546887925472 -520.607774900832</t>
  </si>
  <si>
    <t>-814.275096255592 56.088961911139 -520.121524062601</t>
  </si>
  <si>
    <t>-822.453433488295 267.447249120823 -57.3776949672446</t>
  </si>
  <si>
    <t>-804.895452477972 245.562017859236 345.198331442157</t>
  </si>
  <si>
    <t>-853.743210726544 189.179178402018 786.750940643234</t>
  </si>
  <si>
    <t>-726.069223303561 261.968033753909 845.813450987293</t>
  </si>
  <si>
    <t>-764.549794960182 72.2329409726458 -66.1871198126673</t>
  </si>
  <si>
    <t>-630.156750698448 40.7155149477621 313.022369972289</t>
  </si>
  <si>
    <t>-716.058364975669 -27.7750323795481 746.971008312735</t>
  </si>
  <si>
    <t>-607.971907808194 -108.744955345602 829.726699285889</t>
  </si>
  <si>
    <t>9763-20170724T111120.881153100.bin</t>
  </si>
  <si>
    <t>-798.304637530291 170.067211236486 -61.1981696332426</t>
  </si>
  <si>
    <t>-824.022765885383 169.130771660746 -174.131411279611</t>
  </si>
  <si>
    <t>-830.734177698594 178.885483683633 -272.041849125885</t>
  </si>
  <si>
    <t>-830.940232863092 191.398774977636 -360.25533461398</t>
  </si>
  <si>
    <t>-824.804027943594 207.356211704762 -447.696387014264</t>
  </si>
  <si>
    <t>-809.490775248079 232.970687527041 -568.651858882605</t>
  </si>
  <si>
    <t>-781.430210370854 251.502652124951 -644.640080349167</t>
  </si>
  <si>
    <t>-817.686250255778 248.806220066489 -509.869303019264</t>
  </si>
  <si>
    <t>-814.303657058709 379.269584184141 -466.684299240706</t>
  </si>
  <si>
    <t>-724.063550791431 366.717070456091 -186.880116832812</t>
  </si>
  <si>
    <t>-487.436753939254 366.421555448796 -232.251434637194</t>
  </si>
  <si>
    <t>-814.772406759469 194.591726723319 -520.981446094339</t>
  </si>
  <si>
    <t>-815.11953581579 57.12892244156 -520.667953283724</t>
  </si>
  <si>
    <t>-827.188702284834 267.228728514318 -57.6126620055777</t>
  </si>
  <si>
    <t>-807.355129613503 246.076664956857 344.896863188129</t>
  </si>
  <si>
    <t>-853.399965966908 189.041167440841 786.723141167274</t>
  </si>
  <si>
    <t>-725.725732648107 261.752156785032 845.881014295667</t>
  </si>
  <si>
    <t>-769.686625496648 72.994893514443 -66.6566819511723</t>
  </si>
  <si>
    <t>-633.376597280635 42.1532008982945 311.923605377814</t>
  </si>
  <si>
    <t>-716.532404332218 -27.2307419019203 746.252499895362</t>
  </si>
  <si>
    <t>-608.797116455651 -108.363205145897 829.306278584507</t>
  </si>
  <si>
    <t>9763-20170724T111120.918241800.bin</t>
  </si>
  <si>
    <t>-801.171463215789 170.222315689427 -61.375406789801</t>
  </si>
  <si>
    <t>-826.386062012199 169.459210085327 -174.423393241849</t>
  </si>
  <si>
    <t>-832.633458572316 179.293343994209 -272.356626677751</t>
  </si>
  <si>
    <t>-832.41505015756 191.853974326792 -360.5633739294</t>
  </si>
  <si>
    <t>-825.854637827527 207.836994516017 -447.969046373938</t>
  </si>
  <si>
    <t>-809.9533513773 233.468480541834 -568.844925760966</t>
  </si>
  <si>
    <t>-782.136470313894 252.194655550095 -644.87519135028</t>
  </si>
  <si>
    <t>-818.505374429972 249.293968151442 -510.110512224047</t>
  </si>
  <si>
    <t>-815.703157372491 379.821609092561 -467.064167137248</t>
  </si>
  <si>
    <t>-726.458442685363 367.402263556237 -186.935097248519</t>
  </si>
  <si>
    <t>-489.840319560654 367.325017872139 -232.351638007963</t>
  </si>
  <si>
    <t>-815.396201111794 195.084959624135 -521.196381228138</t>
  </si>
  <si>
    <t>-815.177918139476 57.6164842096478 -520.9312194418</t>
  </si>
  <si>
    <t>-829.98875388712 267.086018671665 -57.7598538824307</t>
  </si>
  <si>
    <t>-809.142227726662 246.348438140027 344.720041313709</t>
  </si>
  <si>
    <t>-853.193614986719 189.081191902119 786.73331138671</t>
  </si>
  <si>
    <t>-725.613564972557 261.806181009503 846.077269941643</t>
  </si>
  <si>
    <t>-772.610045255987 73.4933761570323 -66.9322044206199</t>
  </si>
  <si>
    <t>-635.269316028545 42.8437350333988 311.29105224131</t>
  </si>
  <si>
    <t>-716.417940132502 -27.226637263881 745.766357175863</t>
  </si>
  <si>
    <t>-608.98270280855 -108.495755691282 829.074626584732</t>
  </si>
  <si>
    <t>9763-20170724T111120.981416000.bin</t>
  </si>
  <si>
    <t>-807.206699299962 170.613454895352 -61.8237064842227</t>
  </si>
  <si>
    <t>-831.330189533386 170.233338594817 -175.111481729336</t>
  </si>
  <si>
    <t>-836.604088231119 180.234978800667 -273.085020050651</t>
  </si>
  <si>
    <t>-835.506878523015 192.887509280101 -361.272058201895</t>
  </si>
  <si>
    <t>-828.07866042692 208.909884366012 -448.601006524697</t>
  </si>
  <si>
    <t>-810.984459528396 234.545877646261 -569.313048438883</t>
  </si>
  <si>
    <t>-783.414961958399 253.534352853337 -645.368197379488</t>
  </si>
  <si>
    <t>-820.283931335776 250.363813119419 -510.690275355211</t>
  </si>
  <si>
    <t>-818.675571007424 381.027893356283 -468.019861051043</t>
  </si>
  <si>
    <t>-731.440908516105 369.174192507432 -187.233965378464</t>
  </si>
  <si>
    <t>-494.748354483739 368.542201603224 -232.257626081764</t>
  </si>
  <si>
    <t>-816.729470077674 196.165783396278 -521.696914898044</t>
  </si>
  <si>
    <t>-815.457110155605 58.7015650997309 -521.43007985064</t>
  </si>
  <si>
    <t>-836.260102189776 266.855575673463 -58.0825855905184</t>
  </si>
  <si>
    <t>-813.70864453731 246.848226106189 344.342267680896</t>
  </si>
  <si>
    <t>-852.817982456479 189.301988428891 786.820283883861</t>
  </si>
  <si>
    <t>-725.359953580042 261.922016463811 846.553583335872</t>
  </si>
  <si>
    <t>-778.407086499636 74.4974253227815 -67.6117420483796</t>
  </si>
  <si>
    <t>-638.916579815889 44.3342323465799 309.863031998377</t>
  </si>
  <si>
    <t>-716.319427089169 -27.4986560155389 744.654774569395</t>
  </si>
  <si>
    <t>-609.335715937146 -108.599411778166 828.704969013458</t>
  </si>
  <si>
    <t>9763-20170724T111121.014504200.bin</t>
  </si>
  <si>
    <t>-810.279166199961 170.924159108503 -61.9549764266234</t>
  </si>
  <si>
    <t>-833.838620484102 170.692873057638 -175.361761606786</t>
  </si>
  <si>
    <t>-838.628298996981 180.741825434735 -273.355451854839</t>
  </si>
  <si>
    <t>-837.099857481141 193.405723545341 -361.534377040006</t>
  </si>
  <si>
    <t>-829.251928244743 209.411619321612 -448.829693799083</t>
  </si>
  <si>
    <t>-811.586044975767 234.996804946606 -569.470179508019</t>
  </si>
  <si>
    <t>-784.01076342065 254.042842327585 -645.508852963415</t>
  </si>
  <si>
    <t>-821.244839670295 250.836188415744 -510.911371066354</t>
  </si>
  <si>
    <t>-820.211072072411 381.599818808919 -468.528884386169</t>
  </si>
  <si>
    <t>-734.196171058013 369.982430163821 -187.356942375866</t>
  </si>
  <si>
    <t>-497.412556498542 368.943489335385 -231.891723561747</t>
  </si>
  <si>
    <t>-817.475005469934 196.640039353376 -521.853128757091</t>
  </si>
  <si>
    <t>-815.657565693004 59.1827427264252 -521.505809297479</t>
  </si>
  <si>
    <t>-839.56585112587 266.948913380191 -58.2366854894007</t>
  </si>
  <si>
    <t>-816.159937988535 247.022046836949 344.14339502006</t>
  </si>
  <si>
    <t>-852.637930624074 189.414764045775 786.855499450285</t>
  </si>
  <si>
    <t>-725.35362604886 262.199054635329 846.759362339459</t>
  </si>
  <si>
    <t>-781.230898583509 75.0331476402139 -67.8975188549081</t>
  </si>
  <si>
    <t>-640.796653538815 45.1743003056613 309.251433700707</t>
  </si>
  <si>
    <t>-716.306012001275 -27.6868074984163 744.141820704525</t>
  </si>
  <si>
    <t>-609.453242120435 -108.566252079889 828.571083453736</t>
  </si>
  <si>
    <t>9763-20170724T111121.082215100.bin</t>
  </si>
  <si>
    <t>-815.642766920553 171.445775498605 -62.0859899975483</t>
  </si>
  <si>
    <t>-838.338691590783 171.278634612368 -175.668933096053</t>
  </si>
  <si>
    <t>-842.445744007728 181.267703506763 -273.699553660832</t>
  </si>
  <si>
    <t>-840.333966648276 193.83686446349 -361.880054846065</t>
  </si>
  <si>
    <t>-831.941846850924 209.712929418999 -449.148331927979</t>
  </si>
  <si>
    <t>-813.561807258293 235.086445265544 -569.72686550661</t>
  </si>
  <si>
    <t>-785.722309011213 254.060950322111 -645.687131731237</t>
  </si>
  <si>
    <t>-823.698972791616 251.023109129156 -511.275531047245</t>
  </si>
  <si>
    <t>-823.6348288697 381.978147106195 -469.434177645008</t>
  </si>
  <si>
    <t>-739.336842412989 370.706008409302 -187.728788208789</t>
  </si>
  <si>
    <t>-502.316480998919 368.700007407354 -230.951769568344</t>
  </si>
  <si>
    <t>-819.600998865361 196.81839082432 -522.057125392719</t>
  </si>
  <si>
    <t>-816.832383393062 59.3919647376492 -521.390936798875</t>
  </si>
  <si>
    <t>-845.192067282479 267.219560437211 -58.4497742955523</t>
  </si>
  <si>
    <t>-820.137563148683 247.367664134314 343.83476563973</t>
  </si>
  <si>
    <t>-852.379284875931 189.677204951459 786.885995081958</t>
  </si>
  <si>
    <t>-725.209210003716 262.468018575774 847.02407995512</t>
  </si>
  <si>
    <t>-786.302020873001 75.7002949425646 -68.1542841091797</t>
  </si>
  <si>
    <t>-644.728407024275 47.0777247061574 308.66436887015</t>
  </si>
  <si>
    <t>-716.511395077892 -27.9341587140366 743.657078736814</t>
  </si>
  <si>
    <t>-609.590140212349 -108.272664716378 828.515028005258</t>
  </si>
  <si>
    <t>9763-20170724T111121.114303000.bin</t>
  </si>
  <si>
    <t>-817.493512871304 171.701097756779 -62.2069152702377</t>
  </si>
  <si>
    <t>-840.031343907823 171.396472492749 -175.821105371008</t>
  </si>
  <si>
    <t>-844.026675014199 181.270481740682 -273.867971359225</t>
  </si>
  <si>
    <t>-841.824682710823 193.736629518625 -362.060961671712</t>
  </si>
  <si>
    <t>-833.352532872261 209.512709889207 -449.339613212421</t>
  </si>
  <si>
    <t>-814.872133831515 234.749793157571 -569.931396362796</t>
  </si>
  <si>
    <t>-786.857074847446 253.639196471262 -645.848313303637</t>
  </si>
  <si>
    <t>-825.102426457382 250.750677759522 -511.513685936856</t>
  </si>
  <si>
    <t>-825.300993557617 381.766767592118 -469.883713989105</t>
  </si>
  <si>
    <t>-741.422665143759 370.54774288368 -188.050840088493</t>
  </si>
  <si>
    <t>-504.271964779429 368.094364552298 -230.528747060206</t>
  </si>
  <si>
    <t>-820.906447082297 196.537990200308 -522.216160187285</t>
  </si>
  <si>
    <t>-817.817412041875 59.1058555169925 -521.371769872212</t>
  </si>
  <si>
    <t>-847.293416720091 267.345161989214 -58.609847817736</t>
  </si>
  <si>
    <t>-821.663557615392 247.470475463981 343.637366790674</t>
  </si>
  <si>
    <t>-852.236531103639 189.768418474579 786.851877424473</t>
  </si>
  <si>
    <t>-725.118258332857 262.573536488435 847.081829610975</t>
  </si>
  <si>
    <t>-787.831604149239 76.1432290115154 -68.2819702133031</t>
  </si>
  <si>
    <t>-646.723139696896 47.9797210997226 308.745710959689</t>
  </si>
  <si>
    <t>-716.743881902364 -27.9739293235384 743.74830957465</t>
  </si>
  <si>
    <t>-609.729498367785 -108.15169718612 828.640897226068</t>
  </si>
  <si>
    <t>9763-20170724T111121.184731200.bin</t>
  </si>
  <si>
    <t>-820.353102580513 172.863900403372 -62.3677081721296</t>
  </si>
  <si>
    <t>-842.935501305758 172.293740433161 -175.97208705318</t>
  </si>
  <si>
    <t>-846.981954872125 181.95900771782 -274.037606706791</t>
  </si>
  <si>
    <t>-844.828663179961 194.240973912701 -362.257632296098</t>
  </si>
  <si>
    <t>-836.40581192279 209.83755847703 -449.573431464241</t>
  </si>
  <si>
    <t>-817.993783973447 234.82762380649 -570.227049473337</t>
  </si>
  <si>
    <t>-789.63423225754 253.563027605288 -646.054132905292</t>
  </si>
  <si>
    <t>-828.22418204242 250.94639648147 -511.841903292289</t>
  </si>
  <si>
    <t>-828.713745610703 382.053847177601 -470.510423873808</t>
  </si>
  <si>
    <t>-744.69177023971 370.722616663317 -188.72479282912</t>
  </si>
  <si>
    <t>-507.283951723604 367.154194443847 -229.659886965709</t>
  </si>
  <si>
    <t>-823.968255946839 196.714919856862 -522.424809837461</t>
  </si>
  <si>
    <t>-820.491650816418 59.2956683588209 -521.258767225863</t>
  </si>
  <si>
    <t>-850.532445623726 267.99645210831 -58.8759343189779</t>
  </si>
  <si>
    <t>-823.764124047152 248.089142900769 343.295458362915</t>
  </si>
  <si>
    <t>-851.635451919787 189.783395163382 786.666938588446</t>
  </si>
  <si>
    <t>-724.640612412796 262.640320922208 847.094220503929</t>
  </si>
  <si>
    <t>-790.566460251961 78.0614240896389 -68.0629144014432</t>
  </si>
  <si>
    <t>-649.191539339262 49.6327704759219 308.84506263534</t>
  </si>
  <si>
    <t>-716.920727035967 -27.5413440213629 744.064623617799</t>
  </si>
  <si>
    <t>-610.321057080562 -108.316245634383 828.912940499328</t>
  </si>
  <si>
    <t>9763-20170724T111121.217819700.bin</t>
  </si>
  <si>
    <t>-821.707008480489 173.233685120038 -62.3793987004536</t>
  </si>
  <si>
    <t>-844.456905344283 172.51365139201 -175.94946325761</t>
  </si>
  <si>
    <t>-848.617760818502 182.098592794841 -274.01806589912</t>
  </si>
  <si>
    <t>-846.552109902049 194.324642046401 -362.247959242396</t>
  </si>
  <si>
    <t>-838.201057070831 209.880315677553 -449.577844956523</t>
  </si>
  <si>
    <t>-819.869639476861 234.827191264008 -570.252883383205</t>
  </si>
  <si>
    <t>-791.37866274455 253.502965930926 -646.045227292954</t>
  </si>
  <si>
    <t>-830.056637743868 250.967006996723 -511.865857609075</t>
  </si>
  <si>
    <t>-830.5734138876 382.085845209356 -470.583310860706</t>
  </si>
  <si>
    <t>-746.12707994149 370.627036217658 -188.929741925444</t>
  </si>
  <si>
    <t>-508.647096557821 366.57680402805 -229.39912682811</t>
  </si>
  <si>
    <t>-825.816081639031 196.731578165291 -522.433713229866</t>
  </si>
  <si>
    <t>-822.281401652659 59.3038257839376 -521.199482568219</t>
  </si>
  <si>
    <t>-852.047650494629 268.227184855018 -58.9449995565136</t>
  </si>
  <si>
    <t>-824.408869116252 248.435601080319 343.173175371431</t>
  </si>
  <si>
    <t>-851.44663350606 189.747153326021 786.590688838199</t>
  </si>
  <si>
    <t>-724.5366639808 262.732402435337 847.041735899727</t>
  </si>
  <si>
    <t>-791.74789397772 78.3060777968617 -67.9506305868558</t>
  </si>
  <si>
    <t>-650.008974221497 50.1944248074651 308.844458698014</t>
  </si>
  <si>
    <t>-717.120888882618 -27.4238912854116 744.192260367363</t>
  </si>
  <si>
    <t>-610.442032620813 -108.169098713962 828.968969386608</t>
  </si>
  <si>
    <t>9763-20170724T111121.280698500.bin</t>
  </si>
  <si>
    <t>-823.382370036735 173.018146416932 -62.2533443425733</t>
  </si>
  <si>
    <t>-846.565471678872 172.124478127975 -175.734328498215</t>
  </si>
  <si>
    <t>-851.015770908988 181.650344478084 -273.796140170901</t>
  </si>
  <si>
    <t>-849.173066773401 193.85623848264 -362.033756899238</t>
  </si>
  <si>
    <t>-841.003076469933 209.42052707652 -449.37939657784</t>
  </si>
  <si>
    <t>-822.879977365542 234.405495744 -570.077775798195</t>
  </si>
  <si>
    <t>-794.236291846032 253.039026814473 -645.822986204008</t>
  </si>
  <si>
    <t>-832.900494837672 250.530032529397 -511.657585036399</t>
  </si>
  <si>
    <t>-833.135673855036 381.607792967093 -470.225406226969</t>
  </si>
  <si>
    <t>-747.562847078541 369.461695721193 -188.94104946811</t>
  </si>
  <si>
    <t>-509.97999633097 365.027458051936 -228.760881864686</t>
  </si>
  <si>
    <t>-828.80973307748 196.291691718629 -522.270962746034</t>
  </si>
  <si>
    <t>-825.527271257105 58.8605976821177 -521.060093205723</t>
  </si>
  <si>
    <t>-853.674874876025 268.104378286638 -58.8610115481538</t>
  </si>
  <si>
    <t>-824.751905071067 248.577666134093 343.179861058883</t>
  </si>
  <si>
    <t>-851.026171269938 189.530999122728 786.595339752684</t>
  </si>
  <si>
    <t>-724.16520758397 262.62911615814 847.012580203359</t>
  </si>
  <si>
    <t>-793.217002447012 77.7995115358208 -67.6553355122568</t>
  </si>
  <si>
    <t>-650.229094587625 50.6628521908665 308.739060179652</t>
  </si>
  <si>
    <t>-717.009249656791 -26.593568153256 744.264192516218</t>
  </si>
  <si>
    <t>-610.864086604299 -108.089056623367 828.993018933601</t>
  </si>
  <si>
    <t>9763-20170724T111121.313755600.bin</t>
  </si>
  <si>
    <t>-823.72807140822 172.528584730953 -62.1734766108723</t>
  </si>
  <si>
    <t>-847.17518057015 171.583982458884 -175.600007061826</t>
  </si>
  <si>
    <t>-851.795503245258 181.117808489624 -273.65313965974</t>
  </si>
  <si>
    <t>-850.080261912226 193.349825705317 -361.889628232698</t>
  </si>
  <si>
    <t>-842.010900326108 208.956654570859 -449.236822174708</t>
  </si>
  <si>
    <t>-823.99887802756 234.017112458629 -569.936339664731</t>
  </si>
  <si>
    <t>-795.313081379091 252.647142505045 -645.666685975845</t>
  </si>
  <si>
    <t>-833.909458060617 250.107516704387 -511.48812312447</t>
  </si>
  <si>
    <t>-833.895682942766 381.145721484225 -469.941007864811</t>
  </si>
  <si>
    <t>-747.683223440781 368.498426234275 -188.873985355219</t>
  </si>
  <si>
    <t>-510.060099339994 364.006981390606 -228.446167240143</t>
  </si>
  <si>
    <t>-829.940616203432 195.870842639023 -522.156905745189</t>
  </si>
  <si>
    <t>-826.948809843179 58.4368374814912 -520.997754763857</t>
  </si>
  <si>
    <t>-853.977703801194 267.830231886084 -58.7724447312601</t>
  </si>
  <si>
    <t>-824.623197594455 248.463682842228 343.244857197023</t>
  </si>
  <si>
    <t>-850.894569494219 189.470589080913 786.637911756386</t>
  </si>
  <si>
    <t>-723.915444147687 262.398550016157 847.013341638982</t>
  </si>
  <si>
    <t>-793.612469383525 77.1201151892374 -67.5273086095875</t>
  </si>
  <si>
    <t>-649.81408465061 50.5621266593325 308.599521597402</t>
  </si>
  <si>
    <t>-716.850373366668 -26.1236095428221 744.183572966309</t>
  </si>
  <si>
    <t>-611.095477432847 -108.053512472128 828.981355784</t>
  </si>
  <si>
    <t>9763-20170724T111121.381976800.bin</t>
  </si>
  <si>
    <t>-823.884432924373 171.233616486953 -61.939260623013</t>
  </si>
  <si>
    <t>-847.841912506323 170.239103301368 -175.258585325748</t>
  </si>
  <si>
    <t>-852.849479610529 179.801491294382 -273.289842498819</t>
  </si>
  <si>
    <t>-851.457985333148 192.085167349501 -361.52495451617</t>
  </si>
  <si>
    <t>-843.68154577211 207.764733020801 -448.885803492594</t>
  </si>
  <si>
    <t>-826.04479903997 232.944123721052 -569.615919843977</t>
  </si>
  <si>
    <t>-797.315488727582 251.55150904901 -645.335260069223</t>
  </si>
  <si>
    <t>-835.647709245709 248.981911721728 -511.101905977146</t>
  </si>
  <si>
    <t>-835.014109517981 379.933101906955 -469.273148149823</t>
  </si>
  <si>
    <t>-747.420729650283 366.582390978462 -188.665940177745</t>
  </si>
  <si>
    <t>-509.717654841788 361.547874012187 -227.688594877673</t>
  </si>
  <si>
    <t>-831.964494658676 194.745999743614 -521.875332604864</t>
  </si>
  <si>
    <t>-829.625015694441 57.3020648681954 -520.862121825025</t>
  </si>
  <si>
    <t>-854.362066274656 267.25927300113 -58.5976642212329</t>
  </si>
  <si>
    <t>-824.199828317388 247.951715641444 343.362727043491</t>
  </si>
  <si>
    <t>-850.599175238713 189.378842120673 786.665101868271</t>
  </si>
  <si>
    <t>-723.469622447361 262.050459806711 847.032299124196</t>
  </si>
  <si>
    <t>-793.636600196706 75.2824104209658 -67.3300372674195</t>
  </si>
  <si>
    <t>-648.315875082832 50.2235559288683 308.314189003632</t>
  </si>
  <si>
    <t>-716.717250766363 -25.5100887874896 743.87473349943</t>
  </si>
  <si>
    <t>-611.651231088301 -108.071474718115 828.915996151124</t>
  </si>
  <si>
    <t>9763-20170724T111121.415031200.bin</t>
  </si>
  <si>
    <t>-823.855122795442 170.690733952657 -61.8267211007335</t>
  </si>
  <si>
    <t>-848.055574926417 169.655166207117 -175.094034465165</t>
  </si>
  <si>
    <t>-853.265598573014 179.217234226691 -273.114788421463</t>
  </si>
  <si>
    <t>-852.05138874644 191.513004013198 -361.350720879359</t>
  </si>
  <si>
    <t>-844.444011423044 207.214120871865 -448.722560789725</t>
  </si>
  <si>
    <t>-827.033400420414 232.433081464716 -569.477386307053</t>
  </si>
  <si>
    <t>-798.288449119882 251.031171331461 -645.193014166225</t>
  </si>
  <si>
    <t>-836.471295500666 248.453726970155 -510.931821281351</t>
  </si>
  <si>
    <t>-835.558077930877 379.36071259969 -468.966970190059</t>
  </si>
  <si>
    <t>-747.191631353939 365.746612611333 -188.615055182425</t>
  </si>
  <si>
    <t>-509.45421582343 360.375607951732 -227.384256028392</t>
  </si>
  <si>
    <t>-832.918596318484 194.217289623641 -521.746492486739</t>
  </si>
  <si>
    <t>-830.849346965295 56.7669772055165 -520.810554329066</t>
  </si>
  <si>
    <t>-854.351314316633 266.967744168815 -58.505457339213</t>
  </si>
  <si>
    <t>-823.876855832606 247.757167342995 343.435975234461</t>
  </si>
  <si>
    <t>-850.402411480469 189.277444430795 786.700845943328</t>
  </si>
  <si>
    <t>-723.370764037399 262.13091140426 847.05524206717</t>
  </si>
  <si>
    <t>-793.620664995838 74.5786475978703 -67.2034506380007</t>
  </si>
  <si>
    <t>-647.531250387444 49.9508626768015 308.171125976577</t>
  </si>
  <si>
    <t>-716.851749369446 -25.4992174885037 743.638249484962</t>
  </si>
  <si>
    <t>-611.762781801214 -107.875948700818 828.830388154555</t>
  </si>
  <si>
    <t>9763-20170724T111121.480780900.bin</t>
  </si>
  <si>
    <t>-823.563729005285 169.99478746822 -61.7684752659036</t>
  </si>
  <si>
    <t>-848.183247456882 168.877504031785 -174.944742229164</t>
  </si>
  <si>
    <t>-853.772590078065 178.456324244788 -272.942998487347</t>
  </si>
  <si>
    <t>-852.900226317144 190.796731625924 -361.176628380175</t>
  </si>
  <si>
    <t>-845.628613476778 206.567632263336 -448.5645861917</t>
  </si>
  <si>
    <t>-828.677087893578 231.905192939422 -569.359658583247</t>
  </si>
  <si>
    <t>-799.911088061967 250.502641754384 -645.067697961937</t>
  </si>
  <si>
    <t>-837.799207446716 247.871163905147 -510.749384484806</t>
  </si>
  <si>
    <t>-836.315524306862 378.665251497586 -468.461802799476</t>
  </si>
  <si>
    <t>-746.184969943793 364.389306631263 -188.704943848013</t>
  </si>
  <si>
    <t>-508.405523365696 358.749074006984 -227.175317408772</t>
  </si>
  <si>
    <t>-834.473967458234 193.63935906729 -521.658242060012</t>
  </si>
  <si>
    <t>-832.913261191612 56.1788641180792 -520.922378937913</t>
  </si>
  <si>
    <t>-854.163780700841 266.570163232058 -58.4040096588741</t>
  </si>
  <si>
    <t>-823.077042593359 247.649125790933 343.504317169535</t>
  </si>
  <si>
    <t>-849.90111098666 188.975791747308 786.69820741057</t>
  </si>
  <si>
    <t>-722.907380728631 261.885852122458 847.064320185206</t>
  </si>
  <si>
    <t>-793.193570232886 73.590747732183 -67.2329279104216</t>
  </si>
  <si>
    <t>-646.346789528729 50.0153884287975 307.91349046825</t>
  </si>
  <si>
    <t>-716.960125431511 -25.4424692347193 743.075402840245</t>
  </si>
  <si>
    <t>-612.294605975014 -107.886289878741 828.722628906146</t>
  </si>
  <si>
    <t>9763-20170724T111121.512894800.bin</t>
  </si>
  <si>
    <t>-823.396482632937 169.657068752358 -61.8101822085197</t>
  </si>
  <si>
    <t>-848.196293372425 168.530721041428 -174.946939120835</t>
  </si>
  <si>
    <t>-853.941464522781 178.128675352849 -272.93435275412</t>
  </si>
  <si>
    <t>-853.206613141831 190.495002087658 -361.165765270878</t>
  </si>
  <si>
    <t>-846.067404032438 206.296262373256 -448.559001300937</t>
  </si>
  <si>
    <t>-829.293162046535 231.680123662906 -569.369169155729</t>
  </si>
  <si>
    <t>-800.511926335868 250.269059983726 -645.073256764464</t>
  </si>
  <si>
    <t>-838.288181518475 247.624918630973 -510.733495818024</t>
  </si>
  <si>
    <t>-836.569893615726 378.372432207886 -468.290229526145</t>
  </si>
  <si>
    <t>-745.625678917647 363.71025214704 -188.816895238807</t>
  </si>
  <si>
    <t>-507.832973462721 358.08344767367 -227.207542524594</t>
  </si>
  <si>
    <t>-835.060970326047 193.394639165689 -521.679773769071</t>
  </si>
  <si>
    <t>-833.716746403588 55.9394505336195 -521.049859872032</t>
  </si>
  <si>
    <t>-854.013094865157 266.333800883357 -58.3900649418014</t>
  </si>
  <si>
    <t>-822.669445947944 247.612136586602 343.507594358771</t>
  </si>
  <si>
    <t>-849.67561773082 188.844103715033 786.691190925506</t>
  </si>
  <si>
    <t>-722.58973173136 261.592653494111 847.057396383328</t>
  </si>
  <si>
    <t>-793.062221060263 73.1406955416446 -67.3245200993234</t>
  </si>
  <si>
    <t>-646.010668817359 49.9810601776962 307.767634516283</t>
  </si>
  <si>
    <t>-717.22813551971 -25.7239687506121 742.807751877485</t>
  </si>
  <si>
    <t>-612.20323387317 -107.461025562655 828.692334771276</t>
  </si>
  <si>
    <t>9763-20170724T111121.583056800.bin</t>
  </si>
  <si>
    <t>-823.061044201743 169.068955155922 -61.7774284532625</t>
  </si>
  <si>
    <t>-848.158756806248 167.904919076997 -174.84805763061</t>
  </si>
  <si>
    <t>-854.172030724656 177.528409152388 -272.816829799514</t>
  </si>
  <si>
    <t>-853.677699605732 189.935790158669 -361.04426124027</t>
  </si>
  <si>
    <t>-846.773506659441 205.7931573902 -448.446294106032</t>
  </si>
  <si>
    <t>-830.31864576551 231.266288520767 -569.281447630149</t>
  </si>
  <si>
    <t>-801.522229945927 249.832622594725 -644.985391717665</t>
  </si>
  <si>
    <t>-839.091436864429 247.170011983641 -510.600732044889</t>
  </si>
  <si>
    <t>-837.000094574515 377.812676350095 -467.875928627161</t>
  </si>
  <si>
    <t>-744.93224692516 362.340082866385 -188.81439658164</t>
  </si>
  <si>
    <t>-507.17476271434 356.409857401004 -227.376745365264</t>
  </si>
  <si>
    <t>-836.028028906237 192.943961189537 -521.614942594057</t>
  </si>
  <si>
    <t>-834.972901659447 55.4759673585854 -521.139681085671</t>
  </si>
  <si>
    <t>-853.455479974961 265.739755027476 -58.2932705131027</t>
  </si>
  <si>
    <t>-821.411459451807 247.431370460473 343.568238644535</t>
  </si>
  <si>
    <t>-848.983889520356 188.341147275677 786.745199966372</t>
  </si>
  <si>
    <t>-722.030338310998 261.410228538239 847.003588941257</t>
  </si>
  <si>
    <t>-792.983323714775 72.4669228070452 -67.3164490237018</t>
  </si>
  <si>
    <t>-645.385578748684 49.7789995759845 307.589995751076</t>
  </si>
  <si>
    <t>-717.442047315707 -25.8262869324722 742.446461573797</t>
  </si>
  <si>
    <t>-612.409700213409 -107.082529951139 828.776847928409</t>
  </si>
  <si>
    <t>9763-20170724T111121.618150000.bin</t>
  </si>
  <si>
    <t>-822.887561478878 168.776291767856 -61.7126283365246</t>
  </si>
  <si>
    <t>-848.1633264016 167.578689350536 -174.743166493049</t>
  </si>
  <si>
    <t>-854.342653589055 177.209811296384 -272.700946689213</t>
  </si>
  <si>
    <t>-854.000825502008 189.637970786694 -360.926000168067</t>
  </si>
  <si>
    <t>-847.250083312011 205.528988464363 -448.333877964387</t>
  </si>
  <si>
    <t>-831.008943517926 231.06253808609 -569.185397644529</t>
  </si>
  <si>
    <t>-802.208327374826 249.633194890803 -644.886661681323</t>
  </si>
  <si>
    <t>-839.663018496822 246.937323893783 -510.4792891091</t>
  </si>
  <si>
    <t>-837.446623722372 377.527537134588 -467.590431061928</t>
  </si>
  <si>
    <t>-744.965432163389 361.704194111795 -188.685306894855</t>
  </si>
  <si>
    <t>-507.238460123733 355.770518018381 -227.435641704223</t>
  </si>
  <si>
    <t>-836.648681808575 192.716081984815 -521.53014508478</t>
  </si>
  <si>
    <t>-835.637688530844 55.2526307897447 -521.12761628542</t>
  </si>
  <si>
    <t>-853.203525848413 265.496926954065 -58.2403707467893</t>
  </si>
  <si>
    <t>-820.909358752388 247.352699124671 343.608573513923</t>
  </si>
  <si>
    <t>-848.853405663467 188.139125133747 786.704443110376</t>
  </si>
  <si>
    <t>-721.771027586972 261.073180832495 846.854399496545</t>
  </si>
  <si>
    <t>-792.910026294159 72.2032685020454 -67.2660228128389</t>
  </si>
  <si>
    <t>-645.127229265103 49.7350555937746 307.5807582475</t>
  </si>
  <si>
    <t>-717.611545718916 -25.8233389399797 742.396047877164</t>
  </si>
  <si>
    <t>-612.621223054222 -106.993717481654 828.858059996785</t>
  </si>
  <si>
    <t>9763-20170724T111121.683064400.bin</t>
  </si>
  <si>
    <t>-822.313759707395 168.385158710587 -61.7100565876154</t>
  </si>
  <si>
    <t>-847.966568817561 167.095655666852 -174.654677860748</t>
  </si>
  <si>
    <t>-854.50334726909 176.75250507593 -272.586667236325</t>
  </si>
  <si>
    <t>-854.493451155059 189.24634224293 -360.803069519468</t>
  </si>
  <si>
    <t>-848.079238029637 205.245305887979 -448.216607275938</t>
  </si>
  <si>
    <t>-832.310378041059 230.973158232854 -569.089478781691</t>
  </si>
  <si>
    <t>-803.490270504097 249.606332430761 -644.768025127017</t>
  </si>
  <si>
    <t>-840.740514658773 246.753317408039 -510.325350959967</t>
  </si>
  <si>
    <t>-838.500927354788 377.226750199231 -467.097354631558</t>
  </si>
  <si>
    <t>-745.533918731628 360.686857676943 -188.395389555253</t>
  </si>
  <si>
    <t>-507.898217074085 354.50751193634 -227.663138608767</t>
  </si>
  <si>
    <t>-837.758214956727 192.550203131279 -521.473397127754</t>
  </si>
  <si>
    <t>-836.672755270396 55.0817529311676 -521.188809527613</t>
  </si>
  <si>
    <t>-852.710644504357 265.085870335626 -58.2268487372323</t>
  </si>
  <si>
    <t>-819.710659063865 247.120864649029 343.57277520231</t>
  </si>
  <si>
    <t>-848.51949004559 187.627436156662 786.576770329832</t>
  </si>
  <si>
    <t>-721.300808394642 260.571323011732 846.426648796167</t>
  </si>
  <si>
    <t>-792.176268764924 71.8115170070705 -67.370252307051</t>
  </si>
  <si>
    <t>-644.787749758991 49.9055997190976 307.664982275562</t>
  </si>
  <si>
    <t>-717.975668835755 -25.8248341828466 742.315201702574</t>
  </si>
  <si>
    <t>-612.944268188545 -106.701056981898 829.002692748012</t>
  </si>
  <si>
    <t>9763-20170724T111121.738213000.bin</t>
  </si>
  <si>
    <t>-822.076355526799 168.073186192079 -61.794491325329</t>
  </si>
  <si>
    <t>-847.99527886836 166.719165001359 -174.677594787508</t>
  </si>
  <si>
    <t>-854.776284124752 176.397231334447 -272.590816283482</t>
  </si>
  <si>
    <t>-854.989515629125 188.9405564066 -360.800019138015</t>
  </si>
  <si>
    <t>-848.799083045255 205.019754272384 -448.215027011788</t>
  </si>
  <si>
    <t>-833.341685852253 230.891504185883 -569.097266911594</t>
  </si>
  <si>
    <t>-804.481912486519 249.580711486513 -644.746922250613</t>
  </si>
  <si>
    <t>-841.66044332066 246.600520002599 -510.298273295875</t>
  </si>
  <si>
    <t>-839.603246086452 377.018946322143 -466.863772231863</t>
  </si>
  <si>
    <t>-746.60211081803 359.94189244558 -188.205600940853</t>
  </si>
  <si>
    <t>-508.99824955752 353.870800541631 -227.682343734656</t>
  </si>
  <si>
    <t>-838.626575389116 192.412687052857 -521.507752298288</t>
  </si>
  <si>
    <t>-837.317216010363 54.9572401385676 -521.345422949296</t>
  </si>
  <si>
    <t>-852.534023489779 264.622331555504 -58.258786291324</t>
  </si>
  <si>
    <t>-818.903557549367 246.905571254072 343.499551315673</t>
  </si>
  <si>
    <t>-848.272997553172 187.307308508528 786.48731458968</t>
  </si>
  <si>
    <t>-720.993445260485 260.301430188743 846.145106124198</t>
  </si>
  <si>
    <t>-792.006358051833 71.7055429871471 -67.3913797074324</t>
  </si>
  <si>
    <t>-644.581127546159 49.9843803739254 307.640138895295</t>
  </si>
  <si>
    <t>-718.122093668815 -25.7776689656571 742.189532532392</t>
  </si>
  <si>
    <t>-612.937629224343 -106.226751985214 829.088741407684</t>
  </si>
  <si>
    <t>9763-20170724T111121.750244700.bin</t>
  </si>
  <si>
    <t>-822.068206906386 168.005393686771 -61.8116315394017</t>
  </si>
  <si>
    <t>-848.05757901097 166.633756481154 -174.678342283488</t>
  </si>
  <si>
    <t>-854.913131555084 176.318121277145 -272.58581378065</t>
  </si>
  <si>
    <t>-855.197857727077 188.874948143838 -360.792970224132</t>
  </si>
  <si>
    <t>-849.082856400603 204.976041924865 -448.209297942938</t>
  </si>
  <si>
    <t>-833.733272829428 230.886024281797 -569.097012224772</t>
  </si>
  <si>
    <t>-804.854289520949 249.594043372695 -644.734480297716</t>
  </si>
  <si>
    <t>-842.019273960222 246.575637847904 -510.288059784094</t>
  </si>
  <si>
    <t>-840.049914737695 376.968889356463 -466.782553051187</t>
  </si>
  <si>
    <t>-746.98780040782 359.614553928106 -188.161895965583</t>
  </si>
  <si>
    <t>-509.394782297873 353.609436532414 -227.713912238326</t>
  </si>
  <si>
    <t>-838.956687084681 192.392650443102 -521.512467058938</t>
  </si>
  <si>
    <t>-837.549381084707 54.933294595879 -521.398549629475</t>
  </si>
  <si>
    <t>-852.527463390236 264.49138005534 -58.2669982787253</t>
  </si>
  <si>
    <t>-818.791530582663 246.825125282838 343.484710567184</t>
  </si>
  <si>
    <t>-848.168318888539 187.203900012844 786.467884658622</t>
  </si>
  <si>
    <t>-720.881232269759 260.217528512481 846.086176657075</t>
  </si>
  <si>
    <t>-791.989708930963 71.7226468002314 -67.3923179201536</t>
  </si>
  <si>
    <t>-644.470079659987 50.0279793174818 307.603610431194</t>
  </si>
  <si>
    <t>-718.168566247651 -25.7666521825004 742.138273193884</t>
  </si>
  <si>
    <t>-613.12236356866 -106.303374835986 829.123305419815</t>
  </si>
  <si>
    <t>9763-20170724T111121.815111100.bin</t>
  </si>
  <si>
    <t>-822.12162440818 167.800830478493 -61.8381877077222</t>
  </si>
  <si>
    <t>-848.261491346523 166.437420737836 -174.670211709063</t>
  </si>
  <si>
    <t>-855.323404590252 176.201460634261 -272.555067772493</t>
  </si>
  <si>
    <t>-855.820955946559 188.85680068629 -360.747051464687</t>
  </si>
  <si>
    <t>-849.940517600607 205.082375478358 -448.156511291593</t>
  </si>
  <si>
    <t>-834.940378351793 231.193256054411 -569.045105629252</t>
  </si>
  <si>
    <t>-805.94020275841 250.023231650841 -644.605847231757</t>
  </si>
  <si>
    <t>-843.126487209413 246.783321391744 -510.195671886299</t>
  </si>
  <si>
    <t>-841.489873394982 377.051530686794 -466.333011860114</t>
  </si>
  <si>
    <t>-747.897060691352 358.690182410788 -187.95470958299</t>
  </si>
  <si>
    <t>-510.353647549005 352.588140263052 -227.787675032229</t>
  </si>
  <si>
    <t>-839.956231477433 192.623048112135 -521.500270379234</t>
  </si>
  <si>
    <t>-838.221969502557 55.1608829347288 -521.657832706801</t>
  </si>
  <si>
    <t>-852.636558428216 264.25878133086 -58.2287954079594</t>
  </si>
  <si>
    <t>-819.175283757766 246.648594444267 343.548308385723</t>
  </si>
  <si>
    <t>-847.686425457982 187.359054590971 786.566430891169</t>
  </si>
  <si>
    <t>-720.783700100693 260.676104870172 846.630258585476</t>
  </si>
  <si>
    <t>-791.821211396437 71.5479026653184 -67.4423234907938</t>
  </si>
  <si>
    <t>-644.139577111654 50.5104297678345 307.527318642192</t>
  </si>
  <si>
    <t>-718.313895179502 -25.5496440023521 741.986014519081</t>
  </si>
  <si>
    <t>-613.535500637197 -106.175678624533 829.211304238025</t>
  </si>
  <si>
    <t>9763-20170724T111121.879818500.bin</t>
  </si>
  <si>
    <t>-822.059883144745 167.754836221117 -62.0103980828478</t>
  </si>
  <si>
    <t>-848.221510346095 166.407946908093 -174.837544323873</t>
  </si>
  <si>
    <t>-855.279328461985 176.369200153104 -272.702921661973</t>
  </si>
  <si>
    <t>-855.755598563625 189.268351570642 -360.859692809257</t>
  </si>
  <si>
    <t>-849.833778657606 205.798290191745 -448.209118628694</t>
  </si>
  <si>
    <t>-834.750281883288 232.392308796279 -568.981930671261</t>
  </si>
  <si>
    <t>-805.492367803281 251.501696291561 -644.373150537146</t>
  </si>
  <si>
    <t>-842.983874500988 247.746619047845 -510.077187412513</t>
  </si>
  <si>
    <t>-841.202177719901 377.788930047382 -465.589492184787</t>
  </si>
  <si>
    <t>-745.895838355538 359.112879415989 -187.814174859778</t>
  </si>
  <si>
    <t>-508.427088892352 352.172746250908 -227.954816123255</t>
  </si>
  <si>
    <t>-839.791628924685 193.632486169292 -521.594443173119</t>
  </si>
  <si>
    <t>-838.050961723558 56.1582538964399 -522.250433859177</t>
  </si>
  <si>
    <t>-852.678398990636 264.170284115442 -58.4439994386111</t>
  </si>
  <si>
    <t>-819.748603327279 246.385620077775 343.369374847357</t>
  </si>
  <si>
    <t>-846.888311237637 187.539366893144 786.249336701214</t>
  </si>
  <si>
    <t>-720.129051626255 260.550137092977 846.985014585443</t>
  </si>
  <si>
    <t>-791.749834021584 71.4800689166254 -67.6286937115717</t>
  </si>
  <si>
    <t>-643.684147226553 51.388478431063 307.241331032214</t>
  </si>
  <si>
    <t>-718.026389695317 -24.5870376335206 741.81396140576</t>
  </si>
  <si>
    <t>-613.660969452638 -105.598535291681 829.177044493517</t>
  </si>
  <si>
    <t>9763-20170724T111121.917039000.bin</t>
  </si>
  <si>
    <t>-822.032122651841 167.890280916148 -62.2212829465341</t>
  </si>
  <si>
    <t>-848.177295187705 166.596617036926 -175.052869308827</t>
  </si>
  <si>
    <t>-855.195027189506 176.685742733607 -272.907985083221</t>
  </si>
  <si>
    <t>-855.622160038395 189.731072125267 -361.043650604059</t>
  </si>
  <si>
    <t>-849.63750753894 206.43574733684 -448.355430256907</t>
  </si>
  <si>
    <t>-834.451587480614 233.301957207708 -569.055138461113</t>
  </si>
  <si>
    <t>-805.044507279648 252.561270593296 -644.35003260436</t>
  </si>
  <si>
    <t>-842.709608665943 248.524311739734 -510.119562603922</t>
  </si>
  <si>
    <t>-840.785423141546 378.468210065718 -465.311519012496</t>
  </si>
  <si>
    <t>-743.81539468879 360.282883949891 -188.080011125371</t>
  </si>
  <si>
    <t>-506.376886685131 353.02791770803 -228.343865559613</t>
  </si>
  <si>
    <t>-839.558770124771 194.434811106245 -521.76279687052</t>
  </si>
  <si>
    <t>-837.962032949135 56.9778473583951 -522.670515919167</t>
  </si>
  <si>
    <t>-852.61724539653 264.47262839207 -58.7738761856004</t>
  </si>
  <si>
    <t>-820.199155098529 246.474357673418 343.071573278407</t>
  </si>
  <si>
    <t>-846.755978871689 187.872175948627 785.90876839221</t>
  </si>
  <si>
    <t>-719.948186898906 260.556371064821 846.934038051743</t>
  </si>
  <si>
    <t>-791.830910141345 71.429495165451 -67.8154730646256</t>
  </si>
  <si>
    <t>-643.36724426503 52.0351737378096 306.933881368401</t>
  </si>
  <si>
    <t>-717.891968340915 -23.9850447118579 741.633289286744</t>
  </si>
  <si>
    <t>-613.706968716162 -105.2610655196 828.965939453097</t>
  </si>
  <si>
    <t>9763-20170724T111121.984239700.bin</t>
  </si>
  <si>
    <t>-822.041923359334 168.245716935321 -62.6237127903497</t>
  </si>
  <si>
    <t>-848.185801577484 167.031899838412 -175.456499437735</t>
  </si>
  <si>
    <t>-855.132515383772 177.318631001178 -273.296195053225</t>
  </si>
  <si>
    <t>-855.463739619406 190.591031541867 -361.398113941373</t>
  </si>
  <si>
    <t>-849.348336709941 207.565492971579 -448.649083711059</t>
  </si>
  <si>
    <t>-833.944081531223 234.848648743979 -569.227435313666</t>
  </si>
  <si>
    <t>-804.241166026726 254.293631198561 -644.358326049754</t>
  </si>
  <si>
    <t>-842.20946336004 249.869926763962 -510.241364326518</t>
  </si>
  <si>
    <t>-839.725129066615 379.588939739087 -464.797522189099</t>
  </si>
  <si>
    <t>-737.740562485666 362.46852503021 -189.302926506253</t>
  </si>
  <si>
    <t>-500.422531084397 354.361588177328 -230.112236540057</t>
  </si>
  <si>
    <t>-839.235924788281 195.815473525294 -522.092220637191</t>
  </si>
  <si>
    <t>-838.098481567291 58.3601786000613 -523.480842330405</t>
  </si>
  <si>
    <t>-852.700733404483 265.144759364818 -59.0993566957081</t>
  </si>
  <si>
    <t>-820.380122582919 246.84771128335 342.740481571945</t>
  </si>
  <si>
    <t>-846.287188477552 187.836744183141 785.735722966695</t>
  </si>
  <si>
    <t>-719.599214348811 260.589452089298 846.927685833487</t>
  </si>
  <si>
    <t>-791.783249997665 71.4575008039246 -68.1871757508984</t>
  </si>
  <si>
    <t>-642.936498311747 53.2396753157104 306.469305584361</t>
  </si>
  <si>
    <t>-717.773896493809 -22.8528395530316 741.22638196453</t>
  </si>
  <si>
    <t>-613.893599516306 -104.657925254639 828.427917307318</t>
  </si>
  <si>
    <t>9763-20170724T111122.017318000.bin</t>
  </si>
  <si>
    <t>-821.779642274918 168.491122076801 -62.7160869139738</t>
  </si>
  <si>
    <t>-847.923806282194 167.336215523055 -175.549568624437</t>
  </si>
  <si>
    <t>-854.821768417283 177.696792527877 -273.384706527364</t>
  </si>
  <si>
    <t>-855.08679967235 191.041234950113 -361.476157505423</t>
  </si>
  <si>
    <t>-848.882703479857 208.088498847296 -448.706467844598</t>
  </si>
  <si>
    <t>-833.329553438519 235.470258809177 -569.243312522234</t>
  </si>
  <si>
    <t>-803.461505359153 254.947116518616 -644.300600704489</t>
  </si>
  <si>
    <t>-841.589329169595 250.445192791344 -510.244698855813</t>
  </si>
  <si>
    <t>-838.666411643306 380.063587548002 -464.540284156722</t>
  </si>
  <si>
    <t>-734.445532628048 363.049271697371 -189.877224098169</t>
  </si>
  <si>
    <t>-497.240709703507 354.755762238258 -231.30114760934</t>
  </si>
  <si>
    <t>-838.757870868951 196.39667166806 -522.157446258672</t>
  </si>
  <si>
    <t>-838.007710564875 58.9334432509299 -523.715491210694</t>
  </si>
  <si>
    <t>-852.408278848259 265.410367959997 -59.125956547445</t>
  </si>
  <si>
    <t>-820.000076612535 246.972006828209 342.700403260745</t>
  </si>
  <si>
    <t>-845.997936593674 187.635245158428 785.721806508214</t>
  </si>
  <si>
    <t>-719.378392943634 260.514483108024 846.90504394421</t>
  </si>
  <si>
    <t>-791.532841582707 71.6730844373092 -68.3569694904869</t>
  </si>
  <si>
    <t>-642.508441421482 53.7195572487244 306.241584143565</t>
  </si>
  <si>
    <t>-717.530889399641 -22.1884567480665 740.970199440428</t>
  </si>
  <si>
    <t>-614.174476854271 -104.597400726612 828.225678910838</t>
  </si>
  <si>
    <t>9763-20170724T111122.081089600.bin</t>
  </si>
  <si>
    <t>-820.672302460009 168.794167673259 -62.8079349649471</t>
  </si>
  <si>
    <t>-846.864205356497 167.787575910392 -175.631700950663</t>
  </si>
  <si>
    <t>-853.791674728324 178.299317969771 -273.448727272819</t>
  </si>
  <si>
    <t>-854.075842044909 191.786891193084 -361.518200952577</t>
  </si>
  <si>
    <t>-847.882073132785 208.980014702177 -448.720677171264</t>
  </si>
  <si>
    <t>-832.333072196139 236.566182402287 -569.211661731404</t>
  </si>
  <si>
    <t>-802.185873363256 256.046088003993 -644.156230835796</t>
  </si>
  <si>
    <t>-840.510157955106 251.442666950312 -510.17651319858</t>
  </si>
  <si>
    <t>-837.020008139322 380.940866376092 -464.158484732829</t>
  </si>
  <si>
    <t>-729.553851850118 363.42997477714 -190.780269078555</t>
  </si>
  <si>
    <t>-492.423627202671 354.289246965146 -232.451656921862</t>
  </si>
  <si>
    <t>-837.840756681377 197.410931416198 -522.202401243742</t>
  </si>
  <si>
    <t>-837.612667012616 59.9595489335925 -523.953377620302</t>
  </si>
  <si>
    <t>-851.000198647566 265.751793892766 -59.0552641907148</t>
  </si>
  <si>
    <t>-818.999500214565 246.973021716588 342.787963569761</t>
  </si>
  <si>
    <t>-845.529007667389 187.277615442124 785.718152932647</t>
  </si>
  <si>
    <t>-718.962509718896 260.271292535014 846.874416072853</t>
  </si>
  <si>
    <t>-790.62211618926 71.885991972486 -68.5494655585238</t>
  </si>
  <si>
    <t>-641.336241268604 54.0790320235647 305.951885198986</t>
  </si>
  <si>
    <t>-717.524406198675 -21.6097070878259 740.44416492548</t>
  </si>
  <si>
    <t>-614.558527272022 -104.243474110127 827.948200886935</t>
  </si>
  <si>
    <t>9763-20170724T111122.115179600.bin</t>
  </si>
  <si>
    <t>-819.672643680057 168.615304333915 -62.8991620158612</t>
  </si>
  <si>
    <t>-845.895531557954 167.536649341591 -175.715015569208</t>
  </si>
  <si>
    <t>-852.879125967182 178.05037325055 -273.527807682835</t>
  </si>
  <si>
    <t>-853.220615748756 191.56015196948 -361.593743379073</t>
  </si>
  <si>
    <t>-847.08777065548 208.793508751467 -448.792629328321</t>
  </si>
  <si>
    <t>-831.625182832833 236.451687779623 -569.278076014903</t>
  </si>
  <si>
    <t>-801.335100144791 255.930356995222 -644.165539623465</t>
  </si>
  <si>
    <t>-839.764331742701 251.292911235334 -510.228852730654</t>
  </si>
  <si>
    <t>-836.128747696331 380.729671386614 -464.041642070314</t>
  </si>
  <si>
    <t>-727.363249040992 363.458121277895 -191.162832001006</t>
  </si>
  <si>
    <t>-490.299218939152 353.947827627282 -233.129070910466</t>
  </si>
  <si>
    <t>-837.094512830773 197.268799451407 -522.287930394586</t>
  </si>
  <si>
    <t>-836.871061430461 59.8277268568554 -524.13014353021</t>
  </si>
  <si>
    <t>-850.065614568741 265.571730047966 -59.1208514620453</t>
  </si>
  <si>
    <t>-818.201550790435 246.984449735334 342.742147079807</t>
  </si>
  <si>
    <t>-845.269167462621 187.140523499873 785.621372316407</t>
  </si>
  <si>
    <t>-718.719695238955 260.129899581098 846.81833634077</t>
  </si>
  <si>
    <t>-789.416224223257 71.7044333370472 -68.7372086274241</t>
  </si>
  <si>
    <t>-640.532624853718 54.1691782548887 305.937121189904</t>
  </si>
  <si>
    <t>-717.577051269641 -21.4200354939817 740.251626833158</t>
  </si>
  <si>
    <t>-614.580324272755 -103.847640925677 827.913690960308</t>
  </si>
  <si>
    <t>9763-20170724T111122.180989200.bin</t>
  </si>
  <si>
    <t>-816.552865236542 168.051977140649 -63.0522755224745</t>
  </si>
  <si>
    <t>-842.832089390413 166.636742779661 -175.851407210503</t>
  </si>
  <si>
    <t>-850.022718636428 177.073432660592 -273.657405885711</t>
  </si>
  <si>
    <t>-850.592515147891 190.57804680237 -361.722935313603</t>
  </si>
  <si>
    <t>-844.717816493179 207.861723306161 -448.929668590539</t>
  </si>
  <si>
    <t>-829.637284000287 235.636813014139 -569.436630828599</t>
  </si>
  <si>
    <t>-799.018669745423 255.134997393597 -644.185156820755</t>
  </si>
  <si>
    <t>-837.625937310018 250.419970082306 -510.352272915179</t>
  </si>
  <si>
    <t>-833.819855277934 379.656658194333 -463.615220831692</t>
  </si>
  <si>
    <t>-721.607751903786 361.03196648427 -192.224739667445</t>
  </si>
  <si>
    <t>-484.642978187382 352.078586150418 -234.867115291885</t>
  </si>
  <si>
    <t>-834.920913624996 196.408625328738 -522.462497942961</t>
  </si>
  <si>
    <t>-834.449624151908 58.9570290534862 -524.517034602736</t>
  </si>
  <si>
    <t>-847.2496387594 264.797498684235 -59.2885016438453</t>
  </si>
  <si>
    <t>-815.932742957683 246.477864111765 342.629723704411</t>
  </si>
  <si>
    <t>-844.606603009725 186.674529269366 785.427577238102</t>
  </si>
  <si>
    <t>-718.351974372649 260.12936814801 846.676263115473</t>
  </si>
  <si>
    <t>-785.954745308958 71.4515604295611 -68.9516879152263</t>
  </si>
  <si>
    <t>-637.912320663358 54.0890508298494 306.06377800949</t>
  </si>
  <si>
    <t>-717.669201386746 -21.2718145764716 739.937558806937</t>
  </si>
  <si>
    <t>-614.785011553121 -103.352104572475 828.056413491268</t>
  </si>
  <si>
    <t>9763-20170724T111122.222105100.bin</t>
  </si>
  <si>
    <t>-814.436002670705 167.712945860224 -63.1951248448923</t>
  </si>
  <si>
    <t>-840.775090373282 166.075855151525 -175.977279709961</t>
  </si>
  <si>
    <t>-848.131286253415 176.462343334085 -273.776267542759</t>
  </si>
  <si>
    <t>-848.883554562352 189.968095787315 -361.840213807962</t>
  </si>
  <si>
    <t>-843.217564362545 207.294825806332 -449.05219035467</t>
  </si>
  <si>
    <t>-828.449459892783 235.169306903004 -569.574975997239</t>
  </si>
  <si>
    <t>-797.674192681159 254.712048983637 -644.247591301152</t>
  </si>
  <si>
    <t>-836.325589543508 249.902598572686 -510.463153868633</t>
  </si>
  <si>
    <t>-832.530765311646 379.019180643036 -463.417079096868</t>
  </si>
  <si>
    <t>-718.272200330621 360.033025379482 -192.907040744753</t>
  </si>
  <si>
    <t>-481.302299131454 351.434753964591 -235.593574882528</t>
  </si>
  <si>
    <t>-833.570839680566 195.903601324106 -522.614515852911</t>
  </si>
  <si>
    <t>-832.918955923546 58.455594910643 -524.780648538564</t>
  </si>
  <si>
    <t>-845.248187372936 264.310315925641 -59.4235793284853</t>
  </si>
  <si>
    <t>-814.674354005947 246.117883659149 342.557702774383</t>
  </si>
  <si>
    <t>-844.319648827438 186.502885488141 785.296718680373</t>
  </si>
  <si>
    <t>-718.21616501197 260.188598317366 846.579481968005</t>
  </si>
  <si>
    <t>-783.676214521525 71.2328463516233 -69.0212010668117</t>
  </si>
  <si>
    <t>-636.055109247748 54.1813094661834 306.174587063708</t>
  </si>
  <si>
    <t>-717.686348892382 -21.317127049494 739.730288560905</t>
  </si>
  <si>
    <t>-614.654566377654 -102.843409508291 828.19060950297</t>
  </si>
  <si>
    <t>9763-20170724T111122.279784100.bin</t>
  </si>
  <si>
    <t>-810.055577657397 166.347662346025 -63.490371399763</t>
  </si>
  <si>
    <t>-836.416135260872 164.338976679707 -176.261421699145</t>
  </si>
  <si>
    <t>-844.000217555003 174.647852884288 -274.051407204829</t>
  </si>
  <si>
    <t>-845.016188763404 188.156922773826 -362.112206900266</t>
  </si>
  <si>
    <t>-839.657818766435 205.551679163289 -449.330001210164</t>
  </si>
  <si>
    <t>-825.353146625231 233.576156763173 -569.87385494325</t>
  </si>
  <si>
    <t>-794.279285325167 253.186853147314 -644.404736699465</t>
  </si>
  <si>
    <t>-833.09718731735 248.233842028438 -510.725826821352</t>
  </si>
  <si>
    <t>-829.468275252332 377.177047605312 -463.214963891627</t>
  </si>
  <si>
    <t>-712.175968357785 358.361285011486 -193.994506384175</t>
  </si>
  <si>
    <t>-475.127509196692 349.9607195494 -236.282970522188</t>
  </si>
  <si>
    <t>-830.198654686948 194.254229676365 -522.931192079814</t>
  </si>
  <si>
    <t>-829.097320614027 56.807978577966 -525.329944080977</t>
  </si>
  <si>
    <t>-841.635793396892 262.764767581248 -59.654477220617</t>
  </si>
  <si>
    <t>-811.797140913353 245.035348993134 342.402770042944</t>
  </si>
  <si>
    <t>-843.767004890572 186.117645485067 785.083449587273</t>
  </si>
  <si>
    <t>-717.955102490658 260.240607956546 846.438688466911</t>
  </si>
  <si>
    <t>-778.732082674285 69.9483806609364 -69.3804536475166</t>
  </si>
  <si>
    <t>-632.248106283639 53.8755331416223 306.303956612565</t>
  </si>
  <si>
    <t>-717.90909967311 -21.8586906245164 739.221011283143</t>
  </si>
  <si>
    <t>-614.482580336735 -102.005948710214 828.477248658564</t>
  </si>
  <si>
    <t>9763-20170724T111122.316975400.bin</t>
  </si>
  <si>
    <t>-808.002518741349 165.550812049229 -63.6253741360169</t>
  </si>
  <si>
    <t>-834.36011275286 163.490545000761 -176.396246224678</t>
  </si>
  <si>
    <t>-842.027262825587 173.815466510338 -274.177978323216</t>
  </si>
  <si>
    <t>-843.14277829628 187.353428088314 -362.233072657547</t>
  </si>
  <si>
    <t>-837.903628470489 204.788204651661 -449.450243904357</t>
  </si>
  <si>
    <t>-823.781722708239 232.875212066291 -570.001089390484</t>
  </si>
  <si>
    <t>-792.595014407283 252.523222382526 -644.475001549341</t>
  </si>
  <si>
    <t>-831.49669949312 247.500418346255 -510.84106583398</t>
  </si>
  <si>
    <t>-828.005432560097 376.36909363333 -463.137247526383</t>
  </si>
  <si>
    <t>-709.498152106713 357.813106272709 -194.431218287226</t>
  </si>
  <si>
    <t>-472.384691396564 349.38969324244 -236.349109989619</t>
  </si>
  <si>
    <t>-828.495405444246 193.530531825825 -523.064065730885</t>
  </si>
  <si>
    <t>-827.152497534636 56.0840145249144 -525.567042450277</t>
  </si>
  <si>
    <t>-840.070738307781 262.005142199139 -59.6994781260448</t>
  </si>
  <si>
    <t>-810.630678428155 244.235375684158 342.385388772751</t>
  </si>
  <si>
    <t>-843.603985287034 185.956146095632 785.035748082534</t>
  </si>
  <si>
    <t>-717.789962807047 260.047675226994 846.424241517296</t>
  </si>
  <si>
    <t>-776.353894481485 69.2683637556361 -69.5908821272672</t>
  </si>
  <si>
    <t>-630.3404324076 53.2223471204775 306.27767970446</t>
  </si>
  <si>
    <t>-718.073746410761 -22.3863983499805 738.855723210116</t>
  </si>
  <si>
    <t>-614.613106130834 -101.927666717224 828.613068344022</t>
  </si>
  <si>
    <t>9763-20170724T111122.382056500.bin</t>
  </si>
  <si>
    <t>-804.395859316186 164.173775325671 -63.9680713521733</t>
  </si>
  <si>
    <t>-830.537023187425 162.218293557386 -176.791033313775</t>
  </si>
  <si>
    <t>-838.234425044512 172.651384718907 -274.558954173647</t>
  </si>
  <si>
    <t>-839.45298133914 186.280946191427 -362.598633328419</t>
  </si>
  <si>
    <t>-834.38536655515 203.797887100391 -449.809372905593</t>
  </si>
  <si>
    <t>-820.568482241568 231.985873804968 -570.372063023894</t>
  </si>
  <si>
    <t>-789.187353273968 251.675169437369 -644.753588037665</t>
  </si>
  <si>
    <t>-828.22688220385 246.558928046979 -511.191972458489</t>
  </si>
  <si>
    <t>-824.912420135019 375.316839419374 -463.157813530558</t>
  </si>
  <si>
    <t>-704.041069628181 356.691383412303 -195.511732498448</t>
  </si>
  <si>
    <t>-466.865416878365 348.303853206602 -237.08396829602</t>
  </si>
  <si>
    <t>-825.070609671611 192.60455357615 -523.444958240269</t>
  </si>
  <si>
    <t>-823.375468851001 55.1590093577183 -526.148181227551</t>
  </si>
  <si>
    <t>-836.792941793886 260.372953966073 -59.831042472161</t>
  </si>
  <si>
    <t>-809.158113383729 242.450657593806 342.37505898198</t>
  </si>
  <si>
    <t>-842.903285617697 185.239972570489 785.000271428503</t>
  </si>
  <si>
    <t>-717.614183247147 260.16479899336 846.450622994763</t>
  </si>
  <si>
    <t>-772.411915675586 68.0577523143488 -70.1572502830512</t>
  </si>
  <si>
    <t>-627.314089252654 51.9754593488847 306.064306347877</t>
  </si>
  <si>
    <t>-718.475185319511 -23.7508368876524 738.009014074389</t>
  </si>
  <si>
    <t>-614.595685995326 -101.501274584372 828.845458247053</t>
  </si>
  <si>
    <t>9763-20170724T111122.415145800.bin</t>
  </si>
  <si>
    <t>-803.02149770063 163.786041105798 -64.1404789638859</t>
  </si>
  <si>
    <t>-829.063984268363 161.929586219268 -176.98793904609</t>
  </si>
  <si>
    <t>-836.746861712982 172.441945605961 -274.748528044298</t>
  </si>
  <si>
    <t>-837.97679876786 186.13623448295 -362.778026817956</t>
  </si>
  <si>
    <t>-832.943655844202 203.710592494382 -449.979311229422</t>
  </si>
  <si>
    <t>-819.197406971385 231.967882957974 -570.533649796128</t>
  </si>
  <si>
    <t>-787.738916492436 251.674875063371 -644.877745877876</t>
  </si>
  <si>
    <t>-826.853858005476 246.50589570003 -511.344707934359</t>
  </si>
  <si>
    <t>-823.605530933474 375.217453069514 -463.209239374139</t>
  </si>
  <si>
    <t>-702.055242199734 356.527016613456 -195.875353880672</t>
  </si>
  <si>
    <t>-464.87783039245 348.289200948789 -237.46755610016</t>
  </si>
  <si>
    <t>-823.638830801568 192.560484746698 -523.62256908352</t>
  </si>
  <si>
    <t>-821.918000779891 55.12112570617 -526.40027158546</t>
  </si>
  <si>
    <t>-835.606001432507 259.868848239558 -59.876766323462</t>
  </si>
  <si>
    <t>-808.586388139035 241.857454845494 342.367180339843</t>
  </si>
  <si>
    <t>-842.756816942672 185.035194052536 785.014157560548</t>
  </si>
  <si>
    <t>-717.484545289611 259.975849608657 846.479672274458</t>
  </si>
  <si>
    <t>-771.019496277115 67.903081729693 -70.4890103770464</t>
  </si>
  <si>
    <t>-626.437326628963 51.3258139038671 305.909509759265</t>
  </si>
  <si>
    <t>-718.748577349815 -24.5510978917282 737.566041024027</t>
  </si>
  <si>
    <t>-614.630261678981 -101.352664075112 828.934479639951</t>
  </si>
  <si>
    <t>9763-20170724T111122.479825700.bin</t>
  </si>
  <si>
    <t>-800.7643622336 163.466108424691 -64.1574734431409</t>
  </si>
  <si>
    <t>-826.6719424638 161.851333348112 -177.039678202705</t>
  </si>
  <si>
    <t>-834.333715131599 172.480697600279 -274.789321442851</t>
  </si>
  <si>
    <t>-835.586440586549 186.245538400511 -362.807405964272</t>
  </si>
  <si>
    <t>-830.618504417587 203.858850132523 -450.004552669742</t>
  </si>
  <si>
    <t>-817.008423837929 232.139865514 -570.569007552138</t>
  </si>
  <si>
    <t>-785.470411346623 251.843355757921 -644.880119943406</t>
  </si>
  <si>
    <t>-824.656005516545 246.664369848924 -511.375402953586</t>
  </si>
  <si>
    <t>-821.677588619682 375.383145973348 -463.198056919579</t>
  </si>
  <si>
    <t>-699.844290249449 356.445924785163 -196.010499155837</t>
  </si>
  <si>
    <t>-462.626010455198 348.52128829199 -237.430702320387</t>
  </si>
  <si>
    <t>-821.339218244119 192.725336769292 -523.65367665826</t>
  </si>
  <si>
    <t>-819.546227928642 55.287734566286 -526.429544986158</t>
  </si>
  <si>
    <t>-833.45048105961 259.357847998183 -59.7301923957525</t>
  </si>
  <si>
    <t>-806.99147060631 240.845134562429 342.528231722054</t>
  </si>
  <si>
    <t>-842.353301297796 184.371404180487 785.205948547589</t>
  </si>
  <si>
    <t>-717.482590620678 260.06591294236 846.565616307571</t>
  </si>
  <si>
    <t>-768.649726264423 67.8341265126269 -70.8012994149426</t>
  </si>
  <si>
    <t>-625.325799873277 50.1885605577213 306.029594596289</t>
  </si>
  <si>
    <t>-719.695490123058 -26.1271446073788 737.179011568711</t>
  </si>
  <si>
    <t>-614.75101532476 -101.179715080647 829.054119086977</t>
  </si>
  <si>
    <t>9763-20170724T111122.515430800.bin</t>
  </si>
  <si>
    <t>-799.756653691031 163.347973561629 -64.0665205539023</t>
  </si>
  <si>
    <t>-825.730199713809 161.808089519171 -176.934686451859</t>
  </si>
  <si>
    <t>-833.473655616023 172.431209663717 -274.678390697224</t>
  </si>
  <si>
    <t>-834.815134448855 186.168653120781 -362.699669452307</t>
  </si>
  <si>
    <t>-829.953453414138 203.735592205618 -449.912008991727</t>
  </si>
  <si>
    <t>-816.511770861747 231.93771536102 -570.513860725604</t>
  </si>
  <si>
    <t>-784.947750227388 251.57661717049 -644.831147304657</t>
  </si>
  <si>
    <t>-824.08310038741 246.50058871609 -511.319947441419</t>
  </si>
  <si>
    <t>-821.177533332602 375.271939920796 -463.249225290415</t>
  </si>
  <si>
    <t>-699.745501580448 356.364049949755 -195.876942150809</t>
  </si>
  <si>
    <t>-462.523483589823 348.173122129705 -237.2224759111</t>
  </si>
  <si>
    <t>-820.770673785576 192.554052559754 -523.565874143182</t>
  </si>
  <si>
    <t>-818.998839005035 55.1269660201101 -526.224332585717</t>
  </si>
  <si>
    <t>-832.317608077769 259.172836916357 -59.5256640028392</t>
  </si>
  <si>
    <t>-805.814357785274 240.419019817592 342.718772963432</t>
  </si>
  <si>
    <t>-842.24751084791 183.982848531579 785.438337698966</t>
  </si>
  <si>
    <t>-717.337697617183 259.763519766031 846.611441509098</t>
  </si>
  <si>
    <t>-767.641883021507 67.587673587173 -70.8714301833179</t>
  </si>
  <si>
    <t>-625.59087279467 49.717283123196 306.4305895883</t>
  </si>
  <si>
    <t>-720.153146936857 -26.530331107374 737.363452319495</t>
  </si>
  <si>
    <t>-614.853368248778 -101.094142319744 829.23000104551</t>
  </si>
  <si>
    <t>9763-20170724T111122.582256400.bin</t>
  </si>
  <si>
    <t>-798.717615200299 162.978234521001 -63.5842444641391</t>
  </si>
  <si>
    <t>-825.063650009522 161.203762006076 -176.362619515643</t>
  </si>
  <si>
    <t>-833.205092102429 171.556815613627 -274.103051761662</t>
  </si>
  <si>
    <t>-834.939268587794 185.030244125243 -362.158167573546</t>
  </si>
  <si>
    <t>-830.501984405534 202.317874884881 -449.44904765417</t>
  </si>
  <si>
    <t>-817.685374662354 230.116350996124 -570.212372293997</t>
  </si>
  <si>
    <t>-786.123166581242 249.412019430862 -644.620061012275</t>
  </si>
  <si>
    <t>-824.887071259337 244.879194981201 -511.02196142817</t>
  </si>
  <si>
    <t>-821.872294015845 373.834513211008 -463.448393209121</t>
  </si>
  <si>
    <t>-702.923873138339 355.317937728602 -194.934559327582</t>
  </si>
  <si>
    <t>-465.613894881554 346.484103481407 -235.638605449446</t>
  </si>
  <si>
    <t>-821.763785294085 190.887762949782 -523.118819479449</t>
  </si>
  <si>
    <t>-820.406854793416 53.4470530606559 -525.253563035829</t>
  </si>
  <si>
    <t>-831.267814823143 258.959968045051 -59.0124661745868</t>
  </si>
  <si>
    <t>-804.471817017754 239.50820996561 343.179399702992</t>
  </si>
  <si>
    <t>-842.535910207929 183.504791763631 785.984540494783</t>
  </si>
  <si>
    <t>-717.094312670858 258.82260054869 846.638949787043</t>
  </si>
  <si>
    <t>-766.803461189889 67.0059751838962 -70.1637635329894</t>
  </si>
  <si>
    <t>-625.050287064471 48.1319433341864 307.201449406522</t>
  </si>
  <si>
    <t>-720.347283672747 -26.0355448125147 738.225689160141</t>
  </si>
  <si>
    <t>-614.929600699619 -100.747728756407 829.835999685541</t>
  </si>
  <si>
    <t>9763-20170724T111122.616355500.bin</t>
  </si>
  <si>
    <t>-798.647955390378 162.644775286863 -63.2201807363812</t>
  </si>
  <si>
    <t>-825.234646609971 160.719751816217 -175.939675992264</t>
  </si>
  <si>
    <t>-833.644156628005 170.870355240655 -273.678505866297</t>
  </si>
  <si>
    <t>-835.646991393703 184.136948082247 -361.759382379079</t>
  </si>
  <si>
    <t>-831.504692163105 201.196092294182 -449.109640688458</t>
  </si>
  <si>
    <t>-819.127579434615 228.657101711303 -569.995987298829</t>
  </si>
  <si>
    <t>-787.603984381022 247.693622755385 -644.487025386655</t>
  </si>
  <si>
    <t>-826.073446446977 243.586521407234 -510.816871696417</t>
  </si>
  <si>
    <t>-822.864595463592 372.657720803735 -463.548958757339</t>
  </si>
  <si>
    <t>-707.001992747953 353.73837903062 -193.717280808716</t>
  </si>
  <si>
    <t>-469.63797522577 345.343012447847 -234.198231702973</t>
  </si>
  <si>
    <t>-823.074703457242 189.559006809588 -522.78301700245</t>
  </si>
  <si>
    <t>-822.024246351183 52.1040981189281 -524.492633047658</t>
  </si>
  <si>
    <t>-830.959451893872 258.721882620548 -58.7038510047418</t>
  </si>
  <si>
    <t>-804.049774048468 239.175845708536 343.475836585107</t>
  </si>
  <si>
    <t>-842.725256724852 183.342146068909 786.231685267331</t>
  </si>
  <si>
    <t>-716.964241967258 258.33333117541 846.628313853844</t>
  </si>
  <si>
    <t>-766.704887878349 66.5471649945603 -69.7038148914199</t>
  </si>
  <si>
    <t>-624.721107643955 47.9732899970722 307.589626004218</t>
  </si>
  <si>
    <t>-720.124645814065 -25.405718480572 738.634459862293</t>
  </si>
  <si>
    <t>-614.9933715256 -100.569539318544 830.204831452191</t>
  </si>
  <si>
    <t>9763-20170724T111122.684155700.bin</t>
  </si>
  <si>
    <t>-797.517396719389 161.750249474754 -62.6097145718213</t>
  </si>
  <si>
    <t>-824.632972420817 159.703370497797 -175.200846018318</t>
  </si>
  <si>
    <t>-833.480402238236 169.587088335921 -272.928610566398</t>
  </si>
  <si>
    <t>-835.879106587108 182.55560231347 -361.043970080597</t>
  </si>
  <si>
    <t>-832.134449433684 199.263877510677 -448.47989863046</t>
  </si>
  <si>
    <t>-820.316810696477 226.184236802099 -569.543771147007</t>
  </si>
  <si>
    <t>-789.023421601788 244.695226435114 -644.263796358282</t>
  </si>
  <si>
    <t>-826.902068240611 241.380872944185 -510.39135470694</t>
  </si>
  <si>
    <t>-823.250205776362 370.464140711183 -463.26860614915</t>
  </si>
  <si>
    <t>-716.537003650232 350.214839550646 -189.784767319665</t>
  </si>
  <si>
    <t>-478.993502238527 342.113710327144 -229.260304123818</t>
  </si>
  <si>
    <t>-824.132099863057 187.29492749296 -522.14770253479</t>
  </si>
  <si>
    <t>-823.73353434594 49.8154115372017 -523.083991202105</t>
  </si>
  <si>
    <t>-829.263637644128 257.958885652927 -58.2652860119608</t>
  </si>
  <si>
    <t>-801.528858644356 238.727034752684 343.87337982385</t>
  </si>
  <si>
    <t>-842.617617843916 182.568435598014 786.282611155819</t>
  </si>
  <si>
    <t>-716.590740886009 257.49220604479 846.206637107753</t>
  </si>
  <si>
    <t>-765.800307885036 65.8058393280462 -69.1219369759599</t>
  </si>
  <si>
    <t>-623.605407791807 46.9619867657543 308.078531931919</t>
  </si>
  <si>
    <t>-719.940791449941 -24.8820686442505 739.14241797149</t>
  </si>
  <si>
    <t>-615.176405624716 -100.289937994435 830.932131505723</t>
  </si>
  <si>
    <t>9763-20170724T111122.726263500.bin</t>
  </si>
  <si>
    <t>-796.5789819199 161.364136260466 -62.3936652537606</t>
  </si>
  <si>
    <t>-824.011520615946 159.291579110737 -174.907544175561</t>
  </si>
  <si>
    <t>-833.071776066475 169.116699524646 -272.621554330217</t>
  </si>
  <si>
    <t>-835.640483579924 182.021382956773 -360.741511203177</t>
  </si>
  <si>
    <t>-832.045381827348 198.65452749724 -448.197992753874</t>
  </si>
  <si>
    <t>-820.415434357093 225.45968228444 -569.305643280897</t>
  </si>
  <si>
    <t>-789.248955433072 243.742845259811 -644.134798815515</t>
  </si>
  <si>
    <t>-826.868558309018 240.713692389646 -510.153502026267</t>
  </si>
  <si>
    <t>-823.178545414899 369.795505602387 -463.000528291115</t>
  </si>
  <si>
    <t>-722.020676294195 348.716956560916 -187.475720271543</t>
  </si>
  <si>
    <t>-484.388296271874 341.329832219666 -226.55442230862</t>
  </si>
  <si>
    <t>-824.197813248624 186.614581465672 -521.870995354822</t>
  </si>
  <si>
    <t>-824.24573177199 49.1400010021443 -522.579452395873</t>
  </si>
  <si>
    <t>-828.023385810578 257.438043052739 -58.1148971801871</t>
  </si>
  <si>
    <t>-799.746876333693 238.557278839284 344.002805143011</t>
  </si>
  <si>
    <t>-842.452736312873 182.110230823598 786.19789642526</t>
  </si>
  <si>
    <t>-715.9899308629 256.459355330181 845.919772323304</t>
  </si>
  <si>
    <t>-765.375231896591 65.4920026141695 -68.7663728770793</t>
  </si>
  <si>
    <t>-622.809888752346 46.2668381019903 308.275046064073</t>
  </si>
  <si>
    <t>-719.83386901422 -24.7052997505566 739.299234719734</t>
  </si>
  <si>
    <t>-615.320519618274 -100.258840619595 831.255308511275</t>
  </si>
  <si>
    <t>9763-20170724T111122.779910400.bin</t>
  </si>
  <si>
    <t>-794.166598716984 159.722789949851 -61.8885034357518</t>
  </si>
  <si>
    <t>-822.039004191617 157.431763202422 -174.290104219725</t>
  </si>
  <si>
    <t>-831.497895611907 167.04246951243 -271.987638710795</t>
  </si>
  <si>
    <t>-834.440958246288 179.755447528182 -360.123678917815</t>
  </si>
  <si>
    <t>-831.23444886322 196.205450463913 -447.630043922699</t>
  </si>
  <si>
    <t>-820.163607749712 222.7701237365 -568.84289886378</t>
  </si>
  <si>
    <t>-789.231267126312 240.546585574751 -643.890978406071</t>
  </si>
  <si>
    <t>-826.295983419719 238.142736673628 -509.687388799428</t>
  </si>
  <si>
    <t>-823.283413496484 367.410405722848 -462.943403460397</t>
  </si>
  <si>
    <t>-735.834764822944 343.944306096017 -182.955350950174</t>
  </si>
  <si>
    <t>-498.381227971197 338.253302755849 -223.381679825367</t>
  </si>
  <si>
    <t>-823.774512646138 184.017821350609 -521.318885332141</t>
  </si>
  <si>
    <t>-824.527585198818 46.5429130051607 -521.720944787971</t>
  </si>
  <si>
    <t>-824.792976658301 256.054258581456 -57.8759568917133</t>
  </si>
  <si>
    <t>-796.324164854215 237.916129172892 344.262409041016</t>
  </si>
  <si>
    <t>-842.171129207007 181.354991393649 786.084090822391</t>
  </si>
  <si>
    <t>-715.422159477044 255.452395246477 845.511300329557</t>
  </si>
  <si>
    <t>-763.7111612957 63.3134832178266 -68.0058722045789</t>
  </si>
  <si>
    <t>-621.414432767332 45.4679280865234 309.2046662652</t>
  </si>
  <si>
    <t>-719.588145708305 -23.4393672532042 740.264333097439</t>
  </si>
  <si>
    <t>-615.363272293187 -99.629247558724 832.022643698773</t>
  </si>
  <si>
    <t>9763-20170724T111122.817143200.bin</t>
  </si>
  <si>
    <t>-792.974967196988 158.823405027456 -61.6498339637087</t>
  </si>
  <si>
    <t>-820.915831428663 156.45768808282 -174.032862990619</t>
  </si>
  <si>
    <t>-830.502915128979 166.001951307501 -271.724540466047</t>
  </si>
  <si>
    <t>-833.593544571737 178.663668984159 -359.862969988841</t>
  </si>
  <si>
    <t>-830.567924584955 195.076444020786 -447.382631889789</t>
  </si>
  <si>
    <t>-819.785516847651 221.610041754209 -568.628390486756</t>
  </si>
  <si>
    <t>-788.956346057348 239.222643977878 -643.757446185376</t>
  </si>
  <si>
    <t>-825.787708794271 236.997548087199 -509.463253386867</t>
  </si>
  <si>
    <t>-823.037655412325 366.249659475545 -462.772760750854</t>
  </si>
  <si>
    <t>-744.329712662968 341.970002849532 -180.27177195513</t>
  </si>
  <si>
    <t>-506.985664885131 335.395135284292 -221.204185978228</t>
  </si>
  <si>
    <t>-823.273040205184 182.870142766704 -521.084921317682</t>
  </si>
  <si>
    <t>-824.324984533003 45.3935461756764 -521.387426174745</t>
  </si>
  <si>
    <t>-823.22021485243 255.509098837855 -57.7979891792727</t>
  </si>
  <si>
    <t>-795.137732038982 237.365221538596 344.367273019733</t>
  </si>
  <si>
    <t>-842.058119852187 181.077002512178 786.055947756855</t>
  </si>
  <si>
    <t>-715.143295005399 254.965208834693 845.389578713106</t>
  </si>
  <si>
    <t>-762.985409107127 62.2962773613535 -67.7066280731526</t>
  </si>
  <si>
    <t>-621.228563060664 45.1438181969988 309.739404512792</t>
  </si>
  <si>
    <t>-719.596245895041 -22.5049586788878 741.053225514142</t>
  </si>
  <si>
    <t>-615.408738169342 -99.2885110278273 832.357842050735</t>
  </si>
  <si>
    <t>9763-20170724T111122.885032300.bin</t>
  </si>
  <si>
    <t>-791.585450799169 157.809645812727 -61.3086838897004</t>
  </si>
  <si>
    <t>-819.494456346458 155.445960862166 -173.699595707151</t>
  </si>
  <si>
    <t>-829.155817537303 164.972194811493 -271.385671804389</t>
  </si>
  <si>
    <t>-832.367523826791 177.632001658259 -359.519946135846</t>
  </si>
  <si>
    <t>-829.522952067975 194.070973278262 -447.040885605663</t>
  </si>
  <si>
    <t>-819.059220575638 220.683867846929 -568.29711584241</t>
  </si>
  <si>
    <t>-788.408114183006 238.148356354072 -643.53350547903</t>
  </si>
  <si>
    <t>-824.979652949545 236.030932738055 -509.113199743909</t>
  </si>
  <si>
    <t>-822.693403379485 365.344955199773 -462.532392459443</t>
  </si>
  <si>
    <t>-764.030427515315 341.436069601723 -175.16815853685</t>
  </si>
  <si>
    <t>-526.857440209612 330.397254076298 -216.132360045892</t>
  </si>
  <si>
    <t>-822.347919246829 181.914974880206 -520.763307365864</t>
  </si>
  <si>
    <t>-823.834456079896 44.4654275301236 -520.940224142458</t>
  </si>
  <si>
    <t>-821.412364023067 255.185604100607 -57.6774440579189</t>
  </si>
  <si>
    <t>-794.420907231553 236.05131583772 344.516580679313</t>
  </si>
  <si>
    <t>-841.84228911805 180.709522064289 786.104890302328</t>
  </si>
  <si>
    <t>-715.037697266535 254.812408817854 845.406436142847</t>
  </si>
  <si>
    <t>-762.222952793832 60.67258702035 -67.0233464872092</t>
  </si>
  <si>
    <t>-621.166785522997 45.0117429242241 310.749808655031</t>
  </si>
  <si>
    <t>-719.647125448229 -20.3658467437194 742.607922637052</t>
  </si>
  <si>
    <t>-615.564962846075 -98.7139192311347 832.69546273494</t>
  </si>
  <si>
    <t>9763-20170724T111122.917117300.bin</t>
  </si>
  <si>
    <t>-791.196709774521 157.319100063368 -61.2494459438267</t>
  </si>
  <si>
    <t>-818.987372823551 154.962780482375 -173.66984206494</t>
  </si>
  <si>
    <t>-828.606030240277 164.463995089968 -271.36254207501</t>
  </si>
  <si>
    <t>-831.810177547496 177.099881839998 -359.500528571988</t>
  </si>
  <si>
    <t>-828.991741209389 193.519468182399 -447.025946263742</t>
  </si>
  <si>
    <t>-818.603535714941 220.116723704881 -568.292106854305</t>
  </si>
  <si>
    <t>-788.024081646208 237.517114386857 -643.572689569826</t>
  </si>
  <si>
    <t>-824.518445876001 235.470326624723 -509.109398591405</t>
  </si>
  <si>
    <t>-822.461869092142 364.863115444889 -462.691709736443</t>
  </si>
  <si>
    <t>-774.138070901086 339.72446665505 -173.51362287272</t>
  </si>
  <si>
    <t>-537.156488652278 326.423540372669 -214.911357704606</t>
  </si>
  <si>
    <t>-821.831315070111 181.354850230417 -520.748380294941</t>
  </si>
  <si>
    <t>-823.522331082174 43.9021653080363 -520.877755685035</t>
  </si>
  <si>
    <t>-820.661469113487 254.962319412088 -57.7259053470673</t>
  </si>
  <si>
    <t>-794.839908436893 235.227085781216 344.515910355665</t>
  </si>
  <si>
    <t>-841.673953582613 180.620601368596 786.179336752046</t>
  </si>
  <si>
    <t>-714.702154783094 254.323596546865 845.621102921553</t>
  </si>
  <si>
    <t>-762.011976770476 59.7974870414259 -66.9109384691116</t>
  </si>
  <si>
    <t>-621.605286459324 45.339060029125 311.151907756367</t>
  </si>
  <si>
    <t>-719.564755436326 -19.0984085723208 743.338499340841</t>
  </si>
  <si>
    <t>-615.870286625527 -98.6762497389368 832.792983798773</t>
  </si>
  <si>
    <t>9763-20170724T111122.983094100.bin</t>
  </si>
  <si>
    <t>-791.021601011215 157.13429360853 -61.2011421414107</t>
  </si>
  <si>
    <t>-818.594403952142 154.603388596817 -173.67137875011</t>
  </si>
  <si>
    <t>-828.122808819613 163.958591783178 -271.38700454852</t>
  </si>
  <si>
    <t>-831.290642064976 176.474780443797 -359.543497745785</t>
  </si>
  <si>
    <t>-828.483649349399 192.795576595806 -447.087729947847</t>
  </si>
  <si>
    <t>-818.163320639287 219.283114321565 -568.38366193247</t>
  </si>
  <si>
    <t>-787.668096860925 236.512589281987 -643.737524206082</t>
  </si>
  <si>
    <t>-824.132933988238 234.68749700731 -509.219586473814</t>
  </si>
  <si>
    <t>-822.34778630141 364.155403343013 -463.120715054668</t>
  </si>
  <si>
    <t>-790.227038773513 336.689642068351 -171.907595867614</t>
  </si>
  <si>
    <t>-553.398489519572 317.427766188607 -211.808149238358</t>
  </si>
  <si>
    <t>-821.276560233669 180.567133889005 -520.794963751209</t>
  </si>
  <si>
    <t>-823.230689827441 43.1058240436528 -520.753166893239</t>
  </si>
  <si>
    <t>-820.348463842134 255.14008185541 -57.9080815627135</t>
  </si>
  <si>
    <t>-796.47967435825 234.012510072168 344.38360421916</t>
  </si>
  <si>
    <t>-841.446838646847 180.775617313075 786.400027985985</t>
  </si>
  <si>
    <t>-714.493683585866 254.15686362096 846.277783451909</t>
  </si>
  <si>
    <t>-762.094837372418 59.4564984050394 -66.6092331248555</t>
  </si>
  <si>
    <t>-622.67123758089 45.8909993148309 311.850365033884</t>
  </si>
  <si>
    <t>-720.035409496845 -17.5589174051597 744.534745308957</t>
  </si>
  <si>
    <t>-616.311198192344 -98.434422866002 832.782811829273</t>
  </si>
  <si>
    <t>9763-20170724T111123.017190400.bin</t>
  </si>
  <si>
    <t>-791.210884553085 157.440211555682 -61.1281377264471</t>
  </si>
  <si>
    <t>-818.659500113999 154.807411451633 -173.626434124595</t>
  </si>
  <si>
    <t>-828.126450944669 164.07220114493 -271.356661825682</t>
  </si>
  <si>
    <t>-831.25864817341 176.509175365043 -359.5256619997</t>
  </si>
  <si>
    <t>-828.438578429103 192.756157280048 -447.08308873522</t>
  </si>
  <si>
    <t>-818.122540763839 219.150772760653 -568.399694582317</t>
  </si>
  <si>
    <t>-787.602349454665 236.303207314639 -643.761101238286</t>
  </si>
  <si>
    <t>-824.158404728311 234.598257326591 -509.253660998068</t>
  </si>
  <si>
    <t>-822.507175537004 364.092040958277 -463.238223566604</t>
  </si>
  <si>
    <t>-793.25505041766 335.955754893228 -171.786806184734</t>
  </si>
  <si>
    <t>-556.590573636043 314.729422594462 -211.664459397622</t>
  </si>
  <si>
    <t>-821.16595914035 180.473321059856 -520.774912184288</t>
  </si>
  <si>
    <t>-823.02654765229 43.0207888204809 -520.623702773275</t>
  </si>
  <si>
    <t>-820.645927980258 255.495538911423 -57.9469290639366</t>
  </si>
  <si>
    <t>-797.460916856552 233.749022986783 344.351686864103</t>
  </si>
  <si>
    <t>-841.377949441106 180.846119126485 786.505710038418</t>
  </si>
  <si>
    <t>-714.455537910239 254.166098561891 846.524268127518</t>
  </si>
  <si>
    <t>-762.190762637428 59.7488435901937 -66.4016446439198</t>
  </si>
  <si>
    <t>-622.999963496243 46.092804147303 312.140446410107</t>
  </si>
  <si>
    <t>-720.48206028253 -17.2811411125158 744.887175226342</t>
  </si>
  <si>
    <t>-616.629580003044 -98.4832836362857 832.683639369938</t>
  </si>
  <si>
    <t>9763-20170724T111123.081976100.bin</t>
  </si>
  <si>
    <t>-791.420376956457 158.069265501048 -61.0066010173217</t>
  </si>
  <si>
    <t>-818.629808166232 154.945014452157 -173.550435624774</t>
  </si>
  <si>
    <t>-828.143101329261 163.828943821666 -271.311532326323</t>
  </si>
  <si>
    <t>-831.412827221625 175.938715225511 -359.520887970336</t>
  </si>
  <si>
    <t>-828.82071989966 191.879795350941 -447.141688244711</t>
  </si>
  <si>
    <t>-818.914148869583 217.870707662801 -568.579526608259</t>
  </si>
  <si>
    <t>-788.35065231914 234.764201667865 -643.981820900496</t>
  </si>
  <si>
    <t>-824.821183425531 233.512280033217 -509.47144532612</t>
  </si>
  <si>
    <t>-823.478451056976 363.106520166509 -463.648668622606</t>
  </si>
  <si>
    <t>-788.714718772671 334.122521133083 -172.886460931838</t>
  </si>
  <si>
    <t>-552.12318572417 310.186290841499 -211.646241115042</t>
  </si>
  <si>
    <t>-821.725894422082 179.354781946852 -520.810146392133</t>
  </si>
  <si>
    <t>-823.144936252674 41.9050941033279 -520.224319764344</t>
  </si>
  <si>
    <t>-821.169923879492 255.694934725404 -58.0569511017354</t>
  </si>
  <si>
    <t>-798.782541801794 233.797804962939 344.278710928782</t>
  </si>
  <si>
    <t>-841.245413169842 180.717593951483 786.582061146517</t>
  </si>
  <si>
    <t>-714.315511834694 253.974941496691 846.660653734163</t>
  </si>
  <si>
    <t>-761.831234156255 60.2744233690805 -65.9854142215542</t>
  </si>
  <si>
    <t>-623.153012414158 46.763255288311 312.749924143813</t>
  </si>
  <si>
    <t>-721.249273471593 -17.0160369224741 745.264410579433</t>
  </si>
  <si>
    <t>-616.753937666704 -97.9815460613695 832.51462126573</t>
  </si>
  <si>
    <t>9763-20170724T111123.115064600.bin</t>
  </si>
  <si>
    <t>-791.088556906979 157.931059827345 -60.9321661726055</t>
  </si>
  <si>
    <t>-818.215011435406 154.525124004278 -173.487846104676</t>
  </si>
  <si>
    <t>-827.784660730421 163.173916234845 -271.264569968876</t>
  </si>
  <si>
    <t>-831.15230513123 175.073010346596 -359.498960819286</t>
  </si>
  <si>
    <t>-828.702791446399 190.806383049154 -447.161390552978</t>
  </si>
  <si>
    <t>-819.039814144717 216.510127498822 -568.679863319859</t>
  </si>
  <si>
    <t>-788.412817024389 233.229848289238 -644.095284755795</t>
  </si>
  <si>
    <t>-824.821532531684 232.291523652559 -509.596679664071</t>
  </si>
  <si>
    <t>-823.424928150122 361.983662709126 -464.085827468817</t>
  </si>
  <si>
    <t>-783.790276051866 333.035658225382 -173.943960609054</t>
  </si>
  <si>
    <t>-547.160234316401 309.912294762334 -212.962694787473</t>
  </si>
  <si>
    <t>-821.762824956619 178.106892644841 -520.814557842313</t>
  </si>
  <si>
    <t>-823.131702806242 40.6422761757331 -519.802729933692</t>
  </si>
  <si>
    <t>-821.146635184488 255.523275587878 -58.127982614285</t>
  </si>
  <si>
    <t>-798.704350773724 233.703706269597 344.208815908257</t>
  </si>
  <si>
    <t>-841.180424015728 180.535977663802 786.548165203878</t>
  </si>
  <si>
    <t>-714.171143416332 253.70147777515 846.571407032061</t>
  </si>
  <si>
    <t>-761.235640817413 60.1298820726024 -65.7139219872961</t>
  </si>
  <si>
    <t>-622.816103401111 46.9465249162163 313.127589749181</t>
  </si>
  <si>
    <t>-721.472107846379 -16.9239002106215 745.429218481193</t>
  </si>
  <si>
    <t>-616.72932190732 -97.7262323693642 832.534064580585</t>
  </si>
  <si>
    <t>9763-20170724T111123.182071800.bin</t>
  </si>
  <si>
    <t>-790.257745522895 157.358836785244 -60.6688988744363</t>
  </si>
  <si>
    <t>-817.24417994668 153.634086652509 -173.248079626072</t>
  </si>
  <si>
    <t>-826.872042014255 161.86885596519 -271.054814679606</t>
  </si>
  <si>
    <t>-830.370156708304 173.347483307361 -359.339871155332</t>
  </si>
  <si>
    <t>-828.130617357032 188.620846888326 -447.089298550396</t>
  </si>
  <si>
    <t>-818.844978084028 213.648585350566 -568.778216133995</t>
  </si>
  <si>
    <t>-788.068925791277 229.975664643484 -644.218706341729</t>
  </si>
  <si>
    <t>-824.478696736776 229.756648273682 -509.768902647388</t>
  </si>
  <si>
    <t>-823.17363843013 359.78565871897 -465.132149962108</t>
  </si>
  <si>
    <t>-770.807070431094 334.408000575201 -176.679383379356</t>
  </si>
  <si>
    <t>-534.418177317722 313.224740905019 -218.181531884284</t>
  </si>
  <si>
    <t>-821.383986516029 175.51344247867 -520.688853423273</t>
  </si>
  <si>
    <t>-822.423453717292 38.0795395694358 -518.556177656454</t>
  </si>
  <si>
    <t>-820.731129598995 255.322587022244 -58.2024192631869</t>
  </si>
  <si>
    <t>-798.242084263008 233.130111757015 344.111364573791</t>
  </si>
  <si>
    <t>-840.992627307519 180.059313554052 786.454738620269</t>
  </si>
  <si>
    <t>-713.879294349739 253.159792342442 846.336649212118</t>
  </si>
  <si>
    <t>-760.163627065267 59.3291578231551 -65.1683338542367</t>
  </si>
  <si>
    <t>-621.847915617119 47.2625591817618 313.748326748777</t>
  </si>
  <si>
    <t>-721.526073365553 -16.0223212263122 745.753668416939</t>
  </si>
  <si>
    <t>-616.975173919516 -97.2396477758639 832.702800091824</t>
  </si>
  <si>
    <t>9763-20170724T111123.214157800.bin</t>
  </si>
  <si>
    <t>-789.822584644138 156.920966711559 -60.5363889300073</t>
  </si>
  <si>
    <t>-816.724025317357 153.034257867241 -173.130530445908</t>
  </si>
  <si>
    <t>-826.354567786612 161.017406375917 -270.957786894914</t>
  </si>
  <si>
    <t>-829.890114177452 172.227375549167 -359.275785383428</t>
  </si>
  <si>
    <t>-827.725232918257 187.195646318434 -447.079667703713</t>
  </si>
  <si>
    <t>-818.582756565239 211.762171577679 -568.873282936706</t>
  </si>
  <si>
    <t>-787.727284399358 227.825237303431 -644.338204784956</t>
  </si>
  <si>
    <t>-824.166648215804 228.092961768182 -509.920508980723</t>
  </si>
  <si>
    <t>-822.832775514129 358.310090479882 -465.820110477695</t>
  </si>
  <si>
    <t>-764.475268281964 335.162291430943 -178.331338148473</t>
  </si>
  <si>
    <t>-528.314139545297 315.67831804539 -221.910369027646</t>
  </si>
  <si>
    <t>-821.045142979813 173.810363802617 -520.635414406419</t>
  </si>
  <si>
    <t>-821.961129740452 36.3829771776254 -517.941147119606</t>
  </si>
  <si>
    <t>-820.424742418706 255.156732861964 -58.2063272484619</t>
  </si>
  <si>
    <t>-798.064334438207 232.749082160203 344.102725935716</t>
  </si>
  <si>
    <t>-840.897181420014 179.835241150888 786.423220332853</t>
  </si>
  <si>
    <t>-713.717552414666 252.861027060835 846.255335787685</t>
  </si>
  <si>
    <t>-759.525246793482 58.6171015376758 -64.8982888805348</t>
  </si>
  <si>
    <t>-621.283735046104 47.1821424186651 314.065046955183</t>
  </si>
  <si>
    <t>-721.638478246886 -15.7829123298193 745.918735085676</t>
  </si>
  <si>
    <t>-616.761390294214 -96.6862617896741 832.767828490267</t>
  </si>
  <si>
    <t>9763-20170724T111123.282130100.bin</t>
  </si>
  <si>
    <t>-788.8985201042 156.745250351888 -60.2366374514156</t>
  </si>
  <si>
    <t>-815.640752781958 152.531132558065 -172.856878615492</t>
  </si>
  <si>
    <t>-825.302912400273 160.029006215629 -270.719567393153</t>
  </si>
  <si>
    <t>-828.941258336681 170.724718845887 -359.09717199369</t>
  </si>
  <si>
    <t>-826.955773530136 185.111020130599 -447.002393215093</t>
  </si>
  <si>
    <t>-818.146601993028 208.799827310664 -568.994346034232</t>
  </si>
  <si>
    <t>-787.154044650072 224.316634738773 -644.517311340607</t>
  </si>
  <si>
    <t>-823.647948532784 225.551331003491 -510.151983155331</t>
  </si>
  <si>
    <t>-822.270537608 356.110402850285 -467.127850726422</t>
  </si>
  <si>
    <t>-754.018588213713 336.724770634933 -181.545763754461</t>
  </si>
  <si>
    <t>-517.955087812983 319.792308299432 -226.692119854736</t>
  </si>
  <si>
    <t>-820.398234645096 171.199591916305 -520.47149222476</t>
  </si>
  <si>
    <t>-820.790123427384 33.7721811383362 -516.765306097782</t>
  </si>
  <si>
    <t>-819.999716931464 255.321069929205 -58.1560359858512</t>
  </si>
  <si>
    <t>-797.808302880877 232.447633811955 344.136143479603</t>
  </si>
  <si>
    <t>-840.679995600697 179.440411356325 786.393846521141</t>
  </si>
  <si>
    <t>-713.492573439213 252.465955518512 846.20968792449</t>
  </si>
  <si>
    <t>-758.231191914165 58.3270470435605 -64.3821506663093</t>
  </si>
  <si>
    <t>-619.478661595598 47.2272619766945 314.404313936651</t>
  </si>
  <si>
    <t>-721.620071001655 -15.025977437027 746.020969877838</t>
  </si>
  <si>
    <t>-617.117571495387 -96.3138356143857 832.962422840673</t>
  </si>
  <si>
    <t>9763-20170724T111123.313223500.bin</t>
  </si>
  <si>
    <t>-788.60545403489 156.999012890013 -60.0872729760341</t>
  </si>
  <si>
    <t>-815.291288251456 152.688980140956 -172.717284382755</t>
  </si>
  <si>
    <t>-824.975781598566 160.027548844233 -270.589598975126</t>
  </si>
  <si>
    <t>-828.666181991431 170.551918690805 -358.985760221932</t>
  </si>
  <si>
    <t>-826.767006523101 184.743338805304 -446.924505334061</t>
  </si>
  <si>
    <t>-818.114560382836 208.140437880928 -568.984133563223</t>
  </si>
  <si>
    <t>-787.041407552248 223.479358974169 -644.510337543227</t>
  </si>
  <si>
    <t>-823.636555804889 225.028072023361 -510.182615108312</t>
  </si>
  <si>
    <t>-822.432109944349 355.701996806784 -467.50773530848</t>
  </si>
  <si>
    <t>-751.047798017607 337.812720357652 -182.59468772606</t>
  </si>
  <si>
    <t>-514.991885658843 321.492124661134 -228.004843077763</t>
  </si>
  <si>
    <t>-820.20729925863 170.660810737622 -520.360912796521</t>
  </si>
  <si>
    <t>-820.104567803891 33.2438399298071 -516.256971029268</t>
  </si>
  <si>
    <t>-819.986822556198 255.717393617144 -58.0763585302661</t>
  </si>
  <si>
    <t>-797.89912397572 232.541212072943 344.204232179406</t>
  </si>
  <si>
    <t>-840.570384025829 179.331242948015 786.423005299074</t>
  </si>
  <si>
    <t>-713.602028581494 252.671974425287 846.318711587885</t>
  </si>
  <si>
    <t>-757.596440660001 58.5128683454213 -64.1383576690885</t>
  </si>
  <si>
    <t>-618.522745115232 47.5445738714975 314.534158096202</t>
  </si>
  <si>
    <t>-721.578081732714 -14.7490169333223 745.949657792775</t>
  </si>
  <si>
    <t>-617.149406758926 -95.9764519317132 833.0362592547</t>
  </si>
  <si>
    <t>9763-20170724T111123.384381300.bin</t>
  </si>
  <si>
    <t>-788.114957250966 157.54025902676 -59.8510869616381</t>
  </si>
  <si>
    <t>-814.568827615206 153.108483991042 -172.531011157102</t>
  </si>
  <si>
    <t>-824.272943508389 160.213444178859 -270.418807617766</t>
  </si>
  <si>
    <t>-828.079121239148 170.485721565165 -358.839468634118</t>
  </si>
  <si>
    <t>-826.397598573001 184.398596501439 -446.827342719084</t>
  </si>
  <si>
    <t>-818.160054904044 207.389035566588 -568.99266869523</t>
  </si>
  <si>
    <t>-786.955293254697 222.513025108707 -644.508083424235</t>
  </si>
  <si>
    <t>-823.777533371523 224.456689834497 -510.252199463308</t>
  </si>
  <si>
    <t>-823.390909520324 355.265643986646 -467.965255980781</t>
  </si>
  <si>
    <t>-747.610822233428 339.713505629285 -184.05190829435</t>
  </si>
  <si>
    <t>-511.540339620623 323.983657581378 -229.594899037434</t>
  </si>
  <si>
    <t>-819.792590511661 170.087399021565 -520.215276837352</t>
  </si>
  <si>
    <t>-818.063573260712 32.7128812620817 -515.554871029455</t>
  </si>
  <si>
    <t>-820.201966825786 256.369535807146 -57.912546741414</t>
  </si>
  <si>
    <t>-798.629184561601 232.528267350438 344.357065628515</t>
  </si>
  <si>
    <t>-840.083743975089 178.862919092164 786.525900031774</t>
  </si>
  <si>
    <t>-713.405279000331 252.441269738617 846.743067656424</t>
  </si>
  <si>
    <t>-756.237565428718 58.8955431486538 -63.8803823150186</t>
  </si>
  <si>
    <t>-617.242598913946 48.5260564719051 314.837935726356</t>
  </si>
  <si>
    <t>-721.530829319272 -14.4721601787564 745.761168237157</t>
  </si>
  <si>
    <t>-616.88856890224 -95.1003823942849 833.147484471622</t>
  </si>
  <si>
    <t>9763-20170724T111123.417469900.bin</t>
  </si>
  <si>
    <t>-787.782160781989 157.89241246261 -59.861171499994</t>
  </si>
  <si>
    <t>-814.167170978422 153.287668379745 -172.550397770041</t>
  </si>
  <si>
    <t>-823.924629963583 160.2891215655 -270.440156877132</t>
  </si>
  <si>
    <t>-827.823513759795 170.487473417504 -358.865548321401</t>
  </si>
  <si>
    <t>-826.278093894472 184.350925776474 -446.863710217472</t>
  </si>
  <si>
    <t>-818.274730209709 207.299797212358 -569.052338795736</t>
  </si>
  <si>
    <t>-786.995310180008 222.386880460195 -644.544169809585</t>
  </si>
  <si>
    <t>-823.922691308281 224.378880874737 -510.318047767951</t>
  </si>
  <si>
    <t>-823.835222296257 355.185544723935 -468.029025662974</t>
  </si>
  <si>
    <t>-745.920310064735 339.858775003123 -184.68193462452</t>
  </si>
  <si>
    <t>-509.823835962749 324.493085618778 -230.21383051211</t>
  </si>
  <si>
    <t>-819.670164162936 170.023583750324 -520.24817559204</t>
  </si>
  <si>
    <t>-817.14815542765 32.6554976308503 -515.491377642689</t>
  </si>
  <si>
    <t>-820.326424765392 256.48755334868 -57.9498103684354</t>
  </si>
  <si>
    <t>-798.885272916715 232.711132740281 344.330699100087</t>
  </si>
  <si>
    <t>-839.830639766706 178.703776861525 786.433016339951</t>
  </si>
  <si>
    <t>-713.419540414989 252.632283403469 846.783235590862</t>
  </si>
  <si>
    <t>-755.549129924496 59.4709209588282 -63.7916601544096</t>
  </si>
  <si>
    <t>-616.466636197582 48.9558125676735 314.890438978149</t>
  </si>
  <si>
    <t>-721.436680202957 -14.0720891968358 745.655704681548</t>
  </si>
  <si>
    <t>-616.984731585502 -94.8231271320585 833.156187429255</t>
  </si>
  <si>
    <t>9763-20170724T111123.481234400.bin</t>
  </si>
  <si>
    <t>-787.72260670661 158.623434435647 -59.7503033939796</t>
  </si>
  <si>
    <t>-814.026431473289 153.624801826316 -172.441731112059</t>
  </si>
  <si>
    <t>-823.884208512543 160.443424629636 -270.334517869523</t>
  </si>
  <si>
    <t>-827.9332455112 170.535962677883 -358.765152824793</t>
  </si>
  <si>
    <t>-826.595063431603 184.357769853597 -446.773139480115</t>
  </si>
  <si>
    <t>-818.936114024052 207.318024120155 -568.981778351744</t>
  </si>
  <si>
    <t>-787.423571043659 222.39083223882 -644.379507685011</t>
  </si>
  <si>
    <t>-824.672839587831 224.374160189555 -510.249567986821</t>
  </si>
  <si>
    <t>-825.142997330012 355.11021308397 -467.786122079494</t>
  </si>
  <si>
    <t>-742.651014433655 340.624263308132 -185.693219520125</t>
  </si>
  <si>
    <t>-506.590078408293 326.676649565097 -231.861333809618</t>
  </si>
  <si>
    <t>-819.93980854162 170.054697112005 -520.158140443448</t>
  </si>
  <si>
    <t>-816.012429765641 32.7237778418312 -515.311459502098</t>
  </si>
  <si>
    <t>-821.17185162613 256.718455345793 -58.0160144912605</t>
  </si>
  <si>
    <t>-799.32280421988 233.349194229243 344.2663881129</t>
  </si>
  <si>
    <t>-839.324401012412 178.174817219372 786.358207461734</t>
  </si>
  <si>
    <t>-713.238576459585 252.571078848392 846.813781663791</t>
  </si>
  <si>
    <t>-754.618681297885 60.5655410173067 -63.6049437496142</t>
  </si>
  <si>
    <t>-615.084494924725 49.9456281437547 314.908088563282</t>
  </si>
  <si>
    <t>-721.334713914571 -13.1112463003292 745.44508533358</t>
  </si>
  <si>
    <t>-617.40311550333 -94.4037074546666 833.063983634703</t>
  </si>
  <si>
    <t>9763-20170724T111123.514291500.bin</t>
  </si>
  <si>
    <t>-787.571197648429 158.965952346395 -59.7452619013828</t>
  </si>
  <si>
    <t>-813.938957631769 153.823790986218 -172.415190341946</t>
  </si>
  <si>
    <t>-823.849618873195 160.545752039133 -270.309267620153</t>
  </si>
  <si>
    <t>-827.945215604777 170.562454460668 -358.746443203253</t>
  </si>
  <si>
    <t>-826.652349112624 184.322182933793 -446.764893050379</t>
  </si>
  <si>
    <t>-819.05563159409 207.210545616864 -568.990984056453</t>
  </si>
  <si>
    <t>-787.432894562874 222.289744041462 -644.341159395188</t>
  </si>
  <si>
    <t>-824.872726756667 224.292848100391 -510.274076064249</t>
  </si>
  <si>
    <t>-825.672165265769 355.046428902696 -467.829486550118</t>
  </si>
  <si>
    <t>-741.039847193707 340.810013241169 -186.358482452784</t>
  </si>
  <si>
    <t>-505.008472196122 327.506690906752 -232.867271712219</t>
  </si>
  <si>
    <t>-819.924273258261 169.98431202903 -520.136438595008</t>
  </si>
  <si>
    <t>-815.41970457176 32.6684817619971 -515.167831223322</t>
  </si>
  <si>
    <t>-821.248093999403 256.846086192155 -58.0041258471271</t>
  </si>
  <si>
    <t>-799.128614377971 233.683672184157 344.275506982984</t>
  </si>
  <si>
    <t>-839.154824128287 177.944510952964 786.33058918364</t>
  </si>
  <si>
    <t>-713.166743600544 252.49227523136 846.803440013855</t>
  </si>
  <si>
    <t>-754.198026237973 61.0526738368881 -63.6295184761113</t>
  </si>
  <si>
    <t>-614.817035303865 50.392379401515 314.938908403127</t>
  </si>
  <si>
    <t>-721.416932140303 -12.9848990217911 745.367701151962</t>
  </si>
  <si>
    <t>-617.462279763177 -94.1902929262137 833.03983353842</t>
  </si>
  <si>
    <t>9763-20170724T111123.583074500.bin</t>
  </si>
  <si>
    <t>-787.181085424209 159.454072206482 -59.6929800722684</t>
  </si>
  <si>
    <t>-813.559566877008 154.169405655578 -172.353801222477</t>
  </si>
  <si>
    <t>-823.489825865458 160.724928571342 -270.25718141834</t>
  </si>
  <si>
    <t>-827.60901870848 170.572400077613 -358.71237125307</t>
  </si>
  <si>
    <t>-826.346326241752 184.147288596915 -446.75983166228</t>
  </si>
  <si>
    <t>-818.799734638592 206.76226097261 -569.039931656902</t>
  </si>
  <si>
    <t>-787.015883888851 221.796009959643 -644.331337346756</t>
  </si>
  <si>
    <t>-824.701304612935 223.967025288417 -510.367291048328</t>
  </si>
  <si>
    <t>-825.748759561922 354.793407232024 -468.171171083948</t>
  </si>
  <si>
    <t>-737.487574039235 341.811652025935 -187.756117873904</t>
  </si>
  <si>
    <t>-501.393750345619 328.511735668751 -233.94766866228</t>
  </si>
  <si>
    <t>-819.540002307308 169.653762186284 -520.093779328124</t>
  </si>
  <si>
    <t>-814.495926612153 32.3679494562189 -514.85653110799</t>
  </si>
  <si>
    <t>-820.994285456581 256.977884486533 -57.8878607257135</t>
  </si>
  <si>
    <t>-798.204042769685 234.140367594107 344.372865004911</t>
  </si>
  <si>
    <t>-838.933510189545 177.49439135633 786.348590076579</t>
  </si>
  <si>
    <t>-712.960724006703 252.11849057107 846.758696701866</t>
  </si>
  <si>
    <t>-753.666228457492 62.020484204987 -63.5369002832957</t>
  </si>
  <si>
    <t>-614.395376743866 51.1222911509149 315.065191360513</t>
  </si>
  <si>
    <t>-721.483166136738 -12.6310215898698 745.272932717294</t>
  </si>
  <si>
    <t>-617.615584567021 -93.7245026867984 833.151571513452</t>
  </si>
  <si>
    <t>9763-20170724T111123.614158000.bin</t>
  </si>
  <si>
    <t>-786.997998205268 159.72766146293 -59.5743452206801</t>
  </si>
  <si>
    <t>-813.376310240213 154.439786279119 -172.235216142126</t>
  </si>
  <si>
    <t>-823.320656510692 160.938472256242 -270.14087073791</t>
  </si>
  <si>
    <t>-827.459616773146 170.713091269789 -358.603121490506</t>
  </si>
  <si>
    <t>-826.224495671288 184.193590734502 -446.665519235736</t>
  </si>
  <si>
    <t>-818.723505779461 206.654389127809 -568.976916414542</t>
  </si>
  <si>
    <t>-786.868910015483 221.61235400078 -644.253427045972</t>
  </si>
  <si>
    <t>-824.589700649457 223.934412167044 -510.322866138247</t>
  </si>
  <si>
    <t>-825.473032669622 354.801007039413 -468.26835072121</t>
  </si>
  <si>
    <t>-735.810812658349 342.625372604904 -188.261718114385</t>
  </si>
  <si>
    <t>-499.692720532895 329.051670166464 -234.248888796892</t>
  </si>
  <si>
    <t>-819.458413612145 169.606774111214 -519.984664845593</t>
  </si>
  <si>
    <t>-814.529286677465 32.3231054566518 -514.620049402138</t>
  </si>
  <si>
    <t>-820.749450632133 257.115753730845 -57.779310930373</t>
  </si>
  <si>
    <t>-797.938177875722 234.202871445009 344.475983100906</t>
  </si>
  <si>
    <t>-838.810664411011 177.239132906635 786.38718330988</t>
  </si>
  <si>
    <t>-712.836783118049 251.91170468208 846.735164857691</t>
  </si>
  <si>
    <t>-753.586829475955 62.4075896432028 -63.3540625571723</t>
  </si>
  <si>
    <t>-613.987541882927 50.9545379637821 315.110628252662</t>
  </si>
  <si>
    <t>-721.60237342086 -12.6589208485348 745.240628488836</t>
  </si>
  <si>
    <t>-617.490503854399 -93.3387281673197 833.210813246761</t>
  </si>
  <si>
    <t>9763-20170724T111123.682240700.bin</t>
  </si>
  <si>
    <t>-786.723774058515 160.044655023108 -59.3452264055871</t>
  </si>
  <si>
    <t>-813.068022868291 154.786289033829 -172.015338834512</t>
  </si>
  <si>
    <t>-823.036444096242 161.202104631182 -269.924116019801</t>
  </si>
  <si>
    <t>-827.220732243205 170.860403586414 -358.396971557365</t>
  </si>
  <si>
    <t>-826.054529783896 184.18232963238 -446.484612726833</t>
  </si>
  <si>
    <t>-818.676234112111 206.378581214063 -568.851608864184</t>
  </si>
  <si>
    <t>-786.693567649536 221.062520198747 -644.127982106797</t>
  </si>
  <si>
    <t>-824.372329411485 223.794047872724 -510.220859598792</t>
  </si>
  <si>
    <t>-824.489389538849 354.745683135228 -468.377856475675</t>
  </si>
  <si>
    <t>-732.386335676657 343.335518891033 -189.132289736762</t>
  </si>
  <si>
    <t>-496.378539743475 328.953166895602 -235.43931671671</t>
  </si>
  <si>
    <t>-819.473981036673 169.428035574093 -519.78695561076</t>
  </si>
  <si>
    <t>-815.162354400772 32.1434869131108 -514.181670876496</t>
  </si>
  <si>
    <t>-820.32171436082 257.434605204982 -57.6438163616742</t>
  </si>
  <si>
    <t>-797.654795713148 234.18791179555 344.600417865002</t>
  </si>
  <si>
    <t>-838.623337871532 176.871414123321 786.405772940901</t>
  </si>
  <si>
    <t>-712.58016972961 251.446413764163 846.730210785019</t>
  </si>
  <si>
    <t>-753.387833846397 62.6175957571545 -63.1400464349239</t>
  </si>
  <si>
    <t>-613.728363816332 51.2379271682348 315.304683186099</t>
  </si>
  <si>
    <t>-721.64542706168 -12.0333863864753 745.244700663845</t>
  </si>
  <si>
    <t>-617.987280184705 -93.1446573820583 833.354106896058</t>
  </si>
  <si>
    <t>9763-20170724T111123.714327100.bin</t>
  </si>
  <si>
    <t>-786.684496917062 160.145120872713 -59.290893207388</t>
  </si>
  <si>
    <t>-813.062674237598 154.903561978803 -171.95375478693</t>
  </si>
  <si>
    <t>-823.0830869458 161.301313127357 -269.85844155072</t>
  </si>
  <si>
    <t>-827.323239732233 170.931251683628 -358.331707228528</t>
  </si>
  <si>
    <t>-826.222290965091 184.211573116369 -446.426315829397</t>
  </si>
  <si>
    <t>-818.943819437812 206.336162675408 -568.812510667731</t>
  </si>
  <si>
    <t>-786.908597591809 220.865234749363 -644.09646981336</t>
  </si>
  <si>
    <t>-824.523073884748 223.791118780372 -510.18228743268</t>
  </si>
  <si>
    <t>-824.158632028723 354.73600220101 -468.345192412193</t>
  </si>
  <si>
    <t>-730.838489168364 343.468128215946 -189.498242221075</t>
  </si>
  <si>
    <t>-494.885448988174 328.472837735349 -235.889069994855</t>
  </si>
  <si>
    <t>-819.770304761444 169.409311677887 -519.73044848082</t>
  </si>
  <si>
    <t>-815.803295420498 32.1090332527756 -514.106018002715</t>
  </si>
  <si>
    <t>-820.173813661765 257.557224907374 -57.6159343537776</t>
  </si>
  <si>
    <t>-797.479081316938 234.2030169055 344.620544712379</t>
  </si>
  <si>
    <t>-838.574605526073 176.741687894329 786.414911519286</t>
  </si>
  <si>
    <t>-712.440774238394 251.161983471627 846.740612850367</t>
  </si>
  <si>
    <t>-753.596374560631 62.8057966817773 -63.0793789453228</t>
  </si>
  <si>
    <t>-613.899408767819 51.3763464592225 315.349983115417</t>
  </si>
  <si>
    <t>-721.720578873273 -11.6289197919077 745.339649636294</t>
  </si>
  <si>
    <t>-618.326476362327 -93.0925965999543 833.434033776244</t>
  </si>
  <si>
    <t>9763-20170724T111123.784172100.bin</t>
  </si>
  <si>
    <t>-786.814059260136 160.393072657587 -59.1663280718033</t>
  </si>
  <si>
    <t>-813.377158382211 155.226363042003 -171.789244906497</t>
  </si>
  <si>
    <t>-823.579148273086 161.635729163436 -269.674308352216</t>
  </si>
  <si>
    <t>-827.993010569967 171.256775916962 -358.140187490524</t>
  </si>
  <si>
    <t>-827.073764341896 184.506762984317 -446.241390715686</t>
  </si>
  <si>
    <t>-820.057718489969 206.566212433695 -568.654579515354</t>
  </si>
  <si>
    <t>-787.920807547046 220.797469953963 -643.952049163607</t>
  </si>
  <si>
    <t>-825.356392869786 224.063522712894 -510.010880350957</t>
  </si>
  <si>
    <t>-823.965926686174 354.988660725265 -468.115686546371</t>
  </si>
  <si>
    <t>-728.412214692546 343.303282282963 -190.043652955838</t>
  </si>
  <si>
    <t>-492.491797398167 328.101802190274 -236.533749602414</t>
  </si>
  <si>
    <t>-820.933951061981 169.654131560423 -519.56234256421</t>
  </si>
  <si>
    <t>-817.769312418136 32.3307770032707 -513.947065905374</t>
  </si>
  <si>
    <t>-819.630604434556 257.772681474794 -57.4699157544443</t>
  </si>
  <si>
    <t>-796.878429699854 234.274545998315 344.754935244649</t>
  </si>
  <si>
    <t>-838.402515405213 176.350988464543 786.488369539321</t>
  </si>
  <si>
    <t>-712.106475701822 250.539965460424 846.759226835203</t>
  </si>
  <si>
    <t>-754.3426793184 63.1699695553857 -62.9216220477498</t>
  </si>
  <si>
    <t>-614.457834925323 51.2604240093774 315.423580827246</t>
  </si>
  <si>
    <t>-722.124897084604 -11.3871466087476 745.571802818769</t>
  </si>
  <si>
    <t>-618.394811901768 -92.5774068641765 833.523655224563</t>
  </si>
  <si>
    <t>9763-20170724T111123.816261700.bin</t>
  </si>
  <si>
    <t>-786.850671580341 160.594768016702 -59.0686843941994</t>
  </si>
  <si>
    <t>-813.505034161513 155.483987854667 -171.672672256571</t>
  </si>
  <si>
    <t>-823.792779238111 161.921023896376 -269.546984187468</t>
  </si>
  <si>
    <t>-828.287741901524 171.561298950118 -358.006711267354</t>
  </si>
  <si>
    <t>-827.4543121046 184.824216313452 -446.106697684781</t>
  </si>
  <si>
    <t>-820.562191141243 206.895528324981 -568.524765057778</t>
  </si>
  <si>
    <t>-788.387406566581 221.001846207063 -643.82954945833</t>
  </si>
  <si>
    <t>-825.723752519084 224.392642396926 -509.868746809192</t>
  </si>
  <si>
    <t>-823.899518242131 355.315447452264 -467.981322114049</t>
  </si>
  <si>
    <t>-727.559780699603 343.183057774288 -190.199527469555</t>
  </si>
  <si>
    <t>-491.615242195613 328.526249905009 -236.742250685565</t>
  </si>
  <si>
    <t>-821.466656350383 169.973741035046 -519.440590401415</t>
  </si>
  <si>
    <t>-818.675150487589 32.6472499822098 -513.838467939372</t>
  </si>
  <si>
    <t>-819.328038755195 257.906718880586 -57.3558366238519</t>
  </si>
  <si>
    <t>-796.512202038826 234.369487418264 344.863101403067</t>
  </si>
  <si>
    <t>-838.409163062195 176.214268385427 786.552190047413</t>
  </si>
  <si>
    <t>-711.974665331187 250.220132950733 846.758152530351</t>
  </si>
  <si>
    <t>-754.679472382121 63.3617618161588 -62.8301085549067</t>
  </si>
  <si>
    <t>-614.720722002481 51.3406057166139 315.484141416538</t>
  </si>
  <si>
    <t>-722.252342155598 -11.0673974762403 745.699863756845</t>
  </si>
  <si>
    <t>-618.71720047375 -92.5812280326315 833.582183126622</t>
  </si>
  <si>
    <t>9763-20170724T111123.884017400.bin</t>
  </si>
  <si>
    <t>-786.903293941883 160.464794425362 -58.8993390379306</t>
  </si>
  <si>
    <t>-813.734536990431 155.473628498011 -171.466588668228</t>
  </si>
  <si>
    <t>-824.177788317874 161.983804358593 -269.319658242851</t>
  </si>
  <si>
    <t>-828.817878510317 171.682988460677 -357.76524472745</t>
  </si>
  <si>
    <t>-828.133709886587 184.997890032259 -445.858841015703</t>
  </si>
  <si>
    <t>-821.45609703519 207.136047869632 -568.276787312366</t>
  </si>
  <si>
    <t>-789.259039182493 221.036889483614 -643.610322780709</t>
  </si>
  <si>
    <t>-826.397841184393 224.608494573818 -509.594492381017</t>
  </si>
  <si>
    <t>-823.900945444341 355.525892090785 -467.726774698847</t>
  </si>
  <si>
    <t>-726.500655546212 343.166210892889 -190.325194721165</t>
  </si>
  <si>
    <t>-490.469731161822 328.814290892052 -236.52380973552</t>
  </si>
  <si>
    <t>-822.391102530376 170.179976484908 -519.218932400149</t>
  </si>
  <si>
    <t>-820.208422150211 32.8467599686896 -513.665259507232</t>
  </si>
  <si>
    <t>-818.843379818564 257.591990208288 -57.1733252580115</t>
  </si>
  <si>
    <t>-795.725806797534 234.038922528935 345.02751417667</t>
  </si>
  <si>
    <t>-838.067475379741 175.471665217865 786.594056112046</t>
  </si>
  <si>
    <t>-711.480793934606 249.351614819803 846.634554116103</t>
  </si>
  <si>
    <t>-755.27889503423 63.343726698834 -62.682998553198</t>
  </si>
  <si>
    <t>-615.162122754569 51.0983571563311 315.565530913088</t>
  </si>
  <si>
    <t>-722.526734681615 -10.4053444815986 745.921195581448</t>
  </si>
  <si>
    <t>-619.159560354278 -92.298728330248 833.648126981041</t>
  </si>
  <si>
    <t>9763-20170724T111123.915099900.bin</t>
  </si>
  <si>
    <t>-787.000550152736 160.471284798483 -58.9055681491554</t>
  </si>
  <si>
    <t>-813.890711937926 155.560351928288 -171.462271189546</t>
  </si>
  <si>
    <t>-824.380378350173 162.100093344515 -269.308453789733</t>
  </si>
  <si>
    <t>-829.061629948415 171.811290985112 -357.750696008954</t>
  </si>
  <si>
    <t>-828.418887509146 185.122161518772 -445.845189980369</t>
  </si>
  <si>
    <t>-821.798926564415 207.238333520208 -568.27011518429</t>
  </si>
  <si>
    <t>-789.581887467426 221.042210938147 -643.612855860188</t>
  </si>
  <si>
    <t>-826.661663698585 224.724393113072 -509.585415122211</t>
  </si>
  <si>
    <t>-823.824282532877 355.634414338946 -467.717563200239</t>
  </si>
  <si>
    <t>-725.894694951567 343.235599824008 -190.504209943143</t>
  </si>
  <si>
    <t>-489.777021121972 329.088496091807 -236.319998687165</t>
  </si>
  <si>
    <t>-822.762488365844 170.28764021839 -519.208583568204</t>
  </si>
  <si>
    <t>-820.79130933375 32.9452988415155 -513.68419624634</t>
  </si>
  <si>
    <t>-818.724423171493 257.513574344374 -57.1700083510932</t>
  </si>
  <si>
    <t>-795.625194520912 233.87385445263 345.026806398517</t>
  </si>
  <si>
    <t>-837.970913245935 175.286164304303 786.576738214135</t>
  </si>
  <si>
    <t>-711.387824436209 249.196551034225 846.587047057765</t>
  </si>
  <si>
    <t>-755.546265338156 63.5242191872412 -62.7244299418188</t>
  </si>
  <si>
    <t>-615.384170770314 51.1761350048623 315.504069273468</t>
  </si>
  <si>
    <t>-722.571191379521 -10.0967388493982 745.895154645835</t>
  </si>
  <si>
    <t>-619.38897236369 -92.1868805997231 833.655860196591</t>
  </si>
  <si>
    <t>9763-20170724T111123.982787300.bin</t>
  </si>
  <si>
    <t>-787.036478991969 160.458269303965 -59.0420596791949</t>
  </si>
  <si>
    <t>-813.935718984403 155.71399777484 -171.603858067983</t>
  </si>
  <si>
    <t>-824.446547040993 162.324749010644 -269.442848596472</t>
  </si>
  <si>
    <t>-829.153227980375 172.069769240512 -357.880018507967</t>
  </si>
  <si>
    <t>-828.541261805302 185.382206222744 -445.974574951372</t>
  </si>
  <si>
    <t>-821.970570412342 207.464966337066 -568.408081382766</t>
  </si>
  <si>
    <t>-789.720227860732 221.091776471478 -643.769044863982</t>
  </si>
  <si>
    <t>-826.713700206134 224.972679711668 -509.720025357475</t>
  </si>
  <si>
    <t>-823.242916398069 355.858270929893 -467.812985666412</t>
  </si>
  <si>
    <t>-723.681360822942 343.234109966127 -191.191563475725</t>
  </si>
  <si>
    <t>-487.368540903369 329.45264928666 -236.105394575683</t>
  </si>
  <si>
    <t>-823.010286331887 170.522162424754 -519.342248633167</t>
  </si>
  <si>
    <t>-821.478868279485 33.1746890015752 -513.918686152142</t>
  </si>
  <si>
    <t>-818.371621217599 257.245316278324 -57.2141522384411</t>
  </si>
  <si>
    <t>-795.707274272686 233.463478350497 344.999006327649</t>
  </si>
  <si>
    <t>-837.531400264469 174.799297235237 786.630943183573</t>
  </si>
  <si>
    <t>-711.01678956219 248.680492824291 846.821728212217</t>
  </si>
  <si>
    <t>-755.839328533113 63.7323249506408 -62.953735552263</t>
  </si>
  <si>
    <t>-615.798330885665 51.3592696556198 315.318824841291</t>
  </si>
  <si>
    <t>-722.811738835069 -10.1278640466448 745.757221325404</t>
  </si>
  <si>
    <t>-619.540610603613 -91.9272645951301 833.684770669948</t>
  </si>
  <si>
    <t>9763-20170724T111124.014873700.bin</t>
  </si>
  <si>
    <t>-787.13182853869 160.495613799569 -59.1144755511525</t>
  </si>
  <si>
    <t>-814.020903325264 155.783119993345 -171.680031796591</t>
  </si>
  <si>
    <t>-824.533432450438 162.391584867291 -269.519029251556</t>
  </si>
  <si>
    <t>-829.244650715013 172.121064774404 -357.957493961521</t>
  </si>
  <si>
    <t>-828.640545605988 185.402978041122 -446.0567730831</t>
  </si>
  <si>
    <t>-822.083457843582 207.426881029915 -568.5016850841</t>
  </si>
  <si>
    <t>-789.830391794698 220.965151571294 -643.877321103201</t>
  </si>
  <si>
    <t>-826.780038581723 224.96494320826 -509.818928827122</t>
  </si>
  <si>
    <t>-823.047235435665 355.844264558716 -467.91246117948</t>
  </si>
  <si>
    <t>-722.516209448803 343.197709692191 -191.643016464262</t>
  </si>
  <si>
    <t>-486.071521696552 329.577449327838 -235.905856712057</t>
  </si>
  <si>
    <t>-823.157841687901 170.505600508421 -519.420504645679</t>
  </si>
  <si>
    <t>-821.763510210465 33.1508478734054 -514.030827927101</t>
  </si>
  <si>
    <t>-818.548698728045 257.15887587737 -57.2537495251901</t>
  </si>
  <si>
    <t>-795.852849450365 233.41221994954 344.959709752634</t>
  </si>
  <si>
    <t>-837.474073598107 174.747862594623 786.626568427651</t>
  </si>
  <si>
    <t>-710.974104619051 248.62629307428 846.851165852015</t>
  </si>
  <si>
    <t>-755.974714460273 63.8812600931574 -63.0519739499483</t>
  </si>
  <si>
    <t>-615.98367245889 51.4632993341675 315.237479092251</t>
  </si>
  <si>
    <t>-722.879661595213 -10.0287097841137 745.697053374262</t>
  </si>
  <si>
    <t>-619.73584407175 -91.8892858554382 833.716934415328</t>
  </si>
  <si>
    <t>9763-20170724T111124.082058600.bin</t>
  </si>
  <si>
    <t>-787.88313538938 160.191528205916 -59.1979713606299</t>
  </si>
  <si>
    <t>-814.798515703209 155.484014253755 -171.75735402401</t>
  </si>
  <si>
    <t>-825.353304336775 162.069002492785 -269.593446442558</t>
  </si>
  <si>
    <t>-830.109266139024 171.763838940601 -358.033411776371</t>
  </si>
  <si>
    <t>-829.55548334909 184.9965206068 -446.140238239256</t>
  </si>
  <si>
    <t>-823.074305660369 206.935102163511 -568.604606739497</t>
  </si>
  <si>
    <t>-790.820704247667 220.34580368755 -644.002927449163</t>
  </si>
  <si>
    <t>-827.698590039828 224.51613487021 -509.92896895529</t>
  </si>
  <si>
    <t>-823.636925257191 355.373565687035 -468.003157224212</t>
  </si>
  <si>
    <t>-721.128037632934 342.975726576168 -192.450224496703</t>
  </si>
  <si>
    <t>-484.383086703469 329.614005762005 -235.160084674064</t>
  </si>
  <si>
    <t>-824.154056000936 170.045701067198 -519.499336435341</t>
  </si>
  <si>
    <t>-822.763922075441 32.6853837672006 -514.161304190705</t>
  </si>
  <si>
    <t>-819.460874262999 256.729379482557 -57.3175052354007</t>
  </si>
  <si>
    <t>-796.322762082355 233.185554223825 344.882696335207</t>
  </si>
  <si>
    <t>-837.262131844989 174.430412614257 786.651623450977</t>
  </si>
  <si>
    <t>-710.888460660076 248.548511823604 846.84721606714</t>
  </si>
  <si>
    <t>-756.682903408334 63.6639301124487 -63.1323743377458</t>
  </si>
  <si>
    <t>-616.618931581401 51.832339851564 315.148951712208</t>
  </si>
  <si>
    <t>-723.058454286643 -9.87829269523309 745.625800855786</t>
  </si>
  <si>
    <t>-619.694153632606 -91.3486534147166 833.748971912073</t>
  </si>
  <si>
    <t>9763-20170724T111124.115143600.bin</t>
  </si>
  <si>
    <t>-788.354387712165 160.1586674974 -59.2385552136265</t>
  </si>
  <si>
    <t>-815.299598865352 155.442527373755 -171.790514781204</t>
  </si>
  <si>
    <t>-825.884589966328 162.011911308365 -269.624315647152</t>
  </si>
  <si>
    <t>-830.66917372789 171.688209788261 -358.064783204695</t>
  </si>
  <si>
    <t>-830.14461212682 184.897412835816 -446.17539141302</t>
  </si>
  <si>
    <t>-823.70424100275 206.796574684378 -568.648978918948</t>
  </si>
  <si>
    <t>-791.440886543432 220.165734321108 -644.050291729951</t>
  </si>
  <si>
    <t>-828.298721243681 224.39690644838 -509.976564233918</t>
  </si>
  <si>
    <t>-824.119359061123 355.249656321461 -468.048030905629</t>
  </si>
  <si>
    <t>-720.745307310563 342.990651721904 -192.812300881976</t>
  </si>
  <si>
    <t>-483.83879533879 329.650499787413 -234.624436732493</t>
  </si>
  <si>
    <t>-824.777897473267 169.922606045648 -519.53195799296</t>
  </si>
  <si>
    <t>-823.373461232977 32.5615382771048 -514.227396098949</t>
  </si>
  <si>
    <t>-819.916587242319 256.568415176784 -57.3555658709473</t>
  </si>
  <si>
    <t>-796.579016636576 233.138258308318 344.839778478637</t>
  </si>
  <si>
    <t>-837.074010398317 174.223330719352 786.624844392568</t>
  </si>
  <si>
    <t>-710.732762429095 248.382189636995 846.838283553595</t>
  </si>
  <si>
    <t>-757.08715881179 63.8348615538416 -63.2095977227801</t>
  </si>
  <si>
    <t>-617.004824623574 52.1012412468467 315.06802304189</t>
  </si>
  <si>
    <t>-723.112661912801 -9.67585454432083 745.595231736979</t>
  </si>
  <si>
    <t>-619.916162552719 -91.304327377142 833.768659650791</t>
  </si>
  <si>
    <t>9763-20170724T111124.180819300.bin</t>
  </si>
  <si>
    <t>-789.449044273903 160.295402228141 -59.3578358206861</t>
  </si>
  <si>
    <t>-816.502399841384 155.529373675761 -171.881706429011</t>
  </si>
  <si>
    <t>-827.180971299692 162.058880066533 -269.708087156603</t>
  </si>
  <si>
    <t>-832.047493346794 171.698619768679 -358.148097998434</t>
  </si>
  <si>
    <t>-831.600730998722 184.868211658243 -446.265039567507</t>
  </si>
  <si>
    <t>-825.264501791121 206.70800618292 -568.754676150177</t>
  </si>
  <si>
    <t>-792.966982943628 219.975282125265 -644.159338428011</t>
  </si>
  <si>
    <t>-829.778004187367 224.33854096164 -510.085217447988</t>
  </si>
  <si>
    <t>-825.265780922555 355.16957739487 -468.143226624521</t>
  </si>
  <si>
    <t>-720.186726913647 342.942574503837 -193.552369499532</t>
  </si>
  <si>
    <t>-482.985772999677 329.748302062607 -233.70923830872</t>
  </si>
  <si>
    <t>-826.32756287916 169.856038057388 -519.620846266075</t>
  </si>
  <si>
    <t>-824.915816855426 32.4912094664646 -514.306429129007</t>
  </si>
  <si>
    <t>-821.038611428153 256.38169789444 -57.4832215522362</t>
  </si>
  <si>
    <t>-797.16216115646 233.329481049616 344.702332741252</t>
  </si>
  <si>
    <t>-836.832561995448 174.023488119081 786.509681333332</t>
  </si>
  <si>
    <t>-710.4746899113 248.052385502517 846.847775050052</t>
  </si>
  <si>
    <t>-758.197890344791 64.2863789215671 -63.3012406288379</t>
  </si>
  <si>
    <t>-617.763301224283 52.6765222339254 314.849498735127</t>
  </si>
  <si>
    <t>-723.226469221482 -9.30641535105997 745.507121705774</t>
  </si>
  <si>
    <t>-620.154590521461 -91.0133068885661 833.753716550236</t>
  </si>
  <si>
    <t>9763-20170724T111124.215359900.bin</t>
  </si>
  <si>
    <t>-790.069517335959 160.273337944491 -59.4607909145371</t>
  </si>
  <si>
    <t>-817.183811410139 155.494365631377 -171.969448263658</t>
  </si>
  <si>
    <t>-827.911374386693 162.020758607139 -269.790620028479</t>
  </si>
  <si>
    <t>-832.819433487437 171.659264608187 -358.228416258454</t>
  </si>
  <si>
    <t>-832.411446034907 184.82900294802 -446.345472685715</t>
  </si>
  <si>
    <t>-826.12440769481 206.668677933511 -568.837663839978</t>
  </si>
  <si>
    <t>-793.812130013559 219.878431077464 -644.246202634915</t>
  </si>
  <si>
    <t>-830.589055034234 224.300615833625 -510.164814899097</t>
  </si>
  <si>
    <t>-825.821907838142 355.1123840156 -468.160151934243</t>
  </si>
  <si>
    <t>-719.675958778943 342.881905493236 -193.980242082293</t>
  </si>
  <si>
    <t>-482.384225628677 329.703399147257 -233.601726735966</t>
  </si>
  <si>
    <t>-827.192758621526 169.815728276806 -519.704969147219</t>
  </si>
  <si>
    <t>-825.842921565125 32.4519099305166 -514.432887361634</t>
  </si>
  <si>
    <t>-821.58057914664 256.212684821126 -57.6051258211253</t>
  </si>
  <si>
    <t>-797.420536716716 233.364717123525 344.575124108988</t>
  </si>
  <si>
    <t>-836.53802601544 173.848709469184 786.372471865663</t>
  </si>
  <si>
    <t>-710.331062963266 248.014909734758 846.857659068444</t>
  </si>
  <si>
    <t>-758.856688436355 64.3769555980871 -63.3730450865002</t>
  </si>
  <si>
    <t>-618.140396472674 52.9607091361218 314.678941611487</t>
  </si>
  <si>
    <t>-723.192933458019 -9.1232658992576 745.372883131539</t>
  </si>
  <si>
    <t>-620.061025773367 -90.6697176713774 833.697795453056</t>
  </si>
  <si>
    <t>9763-20170724T111124.279532700.bin</t>
  </si>
  <si>
    <t>-791.298052979505 160.567925208421 -59.7272694571858</t>
  </si>
  <si>
    <t>-818.519766120141 155.793900751261 -172.210240406937</t>
  </si>
  <si>
    <t>-829.320992177571 162.305439160209 -270.024199227971</t>
  </si>
  <si>
    <t>-834.288029865094 171.923293775538 -358.461018809256</t>
  </si>
  <si>
    <t>-833.930567580284 185.063039229034 -446.582908439077</t>
  </si>
  <si>
    <t>-827.705587946849 206.85058241012 -569.087419825659</t>
  </si>
  <si>
    <t>-795.389496368867 219.891062986988 -644.523971034753</t>
  </si>
  <si>
    <t>-832.047967650173 224.512169322586 -510.414313226745</t>
  </si>
  <si>
    <t>-826.689513623827 355.29549308544 -468.399561031114</t>
  </si>
  <si>
    <t>-717.76622943704 343.350058805124 -195.298417992016</t>
  </si>
  <si>
    <t>-480.327341704349 330.335452932477 -234.082574694082</t>
  </si>
  <si>
    <t>-828.841706242653 170.013705694216 -519.944074686796</t>
  </si>
  <si>
    <t>-827.821142114641 32.6468775441008 -514.688026755472</t>
  </si>
  <si>
    <t>-822.715243448751 256.320795997096 -57.9158446503134</t>
  </si>
  <si>
    <t>-798.007796858233 233.628389125075 344.239891684823</t>
  </si>
  <si>
    <t>-836.24148275917 173.762802365345 786.137698495525</t>
  </si>
  <si>
    <t>-710.126627487804 247.889573626781 846.863009993587</t>
  </si>
  <si>
    <t>-760.187588840908 64.9448216602559 -63.6017484910229</t>
  </si>
  <si>
    <t>-618.799014625087 54.3026227064711 314.221829979537</t>
  </si>
  <si>
    <t>-722.883840175471 -8.00988694256284 745.077757090544</t>
  </si>
  <si>
    <t>-620.526610879829 -90.365520350364 833.552873034268</t>
  </si>
  <si>
    <t>9763-20170724T111124.316632300.bin</t>
  </si>
  <si>
    <t>-791.966524375191 160.734273195816 -59.8533068204351</t>
  </si>
  <si>
    <t>-819.230938529528 155.981910759528 -172.326822918132</t>
  </si>
  <si>
    <t>-830.055440070648 162.481068097559 -270.139177462245</t>
  </si>
  <si>
    <t>-835.03902570792 172.076220788769 -358.577430417507</t>
  </si>
  <si>
    <t>-834.693790913461 185.181197597192 -446.704519610686</t>
  </si>
  <si>
    <t>-828.482448834339 206.907179003631 -569.220735898525</t>
  </si>
  <si>
    <t>-796.17984629061 219.832937713277 -644.682605544886</t>
  </si>
  <si>
    <t>-832.749031934622 224.601648619505 -510.552058009209</t>
  </si>
  <si>
    <t>-826.9896508277 355.377563052529 -468.588277393091</t>
  </si>
  <si>
    <t>-716.756440259306 343.587161225266 -196.006477666371</t>
  </si>
  <si>
    <t>-479.253545697304 330.606314397996 -234.409068770005</t>
  </si>
  <si>
    <t>-829.682695749153 170.09201766046 -520.062728864139</t>
  </si>
  <si>
    <t>-828.944483852222 32.7246868940965 -514.768945272282</t>
  </si>
  <si>
    <t>-823.233997541535 256.494394488447 -58.0875491996183</t>
  </si>
  <si>
    <t>-798.461436266869 233.794204299807 344.063780433064</t>
  </si>
  <si>
    <t>-836.186690187921 173.846067011434 785.982040416046</t>
  </si>
  <si>
    <t>-710.000860346444 247.726151170975 846.860821799229</t>
  </si>
  <si>
    <t>-761.002949117958 65.0386769915808 -63.6970581614041</t>
  </si>
  <si>
    <t>-619.220230618514 54.9263999049053 313.993391581333</t>
  </si>
  <si>
    <t>-722.852093661706 -7.55922969721269 744.959050827162</t>
  </si>
  <si>
    <t>-620.599490128006 -90.0587761169982 833.420904907334</t>
  </si>
  <si>
    <t>9763-20170724T111124.382845000.bin</t>
  </si>
  <si>
    <t>-793.312438230071 160.553744940258 -60.0682861809747</t>
  </si>
  <si>
    <t>-820.734140765595 155.796886666084 -172.503390838552</t>
  </si>
  <si>
    <t>-831.617264336327 162.258263938976 -270.311675058651</t>
  </si>
  <si>
    <t>-836.624740437621 171.807077924435 -358.753704506445</t>
  </si>
  <si>
    <t>-836.274268376718 184.849431831927 -446.890077700465</t>
  </si>
  <si>
    <t>-830.025362614974 206.470121944655 -569.422996794213</t>
  </si>
  <si>
    <t>-797.761035494474 219.16545839802 -644.94021627835</t>
  </si>
  <si>
    <t>-834.133694342017 224.222410245681 -510.760526994456</t>
  </si>
  <si>
    <t>-827.30152781914 354.956458081249 -468.803031355827</t>
  </si>
  <si>
    <t>-714.251322185577 343.483194152765 -197.363991401734</t>
  </si>
  <si>
    <t>-476.564319862103 330.411497181009 -234.578065360859</t>
  </si>
  <si>
    <t>-831.416897636369 169.689412504297 -520.244118443911</t>
  </si>
  <si>
    <t>-831.443484856391 32.3238433995339 -514.899339831954</t>
  </si>
  <si>
    <t>-824.361235134525 256.572162030071 -58.4392061942957</t>
  </si>
  <si>
    <t>-798.944390757302 234.319107464871 343.696838926863</t>
  </si>
  <si>
    <t>-836.085285735793 174.126362157223 785.62893632018</t>
  </si>
  <si>
    <t>-709.707865461352 247.390214954551 846.853341986923</t>
  </si>
  <si>
    <t>-762.624452015765 64.4640716042345 -63.7503853260067</t>
  </si>
  <si>
    <t>-619.803578568147 56.2018597345532 313.593796879474</t>
  </si>
  <si>
    <t>-722.896886727056 -6.41756817616533 744.776437649711</t>
  </si>
  <si>
    <t>-621.248219172567 -89.8728261869323 833.037836551371</t>
  </si>
  <si>
    <t>9763-20170724T111124.413928200.bin</t>
  </si>
  <si>
    <t>-793.937880695312 160.152941491848 -60.0761727813181</t>
  </si>
  <si>
    <t>-821.481908402418 155.375406083702 -172.480412642558</t>
  </si>
  <si>
    <t>-832.400446366592 161.805975064135 -270.286829478862</t>
  </si>
  <si>
    <t>-837.412306217105 171.321752136429 -358.73217558429</t>
  </si>
  <si>
    <t>-837.038324820648 184.32358048427 -446.874367811275</t>
  </si>
  <si>
    <t>-830.727754936514 205.878552361833 -569.41565686939</t>
  </si>
  <si>
    <t>-798.474066559001 218.450789279178 -644.958089869669</t>
  </si>
  <si>
    <t>-834.759574586914 223.666322635776 -510.758681682821</t>
  </si>
  <si>
    <t>-827.314296566496 354.361509099664 -468.80577743616</t>
  </si>
  <si>
    <t>-712.674875331538 343.338257006271 -198.015081071227</t>
  </si>
  <si>
    <t>-474.857009611072 330.194011042832 -234.356528637075</t>
  </si>
  <si>
    <t>-832.249697796414 169.120164958499 -520.223969632881</t>
  </si>
  <si>
    <t>-832.729773929436 31.7536522666956 -514.856357633935</t>
  </si>
  <si>
    <t>-824.789026754413 256.384509671529 -58.5257303337227</t>
  </si>
  <si>
    <t>-798.864871545765 234.448067738097 343.595305367258</t>
  </si>
  <si>
    <t>-835.935643049476 174.05574819272 785.563050158632</t>
  </si>
  <si>
    <t>-709.598787736117 247.330255000112 846.858624890868</t>
  </si>
  <si>
    <t>-763.448751092322 63.8610162347263 -63.6670903964434</t>
  </si>
  <si>
    <t>-620.00181929015 56.4640513865911 313.457419236597</t>
  </si>
  <si>
    <t>-722.895226986802 -5.76249921747785 744.691034896729</t>
  </si>
  <si>
    <t>-621.642213287327 -89.8306171615368 832.825328481654</t>
  </si>
  <si>
    <t>9763-20170724T111124.485142400.bin</t>
  </si>
  <si>
    <t>-794.941781606816 158.621785152385 -60.0583300736131</t>
  </si>
  <si>
    <t>-822.717022153914 153.948072941154 -172.410107773581</t>
  </si>
  <si>
    <t>-833.709231754249 160.344368690967 -270.210425669834</t>
  </si>
  <si>
    <t>-838.742970868777 169.783331068247 -358.662784355116</t>
  </si>
  <si>
    <t>-838.347866547753 182.658371587921 -446.823512477225</t>
  </si>
  <si>
    <t>-831.965972944842 203.982920199027 -569.401499680707</t>
  </si>
  <si>
    <t>-799.744800851185 216.224167896255 -645.012056978645</t>
  </si>
  <si>
    <t>-835.771862856865 221.889152636015 -510.765329816365</t>
  </si>
  <si>
    <t>-826.956348976689 352.546769385875 -468.939783047694</t>
  </si>
  <si>
    <t>-709.180015324314 342.355909781457 -199.465886485866</t>
  </si>
  <si>
    <t>-471.02084684638 329.438405411034 -233.585336815568</t>
  </si>
  <si>
    <t>-833.776753476225 167.309037766653 -520.156575664328</t>
  </si>
  <si>
    <t>-835.29115686309 29.9612207063315 -514.623521719947</t>
  </si>
  <si>
    <t>-825.13551183789 255.654438466003 -58.5629391861298</t>
  </si>
  <si>
    <t>-798.729390931649 233.8813083158 343.535680283898</t>
  </si>
  <si>
    <t>-835.734866770159 173.866258634291 785.51668281503</t>
  </si>
  <si>
    <t>-709.176582325472 246.728162840679 846.847104446672</t>
  </si>
  <si>
    <t>-765.066454253407 61.5437331279686 -63.5897318415233</t>
  </si>
  <si>
    <t>-620.70826826559 56.5533060113498 313.226460597317</t>
  </si>
  <si>
    <t>-723.018767766601 -4.73297943350508 744.634961969672</t>
  </si>
  <si>
    <t>-622.122492233363 -89.5586972639578 832.451999249967</t>
  </si>
  <si>
    <t>9763-20170724T111124.514211100.bin</t>
  </si>
  <si>
    <t>-795.570826494492 157.747166593962 -60.1283213451472</t>
  </si>
  <si>
    <t>-823.413225443538 153.168798529343 -172.467311993876</t>
  </si>
  <si>
    <t>-834.416182058559 159.5580723571 -270.26708294222</t>
  </si>
  <si>
    <t>-839.443940504465 168.957541548554 -358.723940280993</t>
  </si>
  <si>
    <t>-839.029209798934 181.7572052337 -446.895487836485</t>
  </si>
  <si>
    <t>-832.606592720347 202.938681340688 -569.496085897989</t>
  </si>
  <si>
    <t>-800.42984761943 214.977704574265 -645.158312293497</t>
  </si>
  <si>
    <t>-836.284015462899 220.916749217598 -510.873856069199</t>
  </si>
  <si>
    <t>-826.697162288362 351.557807792669 -469.16233929429</t>
  </si>
  <si>
    <t>-707.601940155366 341.721010271135 -200.255599179217</t>
  </si>
  <si>
    <t>-469.290284474212 329.114191301982 -233.412345750946</t>
  </si>
  <si>
    <t>-834.581746271248 166.31879310303 -520.217412920331</t>
  </si>
  <si>
    <t>-836.723498855556 28.9852290010867 -514.574082265828</t>
  </si>
  <si>
    <t>-825.325796346548 255.156274994673 -58.6370476770281</t>
  </si>
  <si>
    <t>-799.029746904787 233.35810611541 343.467434296505</t>
  </si>
  <si>
    <t>-835.750016752982 173.869792105283 785.492888245738</t>
  </si>
  <si>
    <t>-709.00918890518 246.404726984767 846.834075078552</t>
  </si>
  <si>
    <t>-766.253585121408 60.3584143206126 -63.6389907488825</t>
  </si>
  <si>
    <t>-621.52139264023 56.2669451715915 313.044625775772</t>
  </si>
  <si>
    <t>-723.20397199919 -4.32160894778872 744.759207768866</t>
  </si>
  <si>
    <t>-622.283872706683 -89.397717646618 832.306300666056</t>
  </si>
  <si>
    <t>9763-20170724T111124.581924900.bin</t>
  </si>
  <si>
    <t>-797.517386165636 156.262522016755 -60.3216324946249</t>
  </si>
  <si>
    <t>-825.365316245118 151.921802438091 -172.668613927931</t>
  </si>
  <si>
    <t>-836.324445121969 158.323567813248 -270.472420533073</t>
  </si>
  <si>
    <t>-841.3001773024 167.661924561516 -358.938645314744</t>
  </si>
  <si>
    <t>-840.82390856114 180.324397473652 -447.129764829479</t>
  </si>
  <si>
    <t>-834.309322571942 201.235475999817 -569.772060359197</t>
  </si>
  <si>
    <t>-802.2797065102 212.871273197576 -645.559443854591</t>
  </si>
  <si>
    <t>-837.763896037677 219.347587447572 -511.17726201045</t>
  </si>
  <si>
    <t>-826.897669721016 349.965487847372 -469.706351663522</t>
  </si>
  <si>
    <t>-706.264444310566 340.241179307232 -201.482155554851</t>
  </si>
  <si>
    <t>-467.709258980105 327.960415303022 -232.969149201792</t>
  </si>
  <si>
    <t>-836.588665109684 164.719829910832 -520.429221893553</t>
  </si>
  <si>
    <t>-839.857961278058 27.4116897303338 -514.586200141009</t>
  </si>
  <si>
    <t>-826.187206785037 254.286770020223 -58.8630114697942</t>
  </si>
  <si>
    <t>-800.32686985214 232.099901125814 343.248529224731</t>
  </si>
  <si>
    <t>-835.622970907441 173.664205914456 785.470574066634</t>
  </si>
  <si>
    <t>-708.760196057911 245.991543752826 846.804895075553</t>
  </si>
  <si>
    <t>-769.419637120495 58.3934517066136 -63.8678284361737</t>
  </si>
  <si>
    <t>-624.45176003113 55.9704852675241 312.739513366542</t>
  </si>
  <si>
    <t>-723.875694733815 -3.38586636337413 745.193838635103</t>
  </si>
  <si>
    <t>-623.317510699312 -89.5208108595241 832.119842731615</t>
  </si>
  <si>
    <t>9763-20170724T111124.615118600.bin</t>
  </si>
  <si>
    <t>-798.362731602832 155.829444254567 -60.4178758217485</t>
  </si>
  <si>
    <t>-826.173299039735 151.569603049425 -172.777300804625</t>
  </si>
  <si>
    <t>-837.088305194949 157.972276272247 -270.585848039645</t>
  </si>
  <si>
    <t>-842.022325684409 167.285017652514 -359.057181344083</t>
  </si>
  <si>
    <t>-841.503202066145 179.894701310695 -447.255718300697</t>
  </si>
  <si>
    <t>-834.92816272413 200.702716167025 -569.912149766857</t>
  </si>
  <si>
    <t>-802.985552661953 212.175316862817 -645.761052700938</t>
  </si>
  <si>
    <t>-838.31626693315 218.864871795976 -511.329081845002</t>
  </si>
  <si>
    <t>-826.977280917818 349.467200400461 -469.947375084139</t>
  </si>
  <si>
    <t>-706.230836354219 339.365692542429 -201.787936670394</t>
  </si>
  <si>
    <t>-467.571648598651 327.183900396086 -232.516248667167</t>
  </si>
  <si>
    <t>-837.326651110982 164.227497613459 -520.544997634884</t>
  </si>
  <si>
    <t>-841.031842403826 26.933012237821 -514.64333711599</t>
  </si>
  <si>
    <t>-826.602378159511 253.866614482626 -58.9431399557523</t>
  </si>
  <si>
    <t>-800.922092681278 231.670106440586 343.17932601714</t>
  </si>
  <si>
    <t>-835.477330874481 173.419312864649 785.52159587906</t>
  </si>
  <si>
    <t>-708.566593253873 245.712545532298 846.797293298661</t>
  </si>
  <si>
    <t>-770.506631492347 58.0031912920117 -64.0153201730867</t>
  </si>
  <si>
    <t>-625.511848692247 55.6145864477294 312.581812135215</t>
  </si>
  <si>
    <t>-724.07485483671 -2.76878204417244 745.345217987986</t>
  </si>
  <si>
    <t>-623.890240033074 -89.5495802520481 832.060044071875</t>
  </si>
  <si>
    <t>9763-20170724T111124.680257200.bin</t>
  </si>
  <si>
    <t>-799.526724416926 155.516123187426 -60.6402465293872</t>
  </si>
  <si>
    <t>-827.186230654486 151.374196433818 -173.041367244539</t>
  </si>
  <si>
    <t>-837.91591340253 157.759182414678 -270.871597542222</t>
  </si>
  <si>
    <t>-842.663071757862 167.006601973812 -359.359961557571</t>
  </si>
  <si>
    <t>-841.940380675036 179.498805889039 -447.573740030447</t>
  </si>
  <si>
    <t>-835.064755909572 200.085846843531 -570.251041605316</t>
  </si>
  <si>
    <t>-803.248628341969 211.306791135528 -646.190791802126</t>
  </si>
  <si>
    <t>-838.49350838329 218.354110631392 -511.703354390955</t>
  </si>
  <si>
    <t>-826.745795065599 348.965330667779 -470.446964945032</t>
  </si>
  <si>
    <t>-706.872339417085 337.726213994652 -201.94163614939</t>
  </si>
  <si>
    <t>-467.949214968563 325.898298564826 -230.695645862358</t>
  </si>
  <si>
    <t>-837.687145630722 163.698789030687 -520.83032298984</t>
  </si>
  <si>
    <t>-841.831444236741 26.4254864259788 -514.76538598381</t>
  </si>
  <si>
    <t>-827.342358742387 253.080148261868 -59.0789730330714</t>
  </si>
  <si>
    <t>-801.663690308472 231.068400983235 343.053822946093</t>
  </si>
  <si>
    <t>-835.266893276443 172.967734138368 785.624821435795</t>
  </si>
  <si>
    <t>-708.294541436535 245.26872918259 846.763406768779</t>
  </si>
  <si>
    <t>-771.904307605911 58.1102735056438 -64.3487128813559</t>
  </si>
  <si>
    <t>-627.464546746115 55.4877726133686 312.460093816078</t>
  </si>
  <si>
    <t>-724.655107113073 -2.67865730845278 745.478449038612</t>
  </si>
  <si>
    <t>-624.377034581453 -89.4556471180224 832.088826870231</t>
  </si>
  <si>
    <t>9763-20170724T111124.712039300.bin</t>
  </si>
  <si>
    <t>-799.730612708277 155.278749163281 -60.7924551805962</t>
  </si>
  <si>
    <t>-827.310273369176 151.151440777777 -173.213767036228</t>
  </si>
  <si>
    <t>-837.921781066239 157.490928316831 -271.059967148499</t>
  </si>
  <si>
    <t>-842.543309960959 166.670826672238 -359.561946750107</t>
  </si>
  <si>
    <t>-841.677114076351 179.067522032387 -447.787938192256</t>
  </si>
  <si>
    <t>-834.584353637225 199.490841597447 -570.480070892021</t>
  </si>
  <si>
    <t>-802.829193769811 210.603760627966 -646.461238069701</t>
  </si>
  <si>
    <t>-838.101026191487 217.837396177267 -511.962256797443</t>
  </si>
  <si>
    <t>-826.492008770136 348.517217047395 -470.840760380509</t>
  </si>
  <si>
    <t>-707.482716096826 336.855106132098 -201.969174398494</t>
  </si>
  <si>
    <t>-468.436030830698 325.04515198151 -229.684513009669</t>
  </si>
  <si>
    <t>-837.309981273142 163.169664081104 -521.016422483101</t>
  </si>
  <si>
    <t>-841.522522330523 25.9073550387466 -514.834152461009</t>
  </si>
  <si>
    <t>-827.477916560751 252.529057205119 -59.1497919339731</t>
  </si>
  <si>
    <t>-801.66347690455 230.810629085803 342.990159555953</t>
  </si>
  <si>
    <t>-835.218789379814 172.781495348178 785.68224095334</t>
  </si>
  <si>
    <t>-708.218260326462 245.108404732727 846.732164548192</t>
  </si>
  <si>
    <t>-772.041407363566 58.1173252058738 -64.6081889987995</t>
  </si>
  <si>
    <t>-628.718984330028 55.5215154252155 312.627300384076</t>
  </si>
  <si>
    <t>-725.141306190918 -3.23883134503831 745.643955303195</t>
  </si>
  <si>
    <t>-624.286581296118 -89.3206307273056 832.278635101696</t>
  </si>
  <si>
    <t>9763-20170724T111124.781738000.bin</t>
  </si>
  <si>
    <t>-800.325464763723 155.12570761896 -60.7400761906864</t>
  </si>
  <si>
    <t>-827.725975489467 150.87529893196 -173.20068628098</t>
  </si>
  <si>
    <t>-838.103107374532 156.944789359474 -271.088926803632</t>
  </si>
  <si>
    <t>-842.481645162851 165.80663682179 -359.635862372547</t>
  </si>
  <si>
    <t>-841.343715575602 177.806420158733 -447.913464177346</t>
  </si>
  <si>
    <t>-833.84216912775 197.589494271599 -570.686356808855</t>
  </si>
  <si>
    <t>-802.243803385843 208.375352329228 -646.779907525843</t>
  </si>
  <si>
    <t>-837.5149817094 216.241309799791 -512.274637234991</t>
  </si>
  <si>
    <t>-826.315760296687 347.116791310806 -471.740941723989</t>
  </si>
  <si>
    <t>-711.143728656213 335.701606220258 -201.192898513368</t>
  </si>
  <si>
    <t>-471.929621998684 322.791772987089 -226.901426393819</t>
  </si>
  <si>
    <t>-836.771681671712 161.526794127049 -521.045586746295</t>
  </si>
  <si>
    <t>-841.065380583316 24.2783141968262 -514.381746142712</t>
  </si>
  <si>
    <t>-827.873723355262 251.43054842996 -59.0908783603401</t>
  </si>
  <si>
    <t>-801.571549998338 230.474567937539 343.057952511228</t>
  </si>
  <si>
    <t>-834.958785879946 172.116985678507 785.947073269634</t>
  </si>
  <si>
    <t>-708.22145566833 245.174779076531 846.671934446886</t>
  </si>
  <si>
    <t>-773.169601299265 58.8650861804567 -64.4088203815443</t>
  </si>
  <si>
    <t>-630.292523497124 54.8464467081417 312.983201393533</t>
  </si>
  <si>
    <t>-725.952540746669 -4.36919207228175 746.107813516621</t>
  </si>
  <si>
    <t>-624.156047443886 -89.2423578962266 832.833337358021</t>
  </si>
  <si>
    <t>9763-20170724T111124.815272900.bin</t>
  </si>
  <si>
    <t>-800.871024127107 155.218762174388 -60.5680534996022</t>
  </si>
  <si>
    <t>-828.235460382858 150.886344473147 -173.034214430111</t>
  </si>
  <si>
    <t>-838.529216384815 156.808185847136 -270.940457591103</t>
  </si>
  <si>
    <t>-842.812354046102 165.501227693103 -359.508598368181</t>
  </si>
  <si>
    <t>-841.558653062101 177.294462320377 -447.812571782656</t>
  </si>
  <si>
    <t>-833.875712326591 196.746275702249 -570.627090286678</t>
  </si>
  <si>
    <t>-802.359669608735 207.344203516935 -646.781231547343</t>
  </si>
  <si>
    <t>-837.593487381131 215.555418714721 -512.268712047752</t>
  </si>
  <si>
    <t>-826.361536113067 346.508961257596 -471.979495810858</t>
  </si>
  <si>
    <t>-714.270688952695 334.851744021321 -200.150683233157</t>
  </si>
  <si>
    <t>-475.01759150115 321.136051392638 -225.065172566355</t>
  </si>
  <si>
    <t>-836.920059991059 160.817197763982 -520.896255185982</t>
  </si>
  <si>
    <t>-841.443346446645 23.5817824214496 -513.934653089027</t>
  </si>
  <si>
    <t>-828.227919258053 251.150305315203 -58.962858203992</t>
  </si>
  <si>
    <t>-801.65865085392 230.473649298331 343.182955253484</t>
  </si>
  <si>
    <t>-834.853942732218 171.795825341214 786.102189571318</t>
  </si>
  <si>
    <t>-708.133244257397 245.047271350177 846.627634105546</t>
  </si>
  <si>
    <t>-773.977245761418 59.2985312546616 -64.1756530688724</t>
  </si>
  <si>
    <t>-631.180350837088 54.7570296127565 313.24079284666</t>
  </si>
  <si>
    <t>-726.210397149632 -4.57101644603563 746.436718390938</t>
  </si>
  <si>
    <t>-624.257310963619 -89.2215126319325 833.195949846258</t>
  </si>
  <si>
    <t>9763-20170724T111124.881478900.bin</t>
  </si>
  <si>
    <t>-801.830138940501 155.594976093133 -60.0237208509727</t>
  </si>
  <si>
    <t>-829.166718892827 151.123806583333 -172.491133347</t>
  </si>
  <si>
    <t>-839.288983679563 156.806439460041 -270.429418511616</t>
  </si>
  <si>
    <t>-843.359007129185 165.228555277171 -359.033824661661</t>
  </si>
  <si>
    <t>-841.835720331723 176.690466143397 -447.377250250471</t>
  </si>
  <si>
    <t>-833.718603885504 195.610435978295 -570.24686089778</t>
  </si>
  <si>
    <t>-802.368884243503 205.823095296244 -646.522261519492</t>
  </si>
  <si>
    <t>-837.502112462105 214.672285144033 -511.974704982117</t>
  </si>
  <si>
    <t>-825.90073220778 345.651909287238 -471.932155869646</t>
  </si>
  <si>
    <t>-720.096263546823 333.247810707782 -197.628067253966</t>
  </si>
  <si>
    <t>-480.828446864502 318.915414338339 -222.048332585926</t>
  </si>
  <si>
    <t>-837.079246867109 159.897238502605 -520.381342650532</t>
  </si>
  <si>
    <t>-842.499765357229 22.7352237791129 -512.821916344626</t>
  </si>
  <si>
    <t>-828.428641214324 250.967602188803 -58.6039010796376</t>
  </si>
  <si>
    <t>-801.313288266889 230.856223358936 343.534078306708</t>
  </si>
  <si>
    <t>-834.929590980781 171.458549598917 786.34252276927</t>
  </si>
  <si>
    <t>-708.013611263141 244.67648954001 846.498850700299</t>
  </si>
  <si>
    <t>-775.578741510804 60.3758859856835 -63.4925686063556</t>
  </si>
  <si>
    <t>-633.035384607727 54.8195314902969 314.006017270868</t>
  </si>
  <si>
    <t>-726.790292853608 -5.05151955108659 747.319229843079</t>
  </si>
  <si>
    <t>-624.280231527319 -89.1621115202413 833.947318032325</t>
  </si>
  <si>
    <t>9763-20170724T111124.913540000.bin</t>
  </si>
  <si>
    <t>-802.139218393707 155.903787293506 -59.7784187355647</t>
  </si>
  <si>
    <t>-829.480891742573 151.365492588698 -172.241937502029</t>
  </si>
  <si>
    <t>-839.526838583807 156.931949512101 -270.194715032668</t>
  </si>
  <si>
    <t>-843.497625709364 165.224761920037 -358.815926620901</t>
  </si>
  <si>
    <t>-841.845420379009 176.530361076375 -447.177024210278</t>
  </si>
  <si>
    <t>-833.51923310082 195.203713323911 -570.070401164645</t>
  </si>
  <si>
    <t>-802.250431867388 205.201031211902 -646.407482779508</t>
  </si>
  <si>
    <t>-837.303900079361 214.382165959911 -511.836606036528</t>
  </si>
  <si>
    <t>-825.366777283763 345.385823558777 -471.907785671604</t>
  </si>
  <si>
    <t>-722.214325509675 332.460300055577 -196.619206446769</t>
  </si>
  <si>
    <t>-482.965809131894 317.962157330361 -221.128586274448</t>
  </si>
  <si>
    <t>-837.062355899798 159.590941057644 -520.145610156314</t>
  </si>
  <si>
    <t>-843.018538732925 22.4690722249102 -512.287307614444</t>
  </si>
  <si>
    <t>-828.36729883876 251.000241433437 -58.5009713558785</t>
  </si>
  <si>
    <t>-800.791087301024 231.033103473467 343.612801458762</t>
  </si>
  <si>
    <t>-834.894015597381 171.240884314007 786.284616973781</t>
  </si>
  <si>
    <t>-707.86517184288 244.399117633316 846.274974608163</t>
  </si>
  <si>
    <t>-776.236186280379 60.9452173805921 -63.1788357721574</t>
  </si>
  <si>
    <t>-634.048501890785 54.89484026735 314.44638181358</t>
  </si>
  <si>
    <t>-727.034085839985 -5.00367132135034 747.881313499945</t>
  </si>
  <si>
    <t>-624.391052776445 -89.1552419467635 834.311754935246</t>
  </si>
  <si>
    <t>9763-20170724T111124.982724900.bin</t>
  </si>
  <si>
    <t>-802.918572777037 156.234751116045 -59.410316329526</t>
  </si>
  <si>
    <t>-830.318363520595 151.602567391499 -171.855828002541</t>
  </si>
  <si>
    <t>-840.270635103058 156.941454196668 -269.831003884648</t>
  </si>
  <si>
    <t>-844.104516782589 164.972516133432 -358.482254302473</t>
  </si>
  <si>
    <t>-842.267426524506 175.955720510124 -446.880306745872</t>
  </si>
  <si>
    <t>-833.634818958385 194.113748538262 -569.829846634484</t>
  </si>
  <si>
    <t>-802.48832928207 203.660476517214 -646.274446552414</t>
  </si>
  <si>
    <t>-837.330059439244 213.533833801835 -511.670441994782</t>
  </si>
  <si>
    <t>-824.548674710238 344.56624526826 -472.137634568121</t>
  </si>
  <si>
    <t>-724.823887125707 331.883255404559 -195.577782928576</t>
  </si>
  <si>
    <t>-485.669088508424 317.721564131519 -221.177803325356</t>
  </si>
  <si>
    <t>-837.536959948507 158.712921261265 -519.781246041192</t>
  </si>
  <si>
    <t>-844.785700878636 21.7045384260628 -511.239830763749</t>
  </si>
  <si>
    <t>-828.045198509934 250.920752294918 -58.467644609645</t>
  </si>
  <si>
    <t>-800.230206651934 231.018744326725 343.632956861785</t>
  </si>
  <si>
    <t>-834.743791004448 170.848736318299 786.210943554039</t>
  </si>
  <si>
    <t>-707.400045106062 243.641015825079 845.978119841605</t>
  </si>
  <si>
    <t>-778.165088516492 61.5369223170551 -62.4087987502495</t>
  </si>
  <si>
    <t>-635.622943417848 54.7242925228875 315.069609466905</t>
  </si>
  <si>
    <t>-727.383805443854 -4.37810868155202 748.948118615386</t>
  </si>
  <si>
    <t>-624.735630190162 -89.0869915166222 834.825901189202</t>
  </si>
  <si>
    <t>9763-20170724T111125.016822600.bin</t>
  </si>
  <si>
    <t>-803.368254653743 156.173513364816 -59.2742261147879</t>
  </si>
  <si>
    <t>-830.788929625605 151.504552199669 -171.713222976388</t>
  </si>
  <si>
    <t>-840.726452645718 156.715848928834 -269.696673577945</t>
  </si>
  <si>
    <t>-844.537078718515 164.593511115906 -358.362708046296</t>
  </si>
  <si>
    <t>-842.667165910792 175.384098684515 -446.783840682667</t>
  </si>
  <si>
    <t>-833.981444442039 193.231637637339 -569.77506306954</t>
  </si>
  <si>
    <t>-802.888065262059 202.50499021144 -646.274912043919</t>
  </si>
  <si>
    <t>-837.573284746926 212.79642688047 -511.657625661501</t>
  </si>
  <si>
    <t>-824.350102472896 343.872229677953 -472.365639621199</t>
  </si>
  <si>
    <t>-724.947425953437 331.175922626164 -195.690720079661</t>
  </si>
  <si>
    <t>-485.810800735588 317.835891893498 -221.893090307016</t>
  </si>
  <si>
    <t>-838.034158478362 157.959303326952 -519.647730290949</t>
  </si>
  <si>
    <t>-845.94620279777 21.0085069074798 -510.792652572781</t>
  </si>
  <si>
    <t>-828.035557337315 250.782004305376 -58.4628838156135</t>
  </si>
  <si>
    <t>-800.020101999449 230.98044512698 343.628810604135</t>
  </si>
  <si>
    <t>-834.663058190929 170.707122604058 786.206394589546</t>
  </si>
  <si>
    <t>-707.246854172723 243.424006564478 845.911600003964</t>
  </si>
  <si>
    <t>-778.974765844457 61.5707616101386 -62.1452176209874</t>
  </si>
  <si>
    <t>-636.23970186465 54.4474046052392 315.254617315438</t>
  </si>
  <si>
    <t>-727.591181943964 -4.19933181529268 749.352900176233</t>
  </si>
  <si>
    <t>-624.850855441792 -89.0413698879106 834.988867220416</t>
  </si>
  <si>
    <t>9763-20170724T111125.080993000.bin</t>
  </si>
  <si>
    <t>-803.775530153943 155.578960031607 -59.0674015034721</t>
  </si>
  <si>
    <t>-831.294390363284 150.892164166609 -171.481700257742</t>
  </si>
  <si>
    <t>-841.266424846331 155.895112913904 -269.472420818455</t>
  </si>
  <si>
    <t>-845.092000641828 163.507093461166 -358.161014872472</t>
  </si>
  <si>
    <t>-843.224050728361 173.949433243238 -446.624038243001</t>
  </si>
  <si>
    <t>-834.529057621102 191.222197715548 -569.696610033523</t>
  </si>
  <si>
    <t>-803.527001222278 199.954715659196 -646.297236729677</t>
  </si>
  <si>
    <t>-837.874463771855 211.052590659267 -511.65462510953</t>
  </si>
  <si>
    <t>-823.650357930573 342.159913198924 -472.826139521693</t>
  </si>
  <si>
    <t>-723.887936658938 329.266154723744 -196.289581787283</t>
  </si>
  <si>
    <t>-484.791952918049 317.785055959924 -223.716060341727</t>
  </si>
  <si>
    <t>-838.836341208948 156.189929178945 -519.422313093731</t>
  </si>
  <si>
    <t>-848.083942320101 19.3621530439132 -510.020306715841</t>
  </si>
  <si>
    <t>-827.717002799744 250.095532082212 -58.4439388537604</t>
  </si>
  <si>
    <t>-799.467019162082 230.641896798286 343.648294520514</t>
  </si>
  <si>
    <t>-834.472524833805 170.425496129177 786.225702811213</t>
  </si>
  <si>
    <t>-706.804668655795 242.772915561013 845.841890528176</t>
  </si>
  <si>
    <t>-779.996670977871 60.9739895924445 -61.8016453320324</t>
  </si>
  <si>
    <t>-636.963933039622 54.1897041026505 315.491723493194</t>
  </si>
  <si>
    <t>-727.771426239447 -3.72260660569737 749.867242732039</t>
  </si>
  <si>
    <t>-625.433387629937 -89.2692536387433 835.283534396184</t>
  </si>
  <si>
    <t>9763-20170724T111125.112078300.bin</t>
  </si>
  <si>
    <t>-803.943636373039 155.034335576328 -59.0039413022383</t>
  </si>
  <si>
    <t>-831.552903913995 150.33697874577 -171.395579651428</t>
  </si>
  <si>
    <t>-841.569144767867 155.238990722141 -269.38693432702</t>
  </si>
  <si>
    <t>-845.423045765384 162.722689160454 -358.085213450232</t>
  </si>
  <si>
    <t>-843.573027307414 172.996653729061 -446.568302616453</t>
  </si>
  <si>
    <t>-834.892564080993 189.991432455173 -569.680742379482</t>
  </si>
  <si>
    <t>-803.929586497925 198.474297302628 -646.325102888234</t>
  </si>
  <si>
    <t>-838.123341739562 209.949597427847 -511.676060802057</t>
  </si>
  <si>
    <t>-823.45867882125 341.082551647949 -473.087186616383</t>
  </si>
  <si>
    <t>-723.785828807773 328.450432344429 -196.506479939582</t>
  </si>
  <si>
    <t>-484.681046028869 317.267541471382 -223.980376923955</t>
  </si>
  <si>
    <t>-839.30145893668 155.076020432471 -519.333905093941</t>
  </si>
  <si>
    <t>-849.105010920006 18.3029520611835 -509.64476504066</t>
  </si>
  <si>
    <t>-827.634861356149 249.595299300893 -58.4454714175793</t>
  </si>
  <si>
    <t>-799.244143868625 230.334635120878 343.64617492315</t>
  </si>
  <si>
    <t>-834.39803968075 170.330941306392 786.231990917052</t>
  </si>
  <si>
    <t>-706.758244623096 242.751011410992 845.819331656466</t>
  </si>
  <si>
    <t>-780.52619206621 60.4759685083532 -61.6642595188646</t>
  </si>
  <si>
    <t>-637.40273534393 53.8988170331504 315.59834034565</t>
  </si>
  <si>
    <t>-727.934774682707 -3.77787936572076 750.078861666491</t>
  </si>
  <si>
    <t>-625.404848948451 -89.1693431117001 835.420785934115</t>
  </si>
  <si>
    <t>9763-20170724T111125.182268500.bin</t>
  </si>
  <si>
    <t>-804.592634304204 154.02885349439 -58.8559182169283</t>
  </si>
  <si>
    <t>-832.319073981688 149.31616298082 -171.218040814856</t>
  </si>
  <si>
    <t>-842.408312063761 154.067089136637 -269.20938768768</t>
  </si>
  <si>
    <t>-846.320957628651 161.359881408667 -357.920991399944</t>
  </si>
  <si>
    <t>-844.524008990068 171.386953359239 -446.433586416838</t>
  </si>
  <si>
    <t>-835.913578152128 187.977121822149 -569.606032892448</t>
  </si>
  <si>
    <t>-805.007769599531 196.060807930673 -646.316480339003</t>
  </si>
  <si>
    <t>-838.963393364269 208.120825222924 -511.655578304557</t>
  </si>
  <si>
    <t>-823.587209195052 339.25286968175 -473.377325955244</t>
  </si>
  <si>
    <t>-724.685784666829 327.285200247327 -196.490083861355</t>
  </si>
  <si>
    <t>-485.523093806909 315.950377146087 -223.389265661565</t>
  </si>
  <si>
    <t>-840.441923753491 153.232096433066 -519.1520283389</t>
  </si>
  <si>
    <t>-851.005138919233 16.537782551487 -509.021872953443</t>
  </si>
  <si>
    <t>-827.749491714188 248.645313034956 -58.4538294074335</t>
  </si>
  <si>
    <t>-799.326014395126 229.694424827839 343.650125068653</t>
  </si>
  <si>
    <t>-834.253976690782 170.180782640732 786.268643952753</t>
  </si>
  <si>
    <t>-706.418058986954 242.281397471113 845.823445014656</t>
  </si>
  <si>
    <t>-781.800445135159 59.5098787153315 -61.3506876307471</t>
  </si>
  <si>
    <t>-638.423528206469 53.4989506499783 315.825271108122</t>
  </si>
  <si>
    <t>-728.229180045922 -3.68270948290592 750.517117108942</t>
  </si>
  <si>
    <t>-625.649335084752 -89.2238733937691 835.648799276299</t>
  </si>
  <si>
    <t>9763-20170724T111125.215143400.bin</t>
  </si>
  <si>
    <t>-805.041083185677 153.684004722008 -58.8087986351022</t>
  </si>
  <si>
    <t>-832.822081450681 148.913826551376 -171.155087851628</t>
  </si>
  <si>
    <t>-842.953099076582 153.611991622743 -269.144664278606</t>
  </si>
  <si>
    <t>-846.901519794697 160.856959568624 -357.858615486383</t>
  </si>
  <si>
    <t>-845.13850768886 170.836167060199 -446.377286699781</t>
  </si>
  <si>
    <t>-836.573665201631 187.359576506571 -569.561783115617</t>
  </si>
  <si>
    <t>-805.692843377426 195.318442759588 -646.295556734625</t>
  </si>
  <si>
    <t>-839.568418030596 207.533696257895 -511.619248863776</t>
  </si>
  <si>
    <t>-824.04098776869 338.665305573775 -473.384024782881</t>
  </si>
  <si>
    <t>-725.436374768758 326.663358218149 -196.39247251629</t>
  </si>
  <si>
    <t>-486.245485449109 315.410087836135 -223.074582254941</t>
  </si>
  <si>
    <t>-841.116719689022 152.643264422734 -519.089516197232</t>
  </si>
  <si>
    <t>-851.889171876322 15.9722872391399 -508.890184679997</t>
  </si>
  <si>
    <t>-828.082604922329 248.253983602114 -58.4768048817479</t>
  </si>
  <si>
    <t>-799.643282669323 229.474502951346 343.634140888083</t>
  </si>
  <si>
    <t>-834.186660933915 170.146112319359 786.293590373345</t>
  </si>
  <si>
    <t>-706.308515537621 242.16972661922 845.850632183299</t>
  </si>
  <si>
    <t>-782.372004565359 59.2884143862898 -61.2403325000648</t>
  </si>
  <si>
    <t>-638.955942816998 53.3177640026056 315.921301401279</t>
  </si>
  <si>
    <t>-728.398065833572 -3.58238151346586 750.753217369044</t>
  </si>
  <si>
    <t>-625.83064078469 -89.2997485466119 835.722353746294</t>
  </si>
  <si>
    <t>9763-20170724T111125.282824700.bin</t>
  </si>
  <si>
    <t>-806.016457257952 152.892625691136 -58.7401246976633</t>
  </si>
  <si>
    <t>-833.856570864669 147.950727576861 -171.064272664727</t>
  </si>
  <si>
    <t>-844.053349373995 152.535420224553 -269.052324385178</t>
  </si>
  <si>
    <t>-848.064757091051 159.691754327559 -357.770707967164</t>
  </si>
  <si>
    <t>-846.367086537248 169.594927946261 -446.29916848257</t>
  </si>
  <si>
    <t>-837.894833059486 186.025597660954 -569.502601859591</t>
  </si>
  <si>
    <t>-807.093101566931 193.841525426098 -646.282660321287</t>
  </si>
  <si>
    <t>-840.811577175307 206.242026519164 -511.570668428869</t>
  </si>
  <si>
    <t>-825.1985625827 337.376338147952 -473.38419659933</t>
  </si>
  <si>
    <t>-726.748939590427 325.450475464524 -196.334348833328</t>
  </si>
  <si>
    <t>-487.506634968746 313.979657257465 -222.459097134634</t>
  </si>
  <si>
    <t>-842.434536205824 151.348739972894 -519.002947004101</t>
  </si>
  <si>
    <t>-853.401568246442 14.7086238117181 -508.729514864887</t>
  </si>
  <si>
    <t>-828.862123674338 247.343677923522 -58.5731061201743</t>
  </si>
  <si>
    <t>-800.578481430032 228.98955110776 343.568389296746</t>
  </si>
  <si>
    <t>-834.050236809638 170.10877401964 786.353330179946</t>
  </si>
  <si>
    <t>-706.172772743881 242.099741250463 845.951789383328</t>
  </si>
  <si>
    <t>-783.430713589675 58.4746833782683 -61.0009960559629</t>
  </si>
  <si>
    <t>-640.029610897266 53.0707485659459 316.174816536333</t>
  </si>
  <si>
    <t>-728.821002912748 -3.42341317156706 751.232947086323</t>
  </si>
  <si>
    <t>-626.007899641818 -89.279109314461 835.764071929911</t>
  </si>
  <si>
    <t>9763-20170724T111125.315174900.bin</t>
  </si>
  <si>
    <t>-806.493626845819 152.46670018683 -58.7539230275956</t>
  </si>
  <si>
    <t>-834.358557055331 147.430108537051 -171.067744565362</t>
  </si>
  <si>
    <t>-844.586818492612 151.942810016093 -269.055871079031</t>
  </si>
  <si>
    <t>-848.630682623082 159.038198112818 -357.777741785132</t>
  </si>
  <si>
    <t>-846.967874781529 168.884494497202 -446.313125742754</t>
  </si>
  <si>
    <t>-838.547503202163 185.239907171017 -569.530014409733</t>
  </si>
  <si>
    <t>-807.789274483057 193.01559786085 -646.331762370538</t>
  </si>
  <si>
    <t>-841.438008145787 205.491717892163 -511.609269539183</t>
  </si>
  <si>
    <t>-825.874590816569 336.654017926392 -473.501410032702</t>
  </si>
  <si>
    <t>-727.567118182522 324.738464272798 -196.400662369151</t>
  </si>
  <si>
    <t>-488.271781530352 313.219771918515 -222.012078891897</t>
  </si>
  <si>
    <t>-843.067675136222 150.593907766262 -519.007481291267</t>
  </si>
  <si>
    <t>-854.010247396564 13.9529818568176 -508.65876520761</t>
  </si>
  <si>
    <t>-829.311128916146 246.862292655468 -58.6453649150631</t>
  </si>
  <si>
    <t>-801.117774361921 228.766203588828 343.514184538227</t>
  </si>
  <si>
    <t>-834.021467486945 170.158779006511 786.382672733536</t>
  </si>
  <si>
    <t>-706.164512490683 242.156675358695 846.016159324345</t>
  </si>
  <si>
    <t>-783.975041912378 58.124366556825 -60.9263841241119</t>
  </si>
  <si>
    <t>-640.600314501184 53.0077512244898 316.263434784656</t>
  </si>
  <si>
    <t>-729.021329462434 -3.35730381769235 751.437480769847</t>
  </si>
  <si>
    <t>-626.048702248232 -89.2294895421785 835.757501473548</t>
  </si>
  <si>
    <t>9763-20170724T111125.384321700.bin</t>
  </si>
  <si>
    <t>-807.430006165642 151.563309043941 -58.7883420917217</t>
  </si>
  <si>
    <t>-835.375085934758 146.346442900443 -171.074069129412</t>
  </si>
  <si>
    <t>-845.704316405513 150.704542313365 -269.05855879251</t>
  </si>
  <si>
    <t>-849.852069765934 157.661053973773 -357.786482455666</t>
  </si>
  <si>
    <t>-848.305014613278 167.371299038613 -446.339058827968</t>
  </si>
  <si>
    <t>-840.058345104671 183.540139049724 -569.592363010582</t>
  </si>
  <si>
    <t>-809.445700616012 191.243472542958 -646.459588745193</t>
  </si>
  <si>
    <t>-842.889404983436 203.880273636099 -511.699676804069</t>
  </si>
  <si>
    <t>-827.524035781928 335.122336376469 -473.774392267875</t>
  </si>
  <si>
    <t>-729.656593632918 323.298640469028 -196.51389390859</t>
  </si>
  <si>
    <t>-490.291457749456 311.561643530024 -221.362575465896</t>
  </si>
  <si>
    <t>-844.485090265967 148.969537923128 -519.009690354269</t>
  </si>
  <si>
    <t>-855.249641039478 12.3321027222205 -508.42853801366</t>
  </si>
  <si>
    <t>-830.265061411048 245.837173706982 -58.7859787550168</t>
  </si>
  <si>
    <t>-802.051372944062 228.362442396241 343.399660696643</t>
  </si>
  <si>
    <t>-833.923890195922 170.205292352408 786.424991758764</t>
  </si>
  <si>
    <t>-706.071840093407 242.15312110821 846.129121989082</t>
  </si>
  <si>
    <t>-784.965219672691 57.338168075034 -60.8608015407966</t>
  </si>
  <si>
    <t>-641.799050005469 52.8869999651579 316.416766245918</t>
  </si>
  <si>
    <t>-729.359394105997 -3.15766058480312 751.828259601576</t>
  </si>
  <si>
    <t>-626.162477512909 -89.1406068801632 835.760647416001</t>
  </si>
  <si>
    <t>9763-20170724T111125.415404200.bin</t>
  </si>
  <si>
    <t>-807.849824114187 151.139424046531 -58.7809798230642</t>
  </si>
  <si>
    <t>-835.836020502521 145.837926989139 -171.052513265675</t>
  </si>
  <si>
    <t>-846.211288038929 150.117907237305 -269.035564298363</t>
  </si>
  <si>
    <t>-850.405154397543 157.00206078124 -357.766952382925</t>
  </si>
  <si>
    <t>-848.90884656217 166.639520933821 -446.328318975171</t>
  </si>
  <si>
    <t>-840.737750764629 182.706348925228 -569.599950869381</t>
  </si>
  <si>
    <t>-810.217774096823 190.353354914456 -646.509603228452</t>
  </si>
  <si>
    <t>-843.553448335789 203.095069821943 -511.723527116791</t>
  </si>
  <si>
    <t>-828.358553475345 334.390578817696 -473.920292387572</t>
  </si>
  <si>
    <t>-731.02223837136 322.692208621981 -196.467498473663</t>
  </si>
  <si>
    <t>-491.616326865009 311.068741754674 -220.972648773224</t>
  </si>
  <si>
    <t>-845.11342843911 148.177004956554 -518.985003823103</t>
  </si>
  <si>
    <t>-855.731157866074 11.5361905285326 -508.26435897862</t>
  </si>
  <si>
    <t>-830.65501015825 245.330239826654 -58.8434884286085</t>
  </si>
  <si>
    <t>-802.440643026555 228.141455624791 343.354390242133</t>
  </si>
  <si>
    <t>-833.866917302452 170.202804601964 786.440839074843</t>
  </si>
  <si>
    <t>-705.959328065701 242.032670772642 846.168836415068</t>
  </si>
  <si>
    <t>-785.406728988826 56.9843256255404 -60.7991653311777</t>
  </si>
  <si>
    <t>-642.252642533574 52.8071061364717 316.486004544748</t>
  </si>
  <si>
    <t>-729.541518919569 -3.10989513471395 752.007107405878</t>
  </si>
  <si>
    <t>-626.453101489199 -89.3900141020545 835.767437350462</t>
  </si>
  <si>
    <t>9763-20170724T111125.481582800.bin</t>
  </si>
  <si>
    <t>-808.553643188162 150.274498845004 -58.7946519538594</t>
  </si>
  <si>
    <t>-836.633549766564 144.835841085966 -171.036225933896</t>
  </si>
  <si>
    <t>-847.067947532531 148.980558277689 -269.018795986898</t>
  </si>
  <si>
    <t>-851.308322627227 155.738038308228 -357.757806858392</t>
  </si>
  <si>
    <t>-849.852231732497 165.245305860386 -446.333894505874</t>
  </si>
  <si>
    <t>-841.731611051483 181.12984599703 -569.632545901376</t>
  </si>
  <si>
    <t>-811.370791286992 188.619334261044 -646.620517641251</t>
  </si>
  <si>
    <t>-844.571792173494 201.605990602436 -511.788190490356</t>
  </si>
  <si>
    <t>-829.673546418318 332.985036941487 -474.161489530755</t>
  </si>
  <si>
    <t>-733.634386335697 321.607427711523 -196.243932776851</t>
  </si>
  <si>
    <t>-494.1533704131 309.951246595274 -219.992163786888</t>
  </si>
  <si>
    <t>-846.038506687042 146.673803446057 -518.961556407737</t>
  </si>
  <si>
    <t>-856.404570485986 10.0377227915501 -507.966971562592</t>
  </si>
  <si>
    <t>-831.259382649052 244.414389757419 -58.9493176140426</t>
  </si>
  <si>
    <t>-803.168569212121 227.593615953958 343.272790227908</t>
  </si>
  <si>
    <t>-833.767228563414 170.190196624998 786.465146616322</t>
  </si>
  <si>
    <t>-705.810147089555 241.901558997297 846.228993599692</t>
  </si>
  <si>
    <t>-786.186729106941 56.1541941766718 -60.710653077732</t>
  </si>
  <si>
    <t>-643.174199321361 52.6830342143217 316.635413183686</t>
  </si>
  <si>
    <t>-729.809827377284 -2.85080610822752 752.330058653105</t>
  </si>
  <si>
    <t>-626.57568280393 -89.2912773645821 835.74509548539</t>
  </si>
  <si>
    <t>9763-20170724T111125.513698400.bin</t>
  </si>
  <si>
    <t>-808.845013469114 149.843686668914 -58.8094473063691</t>
  </si>
  <si>
    <t>-836.956308148591 144.340210181481 -171.039972730984</t>
  </si>
  <si>
    <t>-847.40818795606 148.403657977939 -269.024102112482</t>
  </si>
  <si>
    <t>-851.661692328787 155.078096055182 -357.768813115004</t>
  </si>
  <si>
    <t>-850.217195630364 164.494446557124 -446.354738625162</t>
  </si>
  <si>
    <t>-842.111610914956 180.243997811438 -569.671684040382</t>
  </si>
  <si>
    <t>-811.817555359439 187.648803123587 -646.694231365604</t>
  </si>
  <si>
    <t>-844.964591799392 200.784072295765 -511.850801195303</t>
  </si>
  <si>
    <t>-830.203630289163 332.215166328561 -474.340311318815</t>
  </si>
  <si>
    <t>-734.648778634428 321.121814865601 -196.244283169338</t>
  </si>
  <si>
    <t>-495.128229231965 309.487887045446 -219.59979368576</t>
  </si>
  <si>
    <t>-846.392380783945 145.842670899616 -518.961401581062</t>
  </si>
  <si>
    <t>-856.659549451202 9.21106491907631 -507.807880672059</t>
  </si>
  <si>
    <t>-831.484263621144 243.957664489899 -59.0065510885161</t>
  </si>
  <si>
    <t>-803.4410027272 227.350292225233 343.227709034044</t>
  </si>
  <si>
    <t>-833.720314912353 170.187530519184 786.474156365562</t>
  </si>
  <si>
    <t>-705.728718877973 241.823320518085 846.255340940992</t>
  </si>
  <si>
    <t>-786.540257637885 55.7543229515641 -60.6633688584317</t>
  </si>
  <si>
    <t>-643.554417472218 52.5616386359275 316.695281155049</t>
  </si>
  <si>
    <t>-729.946447390231 -2.77251701146679 752.470947813314</t>
  </si>
  <si>
    <t>-626.597394360901 -89.2342019431426 835.721475473601</t>
  </si>
  <si>
    <t>9763-20170724T111125.580912900.bin</t>
  </si>
  <si>
    <t>-809.274512980213 149.034669829235 -58.7946051741826</t>
  </si>
  <si>
    <t>-837.467254551982 143.364806398155 -170.996474524301</t>
  </si>
  <si>
    <t>-847.970836410575 147.254896612748 -268.982140499227</t>
  </si>
  <si>
    <t>-852.26481059413 153.760753842793 -357.737327688064</t>
  </si>
  <si>
    <t>-850.855840414765 162.999443523757 -446.342599677822</t>
  </si>
  <si>
    <t>-842.794562971717 178.491006235094 -569.695073129615</t>
  </si>
  <si>
    <t>-812.616343703076 185.774366085036 -646.774631023902</t>
  </si>
  <si>
    <t>-845.67754881189 199.153537794873 -511.919261233299</t>
  </si>
  <si>
    <t>-831.268657200024 330.707787665388 -474.742804724549</t>
  </si>
  <si>
    <t>-736.356585714733 320.371582686251 -196.397582272454</t>
  </si>
  <si>
    <t>-496.766113715189 308.964538291727 -219.140027951315</t>
  </si>
  <si>
    <t>-847.006213466707 144.194192790081 -518.90838462468</t>
  </si>
  <si>
    <t>-857.106166679413 7.57842800818344 -507.364126771069</t>
  </si>
  <si>
    <t>-831.856747715731 243.078680479869 -59.1073932679601</t>
  </si>
  <si>
    <t>-803.832682271979 227.004944516879 343.149942888878</t>
  </si>
  <si>
    <t>-833.654558771428 170.175770107988 786.479026107196</t>
  </si>
  <si>
    <t>-705.79885441933 242.045884681175 846.269629820986</t>
  </si>
  <si>
    <t>-787.002524452209 54.9949508711811 -60.5552472880911</t>
  </si>
  <si>
    <t>-644.065092270524 52.2747031587041 316.825389193308</t>
  </si>
  <si>
    <t>-730.213618276641 -2.65420743878121 752.739641813393</t>
  </si>
  <si>
    <t>-626.667787076468 -89.1709952240885 835.688032521321</t>
  </si>
  <si>
    <t>9763-20170724T111125.617006100.bin</t>
  </si>
  <si>
    <t>-809.409444515115 148.609666105815 -58.7949098804598</t>
  </si>
  <si>
    <t>-837.662504631576 142.885398030372 -170.978803856019</t>
  </si>
  <si>
    <t>-848.190176426799 146.711115685879 -268.964378034849</t>
  </si>
  <si>
    <t>-852.495797432614 153.153216277062 -357.723710872724</t>
  </si>
  <si>
    <t>-851.0897815249 162.32278633527 -446.336233676326</t>
  </si>
  <si>
    <t>-843.02370339391 177.713887853732 -569.701084135958</t>
  </si>
  <si>
    <t>-812.86204110046 184.940882151985 -646.792371770962</t>
  </si>
  <si>
    <t>-845.940294718659 198.42462208789 -511.943968431621</t>
  </si>
  <si>
    <t>-831.680146418031 330.042037566015 -474.930511575635</t>
  </si>
  <si>
    <t>-736.678985729309 320.287258800384 -196.594654241122</t>
  </si>
  <si>
    <t>-497.067151383681 308.875433300998 -219.107051627908</t>
  </si>
  <si>
    <t>-847.20605660289 143.457467266895 -518.884638328148</t>
  </si>
  <si>
    <t>-857.233377362594 6.8546432806229 -507.146889223303</t>
  </si>
  <si>
    <t>-831.964912630219 242.627312777506 -59.139817855316</t>
  </si>
  <si>
    <t>-803.925913013498 226.823317395274 343.12715032115</t>
  </si>
  <si>
    <t>-833.609866783894 170.145647093531 786.481254356606</t>
  </si>
  <si>
    <t>-705.768555395524 242.041239355967 846.272006300931</t>
  </si>
  <si>
    <t>-787.175391588625 54.5553856213301 -60.5300456255389</t>
  </si>
  <si>
    <t>-644.30489369943 52.2060015913203 316.878514464427</t>
  </si>
  <si>
    <t>-730.317884005326 -2.5842964702797 752.844309881062</t>
  </si>
  <si>
    <t>-626.759681019476 -89.1975822404484 835.676360291151</t>
  </si>
  <si>
    <t>9763-20170724T111125.683155000.bin</t>
  </si>
  <si>
    <t>-809.583284163314 147.724173176843 -58.8213449117283</t>
  </si>
  <si>
    <t>-837.971628142743 141.958322448451 -170.969073501234</t>
  </si>
  <si>
    <t>-848.594204192793 145.68929579646 -268.948041123671</t>
  </si>
  <si>
    <t>-852.98226491729 152.027043626903 -357.71074287611</t>
  </si>
  <si>
    <t>-851.656828809251 161.077312735462 -446.336842245881</t>
  </si>
  <si>
    <t>-843.704215904515 176.290322420706 -569.731012132204</t>
  </si>
  <si>
    <t>-813.586016827247 183.348163071776 -646.855138706457</t>
  </si>
  <si>
    <t>-846.629752115183 197.086477960399 -512.005114853054</t>
  </si>
  <si>
    <t>-832.699245496611 328.843231399817 -475.334811878873</t>
  </si>
  <si>
    <t>-737.347676929066 320.177991262444 -197.082759369596</t>
  </si>
  <si>
    <t>-497.704729427417 308.50814430632 -219.12663409997</t>
  </si>
  <si>
    <t>-847.777669465518 142.105475197952 -518.857562058044</t>
  </si>
  <si>
    <t>-857.630510849356 5.52679591054448 -506.75763420129</t>
  </si>
  <si>
    <t>-831.976533139806 241.67220588773 -59.1956965665037</t>
  </si>
  <si>
    <t>-803.856089296454 226.350883654717 343.084316663948</t>
  </si>
  <si>
    <t>-833.542631792847 170.05526615186 786.470703090012</t>
  </si>
  <si>
    <t>-705.675741332769 241.940299741374 846.219840583438</t>
  </si>
  <si>
    <t>-787.546131518322 53.7654783055214 -60.5106366970531</t>
  </si>
  <si>
    <t>-644.842091162351 51.9114744017643 316.96361121322</t>
  </si>
  <si>
    <t>-730.564810638238 -2.59529448485273 753.044962287632</t>
  </si>
  <si>
    <t>-626.905178042018 -89.2929570230708 835.661508928128</t>
  </si>
  <si>
    <t>9763-20170724T111125.716248100.bin</t>
  </si>
  <si>
    <t>-809.656888882842 147.26335204343 -58.8414896830672</t>
  </si>
  <si>
    <t>-838.128322229499 141.489257695104 -170.967542143183</t>
  </si>
  <si>
    <t>-848.828441242942 145.178877087055 -268.939613971055</t>
  </si>
  <si>
    <t>-853.291030247522 151.468283949319 -357.702074664806</t>
  </si>
  <si>
    <t>-852.045354225278 160.46193881198 -446.335123426545</t>
  </si>
  <si>
    <t>-844.210465349458 175.588393755391 -569.747502983451</t>
  </si>
  <si>
    <t>-814.135837203941 182.552395249311 -646.897139738898</t>
  </si>
  <si>
    <t>-847.100448524212 196.425338351075 -512.034717889349</t>
  </si>
  <si>
    <t>-833.32880651092 328.241838032963 -475.518669111803</t>
  </si>
  <si>
    <t>-738.12177075532 320.05847954019 -197.202464989025</t>
  </si>
  <si>
    <t>-498.466339591862 308.117694819074 -218.963910141076</t>
  </si>
  <si>
    <t>-848.215899104283 141.438620552018 -518.84503009797</t>
  </si>
  <si>
    <t>-858.003046136058 4.86653387830256 -506.579437430148</t>
  </si>
  <si>
    <t>-831.950245366677 241.182800862352 -59.2268812613837</t>
  </si>
  <si>
    <t>-803.703104317706 226.078658168553 343.052444429373</t>
  </si>
  <si>
    <t>-833.496513920478 169.977268130868 786.459747417995</t>
  </si>
  <si>
    <t>-705.566237484812 241.774206547357 846.178639990451</t>
  </si>
  <si>
    <t>-787.749976189022 53.353825192527 -60.5271864993385</t>
  </si>
  <si>
    <t>-645.135228622761 51.725462043466 316.981816206306</t>
  </si>
  <si>
    <t>-730.646794252468 -2.50461986884784 753.137066028394</t>
  </si>
  <si>
    <t>-626.92556578749 -89.228593672645 835.648706866913</t>
  </si>
  <si>
    <t>9763-20170724T111125.781420600.bin</t>
  </si>
  <si>
    <t>-809.624908005505 146.309435141629 -58.8586012024962</t>
  </si>
  <si>
    <t>-838.282181639437 140.476938346618 -170.934276257474</t>
  </si>
  <si>
    <t>-849.131900177541 144.060565505495 -268.894012500481</t>
  </si>
  <si>
    <t>-853.728721807398 150.235090689244 -357.657653121102</t>
  </si>
  <si>
    <t>-852.617656777745 159.097319993334 -446.305637730476</t>
  </si>
  <si>
    <t>-844.971694864935 174.024727055463 -569.754084984622</t>
  </si>
  <si>
    <t>-814.980516389719 180.819682547152 -646.951171813236</t>
  </si>
  <si>
    <t>-847.784602828663 194.955074238013 -512.071198208753</t>
  </si>
  <si>
    <t>-834.138711458209 326.867723916836 -475.84450468967</t>
  </si>
  <si>
    <t>-740.344836058352 319.352277910868 -197.030082787742</t>
  </si>
  <si>
    <t>-500.649531361102 306.780706177778 -217.982489517326</t>
  </si>
  <si>
    <t>-848.88790274528 139.956946638278 -518.789898402913</t>
  </si>
  <si>
    <t>-858.659749413608 3.41387917629027 -506.225716226607</t>
  </si>
  <si>
    <t>-831.57422079211 240.106515377235 -59.2800903596274</t>
  </si>
  <si>
    <t>-803.096369550541 225.617856901725 343.0055940784</t>
  </si>
  <si>
    <t>-833.418209508495 169.814351625319 786.430733309412</t>
  </si>
  <si>
    <t>-705.533031959703 241.747365241945 846.08175884624</t>
  </si>
  <si>
    <t>-787.971953858881 52.5453717667192 -60.4961506659671</t>
  </si>
  <si>
    <t>-645.428241923266 51.2540474938523 317.041011610283</t>
  </si>
  <si>
    <t>-730.785801470503 -2.38205039864988 753.295246614168</t>
  </si>
  <si>
    <t>-626.944831192385 -89.1257031161554 835.635325961243</t>
  </si>
  <si>
    <t>9763-20170724T111125.814513400.bin</t>
  </si>
  <si>
    <t>-809.481960693183 145.809262503609 -58.8625653951093</t>
  </si>
  <si>
    <t>-838.22151251161 139.921752106493 -170.914290186064</t>
  </si>
  <si>
    <t>-849.14902168858 143.434700988818 -268.867872282719</t>
  </si>
  <si>
    <t>-853.819320008793 149.537426521076 -357.632690810175</t>
  </si>
  <si>
    <t>-852.785038049206 158.319377308645 -446.289594761993</t>
  </si>
  <si>
    <t>-845.250140218995 173.127089620194 -569.759340815848</t>
  </si>
  <si>
    <t>-815.309251202667 179.842344550359 -646.982781304914</t>
  </si>
  <si>
    <t>-848.005530319049 194.113115330727 -512.093873925478</t>
  </si>
  <si>
    <t>-834.359439932825 326.067893869504 -476.028028774708</t>
  </si>
  <si>
    <t>-741.98849951364 318.714972683947 -196.734599199571</t>
  </si>
  <si>
    <t>-502.278932178393 305.755130836885 -217.28448025883</t>
  </si>
  <si>
    <t>-849.126127208123 139.108623904009 -518.758787742558</t>
  </si>
  <si>
    <t>-858.935541387568 2.57662480557656 -506.062707046302</t>
  </si>
  <si>
    <t>-831.322477630615 239.554357718614 -59.3194538115035</t>
  </si>
  <si>
    <t>-802.781873610347 225.324200034604 342.971045061205</t>
  </si>
  <si>
    <t>-833.338648656431 169.695272605772 786.411631977633</t>
  </si>
  <si>
    <t>-705.266302292073 241.310813733443 846.043104414982</t>
  </si>
  <si>
    <t>-787.914184365183 52.0567182414975 -60.4900277814356</t>
  </si>
  <si>
    <t>-645.5271756401 51.0785315180374 317.107217015799</t>
  </si>
  <si>
    <t>-730.854782878927 -2.34392372264301 753.397243151424</t>
  </si>
  <si>
    <t>-627.017753304003 -89.1649115192863 835.660739813052</t>
  </si>
  <si>
    <t>9763-20170724T111125.883732900.bin</t>
  </si>
  <si>
    <t>-809.498147260533 145.112472881278 -58.8242188287624</t>
  </si>
  <si>
    <t>-838.411120469607 139.051183659514 -170.822145030034</t>
  </si>
  <si>
    <t>-849.542488036702 142.414444351624 -268.757985264859</t>
  </si>
  <si>
    <t>-854.417907535549 148.382136187332 -357.520892561205</t>
  </si>
  <si>
    <t>-853.60855938061 157.030525208975 -446.193311724275</t>
  </si>
  <si>
    <t>-846.407378393534 171.65382412905 -569.704930998142</t>
  </si>
  <si>
    <t>-816.572811447655 178.219038987442 -646.982572825935</t>
  </si>
  <si>
    <t>-849.005467071258 192.725978576791 -512.063557657876</t>
  </si>
  <si>
    <t>-835.187218577856 324.702841297713 -476.15369481873</t>
  </si>
  <si>
    <t>-746.029360709138 317.120478699374 -195.824321781826</t>
  </si>
  <si>
    <t>-506.296730209222 303.609421207578 -215.73732879533</t>
  </si>
  <si>
    <t>-850.14708523342 137.711940798549 -518.643565435941</t>
  </si>
  <si>
    <t>-860.07405196385 1.20895041870926 -505.76362375741</t>
  </si>
  <si>
    <t>-831.391209016877 238.813211339494 -59.3946269972837</t>
  </si>
  <si>
    <t>-802.811691122473 224.874905157565 342.903270940458</t>
  </si>
  <si>
    <t>-833.304646787145 169.672541072443 786.39460361067</t>
  </si>
  <si>
    <t>-705.434742273928 241.655644309638 846.018730259473</t>
  </si>
  <si>
    <t>-787.999495417866 51.4837460113058 -60.3224099178798</t>
  </si>
  <si>
    <t>-645.692315213852 50.9406100341607 317.305796255897</t>
  </si>
  <si>
    <t>-730.890435435773 -1.93759464862751 753.659452817389</t>
  </si>
  <si>
    <t>-627.308029257692 -89.2623431676504 835.710492185195</t>
  </si>
  <si>
    <t>9763-20170724T111125.916827800.bin</t>
  </si>
  <si>
    <t>-809.704031631082 144.807457260887 -58.7775060610501</t>
  </si>
  <si>
    <t>-838.683052088311 138.612501644628 -170.750984327499</t>
  </si>
  <si>
    <t>-849.926280491166 141.887198190479 -268.677088386854</t>
  </si>
  <si>
    <t>-854.922847299339 147.786422961942 -357.437756498947</t>
  </si>
  <si>
    <t>-854.253848876788 156.378547010472 -446.116849145559</t>
  </si>
  <si>
    <t>-847.267115821061 170.93559045127 -569.648681113379</t>
  </si>
  <si>
    <t>-817.502830657517 177.439118364213 -646.958404649183</t>
  </si>
  <si>
    <t>-849.775434198389 192.0389210258 -512.014626720189</t>
  </si>
  <si>
    <t>-835.922024606123 324.019282408463 -476.136378834388</t>
  </si>
  <si>
    <t>-747.799086487524 316.248478484693 -195.485104023155</t>
  </si>
  <si>
    <t>-508.044178226434 302.571389415904 -215.015341600423</t>
  </si>
  <si>
    <t>-850.907819863516 137.020705129408 -518.562110556902</t>
  </si>
  <si>
    <t>-860.819443622997 0.526816769041943 -505.600577099022</t>
  </si>
  <si>
    <t>-831.661107807297 238.496946707438 -59.4325179603246</t>
  </si>
  <si>
    <t>-803.159485752668 224.624229759137 342.873220636977</t>
  </si>
  <si>
    <t>-833.259286967305 169.661909627316 786.402899929486</t>
  </si>
  <si>
    <t>-705.258671023094 241.391792063992 846.05213593007</t>
  </si>
  <si>
    <t>-788.112910938602 51.1770040083429 -60.2123584549815</t>
  </si>
  <si>
    <t>-645.939642829501 50.9459665327286 317.466606546071</t>
  </si>
  <si>
    <t>-731.023218433514 -1.87191952046896 753.858895522559</t>
  </si>
  <si>
    <t>-627.33254868612 -89.2584253368605 835.706904426246</t>
  </si>
  <si>
    <t>9763-20170724T111125.980497400.bin</t>
  </si>
  <si>
    <t>-810.260023917613 144.433457036496 -58.6870022959531</t>
  </si>
  <si>
    <t>-839.351285916143 137.904638980106 -170.612364804972</t>
  </si>
  <si>
    <t>-850.758823527326 140.972578836514 -268.526091752006</t>
  </si>
  <si>
    <t>-855.926124551682 146.715631766593 -357.287366887305</t>
  </si>
  <si>
    <t>-855.44688302948 155.181580031197 -445.979718786671</t>
  </si>
  <si>
    <t>-848.743138882322 169.594616221854 -569.544087002429</t>
  </si>
  <si>
    <t>-819.111302106694 175.990774655455 -646.913760975242</t>
  </si>
  <si>
    <t>-851.144731504917 190.765611052692 -511.930564168816</t>
  </si>
  <si>
    <t>-837.287770953852 322.74699895409 -476.082155443515</t>
  </si>
  <si>
    <t>-749.357499891779 315.047281971882 -195.368458612341</t>
  </si>
  <si>
    <t>-509.54282120388 300.870330300108 -213.77722214682</t>
  </si>
  <si>
    <t>-852.241360842791 135.738680627516 -518.408586150613</t>
  </si>
  <si>
    <t>-832.284040030685 238.134266581489 -59.5254224958322</t>
  </si>
  <si>
    <t>-804.202691263733 224.339557015835 342.812523963249</t>
  </si>
  <si>
    <t>-833.131593809426 169.888054243697 786.480864851156</t>
  </si>
  <si>
    <t>-705.306696907871 241.656029584852 846.460152498547</t>
  </si>
  <si>
    <t>-788.553234082568 50.7615543407428 -59.9177264289998</t>
  </si>
  <si>
    <t>-646.633320195936 50.9646212898006 317.856383609284</t>
  </si>
  <si>
    <t>-731.397501575601 -1.74613692120602 754.381506688075</t>
  </si>
  <si>
    <t>-627.311938494723 -89.1897003797865 835.6657101913</t>
  </si>
  <si>
    <t>9763-20170724T111126.017133600.bin</t>
  </si>
  <si>
    <t>-810.522952631145 144.355271934715 -58.6290497703191</t>
  </si>
  <si>
    <t>-839.637034884395 137.6664216452 -170.539017292147</t>
  </si>
  <si>
    <t>-851.062976813392 140.624104120564 -268.454174586223</t>
  </si>
  <si>
    <t>-856.244093668708 146.276965486605 -357.220340419139</t>
  </si>
  <si>
    <t>-855.775333575932 154.662496435214 -445.920503943646</t>
  </si>
  <si>
    <t>-849.081834501099 168.971894710323 -569.497256786105</t>
  </si>
  <si>
    <t>-819.488331581149 175.324449469208 -646.885419795414</t>
  </si>
  <si>
    <t>-851.483602198927 190.191250402259 -511.901525067762</t>
  </si>
  <si>
    <t>-837.623629220827 322.189858729423 -476.111433680847</t>
  </si>
  <si>
    <t>-749.440987160176 314.772198702334 -195.469399920258</t>
  </si>
  <si>
    <t>-509.585024694114 300.20014180549 -213.008583452322</t>
  </si>
  <si>
    <t>-852.570943730571 135.1585655439 -518.332935726248</t>
  </si>
  <si>
    <t>-832.624391071981 238.052586834088 -59.5503283226994</t>
  </si>
  <si>
    <t>-804.71909140292 224.253520790954 342.799740774774</t>
  </si>
  <si>
    <t>-833.097480015773 169.997704681886 786.52942701164</t>
  </si>
  <si>
    <t>-705.289026551941 241.682682027615 846.642572325628</t>
  </si>
  <si>
    <t>-788.786755975944 50.6377094346149 -59.7514953778026</t>
  </si>
  <si>
    <t>-646.882853755774 51.120217759928 318.028448302551</t>
  </si>
  <si>
    <t>-731.446125824217 -1.35873608768952 754.627449971679</t>
  </si>
  <si>
    <t>-627.354468685665 -89.0530097885987 835.633440092475</t>
  </si>
  <si>
    <t>9763-20170724T111126.084316400.bin</t>
  </si>
  <si>
    <t>-811.242773931919 144.298799199849 -58.4959157460064</t>
  </si>
  <si>
    <t>-840.351284971082 137.396198611394 -170.394445313057</t>
  </si>
  <si>
    <t>-851.757166950053 140.163687639422 -268.317389901449</t>
  </si>
  <si>
    <t>-856.915151715874 145.643844120781 -357.095787108293</t>
  </si>
  <si>
    <t>-856.418260134102 153.856318302241 -445.811891361514</t>
  </si>
  <si>
    <t>-849.680359942112 167.925016198681 -569.4140096838</t>
  </si>
  <si>
    <t>-820.128550290724 174.146217917963 -646.828543224169</t>
  </si>
  <si>
    <t>-852.092687171956 189.256411601099 -511.859986458723</t>
  </si>
  <si>
    <t>-838.196405633752 321.318719791416 -476.288612944724</t>
  </si>
  <si>
    <t>-750.101106668912 314.234412164602 -195.610367835185</t>
  </si>
  <si>
    <t>-510.097520658609 299.105289070588 -210.448970829977</t>
  </si>
  <si>
    <t>-853.197914297033 134.211751694988 -518.185648378602</t>
  </si>
  <si>
    <t>-833.473925060453 238.074316039873 -59.6072505851605</t>
  </si>
  <si>
    <t>-805.837807821098 224.121829018263 342.756091938579</t>
  </si>
  <si>
    <t>-833.051631972909 170.097107441562 786.577714771976</t>
  </si>
  <si>
    <t>-705.099738044847 241.447281128083 846.783858731419</t>
  </si>
  <si>
    <t>-789.430869332098 50.4879244977169 -59.4574496902829</t>
  </si>
  <si>
    <t>-647.706108494003 51.5440200636672 318.388670705967</t>
  </si>
  <si>
    <t>-731.666962073616 -0.929194478766931 755.110129133129</t>
  </si>
  <si>
    <t>-627.560776868003 -89.0846225128946 835.595010998078</t>
  </si>
  <si>
    <t>9763-20170724T111126.118409900.bin</t>
  </si>
  <si>
    <t>-811.671957549824 144.223486010459 -58.4487795189543</t>
  </si>
  <si>
    <t>-840.77704000764 137.200473199362 -170.34070174543</t>
  </si>
  <si>
    <t>-852.173218804115 139.872039688387 -268.267508402069</t>
  </si>
  <si>
    <t>-857.320012972088 145.269328366294 -357.051604519913</t>
  </si>
  <si>
    <t>-856.809486780502 153.404178717535 -445.774720731341</t>
  </si>
  <si>
    <t>-850.050508711262 167.370121342754 -569.387407381251</t>
  </si>
  <si>
    <t>-820.508009228614 173.513435754912 -646.81168795399</t>
  </si>
  <si>
    <t>-852.476547839059 188.749725161652 -511.851798170249</t>
  </si>
  <si>
    <t>-838.595450794992 320.846033992131 -476.391175870656</t>
  </si>
  <si>
    <t>-750.748905725454 313.794381513814 -195.634415158159</t>
  </si>
  <si>
    <t>-510.670986080409 298.28193716883 -208.781501837166</t>
  </si>
  <si>
    <t>-853.573006081463 133.699222923219 -518.131439394325</t>
  </si>
  <si>
    <t>-834.004241027896 238.033697063463 -59.6512626355844</t>
  </si>
  <si>
    <t>-806.270043174696 224.018995389046 342.703146088739</t>
  </si>
  <si>
    <t>-833.047397883891 170.08252553045 786.571454833909</t>
  </si>
  <si>
    <t>-705.086877509544 241.447057854741 846.742176752837</t>
  </si>
  <si>
    <t>-789.754847969477 50.3162251460758 -59.2991688303678</t>
  </si>
  <si>
    <t>-648.161905734168 51.7888074044349 318.594905623784</t>
  </si>
  <si>
    <t>-731.758025969885 -0.678367699112187 755.337858288382</t>
  </si>
  <si>
    <t>-627.613591847937 -89.0116576777757 835.577744618078</t>
  </si>
  <si>
    <t>9763-20170724T111126.182081300.bin</t>
  </si>
  <si>
    <t>-812.421401398912 144.087438465821 -58.3787067293213</t>
  </si>
  <si>
    <t>-841.507019153536 136.807826366442 -170.259180250878</t>
  </si>
  <si>
    <t>-852.859904917643 139.291505362022 -268.195986309443</t>
  </si>
  <si>
    <t>-857.955481624915 144.531958984369 -356.992582960731</t>
  </si>
  <si>
    <t>-857.381127466058 152.523207489255 -445.728230312791</t>
  </si>
  <si>
    <t>-850.520049385889 166.301929227165 -569.356286390737</t>
  </si>
  <si>
    <t>-820.932311121846 172.318019257017 -646.773299376477</t>
  </si>
  <si>
    <t>-853.019271939104 187.76924475165 -511.856549009851</t>
  </si>
  <si>
    <t>-839.235274541622 319.912172763474 -476.573278188693</t>
  </si>
  <si>
    <t>-753.13492316061 313.158510288094 -195.268552948437</t>
  </si>
  <si>
    <t>-512.949375667763 297.189427491934 -205.599674559661</t>
  </si>
  <si>
    <t>-854.059273649352 132.708174668216 -518.051034176613</t>
  </si>
  <si>
    <t>-835.046235459328 237.801615451949 -59.7755978839369</t>
  </si>
  <si>
    <t>-806.978723819822 223.910772295782 342.559925121664</t>
  </si>
  <si>
    <t>-832.983157980353 169.875869557208 786.508246689277</t>
  </si>
  <si>
    <t>-704.735727067489 240.862649363271 846.514415534862</t>
  </si>
  <si>
    <t>-790.1374705526 50.3612276494296 -59.0496218492439</t>
  </si>
  <si>
    <t>-648.81740216325 52.1762422191632 318.945022338244</t>
  </si>
  <si>
    <t>-731.891540404427 -0.26689112529084 755.715249225222</t>
  </si>
  <si>
    <t>-627.90223677558 -89.1225018364325 835.579108780529</t>
  </si>
  <si>
    <t>9763-20170724T111126.213701200.bin</t>
  </si>
  <si>
    <t>-812.789633451378 144.054568595463 -58.3537966967052</t>
  </si>
  <si>
    <t>-841.858388631534 136.670032268232 -170.231931463225</t>
  </si>
  <si>
    <t>-853.174663659061 139.08943840438 -268.174434626225</t>
  </si>
  <si>
    <t>-858.22785583824 144.281506306048 -356.97621834217</t>
  </si>
  <si>
    <t>-857.601246999947 152.234121682457 -445.715192105518</t>
  </si>
  <si>
    <t>-850.656149064097 165.969200103958 -569.343285898396</t>
  </si>
  <si>
    <t>-821.001378505927 171.953296568538 -646.737179530976</t>
  </si>
  <si>
    <t>-853.22778820276 187.457351671527 -511.854600140387</t>
  </si>
  <si>
    <t>-839.605937566515 319.647914445076 -476.661028052826</t>
  </si>
  <si>
    <t>-754.37968158223 312.886908857934 -195.090381761838</t>
  </si>
  <si>
    <t>-514.172555191391 296.771754889921 -204.668376976961</t>
  </si>
  <si>
    <t>-854.196731864314 132.392585076 -518.026675236108</t>
  </si>
  <si>
    <t>-835.47731751098 237.701234776025 -59.815692712154</t>
  </si>
  <si>
    <t>-807.224481531323 223.994616388349 342.513194700429</t>
  </si>
  <si>
    <t>-832.969172739348 169.83479638896 786.475428149468</t>
  </si>
  <si>
    <t>-704.720293784681 240.866968332883 846.424674030179</t>
  </si>
  <si>
    <t>-790.445949018854 50.374002649794 -58.927481134206</t>
  </si>
  <si>
    <t>-648.996967817497 52.3382491802345 319.018329113293</t>
  </si>
  <si>
    <t>-731.944850833918 -0.175682551654518 755.826894998794</t>
  </si>
  <si>
    <t>-627.982568639615 -89.1581000551691 835.58450297837</t>
  </si>
  <si>
    <t>9763-20170724T111126.281354300.bin</t>
  </si>
  <si>
    <t>-813.274104027159 144.10139978651 -58.2676349998361</t>
  </si>
  <si>
    <t>-842.300493513404 136.510530678947 -170.142823996459</t>
  </si>
  <si>
    <t>-853.549643208032 138.755223066233 -268.097336189253</t>
  </si>
  <si>
    <t>-858.528757884316 143.788544491063 -356.912372563134</t>
  </si>
  <si>
    <t>-857.81559577573 151.582034672411 -445.664781310966</t>
  </si>
  <si>
    <t>-850.736385039484 165.094530838225 -569.309966062998</t>
  </si>
  <si>
    <t>-820.923722686818 171.01894390653 -646.647684511358</t>
  </si>
  <si>
    <t>-853.448265175172 186.688028618175 -511.867213228211</t>
  </si>
  <si>
    <t>-840.344200038286 318.995209419872 -476.905079095766</t>
  </si>
  <si>
    <t>-756.478750234515 312.599429923474 -194.917648153224</t>
  </si>
  <si>
    <t>-516.215517966187 296.566335240568 -203.130933752412</t>
  </si>
  <si>
    <t>-854.254902647216 131.608604614997 -517.932561761853</t>
  </si>
  <si>
    <t>-836.185942403264 237.626805676739 -59.8116570486366</t>
  </si>
  <si>
    <t>-807.56400717916 224.31236148613 342.504350506484</t>
  </si>
  <si>
    <t>-832.865366275485 169.938052114176 786.497572769258</t>
  </si>
  <si>
    <t>-704.693465468521 240.977021995814 846.602798221928</t>
  </si>
  <si>
    <t>-790.636854250548 50.5374570772301 -58.7543579987117</t>
  </si>
  <si>
    <t>-649.041657299447 52.8085354118602 319.134867450437</t>
  </si>
  <si>
    <t>-731.872409859096 0.23665064379793 755.95240829704</t>
  </si>
  <si>
    <t>-628.237816319973 -89.1883641305526 835.641139432955</t>
  </si>
  <si>
    <t>9763-20170724T111126.317957800.bin</t>
  </si>
  <si>
    <t>-813.53061043294 144.072856787579 -58.2021384435151</t>
  </si>
  <si>
    <t>-842.538769568177 136.383542204737 -170.07543900155</t>
  </si>
  <si>
    <t>-853.782033750069 138.528175863714 -268.032845803301</t>
  </si>
  <si>
    <t>-858.759996891316 143.464043033684 -356.853362935665</t>
  </si>
  <si>
    <t>-858.050523258236 151.15456650896 -445.614858546025</t>
  </si>
  <si>
    <t>-850.981570858604 164.517903874421 -569.276692167127</t>
  </si>
  <si>
    <t>-821.099537016931 170.387247237766 -646.592031471744</t>
  </si>
  <si>
    <t>-853.721982182321 186.181430662156 -511.861653980524</t>
  </si>
  <si>
    <t>-840.871368248885 318.557520176438 -477.069141985776</t>
  </si>
  <si>
    <t>-757.440681438688 312.356892593212 -194.948369189833</t>
  </si>
  <si>
    <t>-517.124469864645 296.591823068853 -202.04818170084</t>
  </si>
  <si>
    <t>-854.462395403815 131.093367605696 -517.856896590256</t>
  </si>
  <si>
    <t>-836.654121208578 237.585723573283 -59.7928897334946</t>
  </si>
  <si>
    <t>-807.783057174009 224.403361325102 342.509660968067</t>
  </si>
  <si>
    <t>-832.822745699 169.951283311354 786.506993528357</t>
  </si>
  <si>
    <t>-704.557105944793 240.799356769021 846.637873854287</t>
  </si>
  <si>
    <t>-790.767359573379 50.5355668216507 -58.6551834571624</t>
  </si>
  <si>
    <t>-649.145112877557 52.9103114611958 319.223357395519</t>
  </si>
  <si>
    <t>-731.936130279626 0.164301288732077 756.018942534323</t>
  </si>
  <si>
    <t>-628.0259371811 -88.9618342991505 835.683527096382</t>
  </si>
  <si>
    <t>9763-20170724T111126.382132300.bin</t>
  </si>
  <si>
    <t>-813.955402981428 144.151487306945 -58.0843221590402</t>
  </si>
  <si>
    <t>-842.96967802158 136.285480262585 -169.943626519933</t>
  </si>
  <si>
    <t>-854.290420174895 138.24476066825 -267.896000428838</t>
  </si>
  <si>
    <t>-859.369346769721 143.001513441129 -356.720590824383</t>
  </si>
  <si>
    <t>-858.79060056321 150.504213726409 -445.499080084588</t>
  </si>
  <si>
    <t>-851.936443424134 163.597784994421 -569.201926344857</t>
  </si>
  <si>
    <t>-822.026903344059 169.288369950902 -646.519849775624</t>
  </si>
  <si>
    <t>-854.63510229228 185.387214618815 -511.832595708791</t>
  </si>
  <si>
    <t>-842.269627085147 317.898008261455 -477.387465514601</t>
  </si>
  <si>
    <t>-759.908638536199 312.406152561601 -194.937987888348</t>
  </si>
  <si>
    <t>-519.48557624695 297.372853667476 -199.583274795289</t>
  </si>
  <si>
    <t>-855.270237043064 130.284327481401 -517.700299099357</t>
  </si>
  <si>
    <t>-837.364799733002 237.643294002887 -59.7887058191512</t>
  </si>
  <si>
    <t>-808.25934545011 224.604812939985 342.501653525043</t>
  </si>
  <si>
    <t>-832.834146697513 169.990640455122 786.496198440793</t>
  </si>
  <si>
    <t>-704.727672773979 241.177230913696 846.567546957382</t>
  </si>
  <si>
    <t>-790.884879839928 50.6478531267271 -58.4463545563131</t>
  </si>
  <si>
    <t>-649.345425699229 53.3387306739364 319.461083772073</t>
  </si>
  <si>
    <t>-731.944917242193 0.370832327999324 756.195020537214</t>
  </si>
  <si>
    <t>-628.223723093146 -89.0124133937518 835.818176290667</t>
  </si>
  <si>
    <t>9763-20170724T111126.415184900.bin</t>
  </si>
  <si>
    <t>-814.193190337291 144.133240958207 -58.0409294876908</t>
  </si>
  <si>
    <t>-843.214700207771 136.189859546063 -169.893021648727</t>
  </si>
  <si>
    <t>-854.593827301505 138.064124310952 -267.84018039358</t>
  </si>
  <si>
    <t>-859.747658182633 142.739310688277 -356.66480511636</t>
  </si>
  <si>
    <t>-859.266168489067 150.157897846003 -445.451038171418</t>
  </si>
  <si>
    <t>-852.571538694246 163.133132068547 -569.174989123473</t>
  </si>
  <si>
    <t>-822.692597467738 168.72731024805 -646.5117268235</t>
  </si>
  <si>
    <t>-855.22844441845 184.978275891156 -511.824849827359</t>
  </si>
  <si>
    <t>-843.075919474519 317.557551421981 -477.570784264377</t>
  </si>
  <si>
    <t>-761.231042633142 312.338948128026 -194.966135886163</t>
  </si>
  <si>
    <t>-520.769473065103 297.645253870867 -198.596325450649</t>
  </si>
  <si>
    <t>-855.806671389988 129.868656689524 -517.635486053561</t>
  </si>
  <si>
    <t>-837.722306635694 237.592559112401 -59.7944018962044</t>
  </si>
  <si>
    <t>-808.486957890894 224.623260474993 342.488752268976</t>
  </si>
  <si>
    <t>-832.810843620506 169.934143457958 786.480162024826</t>
  </si>
  <si>
    <t>-704.649347013446 241.071662663148 846.491667350829</t>
  </si>
  <si>
    <t>-791.054132968991 50.6956774150999 -58.3474673460943</t>
  </si>
  <si>
    <t>-649.565115109444 53.3891187419763 319.578837216199</t>
  </si>
  <si>
    <t>-732.051362097769 0.270256599123059 756.294931117225</t>
  </si>
  <si>
    <t>-627.892735101457 -88.6592617912013 835.855116869467</t>
  </si>
  <si>
    <t>9763-20170724T111126.482863800.bin</t>
  </si>
  <si>
    <t>-814.533316586617 144.142935340919 -58.0446761213385</t>
  </si>
  <si>
    <t>-843.636060781287 136.099402553974 -169.86839259902</t>
  </si>
  <si>
    <t>-855.195318639713 137.859706374615 -267.796700598219</t>
  </si>
  <si>
    <t>-860.558176043607 142.425652789979 -356.614775700732</t>
  </si>
  <si>
    <t>-860.33300945943 149.73381320789 -445.410982496452</t>
  </si>
  <si>
    <t>-854.045421701395 162.558272608962 -569.1720111673</t>
  </si>
  <si>
    <t>-824.294614261939 168.028746844741 -646.567107314147</t>
  </si>
  <si>
    <t>-856.58502560262 184.474171730042 -511.843703712048</t>
  </si>
  <si>
    <t>-844.835772269164 317.182152639358 -477.96771363212</t>
  </si>
  <si>
    <t>-764.314190535402 312.502234109552 -194.973818449321</t>
  </si>
  <si>
    <t>-523.80637526388 298.249744860578 -196.918687536724</t>
  </si>
  <si>
    <t>-857.039668654025 129.355569252797 -517.578165943557</t>
  </si>
  <si>
    <t>-838.229739403725 237.468437391808 -59.829844186715</t>
  </si>
  <si>
    <t>-808.755340603772 224.689460615014 342.442021337515</t>
  </si>
  <si>
    <t>-832.761749979904 169.826989060603 786.446286634095</t>
  </si>
  <si>
    <t>-704.613442217701 241.095286476213 846.330588170966</t>
  </si>
  <si>
    <t>-791.171359461893 50.8028061074119 -58.287461634459</t>
  </si>
  <si>
    <t>-649.805838501581 53.7536356491933 319.683181460952</t>
  </si>
  <si>
    <t>-732.078730295091 0.423400845804736 756.418079434442</t>
  </si>
  <si>
    <t>-628.361919020476 -89.0258605183728 835.972967210697</t>
  </si>
  <si>
    <t>9763-20170724T111126.515164600.bin</t>
  </si>
  <si>
    <t>-814.659075045827 144.04385667766 -58.029982395962</t>
  </si>
  <si>
    <t>-843.812656107232 135.965413674907 -169.837935797697</t>
  </si>
  <si>
    <t>-855.463326831513 137.699208224122 -267.755804672607</t>
  </si>
  <si>
    <t>-860.928989864387 142.246628232721 -356.568369047466</t>
  </si>
  <si>
    <t>-860.827373114447 149.544625759468 -445.365875303004</t>
  </si>
  <si>
    <t>-854.733846813963 162.36613368512 -569.137034114914</t>
  </si>
  <si>
    <t>-825.07572747169 167.810370477869 -646.569303865643</t>
  </si>
  <si>
    <t>-857.225825636519 184.283998045508 -511.807139882408</t>
  </si>
  <si>
    <t>-845.730669334903 317.05200624764 -478.078295587376</t>
  </si>
  <si>
    <t>-766.073658535264 312.623471178104 -194.835758008905</t>
  </si>
  <si>
    <t>-525.550173745844 298.613814089942 -196.571452950878</t>
  </si>
  <si>
    <t>-857.605028122365 129.164243189912 -517.53565738092</t>
  </si>
  <si>
    <t>-838.385497171346 237.358062927027 -59.8424779375503</t>
  </si>
  <si>
    <t>-808.761938256074 224.674322241437 342.421423005823</t>
  </si>
  <si>
    <t>-832.736829360741 169.790323955107 786.434283714146</t>
  </si>
  <si>
    <t>-704.558520509325 241.045240276549 846.270629128244</t>
  </si>
  <si>
    <t>-791.256771551807 50.6767063267648 -58.2627050335602</t>
  </si>
  <si>
    <t>-649.904081376793 53.7981170874164 319.711308644933</t>
  </si>
  <si>
    <t>-732.145827451144 0.348935075197915 756.462744903056</t>
  </si>
  <si>
    <t>-628.30638478549 -88.9637827027909 836.010823755021</t>
  </si>
  <si>
    <t>9763-20170724T111126.583881300.bin</t>
  </si>
  <si>
    <t>-814.857915449025 143.784169051709 -57.9962295282726</t>
  </si>
  <si>
    <t>-844.083081271374 135.672765168645 -169.783221755941</t>
  </si>
  <si>
    <t>-855.885642121808 137.374324988597 -267.683389082726</t>
  </si>
  <si>
    <t>-861.52883828248 141.898328205783 -356.486123825891</t>
  </si>
  <si>
    <t>-861.645334667782 149.185457685423 -445.284418217527</t>
  </si>
  <si>
    <t>-855.899276669953 162.008689279907 -569.071945914865</t>
  </si>
  <si>
    <t>-826.411758863896 167.425693733293 -646.571509225067</t>
  </si>
  <si>
    <t>-858.319981495503 183.926464011013 -511.739164013316</t>
  </si>
  <si>
    <t>-847.386689074683 316.810148543416 -478.27330557072</t>
  </si>
  <si>
    <t>-769.819824396119 313.368653595391 -194.437634052769</t>
  </si>
  <si>
    <t>-529.280856065777 299.631995214008 -196.220976491806</t>
  </si>
  <si>
    <t>-858.535603355048 128.804892540832 -517.459302243249</t>
  </si>
  <si>
    <t>-838.679645459191 237.109650291514 -59.8301062554528</t>
  </si>
  <si>
    <t>-808.778611699082 224.599076425835 342.418710924764</t>
  </si>
  <si>
    <t>-832.648333368079 169.711563052528 786.422904409109</t>
  </si>
  <si>
    <t>-704.390326120578 240.874919407189 846.197731746144</t>
  </si>
  <si>
    <t>-791.405755883469 50.4145828789797 -58.2056487497208</t>
  </si>
  <si>
    <t>-650.047821308822 53.8498557974153 319.763696319492</t>
  </si>
  <si>
    <t>-732.220166253112 0.357785820826848 756.512387618258</t>
  </si>
  <si>
    <t>-628.393366474714 -88.9516497369268 836.080583283922</t>
  </si>
  <si>
    <t>9763-20170724T111126.616118600.bin</t>
  </si>
  <si>
    <t>-814.962775466948 143.74516640435 -58.0062139674116</t>
  </si>
  <si>
    <t>-844.213482095794 135.598626177351 -169.783941839159</t>
  </si>
  <si>
    <t>-856.0891163087 137.273646748361 -267.67577631142</t>
  </si>
  <si>
    <t>-861.819487387638 141.778655114137 -356.474023791549</t>
  </si>
  <si>
    <t>-862.04521324899 149.053737370972 -445.272850219511</t>
  </si>
  <si>
    <t>-856.474548209043 161.871229517839 -569.069137422441</t>
  </si>
  <si>
    <t>-827.067801205532 167.290702105986 -646.599171928574</t>
  </si>
  <si>
    <t>-858.855906345091 183.792002734198 -511.735848692775</t>
  </si>
  <si>
    <t>-848.155078056413 316.739260647112 -478.442170379458</t>
  </si>
  <si>
    <t>-771.928163323973 313.993168402901 -194.236135114305</t>
  </si>
  <si>
    <t>-531.394552068798 300.14362528128 -195.879569519375</t>
  </si>
  <si>
    <t>-858.996026076738 128.669661045948 -517.449320583273</t>
  </si>
  <si>
    <t>-838.810625959609 237.039418507176 -59.8379879741078</t>
  </si>
  <si>
    <t>-808.831349341194 224.634917289001 342.408193725198</t>
  </si>
  <si>
    <t>-832.619823114359 169.708155443358 786.419318664626</t>
  </si>
  <si>
    <t>-704.408374491409 240.972716637807 846.17322444135</t>
  </si>
  <si>
    <t>-791.493081715039 50.4460169582553 -58.2018985701201</t>
  </si>
  <si>
    <t>-650.156035803092 53.8970624778508 319.775000045124</t>
  </si>
  <si>
    <t>-732.231877017619 0.401674974282741 756.531022377186</t>
  </si>
  <si>
    <t>-628.418262285682 -88.908700841575 836.115608174433</t>
  </si>
  <si>
    <t>9763-20170724T111126.681796400.bin</t>
  </si>
  <si>
    <t>-815.146679142095 143.768528804915 -57.9960208140335</t>
  </si>
  <si>
    <t>-844.410892496135 135.582886482567 -169.767251640914</t>
  </si>
  <si>
    <t>-856.41767112203 137.215452518904 -267.643937063379</t>
  </si>
  <si>
    <t>-862.316279364731 141.6845765415 -356.432864100039</t>
  </si>
  <si>
    <t>-862.760945657928 148.930932066959 -445.233357779205</t>
  </si>
  <si>
    <t>-857.549361709294 161.720556798019 -569.048184595653</t>
  </si>
  <si>
    <t>-828.314946538741 167.160685479328 -646.641734016244</t>
  </si>
  <si>
    <t>-859.828272436827 183.654744998569 -511.715748592558</t>
  </si>
  <si>
    <t>-849.497253095373 316.708505085188 -478.729663566969</t>
  </si>
  <si>
    <t>-776.274382441188 314.804874142955 -193.728009372107</t>
  </si>
  <si>
    <t>-535.722237523509 301.25507509319 -195.10902189805</t>
  </si>
  <si>
    <t>-859.857326367027 128.530035143773 -517.411050976491</t>
  </si>
  <si>
    <t>-838.998693740688 236.960870763317 -59.8623045376081</t>
  </si>
  <si>
    <t>-808.954702892451 224.625246646966 342.381217346505</t>
  </si>
  <si>
    <t>-832.510424058126 169.645609697978 786.412211987002</t>
  </si>
  <si>
    <t>-704.271906418635 240.873940431245 846.150907816032</t>
  </si>
  <si>
    <t>-791.62498950575 50.5956540588727 -58.1877467914816</t>
  </si>
  <si>
    <t>-650.382431704052 53.9921212447857 319.825064226491</t>
  </si>
  <si>
    <t>-732.272331098607 0.460550474824686 756.593624142507</t>
  </si>
  <si>
    <t>-628.500328018714 -88.8753203333329 836.203458763328</t>
  </si>
  <si>
    <t>9763-20170724T111126.713414500.bin</t>
  </si>
  <si>
    <t>-815.217746996861 143.684425462032 -57.9986319769698</t>
  </si>
  <si>
    <t>-844.50848196364 135.481260037759 -169.761727241145</t>
  </si>
  <si>
    <t>-856.588886643929 137.108590668699 -267.629358758851</t>
  </si>
  <si>
    <t>-862.575066358701 141.578921470761 -356.412445124858</t>
  </si>
  <si>
    <t>-863.128655532021 148.835343763087 -445.211455600467</t>
  </si>
  <si>
    <t>-858.090333628841 161.649077401221 -569.03083561848</t>
  </si>
  <si>
    <t>-828.960569878053 167.093793312085 -646.663481468098</t>
  </si>
  <si>
    <t>-860.31834305317 183.5722733039 -511.692212473766</t>
  </si>
  <si>
    <t>-850.142150229667 316.66431035321 -478.806238923214</t>
  </si>
  <si>
    <t>-778.215081519654 314.880247273924 -193.473999759967</t>
  </si>
  <si>
    <t>-537.652267832009 301.53599872799 -195.032678454126</t>
  </si>
  <si>
    <t>-860.296510949217 128.448560084043 -517.395915054412</t>
  </si>
  <si>
    <t>-839.109524157812 236.843083553895 -59.8671636129969</t>
  </si>
  <si>
    <t>-809.012803468402 224.600880196071 342.375289682192</t>
  </si>
  <si>
    <t>-832.471763134485 169.641346072237 786.413897510886</t>
  </si>
  <si>
    <t>-704.307358620979 241.007160619042 846.146901325207</t>
  </si>
  <si>
    <t>-791.652219302037 50.4713671564127 -58.1910920672407</t>
  </si>
  <si>
    <t>-650.539526999696 54.0704499252151 319.868350226145</t>
  </si>
  <si>
    <t>-732.349551939892 0.410377555836021 756.637477591521</t>
  </si>
  <si>
    <t>-628.512925157818 -88.8616698891433 836.234714260343</t>
  </si>
  <si>
    <t>9763-20170724T111126.781093000.bin</t>
  </si>
  <si>
    <t>-815.413081890354 143.432677201327 -58.0022163090331</t>
  </si>
  <si>
    <t>-844.781557983712 135.155331283338 -169.739341402929</t>
  </si>
  <si>
    <t>-857.040643082075 136.773318294219 -267.584984278701</t>
  </si>
  <si>
    <t>-863.232427953866 141.261931556453 -356.352902106432</t>
  </si>
  <si>
    <t>-864.034380423019 148.56636577473 -445.146238947627</t>
  </si>
  <si>
    <t>-859.387219694947 161.481444381078 -568.970308430018</t>
  </si>
  <si>
    <t>-830.52761633962 166.867956107382 -646.707921052465</t>
  </si>
  <si>
    <t>-861.486583599183 183.357960285971 -511.608894148775</t>
  </si>
  <si>
    <t>-851.531595587756 316.479573888722 -478.806938146439</t>
  </si>
  <si>
    <t>-781.15303089118 314.916231219581 -193.087536878899</t>
  </si>
  <si>
    <t>-540.578145055311 301.874960721971 -195.215456191081</t>
  </si>
  <si>
    <t>-861.377792000977 128.238491341266 -517.353981624401</t>
  </si>
  <si>
    <t>-839.434915616719 236.57304214862 -59.8962410696914</t>
  </si>
  <si>
    <t>-809.182052869961 224.476204730945 342.338856977882</t>
  </si>
  <si>
    <t>-832.405725345504 169.645480431736 786.408885072188</t>
  </si>
  <si>
    <t>-704.28091841595 241.097432405418 846.124568354747</t>
  </si>
  <si>
    <t>-791.761183157126 50.2819168509877 -58.1452722660647</t>
  </si>
  <si>
    <t>-650.784801496391 54.2069917027397 319.961802235577</t>
  </si>
  <si>
    <t>-732.44712951977 0.429532079834189 756.741096864661</t>
  </si>
  <si>
    <t>-628.746046731463 -89.0202011366237 836.315762557543</t>
  </si>
  <si>
    <t>9763-20170724T111126.812690000.bin</t>
  </si>
  <si>
    <t>-815.579340472947 143.365874133997 -58.0033286933441</t>
  </si>
  <si>
    <t>-845.008288789432 135.072276328627 -169.723404435671</t>
  </si>
  <si>
    <t>-857.352077146197 136.689112915067 -267.55836207238</t>
  </si>
  <si>
    <t>-863.633853721091 141.183977191854 -356.319744714535</t>
  </si>
  <si>
    <t>-864.538840755016 148.503075485812 -445.110694523348</t>
  </si>
  <si>
    <t>-860.049249384058 161.448863249364 -568.937460871021</t>
  </si>
  <si>
    <t>-831.331337849913 166.769741828422 -646.732054383119</t>
  </si>
  <si>
    <t>-862.091373211974 183.311094435647 -511.568656572597</t>
  </si>
  <si>
    <t>-852.131869940888 316.455661680152 -478.834129606382</t>
  </si>
  <si>
    <t>-782.263607119645 315.186296349417 -192.987879480012</t>
  </si>
  <si>
    <t>-541.697883477066 302.051444449934 -195.529709684951</t>
  </si>
  <si>
    <t>-861.958540448638 128.193074574034 -517.326226691492</t>
  </si>
  <si>
    <t>-839.565661484959 236.455007821435 -59.9013145758913</t>
  </si>
  <si>
    <t>-809.286889796269 224.411313131019 342.333474625928</t>
  </si>
  <si>
    <t>-832.351354260297 169.625961728498 786.412035863504</t>
  </si>
  <si>
    <t>-704.150471069416 240.942963849649 846.125617654825</t>
  </si>
  <si>
    <t>-791.971993042747 50.2573995143239 -58.1211796112868</t>
  </si>
  <si>
    <t>-650.897953031802 54.253269325005 319.948681650489</t>
  </si>
  <si>
    <t>-732.42585668375 0.580537780444956 756.766196815922</t>
  </si>
  <si>
    <t>-628.991835907308 -89.1806037064448 836.337583133818</t>
  </si>
  <si>
    <t>9763-20170724T111126.884381700.bin</t>
  </si>
  <si>
    <t>-816.274897637441 143.00712113133 -58.0014224471082</t>
  </si>
  <si>
    <t>-845.841714529024 134.669473195488 -169.681761178123</t>
  </si>
  <si>
    <t>-858.319042656362 136.234300819797 -267.500641914879</t>
  </si>
  <si>
    <t>-864.728019058395 140.677369085317 -356.255460157088</t>
  </si>
  <si>
    <t>-865.766937532664 147.94187523726 -445.049560942032</t>
  </si>
  <si>
    <t>-861.471019853827 160.808946643004 -568.891341356211</t>
  </si>
  <si>
    <t>-832.983395449156 165.973466480074 -646.781101699269</t>
  </si>
  <si>
    <t>-863.426173578701 182.707439627518 -511.533425565091</t>
  </si>
  <si>
    <t>-853.370937982435 315.904271337177 -479.049959011794</t>
  </si>
  <si>
    <t>-783.908254459605 315.559117500546 -193.102380299177</t>
  </si>
  <si>
    <t>-543.351329598435 302.272928367272 -195.68101708452</t>
  </si>
  <si>
    <t>-863.296721929663 127.585944008792 -517.25597105829</t>
  </si>
  <si>
    <t>-840.082814477943 236.126869317836 -59.9120710046005</t>
  </si>
  <si>
    <t>-809.624992426533 224.334789243499 342.316611596333</t>
  </si>
  <si>
    <t>-832.187055381015 169.733193238714 786.447853221447</t>
  </si>
  <si>
    <t>-704.047441535815 240.993577277369 846.360835485306</t>
  </si>
  <si>
    <t>-792.81797442285 49.8046755412956 -58.1012155521754</t>
  </si>
  <si>
    <t>-651.495925275063 54.296179737386 319.870417273448</t>
  </si>
  <si>
    <t>-732.471944873546 0.723788058545324 756.842223594168</t>
  </si>
  <si>
    <t>-628.901465424262 -88.9314472910514 836.355994031526</t>
  </si>
  <si>
    <t>9763-20170724T111126.914968800.bin</t>
  </si>
  <si>
    <t>-816.687526220051 142.916303234696 -57.9411684435926</t>
  </si>
  <si>
    <t>-846.317459234622 134.53243905041 -169.601434681666</t>
  </si>
  <si>
    <t>-858.850891717169 136.044578008682 -267.413892036674</t>
  </si>
  <si>
    <t>-865.312337096268 140.436172442535 -356.167453010554</t>
  </si>
  <si>
    <t>-866.405481769466 147.645554822944 -444.96539981224</t>
  </si>
  <si>
    <t>-862.187390843513 160.432393937089 -568.818141308153</t>
  </si>
  <si>
    <t>-833.802826655747 165.5755767756 -646.746909537892</t>
  </si>
  <si>
    <t>-864.111264663088 182.368174527487 -511.473225091357</t>
  </si>
  <si>
    <t>-854.016393261789 315.602347529549 -479.138550304073</t>
  </si>
  <si>
    <t>-784.581404720341 315.676363122739 -193.183986615803</t>
  </si>
  <si>
    <t>-544.028719413819 302.322352750985 -195.824720340798</t>
  </si>
  <si>
    <t>-863.97588530191 127.242792727686 -517.16008376369</t>
  </si>
  <si>
    <t>-840.425173552656 236.056029304156 -59.8809679544937</t>
  </si>
  <si>
    <t>-809.816318937501 224.360945369331 342.339091855722</t>
  </si>
  <si>
    <t>-832.069169013657 169.823123882708 786.490907399053</t>
  </si>
  <si>
    <t>-703.909022580278 240.892676725384 846.586276396166</t>
  </si>
  <si>
    <t>-793.276551924703 49.7920544987132 -58.0178672452457</t>
  </si>
  <si>
    <t>-651.800076715261 54.4324254958237 319.89421347531</t>
  </si>
  <si>
    <t>-732.472488310705 0.916195263584541 756.914985445013</t>
  </si>
  <si>
    <t>-629.0548912846 -88.9569378805111 836.381282015701</t>
  </si>
  <si>
    <t>9763-20170724T111126.980144100.bin</t>
  </si>
  <si>
    <t>-817.723218763048 142.79284285764 -57.8045864571751</t>
  </si>
  <si>
    <t>-847.457801553572 134.275207747262 -169.426896315327</t>
  </si>
  <si>
    <t>-860.010288712998 135.687035888717 -267.238438305441</t>
  </si>
  <si>
    <t>-866.460808724429 139.995318864065 -355.99694500497</t>
  </si>
  <si>
    <t>-867.515288026133 147.129282377747 -444.80136605579</t>
  </si>
  <si>
    <t>-863.215187222618 159.820200728866 -568.661351506442</t>
  </si>
  <si>
    <t>-834.959005957119 165.050525764806 -646.630768819943</t>
  </si>
  <si>
    <t>-865.208666141914 181.800357865777 -511.335857241388</t>
  </si>
  <si>
    <t>-855.234491035388 315.096936468928 -479.25054821575</t>
  </si>
  <si>
    <t>-786.160434983231 315.782087623319 -193.20946611589</t>
  </si>
  <si>
    <t>-545.625476301324 302.205609823379 -196.287056209528</t>
  </si>
  <si>
    <t>-865.006233677979 126.670468857874 -516.97754259467</t>
  </si>
  <si>
    <t>-841.317658716963 235.803986290126 -59.8304338215102</t>
  </si>
  <si>
    <t>-810.318698093179 224.518979115176 342.371481993026</t>
  </si>
  <si>
    <t>-831.904477737615 169.971231458003 786.541795265876</t>
  </si>
  <si>
    <t>-703.720342068036 240.783309119254 846.888646228838</t>
  </si>
  <si>
    <t>-794.463174176305 49.7820443105884 -57.7975915900406</t>
  </si>
  <si>
    <t>-652.689807501529 54.746711793498 319.999064193939</t>
  </si>
  <si>
    <t>-732.596973149616 1.08400313066613 757.131949888027</t>
  </si>
  <si>
    <t>-629.346378854307 -89.128118334462 836.431178013872</t>
  </si>
  <si>
    <t>9763-20170724T111127.012948100.bin</t>
  </si>
  <si>
    <t>-818.423355159376 142.792061186 -57.7653189547252</t>
  </si>
  <si>
    <t>-848.092873827777 134.234839710057 -169.401764945711</t>
  </si>
  <si>
    <t>-860.544904295297 135.614650394873 -267.226665285603</t>
  </si>
  <si>
    <t>-866.887988739389 139.895499747794 -355.994243211561</t>
  </si>
  <si>
    <t>-867.819146237674 147.00442066322 -444.802117724313</t>
  </si>
  <si>
    <t>-863.330674243434 159.663081272375 -568.658612080292</t>
  </si>
  <si>
    <t>-835.114468882005 164.992361305275 -646.635890391182</t>
  </si>
  <si>
    <t>-865.443270951634 181.658167835865 -511.343004294655</t>
  </si>
  <si>
    <t>-855.644456905184 314.999966662166 -479.384016390387</t>
  </si>
  <si>
    <t>-787.050284454733 315.931088681326 -193.228072312417</t>
  </si>
  <si>
    <t>-546.534211184428 302.203491955125 -197.030979238011</t>
  </si>
  <si>
    <t>-865.168263404971 126.526853154 -516.967886174138</t>
  </si>
  <si>
    <t>-842.060938987421 235.691009911335 -59.8529587615269</t>
  </si>
  <si>
    <t>-810.772684833034 224.646211669427 342.333228753268</t>
  </si>
  <si>
    <t>-831.870917911449 170.004652608392 786.512621410613</t>
  </si>
  <si>
    <t>-703.679776126622 240.790712198449 846.87539309177</t>
  </si>
  <si>
    <t>-795.171374652916 49.8501316585089 -57.7418851040194</t>
  </si>
  <si>
    <t>-653.338029832506 55.0381244070823 320.029262402629</t>
  </si>
  <si>
    <t>-732.613894337339 1.2349961702007 757.228150183914</t>
  </si>
  <si>
    <t>-629.531017013345 -89.2296262889702 836.458186754766</t>
  </si>
  <si>
    <t>9763-20170724T111127.082136500.bin</t>
  </si>
  <si>
    <t>-820.019371835534 142.813664260579 -57.8665305314777</t>
  </si>
  <si>
    <t>-849.550005212082 134.255562279101 -169.539758396551</t>
  </si>
  <si>
    <t>-861.831134018755 135.59872993153 -267.386719107688</t>
  </si>
  <si>
    <t>-868.003601619924 139.835082112665 -356.168580483939</t>
  </si>
  <si>
    <t>-868.750440645337 146.891391445529 -444.982344262936</t>
  </si>
  <si>
    <t>-863.992934899566 159.470514002227 -568.836889676158</t>
  </si>
  <si>
    <t>-835.826135101178 165.052793829799 -646.814341576399</t>
  </si>
  <si>
    <t>-866.311009488067 181.502221558335 -511.543342012447</t>
  </si>
  <si>
    <t>-857.015692704451 314.951689958133 -479.839653841841</t>
  </si>
  <si>
    <t>-789.175879862213 316.701949814444 -193.507882263398</t>
  </si>
  <si>
    <t>-548.761067663152 302.076230761573 -199.638168308118</t>
  </si>
  <si>
    <t>-865.862100787987 126.367917000592 -517.125721519422</t>
  </si>
  <si>
    <t>-843.538400077213 235.349348040194 -60.0107798078562</t>
  </si>
  <si>
    <t>-811.925537613201 224.874956676501 342.165290663057</t>
  </si>
  <si>
    <t>-831.670108906581 170.035863274085 786.371795079695</t>
  </si>
  <si>
    <t>-703.669987156311 241.066193712829 846.852618014663</t>
  </si>
  <si>
    <t>-796.91658901675 50.3229349892158 -57.7603778871727</t>
  </si>
  <si>
    <t>-654.857507475381 55.3261940078469 319.928523638765</t>
  </si>
  <si>
    <t>-732.751727323012 1.28556384077046 757.356341450997</t>
  </si>
  <si>
    <t>-629.559703990901 -89.1809759924049 836.442167573277</t>
  </si>
  <si>
    <t>9763-20170724T111127.114225700.bin</t>
  </si>
  <si>
    <t>-820.813488853717 142.945743194858 -57.9239900114316</t>
  </si>
  <si>
    <t>-850.287407705506 134.316980011431 -169.606760394864</t>
  </si>
  <si>
    <t>-862.526877769307 135.619427063577 -267.459436475886</t>
  </si>
  <si>
    <t>-868.664571086731 139.826594210549 -356.244977190863</t>
  </si>
  <si>
    <t>-869.378467219196 146.861919589063 -445.060845985465</t>
  </si>
  <si>
    <t>-864.577551930519 159.421037887297 -568.915686800644</t>
  </si>
  <si>
    <t>-836.432739931611 165.134378749328 -646.891660084363</t>
  </si>
  <si>
    <t>-866.95899725889 181.461779084156 -511.628331475046</t>
  </si>
  <si>
    <t>-857.972308489723 314.953891617292 -480.034637650198</t>
  </si>
  <si>
    <t>-790.339942892319 317.176521830259 -193.657054677648</t>
  </si>
  <si>
    <t>-549.976968031524 302.019326198863 -200.495622981113</t>
  </si>
  <si>
    <t>-866.421368237987 126.32690878701 -517.198280271656</t>
  </si>
  <si>
    <t>-844.425054269062 235.300510188062 -60.1247343406482</t>
  </si>
  <si>
    <t>-812.58907746968 225.119654365341 342.041261359523</t>
  </si>
  <si>
    <t>-831.688163464257 170.195059326996 786.287151699613</t>
  </si>
  <si>
    <t>-703.620415951327 241.027785851861 846.856668741105</t>
  </si>
  <si>
    <t>-797.603169663808 50.6209217342594 -57.797604553684</t>
  </si>
  <si>
    <t>-655.565777839814 55.5749056336717 319.900038833297</t>
  </si>
  <si>
    <t>-732.852063938511 1.30490680988441 757.434921394188</t>
  </si>
  <si>
    <t>-629.725440484079 -89.3259212332146 836.417389615546</t>
  </si>
  <si>
    <t>9763-20170724T111127.184415300.bin</t>
  </si>
  <si>
    <t>-821.696087892058 143.060691796316 -58.0379915608644</t>
  </si>
  <si>
    <t>-851.142452872633 134.291011406538 -169.717123924175</t>
  </si>
  <si>
    <t>-863.375942165352 135.533309106287 -267.571350776532</t>
  </si>
  <si>
    <t>-869.512588109068 139.709650079345 -356.358496996507</t>
  </si>
  <si>
    <t>-870.230691053215 146.739743793189 -445.174457621699</t>
  </si>
  <si>
    <t>-865.438600054061 159.318183826754 -569.027751244268</t>
  </si>
  <si>
    <t>-837.311819480256 165.220034130466 -646.996333548542</t>
  </si>
  <si>
    <t>-867.905676955729 181.349470887195 -511.740349653217</t>
  </si>
  <si>
    <t>-859.578840688171 314.8867520375 -480.187136185259</t>
  </si>
  <si>
    <t>-792.0214957062 317.835460493831 -193.798388027786</t>
  </si>
  <si>
    <t>-551.756870721311 301.535408418719 -201.41433718899</t>
  </si>
  <si>
    <t>-867.188934591078 126.216736819507 -517.311966379744</t>
  </si>
  <si>
    <t>-845.446620806904 235.152400830971 -60.369066160017</t>
  </si>
  <si>
    <t>-813.628215716224 225.238316982214 341.804959699384</t>
  </si>
  <si>
    <t>-831.494848961044 170.315837424352 786.101698391666</t>
  </si>
  <si>
    <t>-703.572703078621 241.240444932875 846.871693849243</t>
  </si>
  <si>
    <t>-798.289560531807 50.9578175795973 -57.8954732045845</t>
  </si>
  <si>
    <t>-656.679889169171 56.1178642846407 319.960107821502</t>
  </si>
  <si>
    <t>-733.071239726444 1.33701641138759 757.594331613553</t>
  </si>
  <si>
    <t>-629.910848618796 -89.4927467616794 836.303896392293</t>
  </si>
  <si>
    <t>9763-20170724T111127.216464300.bin</t>
  </si>
  <si>
    <t>-821.91773568614 143.091040824947 -58.1531075929605</t>
  </si>
  <si>
    <t>-851.379860846971 134.276501450895 -169.824546182483</t>
  </si>
  <si>
    <t>-863.636525921263 135.516872379732 -267.675961280359</t>
  </si>
  <si>
    <t>-869.797033222833 139.706683489349 -356.460647662568</t>
  </si>
  <si>
    <t>-870.541095439263 146.766159756876 -445.274219238528</t>
  </si>
  <si>
    <t>-865.787516235629 159.402522066757 -569.123060471129</t>
  </si>
  <si>
    <t>-837.670287369656 165.365725962506 -647.090363168314</t>
  </si>
  <si>
    <t>-868.27345098958 181.406489920227 -511.826024699142</t>
  </si>
  <si>
    <t>-860.219943610557 314.94430610975 -480.209880337832</t>
  </si>
  <si>
    <t>-792.804655410295 317.90749103125 -193.787687013456</t>
  </si>
  <si>
    <t>-552.577877673694 301.246625264098 -201.812342453316</t>
  </si>
  <si>
    <t>-867.48518973611 126.277212531463 -517.420751292644</t>
  </si>
  <si>
    <t>-845.829384006061 235.136093242299 -60.4794905096157</t>
  </si>
  <si>
    <t>-814.040725622514 225.259890273492 341.697826727768</t>
  </si>
  <si>
    <t>-831.543099982955 170.479395336636 786.048907865124</t>
  </si>
  <si>
    <t>-703.563958773056 241.242192043034 846.886129570968</t>
  </si>
  <si>
    <t>-798.34521329023 51.0120842188999 -57.9993182185201</t>
  </si>
  <si>
    <t>-657.035738802012 56.3755306481453 319.965640979409</t>
  </si>
  <si>
    <t>-733.096168714467 1.45332906490421 757.61098059998</t>
  </si>
  <si>
    <t>-629.967598084304 -89.4964988699394 836.223445219885</t>
  </si>
  <si>
    <t>9763-20170724T111127.280144800.bin</t>
  </si>
  <si>
    <t>-822.023522515795 142.882166766083 -58.3350979425815</t>
  </si>
  <si>
    <t>-851.552163917882 134.006229085956 -169.984080795152</t>
  </si>
  <si>
    <t>-863.843020720864 135.273914755729 -267.830813802968</t>
  </si>
  <si>
    <t>-870.022841644994 139.519859979823 -356.611552792794</t>
  </si>
  <si>
    <t>-870.773148336143 146.667031540033 -445.418005600976</t>
  </si>
  <si>
    <t>-866.014021768364 159.459630692319 -569.250694866704</t>
  </si>
  <si>
    <t>-837.909225735927 165.523552934589 -647.214645915743</t>
  </si>
  <si>
    <t>-868.556971361328 181.390667566147 -511.928260383919</t>
  </si>
  <si>
    <t>-860.919605578922 314.919549795661 -480.135344690067</t>
  </si>
  <si>
    <t>-794.195560945764 317.457193937459 -193.547386650166</t>
  </si>
  <si>
    <t>-554.079777373839 300.013993447003 -203.08146125919</t>
  </si>
  <si>
    <t>-867.659780037048 126.269674809413 -517.588086089502</t>
  </si>
  <si>
    <t>-846.1384340608 234.832858183619 -60.5761391884065</t>
  </si>
  <si>
    <t>-814.348358106279 225.114917154498 341.604901315173</t>
  </si>
  <si>
    <t>-831.444590006774 170.467353004186 786.080527838468</t>
  </si>
  <si>
    <t>-703.525258431403 241.371454424005 846.879704988596</t>
  </si>
  <si>
    <t>-798.270144314692 50.7840501609212 -58.1395708187322</t>
  </si>
  <si>
    <t>-657.120723065342 56.5002042962251 319.880040170263</t>
  </si>
  <si>
    <t>-733.106651920363 1.52661269400687 757.539464090628</t>
  </si>
  <si>
    <t>-630.096766116519 -89.5949235298549 836.10859645442</t>
  </si>
  <si>
    <t>9763-20170724T111127.314739800.bin</t>
  </si>
  <si>
    <t>-822.026982298968 142.572232201397 -58.3064567945377</t>
  </si>
  <si>
    <t>-851.605324220916 133.665440369504 -169.939815295399</t>
  </si>
  <si>
    <t>-863.904340381165 134.93223979778 -267.785630654159</t>
  </si>
  <si>
    <t>-870.07738102624 139.187087604994 -356.566335170772</t>
  </si>
  <si>
    <t>-870.805871360055 146.353244051389 -445.371570136257</t>
  </si>
  <si>
    <t>-866.000498344386 159.181924028302 -569.198692223395</t>
  </si>
  <si>
    <t>-837.883718342046 165.313649904098 -647.152987866919</t>
  </si>
  <si>
    <t>-868.588932846314 181.095984913492 -511.871688159588</t>
  </si>
  <si>
    <t>-861.169315665867 314.619874344463 -480.02595705737</t>
  </si>
  <si>
    <t>-794.867285861741 317.051036061162 -193.339036289159</t>
  </si>
  <si>
    <t>-554.805850018742 299.1610431317 -203.404866090978</t>
  </si>
  <si>
    <t>-867.641408638599 125.977120531512 -517.545298332684</t>
  </si>
  <si>
    <t>-846.214436014674 234.625118152406 -60.5325519296692</t>
  </si>
  <si>
    <t>-814.363363565515 224.961183263865 341.645038796369</t>
  </si>
  <si>
    <t>-831.501377131767 170.491257175862 786.155733624067</t>
  </si>
  <si>
    <t>-703.544485977524 241.409350202645 846.859175382055</t>
  </si>
  <si>
    <t>-798.224889557702 50.3543093713838 -58.1025595455577</t>
  </si>
  <si>
    <t>-656.957516922534 56.3583449997705 319.86845358284</t>
  </si>
  <si>
    <t>-733.161950460135 1.4089163326189 757.505767248485</t>
  </si>
  <si>
    <t>-630.091941098762 -89.6333990104933 836.088080878858</t>
  </si>
  <si>
    <t>9763-20170724T111127.382921500.bin</t>
  </si>
  <si>
    <t>-821.86953660743 142.025741567032 -58.1905480609335</t>
  </si>
  <si>
    <t>-851.576726146379 133.047139427737 -169.783990349733</t>
  </si>
  <si>
    <t>-863.932826571167 134.310211836836 -267.622466268307</t>
  </si>
  <si>
    <t>-870.133384158148 138.583680178001 -356.400586763388</t>
  </si>
  <si>
    <t>-870.865122372634 145.790011141667 -445.202412647836</t>
  </si>
  <si>
    <t>-866.037872488341 158.697280687684 -569.020488320307</t>
  </si>
  <si>
    <t>-837.866403417272 165.002221927383 -646.941336808704</t>
  </si>
  <si>
    <t>-868.674034739275 180.574420017335 -511.681629426097</t>
  </si>
  <si>
    <t>-861.627696014985 314.086690139375 -479.691593194716</t>
  </si>
  <si>
    <t>-795.976347896375 316.262409612733 -192.852908023769</t>
  </si>
  <si>
    <t>-556.026006951736 297.563236745179 -204.035540966166</t>
  </si>
  <si>
    <t>-867.649970743769 125.460484254245 -517.386991342081</t>
  </si>
  <si>
    <t>-846.192000018072 234.212386504195 -60.3887998442724</t>
  </si>
  <si>
    <t>-814.266056765585 224.674973240317 341.78583511478</t>
  </si>
  <si>
    <t>-831.455870505834 170.413801981164 786.267784304354</t>
  </si>
  <si>
    <t>-703.488941211351 241.445885089322 846.817122461213</t>
  </si>
  <si>
    <t>-797.931070522958 49.7738198575166 -58.0142281010172</t>
  </si>
  <si>
    <t>-656.70265399595 55.9779940176377 319.968227619548</t>
  </si>
  <si>
    <t>-733.297987264306 1.17620161832428 757.523547932695</t>
  </si>
  <si>
    <t>-629.947505227102 -89.5446117827278 836.109372831445</t>
  </si>
  <si>
    <t>9763-20170724T111127.414007500.bin</t>
  </si>
  <si>
    <t>-821.806662421073 141.918797157924 -58.1636209804967</t>
  </si>
  <si>
    <t>-851.58031117648 132.886879398241 -169.734990112845</t>
  </si>
  <si>
    <t>-863.974802841641 134.1401269548 -267.568952352266</t>
  </si>
  <si>
    <t>-870.200807094677 138.41862590163 -356.34484031207</t>
  </si>
  <si>
    <t>-870.948587550797 145.643274678961 -445.145086645161</t>
  </si>
  <si>
    <t>-866.132985026043 158.590084688317 -568.959444259345</t>
  </si>
  <si>
    <t>-837.919059409787 164.985954864751 -646.857482748881</t>
  </si>
  <si>
    <t>-868.780336158019 180.448878986833 -511.6140040408</t>
  </si>
  <si>
    <t>-861.905442285094 313.955422188835 -479.556624534288</t>
  </si>
  <si>
    <t>-796.584015680966 315.909165608806 -192.641123395799</t>
  </si>
  <si>
    <t>-556.681537902869 296.894186823332 -204.308597149891</t>
  </si>
  <si>
    <t>-867.723943106388 125.33706145117 -517.33569778839</t>
  </si>
  <si>
    <t>-846.162796360404 234.11737410652 -60.3921437143891</t>
  </si>
  <si>
    <t>-814.177277699648 224.707782681888 341.780771282516</t>
  </si>
  <si>
    <t>-831.427377294487 170.479311746678 786.218424604619</t>
  </si>
  <si>
    <t>-703.421706853408 241.406603320705 846.808401211233</t>
  </si>
  <si>
    <t>-797.846617760037 49.6850807387609 -57.9532501964108</t>
  </si>
  <si>
    <t>-656.606745545001 55.9443021616753 320.023979245988</t>
  </si>
  <si>
    <t>-733.296333218224 1.23893822354148 757.548135910708</t>
  </si>
  <si>
    <t>-629.891224634411 -89.4370342294708 836.113699267532</t>
  </si>
  <si>
    <t>9763-20170724T111127.485708000.bin</t>
  </si>
  <si>
    <t>-821.661161455832 141.968421009326 -58.1215939238613</t>
  </si>
  <si>
    <t>-851.588964715908 132.851958963249 -169.644887368253</t>
  </si>
  <si>
    <t>-864.092205581877 134.095723584512 -267.464921468005</t>
  </si>
  <si>
    <t>-870.404322969738 138.38978807833 -356.234148432648</t>
  </si>
  <si>
    <t>-871.224487259904 145.655322258803 -445.03041997492</t>
  </si>
  <si>
    <t>-866.494580846964 158.683882378513 -568.83950251452</t>
  </si>
  <si>
    <t>-838.154355053666 165.262868693545 -646.676170347273</t>
  </si>
  <si>
    <t>-869.128309788287 180.504451081215 -511.478821197776</t>
  </si>
  <si>
    <t>-862.568277591266 313.985201473483 -479.279198326179</t>
  </si>
  <si>
    <t>-797.949762164559 315.414812873766 -192.201593548896</t>
  </si>
  <si>
    <t>-558.151033035984 295.879610372961 -205.079807639702</t>
  </si>
  <si>
    <t>-868.023765343014 125.397081868275 -517.235661524078</t>
  </si>
  <si>
    <t>-845.968801281153 234.131551965789 -60.4109367964483</t>
  </si>
  <si>
    <t>-813.886067135499 224.795385719247 341.75593351206</t>
  </si>
  <si>
    <t>-831.276001685491 170.457261145225 786.192818673113</t>
  </si>
  <si>
    <t>-703.405155178125 241.595979182433 846.819778228488</t>
  </si>
  <si>
    <t>-797.760659554699 49.8157937724986 -57.9073956085934</t>
  </si>
  <si>
    <t>-656.606362642721 55.8922753660581 320.104714799076</t>
  </si>
  <si>
    <t>-733.407242855779 1.14616149902849 757.630257660717</t>
  </si>
  <si>
    <t>-629.863331538323 -89.4329753086115 836.124862733159</t>
  </si>
  <si>
    <t>9763-20170724T111127.518298000.bin</t>
  </si>
  <si>
    <t>-821.562851296146 142.168179642719 -58.1038810860562</t>
  </si>
  <si>
    <t>-851.548013158269 133.027191217459 -169.60978761561</t>
  </si>
  <si>
    <t>-864.107338177516 134.269946152561 -267.422705738789</t>
  </si>
  <si>
    <t>-870.47266267834 138.573069469405 -356.187606675455</t>
  </si>
  <si>
    <t>-871.348060425346 145.857616948476 -444.981801474668</t>
  </si>
  <si>
    <t>-866.698301370645 158.924062435069 -568.789985781635</t>
  </si>
  <si>
    <t>-838.271854455442 165.606328343804 -646.586736285369</t>
  </si>
  <si>
    <t>-869.306567229376 180.726627204266 -511.421446373559</t>
  </si>
  <si>
    <t>-862.888029109009 314.201801084294 -479.13976908337</t>
  </si>
  <si>
    <t>-798.547872757866 315.352199081859 -191.998215246229</t>
  </si>
  <si>
    <t>-558.794078339718 295.618129219847 -205.399537559099</t>
  </si>
  <si>
    <t>-868.182465343607 125.621402941063 -517.194905998886</t>
  </si>
  <si>
    <t>-845.886344150541 234.291667848609 -60.3968338562913</t>
  </si>
  <si>
    <t>-813.766683001127 224.969697951525 341.767483208365</t>
  </si>
  <si>
    <t>-831.314215356944 170.524952741673 786.214234426013</t>
  </si>
  <si>
    <t>-703.346445350202 241.507945019068 846.819180964313</t>
  </si>
  <si>
    <t>-797.599907289407 50.0087770331957 -57.9114315080088</t>
  </si>
  <si>
    <t>-656.590809789478 56.1392564588286 320.154100961768</t>
  </si>
  <si>
    <t>-733.296513768905 1.46969780613836 757.673005983591</t>
  </si>
  <si>
    <t>-630.296409562234 -89.7314927998759 836.162899301369</t>
  </si>
  <si>
    <t>9763-20170724T111127.581969000.bin</t>
  </si>
  <si>
    <t>-821.474488654438 142.411508856378 -58.0198679455665</t>
  </si>
  <si>
    <t>-851.582089669471 133.214459132539 -169.488055013753</t>
  </si>
  <si>
    <t>-864.250842920728 134.450745320461 -267.286972672048</t>
  </si>
  <si>
    <t>-870.715576301636 138.766236221153 -356.044181233315</t>
  </si>
  <si>
    <t>-871.689913177299 146.081519269511 -444.834813909188</t>
  </si>
  <si>
    <t>-867.177329514296 159.211878924281 -568.641231427827</t>
  </si>
  <si>
    <t>-838.514499354229 166.11303192091 -646.331969909352</t>
  </si>
  <si>
    <t>-869.730167795831 180.984809966114 -511.258877089436</t>
  </si>
  <si>
    <t>-863.491479823084 314.434658640836 -478.859112290903</t>
  </si>
  <si>
    <t>-799.829959420746 315.172133258163 -191.565126957549</t>
  </si>
  <si>
    <t>-560.178582650376 294.817767265931 -205.844415273663</t>
  </si>
  <si>
    <t>-868.596365498505 125.882969377506 -517.061470846474</t>
  </si>
  <si>
    <t>-845.791875007531 234.489147930854 -60.2939541833603</t>
  </si>
  <si>
    <t>-813.504505388954 225.203759002268 341.857745014275</t>
  </si>
  <si>
    <t>-831.291535579693 170.494249188837 786.311348410135</t>
  </si>
  <si>
    <t>-703.297099165881 241.533528871052 846.793718889261</t>
  </si>
  <si>
    <t>-797.562327000476 50.2991325464222 -57.7818903460519</t>
  </si>
  <si>
    <t>-656.623148508028 56.1987942568221 320.313285010789</t>
  </si>
  <si>
    <t>-733.365335613548 1.45131317490495 757.817314835431</t>
  </si>
  <si>
    <t>-630.392337251284 -89.8268706852416 836.253235907341</t>
  </si>
  <si>
    <t>9763-20170724T111127.614557500.bin</t>
  </si>
  <si>
    <t>-821.487184583189 142.445698298255 -57.9564803930471</t>
  </si>
  <si>
    <t>-851.661096774986 133.232178310387 -169.405331671404</t>
  </si>
  <si>
    <t>-864.401273180326 134.472955958004 -267.195021129315</t>
  </si>
  <si>
    <t>-870.935825426283 138.800292863213 -355.946413798814</t>
  </si>
  <si>
    <t>-871.985119804306 146.136058517761 -444.734560755977</t>
  </si>
  <si>
    <t>-867.580763586982 159.303618692506 -568.540914852936</t>
  </si>
  <si>
    <t>-838.78619555302 166.303311320085 -646.174028318609</t>
  </si>
  <si>
    <t>-870.088156167185 181.059292045084 -511.149952708968</t>
  </si>
  <si>
    <t>-863.932481768029 314.505391580912 -478.69465778747</t>
  </si>
  <si>
    <t>-800.545445840464 314.954117120013 -191.339313981044</t>
  </si>
  <si>
    <t>-560.941956130616 294.341359417841 -206.042409309098</t>
  </si>
  <si>
    <t>-868.949826099215 125.959224923703 -516.969731152862</t>
  </si>
  <si>
    <t>-845.770769578781 234.525563520637 -60.2245933907969</t>
  </si>
  <si>
    <t>-813.398318247993 225.243850421939 341.920316580613</t>
  </si>
  <si>
    <t>-831.267438026879 170.469606800217 786.357972067746</t>
  </si>
  <si>
    <t>-703.290834558868 241.59026375165 846.782208745607</t>
  </si>
  <si>
    <t>-797.5991945084 50.2834116672766 -57.697318406362</t>
  </si>
  <si>
    <t>-656.588534094661 56.1427691593772 320.371906878116</t>
  </si>
  <si>
    <t>-733.403300168707 1.3831609889221 757.870376522301</t>
  </si>
  <si>
    <t>-630.315777337109 -89.7762544768923 836.293409550494</t>
  </si>
  <si>
    <t>9763-20170724T111127.684749900.bin</t>
  </si>
  <si>
    <t>-821.403390197287 142.469729132319 -57.9067240367824</t>
  </si>
  <si>
    <t>-851.678610382405 133.222514016811 -169.325432566047</t>
  </si>
  <si>
    <t>-864.528541116304 134.470613628269 -267.100591557994</t>
  </si>
  <si>
    <t>-871.170125844123 138.819577028179 -355.842907502239</t>
  </si>
  <si>
    <t>-872.333390179504 146.192618304501 -444.626638054138</t>
  </si>
  <si>
    <t>-868.095116582526 159.42964550805 -568.431328279437</t>
  </si>
  <si>
    <t>-838.967580654843 166.634805845532 -645.921401613044</t>
  </si>
  <si>
    <t>-870.540727340274 181.152629622235 -511.025599016034</t>
  </si>
  <si>
    <t>-864.538756142799 314.566827688168 -478.42816690887</t>
  </si>
  <si>
    <t>-801.300459462202 314.438718080269 -191.039737496355</t>
  </si>
  <si>
    <t>-561.753459670183 293.654584253415 -206.403662204378</t>
  </si>
  <si>
    <t>-869.379691420058 126.05656726758 -516.876569551244</t>
  </si>
  <si>
    <t>-845.650154362798 234.643854057649 -60.2374382324203</t>
  </si>
  <si>
    <t>-813.328230663498 225.336797693376 341.910955614994</t>
  </si>
  <si>
    <t>-831.155778853457 170.604445118559 786.18500179539</t>
  </si>
  <si>
    <t>-703.245818319896 241.680170387566 846.803829810564</t>
  </si>
  <si>
    <t>-797.457306772774 50.2246141805449 -57.6528848341602</t>
  </si>
  <si>
    <t>-656.48310396582 56.2193160172646 320.4277502431</t>
  </si>
  <si>
    <t>-733.393967096694 1.4555088732609 757.928023180711</t>
  </si>
  <si>
    <t>-630.314754740972 -89.7268306151054 836.33562940217</t>
  </si>
  <si>
    <t>9763-20170724T111127.717369500.bin</t>
  </si>
  <si>
    <t>-821.338123527363 142.475698490914 -57.9939440653882</t>
  </si>
  <si>
    <t>-851.664067894121 133.184284692901 -169.395139439769</t>
  </si>
  <si>
    <t>-864.549566565288 134.438485311513 -267.165539104153</t>
  </si>
  <si>
    <t>-871.217562832423 138.809651489996 -355.904908378222</t>
  </si>
  <si>
    <t>-872.400727965365 146.220716008959 -444.68496198104</t>
  </si>
  <si>
    <t>-868.182400685463 159.526404130873 -568.483178346283</t>
  </si>
  <si>
    <t>-838.841108901517 166.851182147636 -645.881253159007</t>
  </si>
  <si>
    <t>-870.62759771999 181.217538159424 -511.065200979659</t>
  </si>
  <si>
    <t>-864.669739032546 314.604285018617 -478.358648813604</t>
  </si>
  <si>
    <t>-801.334944265674 314.160974987639 -190.991921132991</t>
  </si>
  <si>
    <t>-561.806462245847 293.370559334681 -206.638139176197</t>
  </si>
  <si>
    <t>-869.449773509781 126.12486812536 -516.946286612629</t>
  </si>
  <si>
    <t>-845.599919247222 234.666860336879 -60.378675183475</t>
  </si>
  <si>
    <t>-813.203909789901 225.527412792439 341.767620016764</t>
  </si>
  <si>
    <t>-831.057523658114 170.763772286584 786.015430045393</t>
  </si>
  <si>
    <t>-703.103047046013 241.568387170823 846.856725151187</t>
  </si>
  <si>
    <t>-797.41249729768 50.2247579509294 -57.6870153768169</t>
  </si>
  <si>
    <t>-656.450147039311 56.3039163150902 320.39673715305</t>
  </si>
  <si>
    <t>-733.436924309517 1.45814446713302 757.927543154543</t>
  </si>
  <si>
    <t>-630.329277133855 -89.7308371814029 836.290080726879</t>
  </si>
  <si>
    <t>9763-20170724T111127.783050800.bin</t>
  </si>
  <si>
    <t>-821.302762688551 142.79820799468 -58.1143598643406</t>
  </si>
  <si>
    <t>-851.731161687803 133.357291831645 -169.475092262589</t>
  </si>
  <si>
    <t>-864.671191403619 134.567121882958 -267.238837859084</t>
  </si>
  <si>
    <t>-871.371393431262 138.929747287896 -355.976140198047</t>
  </si>
  <si>
    <t>-872.567322119575 146.362372545121 -444.754319257229</t>
  </si>
  <si>
    <t>-868.344748947794 159.728198445517 -568.545965942533</t>
  </si>
  <si>
    <t>-838.543491620943 167.295079553648 -645.744631100779</t>
  </si>
  <si>
    <t>-870.8116144441 181.390825365913 -511.118105004871</t>
  </si>
  <si>
    <t>-865.013654270667 314.734786832773 -478.215173763126</t>
  </si>
  <si>
    <t>-801.195798504224 313.74522984128 -190.956455228874</t>
  </si>
  <si>
    <t>-561.727263250677 292.823046322485 -207.325195003251</t>
  </si>
  <si>
    <t>-869.593976982592 126.301980198331 -517.024622692028</t>
  </si>
  <si>
    <t>-845.59961272258 234.954064370203 -60.578071412455</t>
  </si>
  <si>
    <t>-812.88493650238 226.111712485878 341.54910293488</t>
  </si>
  <si>
    <t>-830.90889445598 170.967489404752 785.794332890785</t>
  </si>
  <si>
    <t>-703.110902427442 241.776214457749 846.959317626951</t>
  </si>
  <si>
    <t>-797.433710711534 50.6518458888672 -57.7163714521489</t>
  </si>
  <si>
    <t>-656.445733549155 56.691780073184 320.358523934304</t>
  </si>
  <si>
    <t>-733.455214950781 1.63962497436751 757.910762551188</t>
  </si>
  <si>
    <t>-630.538285894682 -89.8804576396813 836.137856001805</t>
  </si>
  <si>
    <t>9763-20170724T111127.814138200.bin</t>
  </si>
  <si>
    <t>-821.278316355796 143.17482107101 -58.1550144154094</t>
  </si>
  <si>
    <t>-851.789453597622 133.647690600074 -169.485765006231</t>
  </si>
  <si>
    <t>-864.783189995409 134.821413425354 -267.242842704166</t>
  </si>
  <si>
    <t>-871.523405025385 139.166088129196 -355.977942130059</t>
  </si>
  <si>
    <t>-872.749494409393 146.596543008539 -444.75599176539</t>
  </si>
  <si>
    <t>-868.560039461816 159.974735323489 -568.547149652824</t>
  </si>
  <si>
    <t>-838.503372761539 167.690360147868 -645.632279653181</t>
  </si>
  <si>
    <t>-871.027898277815 181.631629556715 -511.117159160037</t>
  </si>
  <si>
    <t>-865.322747153788 314.974883873809 -478.189952517803</t>
  </si>
  <si>
    <t>-801.169869337161 313.69437834669 -191.007191585556</t>
  </si>
  <si>
    <t>-561.747089861596 292.614906683409 -207.836613910712</t>
  </si>
  <si>
    <t>-869.779394541301 126.543654878384 -517.028319895468</t>
  </si>
  <si>
    <t>-845.468237003842 235.186849978928 -60.6714890939528</t>
  </si>
  <si>
    <t>-812.853926509557 226.528020606501 341.467785475409</t>
  </si>
  <si>
    <t>-830.942560417201 171.142978441353 785.692976264234</t>
  </si>
  <si>
    <t>-703.08120639498 241.729480264466 846.981621557085</t>
  </si>
  <si>
    <t>-797.526157864299 51.1815094865729 -57.6992526111856</t>
  </si>
  <si>
    <t>-656.430759249389 56.982430866954 320.339236967961</t>
  </si>
  <si>
    <t>-733.326893992106 2.0310700918053 757.916363282188</t>
  </si>
  <si>
    <t>-630.760511548052 -89.9572817844739 836.054279975351</t>
  </si>
  <si>
    <t>9763-20170724T111127.880824500.bin</t>
  </si>
  <si>
    <t>-821.220295627209 143.842092198165 -58.1223207285688</t>
  </si>
  <si>
    <t>-851.881190129831 134.0830970948 -169.391778374936</t>
  </si>
  <si>
    <t>-865.049876467997 135.154342835188 -267.126679088445</t>
  </si>
  <si>
    <t>-871.964212827402 139.447928041775 -355.850903822947</t>
  </si>
  <si>
    <t>-873.378840545908 146.870196610198 -444.626808500015</t>
  </si>
  <si>
    <t>-869.464329037352 160.284489363878 -568.423169126069</t>
  </si>
  <si>
    <t>-838.888638120826 168.42229623472 -645.260245549835</t>
  </si>
  <si>
    <t>-871.845455508877 181.924021906485 -510.982834236247</t>
  </si>
  <si>
    <t>-866.278034027478 315.256059791074 -478.021706407802</t>
  </si>
  <si>
    <t>-800.941192436586 313.580869932662 -191.107956798577</t>
  </si>
  <si>
    <t>-561.609390959944 291.779208650882 -208.309504493743</t>
  </si>
  <si>
    <t>-870.528641552709 126.83952384404 -516.910151061611</t>
  </si>
  <si>
    <t>-845.361143767862 235.776006146304 -60.7095293264751</t>
  </si>
  <si>
    <t>-812.465212117668 227.381904883966 341.412403565594</t>
  </si>
  <si>
    <t>-830.891727643023 171.22825825214 785.613213128053</t>
  </si>
  <si>
    <t>-702.960457476765 241.614363006403 846.986510613736</t>
  </si>
  <si>
    <t>-797.511402550817 51.9272855363583 -57.592066551358</t>
  </si>
  <si>
    <t>-656.56916060963 57.3015045875682 320.509903188301</t>
  </si>
  <si>
    <t>-733.399793317339 2.26192801408206 758.099593445471</t>
  </si>
  <si>
    <t>-630.748456651556 -89.8902046203625 835.93242261965</t>
  </si>
  <si>
    <t>9763-20170724T111127.917425500.bin</t>
  </si>
  <si>
    <t>-821.083739148941 144.150624549907 -58.0772602508329</t>
  </si>
  <si>
    <t>-851.805928326371 134.287849849776 -169.320599827335</t>
  </si>
  <si>
    <t>-865.058407729348 135.322646451773 -267.04447411142</t>
  </si>
  <si>
    <t>-872.059022984731 139.605663262598 -355.762493701938</t>
  </si>
  <si>
    <t>-873.569658491074 147.041544413607 -444.535620304557</t>
  </si>
  <si>
    <t>-869.799198880883 160.500509929892 -568.331703395844</t>
  </si>
  <si>
    <t>-838.966453687882 168.913083796067 -645.036263854972</t>
  </si>
  <si>
    <t>-872.140190167967 182.118429556047 -510.881735730182</t>
  </si>
  <si>
    <t>-866.743760169368 315.474385467181 -477.967999188195</t>
  </si>
  <si>
    <t>-800.521071840994 313.459052419153 -191.259682626916</t>
  </si>
  <si>
    <t>-561.122599470237 292.270157371887 -208.297324284044</t>
  </si>
  <si>
    <t>-870.776794038094 127.03725156157 -516.828599751457</t>
  </si>
  <si>
    <t>-845.070667743385 235.99078069413 -60.7090388477322</t>
  </si>
  <si>
    <t>-812.155008906101 227.825515865764 341.416026275031</t>
  </si>
  <si>
    <t>-830.910368463154 171.293728545237 785.571465339555</t>
  </si>
  <si>
    <t>-702.930781572007 241.570456971954 846.969316054709</t>
  </si>
  <si>
    <t>-797.467861537811 52.3144586506282 -57.4855014564563</t>
  </si>
  <si>
    <t>-656.472962702441 57.2846338048093 320.602254952103</t>
  </si>
  <si>
    <t>-733.495009451231 2.197781235805 758.199092895909</t>
  </si>
  <si>
    <t>-630.54786036036 -89.7424235786541 835.891920879554</t>
  </si>
  <si>
    <t>9763-20170724T111127.983611000.bin</t>
  </si>
  <si>
    <t>-820.330003419111 144.384473323452 -57.9603675754902</t>
  </si>
  <si>
    <t>-851.224868208467 134.306740661417 -169.136589051104</t>
  </si>
  <si>
    <t>-864.662130398049 135.267706822136 -266.835954108978</t>
  </si>
  <si>
    <t>-871.841033306966 139.530914332509 -355.540662516001</t>
  </si>
  <si>
    <t>-873.539351888437 146.995560929127 -444.308055416185</t>
  </si>
  <si>
    <t>-870.039043263255 160.548530072927 -568.101758663858</t>
  </si>
  <si>
    <t>-838.77575691218 169.558763921231 -644.563733872941</t>
  </si>
  <si>
    <t>-872.341252423282 182.120926020117 -510.633096728794</t>
  </si>
  <si>
    <t>-867.539584064522 315.551104611152 -477.930823346871</t>
  </si>
  <si>
    <t>-799.737490179702 312.055527105421 -191.606147676055</t>
  </si>
  <si>
    <t>-560.100393025212 293.620876069782 -208.489908425065</t>
  </si>
  <si>
    <t>-870.817504795631 127.048208329157 -516.619370181946</t>
  </si>
  <si>
    <t>-844.372972326893 236.169078175797 -60.6353828771003</t>
  </si>
  <si>
    <t>-811.236068635231 228.455608258153 341.480391132619</t>
  </si>
  <si>
    <t>-831.041871203528 171.45811904653 785.552826612973</t>
  </si>
  <si>
    <t>-702.78601649283 241.239710933122 846.939591111687</t>
  </si>
  <si>
    <t>-796.627901648488 52.5296543589975 -57.3095259097043</t>
  </si>
  <si>
    <t>-655.803454418505 57.2123757414524 320.845391224317</t>
  </si>
  <si>
    <t>-733.530767523264 2.19204137347106 758.355140932442</t>
  </si>
  <si>
    <t>-630.4493605468 -89.7036964189144 835.922313267277</t>
  </si>
  <si>
    <t>9763-20170724T111128.016702700.bin</t>
  </si>
  <si>
    <t>-819.699248247877 144.222693209894 -57.8834013727046</t>
  </si>
  <si>
    <t>-850.672662791782 134.081827342386 -169.032000303269</t>
  </si>
  <si>
    <t>-864.204104312437 135.022265616311 -266.718654146471</t>
  </si>
  <si>
    <t>-871.478201417036 139.281097290151 -355.415897430446</t>
  </si>
  <si>
    <t>-873.281639433106 146.758919454171 -444.18006102301</t>
  </si>
  <si>
    <t>-869.938258780629 160.348246157727 -567.974055633145</t>
  </si>
  <si>
    <t>-838.519891436501 169.681501895601 -644.333752056252</t>
  </si>
  <si>
    <t>-872.224619956241 181.9023501668 -510.497925687529</t>
  </si>
  <si>
    <t>-867.808710359478 315.3855453721 -477.939003806685</t>
  </si>
  <si>
    <t>-799.251092480938 310.724831274445 -191.810706665253</t>
  </si>
  <si>
    <t>-559.415691388212 294.35897914423 -207.995721393869</t>
  </si>
  <si>
    <t>-870.594591595867 126.834306552399 -516.498901080391</t>
  </si>
  <si>
    <t>-843.710993545002 236.049682135453 -60.5736768678468</t>
  </si>
  <si>
    <t>-810.543714279912 228.490539471265 341.542522065501</t>
  </si>
  <si>
    <t>-830.924147451035 171.353486031131 785.553321546741</t>
  </si>
  <si>
    <t>-702.874162914231 241.521273145898 846.928707286361</t>
  </si>
  <si>
    <t>-796.004861534922 52.2680225142703 -57.201384312809</t>
  </si>
  <si>
    <t>-655.124209518661 57.1379378510915 320.930321341523</t>
  </si>
  <si>
    <t>-733.421353317183 2.33161141682513 758.370445304163</t>
  </si>
  <si>
    <t>-630.456052148772 -89.6758594680687 835.959571869107</t>
  </si>
  <si>
    <t>9763-20170724T111128.080877700.bin</t>
  </si>
  <si>
    <t>-818.154225389092 143.441761298289 -57.6939383306459</t>
  </si>
  <si>
    <t>-849.351762193983 133.119950781268 -168.76327225086</t>
  </si>
  <si>
    <t>-863.147810833615 134.006807420122 -266.413347433236</t>
  </si>
  <si>
    <t>-870.68708894497 138.260301285051 -355.088609668944</t>
  </si>
  <si>
    <t>-872.780162856041 145.779530689262 -443.842930420973</t>
  </si>
  <si>
    <t>-869.864952405967 159.478688388369 -567.635641224678</t>
  </si>
  <si>
    <t>-838.145463326863 169.51682402697 -643.781148564496</t>
  </si>
  <si>
    <t>-872.102352241546 180.977291550489 -510.136897153667</t>
  </si>
  <si>
    <t>-868.586020112065 314.593840007968 -478.051717455604</t>
  </si>
  <si>
    <t>-798.350879473378 305.968790116407 -192.422856038753</t>
  </si>
  <si>
    <t>-557.943373330234 297.391030327061 -205.898833786707</t>
  </si>
  <si>
    <t>-870.19307371154 125.923314221733 -516.184261432385</t>
  </si>
  <si>
    <t>-842.428113988099 235.528832573742 -60.3956982685432</t>
  </si>
  <si>
    <t>-809.327756514663 228.255159341874 341.731326056485</t>
  </si>
  <si>
    <t>-830.945019948253 171.315069894805 785.633184647773</t>
  </si>
  <si>
    <t>-702.865944718153 241.48463495925 846.946524902813</t>
  </si>
  <si>
    <t>-794.218323536087 51.2653306483458 -57.0502571135976</t>
  </si>
  <si>
    <t>-653.535591267347 56.4578714534277 321.150925786247</t>
  </si>
  <si>
    <t>-733.497756095777 2.00619486438472 758.430374512106</t>
  </si>
  <si>
    <t>-630.070895643949 -89.4423219703226 836.066346793124</t>
  </si>
  <si>
    <t>9763-20170724T111128.116974400.bin</t>
  </si>
  <si>
    <t>-817.456322940466 142.879469290254 -57.5851659006785</t>
  </si>
  <si>
    <t>-848.7683255611 132.421618400232 -168.609486168865</t>
  </si>
  <si>
    <t>-862.70090343415 133.274759754267 -266.240527689748</t>
  </si>
  <si>
    <t>-870.377360599349 137.532199162254 -354.903884180554</t>
  </si>
  <si>
    <t>-872.619544379787 145.092374740991 -443.651061902972</t>
  </si>
  <si>
    <t>-869.924000775156 158.888496957923 -567.43797539597</t>
  </si>
  <si>
    <t>-838.055119650351 169.288253233164 -643.472539495158</t>
  </si>
  <si>
    <t>-872.159489092272 180.33882158682 -509.921136351645</t>
  </si>
  <si>
    <t>-869.15205154825 314.026161751942 -478.068663637458</t>
  </si>
  <si>
    <t>-797.209565186713 303.055163477165 -192.945699894044</t>
  </si>
  <si>
    <t>-556.521987446987 299.250915756493 -203.234687321105</t>
  </si>
  <si>
    <t>-870.060418733595 125.296231502167 -516.009865501508</t>
  </si>
  <si>
    <t>-841.866230080794 235.135803665394 -60.3008446571026</t>
  </si>
  <si>
    <t>-808.893698477446 227.957317283182 341.838402445242</t>
  </si>
  <si>
    <t>-830.931105160417 171.249270322798 785.681588851715</t>
  </si>
  <si>
    <t>-702.906917630619 241.553467799586 846.955075189029</t>
  </si>
  <si>
    <t>-793.479238124503 50.5033092494104 -56.8819056411539</t>
  </si>
  <si>
    <t>-652.4635638487 55.8040085492098 321.193634926658</t>
  </si>
  <si>
    <t>-733.569022646473 1.68409076694252 758.411603079166</t>
  </si>
  <si>
    <t>-629.79677231311 -89.3131311934112 836.117026434805</t>
  </si>
  <si>
    <t>9763-20170724T111128.184186800.bin</t>
  </si>
  <si>
    <t>-816.246721066401 142.064618253391 -57.3097235014637</t>
  </si>
  <si>
    <t>-847.690185920402 131.277826788274 -168.26552210888</t>
  </si>
  <si>
    <t>-861.885960819621 132.029775109263 -265.859360666536</t>
  </si>
  <si>
    <t>-869.855511550166 136.271715610504 -354.497557821801</t>
  </si>
  <si>
    <t>-872.444205842565 143.899434413594 -443.22963360359</t>
  </si>
  <si>
    <t>-870.284856379693 157.881103496641 -567.006250550225</t>
  </si>
  <si>
    <t>-838.10397555553 168.983421379455 -642.809599349931</t>
  </si>
  <si>
    <t>-872.494270563413 179.236361940821 -509.452935832976</t>
  </si>
  <si>
    <t>-870.700169010115 313.077963222731 -478.154532809739</t>
  </si>
  <si>
    <t>-793.180186726269 297.879074303678 -194.692298902059</t>
  </si>
  <si>
    <t>-552.324514914566 303.996887784667 -196.076910902881</t>
  </si>
  <si>
    <t>-869.97590628539 124.220622441181 -515.623560364531</t>
  </si>
  <si>
    <t>-841.075633612105 234.433647154185 -60.1662998321823</t>
  </si>
  <si>
    <t>-808.602548800841 227.243048041074 342.013298391045</t>
  </si>
  <si>
    <t>-830.892850019436 171.149921408296 785.766096634582</t>
  </si>
  <si>
    <t>-702.914225284609 241.559733818455 847.013114347526</t>
  </si>
  <si>
    <t>-791.811879902186 49.7080332968158 -56.4343496347401</t>
  </si>
  <si>
    <t>-650.092439493608 54.470301964388 321.38519829017</t>
  </si>
  <si>
    <t>-733.927803077721 0.590898915064827 758.211306089447</t>
  </si>
  <si>
    <t>-629.09841298474 -89.0478857306123 836.076572855327</t>
  </si>
  <si>
    <t>9763-20170724T111128.215910300.bin</t>
  </si>
  <si>
    <t>-815.646858966239 141.743530573486 -57.2111721317934</t>
  </si>
  <si>
    <t>-846.991492825056 130.748952809477 -168.174515204333</t>
  </si>
  <si>
    <t>-861.28502986047 131.407245439576 -265.754831774773</t>
  </si>
  <si>
    <t>-869.413685530326 135.600574346312 -354.380906722198</t>
  </si>
  <si>
    <t>-872.228951706347 143.218946134 -443.106792238458</t>
  </si>
  <si>
    <t>-870.455954188865 157.231350832134 -566.886054241284</t>
  </si>
  <si>
    <t>-838.096840272742 168.653029119056 -642.565973434317</t>
  </si>
  <si>
    <t>-872.58171075449 178.568069007766 -509.322747641394</t>
  </si>
  <si>
    <t>-871.331712744429 312.511910291963 -478.424710310712</t>
  </si>
  <si>
    <t>-790.567587144428 295.204887085828 -195.99094574957</t>
  </si>
  <si>
    <t>-549.904032251118 306.461064954496 -193.699458895198</t>
  </si>
  <si>
    <t>-869.890372577152 123.562112526452 -515.511017982261</t>
  </si>
  <si>
    <t>-840.808029197088 233.940695983379 -60.2089457785859</t>
  </si>
  <si>
    <t>-808.813643181918 226.867240085695 342.011155134837</t>
  </si>
  <si>
    <t>-830.919035823009 171.213319729648 785.75535344775</t>
  </si>
  <si>
    <t>-702.974246102269 241.641845931317 847.05195760408</t>
  </si>
  <si>
    <t>-790.829704013351 49.4426527172577 -56.2618747581291</t>
  </si>
  <si>
    <t>-649.270546904249 53.9196762711958 321.621247958103</t>
  </si>
  <si>
    <t>-734.269886837605 -0.0744843926090653 758.216800029954</t>
  </si>
  <si>
    <t>-628.899061029314 -89.1302599673795 836.020317126807</t>
  </si>
  <si>
    <t>9763-20170724T111128.281089900.bin</t>
  </si>
  <si>
    <t>-814.49385952723 141.195626806669 -57.3284382164832</t>
  </si>
  <si>
    <t>-845.749035512887 129.742200295223 -168.270693365931</t>
  </si>
  <si>
    <t>-860.287237829521 130.178131455278 -265.816017232464</t>
  </si>
  <si>
    <t>-868.757446449312 134.239036946541 -354.416294965516</t>
  </si>
  <si>
    <t>-872.029634828002 141.79891370044 -443.131506459269</t>
  </si>
  <si>
    <t>-871.010022484558 155.80918147802 -566.919579324845</t>
  </si>
  <si>
    <t>-838.155600112395 167.798981953861 -642.297731279023</t>
  </si>
  <si>
    <t>-872.917056811883 177.140267660457 -509.346550388949</t>
  </si>
  <si>
    <t>-872.200792982851 311.313552677029 -479.425986946621</t>
  </si>
  <si>
    <t>-786.205536171145 288.681392095418 -198.919516066307</t>
  </si>
  <si>
    <t>-546.536267260165 311.777071164924 -190.20010495549</t>
  </si>
  <si>
    <t>-870.000666257941 122.147458081166 -515.546548815765</t>
  </si>
  <si>
    <t>-840.146759484771 232.929724938219 -60.500301477158</t>
  </si>
  <si>
    <t>-809.024229773176 226.309965244752 341.795880588399</t>
  </si>
  <si>
    <t>-830.833836510132 171.218660102679 785.694217588278</t>
  </si>
  <si>
    <t>-703.072987786231 241.899147031265 847.084060862142</t>
  </si>
  <si>
    <t>-789.322527057398 49.4213218323134 -56.2060714663438</t>
  </si>
  <si>
    <t>-649.149824816488 53.2563373676703 322.200510315022</t>
  </si>
  <si>
    <t>-734.805632328627 -0.40493103768631 758.6606144398</t>
  </si>
  <si>
    <t>-628.649962535663 -89.069923762012 835.840865709295</t>
  </si>
  <si>
    <t>9763-20170724T111128.313106100.bin</t>
  </si>
  <si>
    <t>-814.164415173172 141.05496938845 -57.4252806725704</t>
  </si>
  <si>
    <t>-845.438831255758 129.417734756095 -168.342766287978</t>
  </si>
  <si>
    <t>-860.087283149436 129.781683072427 -265.872095102815</t>
  </si>
  <si>
    <t>-868.691749814656 133.814335660782 -354.460638391308</t>
  </si>
  <si>
    <t>-872.131725847825 141.385348744579 -443.168548294948</t>
  </si>
  <si>
    <t>-871.3794473556 155.453085482336 -566.951859507714</t>
  </si>
  <si>
    <t>-838.214096233375 167.755315121813 -642.143361001291</t>
  </si>
  <si>
    <t>-873.226438046634 176.754305929712 -509.365782180018</t>
  </si>
  <si>
    <t>-872.893365038978 311.064345405483 -480.000499801386</t>
  </si>
  <si>
    <t>-784.978591538201 286.645390380699 -200.240061371748</t>
  </si>
  <si>
    <t>-546.028694219195 315.432758247682 -189.05729311982</t>
  </si>
  <si>
    <t>-870.1944728308 121.770949901086 -515.596196621813</t>
  </si>
  <si>
    <t>-839.696985199924 232.519696361442 -60.6379636550198</t>
  </si>
  <si>
    <t>-808.902479289991 226.204623346202 341.688327978679</t>
  </si>
  <si>
    <t>-830.831824460097 171.218837897947 785.672501604117</t>
  </si>
  <si>
    <t>-703.093460524592 241.927484296011 847.077198401482</t>
  </si>
  <si>
    <t>-789.200540509167 49.6847601252289 -56.2368027979691</t>
  </si>
  <si>
    <t>-649.648555688917 53.060450544674 322.403669532538</t>
  </si>
  <si>
    <t>-735.036266872287 -0.37636661010356 758.969244254008</t>
  </si>
  <si>
    <t>-628.578352512643 -89.0233793768118 835.752590046993</t>
  </si>
  <si>
    <t>9763-20170724T111128.382293500.bin</t>
  </si>
  <si>
    <t>-813.277959971765 140.7981518475 -57.4522464821924</t>
  </si>
  <si>
    <t>-844.625982692212 128.912051913052 -168.322658774288</t>
  </si>
  <si>
    <t>-859.440366292462 129.110488785986 -265.827242923742</t>
  </si>
  <si>
    <t>-868.241411655138 133.023425424503 -354.401962757168</t>
  </si>
  <si>
    <t>-871.926475413319 140.513694620662 -443.106912784203</t>
  </si>
  <si>
    <t>-871.569203155325 154.517618460429 -566.89929991902</t>
  </si>
  <si>
    <t>-837.73669052197 167.41811189136 -641.692165345345</t>
  </si>
  <si>
    <t>-873.413043232883 175.837964997318 -509.320275192989</t>
  </si>
  <si>
    <t>-874.389284806714 310.387845078511 -481.028167515434</t>
  </si>
  <si>
    <t>-782.74989246524 286.925529062442 -202.383284606044</t>
  </si>
  <si>
    <t>-545.038729724302 324.035963094522 -189.462087624561</t>
  </si>
  <si>
    <t>-870.039840499431 120.872193552581 -515.528465329356</t>
  </si>
  <si>
    <t>-838.506024389724 231.72023104912 -60.7792497857262</t>
  </si>
  <si>
    <t>-808.05285445608 226.012926066995 341.582191446108</t>
  </si>
  <si>
    <t>-830.910780262592 171.224059683247 785.659211307864</t>
  </si>
  <si>
    <t>-703.195529426411 241.986363927515 847.04918890458</t>
  </si>
  <si>
    <t>-788.441628558408 49.8167296455999 -56.252308623187</t>
  </si>
  <si>
    <t>-650.222340631251 52.7378672737896 322.880304274511</t>
  </si>
  <si>
    <t>-735.263164897547 -0.122655402344662 759.563107060974</t>
  </si>
  <si>
    <t>-628.685166737997 -89.1539950040737 835.733165703577</t>
  </si>
  <si>
    <t>9763-20170724T111128.413378100.bin</t>
  </si>
  <si>
    <t>-812.788304766088 140.504806665565 -57.4006157413381</t>
  </si>
  <si>
    <t>-844.192650336862 128.482045452916 -168.240310089442</t>
  </si>
  <si>
    <t>-859.100868194208 128.534917458653 -265.730731008727</t>
  </si>
  <si>
    <t>-868.007390761791 132.309305954762 -354.300948746139</t>
  </si>
  <si>
    <t>-871.820952356236 139.65772269325 -443.012241004917</t>
  </si>
  <si>
    <t>-871.668228721762 153.464026361478 -566.827233628158</t>
  </si>
  <si>
    <t>-837.49406117874 166.532740196403 -641.435400310034</t>
  </si>
  <si>
    <t>-873.497044765953 174.8715805048 -509.28006410595</t>
  </si>
  <si>
    <t>-874.904528510606 309.501074142789 -481.40380935018</t>
  </si>
  <si>
    <t>-781.540162022849 286.937479478934 -203.257901012442</t>
  </si>
  <si>
    <t>-544.047558775106 325.878733271675 -191.78251012925</t>
  </si>
  <si>
    <t>-869.974093759626 119.905733580852 -515.404781453896</t>
  </si>
  <si>
    <t>-837.891079035679 231.196590585123 -60.7885651874257</t>
  </si>
  <si>
    <t>-807.518215813737 225.871804404115 341.584121391356</t>
  </si>
  <si>
    <t>-830.912410207547 171.17941228804 785.662946916814</t>
  </si>
  <si>
    <t>-703.244337578317 242.047107594793 847.030309234925</t>
  </si>
  <si>
    <t>-788.103106544097 49.6764867748448 -56.139143530134</t>
  </si>
  <si>
    <t>-650.362948736425 52.5003785586355 323.168549595506</t>
  </si>
  <si>
    <t>-735.410758500026 -0.235271500886029 759.86889885601</t>
  </si>
  <si>
    <t>-628.636451416643 -89.2368807154705 835.798223815924</t>
  </si>
  <si>
    <t>9763-20170724T111128.482600100.bin</t>
  </si>
  <si>
    <t>-811.5673068036 139.861711376499 -57.2183458262967</t>
  </si>
  <si>
    <t>-843.100621729089 127.521747846301 -167.986593286435</t>
  </si>
  <si>
    <t>-858.239380108989 127.272102194814 -265.441291353608</t>
  </si>
  <si>
    <t>-867.403773989514 130.764742236013 -353.996719958216</t>
  </si>
  <si>
    <t>-871.52563482402 137.828359564605 -442.717288932664</t>
  </si>
  <si>
    <t>-871.856318671238 151.237117279459 -566.575817113333</t>
  </si>
  <si>
    <t>-837.12948050657 164.469981953336 -640.899161876661</t>
  </si>
  <si>
    <t>-873.575976781236 172.821853740787 -509.09128004754</t>
  </si>
  <si>
    <t>-875.510470361307 307.53955630125 -481.741247982607</t>
  </si>
  <si>
    <t>-779.587485340872 287.612025731074 -204.265556007803</t>
  </si>
  <si>
    <t>-541.484381297781 324.085067424808 -199.027566989601</t>
  </si>
  <si>
    <t>-869.845363800799 117.851710852573 -515.052217303935</t>
  </si>
  <si>
    <t>-836.532418576548 230.2855705611 -60.7451343309945</t>
  </si>
  <si>
    <t>-806.61287356578 225.561139549325 341.668995007791</t>
  </si>
  <si>
    <t>-831.036612658159 171.16291516561 785.713858794633</t>
  </si>
  <si>
    <t>-703.348372213559 242.061072981466 847.00407578713</t>
  </si>
  <si>
    <t>-786.941761838467 49.279202451869 -55.7669495614117</t>
  </si>
  <si>
    <t>-649.752244445647 51.9623287911677 323.741255375831</t>
  </si>
  <si>
    <t>-735.314576569281 0.158874938393183 760.42558569123</t>
  </si>
  <si>
    <t>-628.896071411637 -89.5570596907064 836.013014788323</t>
  </si>
  <si>
    <t>9763-20170724T111128.516689300.bin</t>
  </si>
  <si>
    <t>-810.971499326423 139.278756728773 -57.1209574411664</t>
  </si>
  <si>
    <t>-842.559877304461 126.807517783539 -167.858906820877</t>
  </si>
  <si>
    <t>-857.819617664734 126.409124368694 -265.294139007112</t>
  </si>
  <si>
    <t>-867.124185602888 129.753516974426 -353.840561811634</t>
  </si>
  <si>
    <t>-871.416783598864 136.657294258599 -442.565680135696</t>
  </si>
  <si>
    <t>-872.01729825579 149.832136924452 -566.44828952958</t>
  </si>
  <si>
    <t>-837.129749687973 163.066687890976 -640.69616278906</t>
  </si>
  <si>
    <t>-873.653510515579 171.52244546027 -509.001134798009</t>
  </si>
  <si>
    <t>-875.673526415348 306.275247135664 -481.822101920352</t>
  </si>
  <si>
    <t>-779.31061871719 287.552040844517 -204.414885288678</t>
  </si>
  <si>
    <t>-540.666272255735 320.688751867728 -203.107608252653</t>
  </si>
  <si>
    <t>-869.852337368713 116.546772919449 -514.866291139767</t>
  </si>
  <si>
    <t>-835.961113807019 229.774376460292 -60.7003242239205</t>
  </si>
  <si>
    <t>-806.295567892436 225.189243314859 341.734308187014</t>
  </si>
  <si>
    <t>-831.118758054098 171.164197492799 785.75045803528</t>
  </si>
  <si>
    <t>-703.466642392096 242.160802236771 847.001812486906</t>
  </si>
  <si>
    <t>-786.32074782475 48.5576320815662 -55.6092663516009</t>
  </si>
  <si>
    <t>-649.304135018446 51.4958731293764 323.959537514368</t>
  </si>
  <si>
    <t>-735.354586559313 0.0114667008665492 760.643712058487</t>
  </si>
  <si>
    <t>-628.371652452931 -89.1540441050097 836.085586339529</t>
  </si>
  <si>
    <t>9763-20170724T111128.579863200.bin</t>
  </si>
  <si>
    <t>-809.60656083202 138.190059712573 -56.9888591058391</t>
  </si>
  <si>
    <t>-841.255836008185 125.482611746769 -167.682504218395</t>
  </si>
  <si>
    <t>-856.706531917918 124.860126041836 -265.086533097197</t>
  </si>
  <si>
    <t>-866.237835880585 127.993242680657 -353.616576580061</t>
  </si>
  <si>
    <t>-870.809988835148 134.679262648713 -442.344449074554</t>
  </si>
  <si>
    <t>-871.854852865435 147.54340261435 -566.256729123581</t>
  </si>
  <si>
    <t>-836.825190828817 160.719846796515 -640.447792172472</t>
  </si>
  <si>
    <t>-873.326630657766 169.374887917224 -508.85859763348</t>
  </si>
  <si>
    <t>-875.312084601826 304.136615702187 -481.791564291002</t>
  </si>
  <si>
    <t>-779.277992555688 286.786178254963 -204.180946101159</t>
  </si>
  <si>
    <t>-540.07086357148 315.297488111947 -208.414068899438</t>
  </si>
  <si>
    <t>-869.463623832455 114.390433187954 -514.599487067373</t>
  </si>
  <si>
    <t>-834.951246564377 228.908988103828 -60.6523563301519</t>
  </si>
  <si>
    <t>-805.872952007488 224.456491711389 341.826560178433</t>
  </si>
  <si>
    <t>-831.325208423455 171.219261781786 785.823145503172</t>
  </si>
  <si>
    <t>-703.583485473487 242.11259008657 847.006369696779</t>
  </si>
  <si>
    <t>-784.557093487269 47.2908719381426 -55.4201033998069</t>
  </si>
  <si>
    <t>-648.116931099195 50.9852355892899 324.34972301298</t>
  </si>
  <si>
    <t>-735.15525763363 0.165777790622087 760.978393710864</t>
  </si>
  <si>
    <t>-628.35084414273 -89.2985571013157 836.319397334489</t>
  </si>
  <si>
    <t>9763-20170724T111128.616115400.bin</t>
  </si>
  <si>
    <t>-809.006539173572 137.507412838455 -56.962004238369</t>
  </si>
  <si>
    <t>-840.694975121236 124.697594281811 -167.632599442846</t>
  </si>
  <si>
    <t>-856.222930244293 124.01744722205 -265.023846190312</t>
  </si>
  <si>
    <t>-865.839251211234 127.110336613153 -353.546271497909</t>
  </si>
  <si>
    <t>-870.510390920619 133.767690315451 -442.271084973699</t>
  </si>
  <si>
    <t>-871.707946163037 146.605156875012 -566.184709326464</t>
  </si>
  <si>
    <t>-836.677233663394 159.784466618065 -640.374901586521</t>
  </si>
  <si>
    <t>-873.132383694517 168.447097324357 -508.789586885938</t>
  </si>
  <si>
    <t>-875.193841561354 303.196470408202 -481.651541267132</t>
  </si>
  <si>
    <t>-779.407856623395 286.34795151143 -203.92440245932</t>
  </si>
  <si>
    <t>-540.123452050199 313.259806140399 -212.26202088756</t>
  </si>
  <si>
    <t>-869.229636967836 113.464930597082 -514.523245923307</t>
  </si>
  <si>
    <t>-834.57124367754 228.346186932089 -60.6629527499985</t>
  </si>
  <si>
    <t>-805.682088026536 224.052450568042 341.831281717577</t>
  </si>
  <si>
    <t>-831.329827182381 171.174141876799 785.834557042898</t>
  </si>
  <si>
    <t>-703.710919751477 242.295617421848 847.010413170783</t>
  </si>
  <si>
    <t>-783.756252040799 46.4121125508977 -55.3424515114526</t>
  </si>
  <si>
    <t>-647.660137977244 50.7762893461381 324.543699081147</t>
  </si>
  <si>
    <t>-735.105721195049 0.161972829869228 761.131986834895</t>
  </si>
  <si>
    <t>-628.255114145037 -89.2839707731591 836.429244503245</t>
  </si>
  <si>
    <t>9763-20170724T111128.682294600.bin</t>
  </si>
  <si>
    <t>-808.11666712427 136.193440568444 -56.9413504459332</t>
  </si>
  <si>
    <t>-839.909507746028 123.252364121864 -167.566606133013</t>
  </si>
  <si>
    <t>-855.585681174802 122.530466578276 -264.933938276365</t>
  </si>
  <si>
    <t>-865.356586185909 125.613691201412 -353.439729791969</t>
  </si>
  <si>
    <t>-870.201495610331 132.292441366727 -442.153739868487</t>
  </si>
  <si>
    <t>-871.659906918748 145.191772230494 -566.058048971982</t>
  </si>
  <si>
    <t>-836.684271434209 158.417756864531 -640.26578331552</t>
  </si>
  <si>
    <t>-873.048835691477 166.998693685156 -508.648772846679</t>
  </si>
  <si>
    <t>-875.455272378632 301.692259167638 -481.266510217619</t>
  </si>
  <si>
    <t>-779.681665269313 285.500714208332 -203.496085761156</t>
  </si>
  <si>
    <t>-540.657875552293 310.775957430968 -220.222475204331</t>
  </si>
  <si>
    <t>-868.987403409488 112.031979582899 -514.419021453935</t>
  </si>
  <si>
    <t>-834.08176930028 227.275981846206 -60.6505701501385</t>
  </si>
  <si>
    <t>-805.333204150496 223.416459109787 341.858136677247</t>
  </si>
  <si>
    <t>-831.512415860178 171.233469164837 785.880610429992</t>
  </si>
  <si>
    <t>-703.82236068313 242.234059360284 847.048401785084</t>
  </si>
  <si>
    <t>-782.646040830042 45.0670222940225 -55.25212966979</t>
  </si>
  <si>
    <t>-646.995317564736 50.2817530987636 324.782462889665</t>
  </si>
  <si>
    <t>-734.969054632377 0.199564849597664 761.384683904777</t>
  </si>
  <si>
    <t>-627.986344725661 -89.1496683724004 836.609154831801</t>
  </si>
  <si>
    <t>9763-20170724T111128.714381000.bin</t>
  </si>
  <si>
    <t>-807.906025440115 135.823562746757 -56.9616127732272</t>
  </si>
  <si>
    <t>-839.777806653055 122.850282514349 -167.560414947823</t>
  </si>
  <si>
    <t>-855.540402198654 122.138534344742 -264.913978752637</t>
  </si>
  <si>
    <t>-865.395667721883 125.246333138842 -353.409480637341</t>
  </si>
  <si>
    <t>-870.330997225661 131.965903657024 -442.115340850324</t>
  </si>
  <si>
    <t>-871.921504491642 144.940642508797 -566.010155105331</t>
  </si>
  <si>
    <t>-836.984538996395 158.217558808521 -640.227067345961</t>
  </si>
  <si>
    <t>-873.305984282817 166.708519192183 -508.585908255096</t>
  </si>
  <si>
    <t>-875.895365682502 301.367815113841 -481.047599837545</t>
  </si>
  <si>
    <t>-779.937446294077 285.587668809736 -203.316995457996</t>
  </si>
  <si>
    <t>-541.109737990061 310.087059835614 -223.612407126561</t>
  </si>
  <si>
    <t>-869.137346142734 111.753585320815 -514.39440120648</t>
  </si>
  <si>
    <t>-833.91604350108 226.848019256571 -60.6510451185869</t>
  </si>
  <si>
    <t>-805.282091290707 223.167720421637 341.867554535654</t>
  </si>
  <si>
    <t>-831.451785934956 171.143449143708 785.87720729434</t>
  </si>
  <si>
    <t>-703.913984239542 242.393002458646 847.072554599183</t>
  </si>
  <si>
    <t>-782.384874515968 44.7894448477891 -55.2774492482685</t>
  </si>
  <si>
    <t>-646.846689434542 50.0690349542606 324.796513206717</t>
  </si>
  <si>
    <t>-734.903956201505 0.178640395285129 761.450287652912</t>
  </si>
  <si>
    <t>-627.956907679611 -89.2255246558414 836.659953959744</t>
  </si>
  <si>
    <t>9763-20170724T111128.748473100.bin</t>
  </si>
  <si>
    <t>-807.816069502025 135.587273807746 -56.9886166537215</t>
  </si>
  <si>
    <t>-839.766348114191 122.60437061543 -167.563731310654</t>
  </si>
  <si>
    <t>-855.606246608126 121.913372633848 -264.904715118297</t>
  </si>
  <si>
    <t>-865.534765035762 125.051614302822 -353.390947492061</t>
  </si>
  <si>
    <t>-870.546497395537 131.814899552616 -442.089218296178</t>
  </si>
  <si>
    <t>-872.24676773154 144.865043969271 -565.974707104156</t>
  </si>
  <si>
    <t>-837.359278048838 158.203691166015 -640.203860002823</t>
  </si>
  <si>
    <t>-873.629453968402 166.594379098487 -508.535653388741</t>
  </si>
  <si>
    <t>-876.409328660169 301.218332139547 -480.836121968174</t>
  </si>
  <si>
    <t>-780.224559337941 285.794797064959 -203.16393590973</t>
  </si>
  <si>
    <t>-541.605846366188 309.544106486605 -226.572078866577</t>
  </si>
  <si>
    <t>-869.36742749527 111.650392448626 -514.382009711266</t>
  </si>
  <si>
    <t>-833.860213459922 226.506997726238 -60.651451925585</t>
  </si>
  <si>
    <t>-805.289231756247 222.983529153626 341.873033643014</t>
  </si>
  <si>
    <t>-831.379706260096 171.045373020836 785.88071015946</t>
  </si>
  <si>
    <t>-704.017985672488 242.589554541694 847.098980430212</t>
  </si>
  <si>
    <t>-782.235403482413 44.63430945962 -55.338570435768</t>
  </si>
  <si>
    <t>-646.78741165607 50.0087074926528 324.766163508425</t>
  </si>
  <si>
    <t>-734.753324209198 0.315991174346891 761.479249505414</t>
  </si>
  <si>
    <t>-627.913183464045 -89.218822448742 836.685592909688</t>
  </si>
  <si>
    <t>9763-20170724T111128.812648800.bin</t>
  </si>
  <si>
    <t>-807.864612094015 135.31515094528 -57.0355643108369</t>
  </si>
  <si>
    <t>-839.889472385361 122.325392086968 -167.588295461237</t>
  </si>
  <si>
    <t>-855.809368286225 121.687194120155 -264.916654440614</t>
  </si>
  <si>
    <t>-865.814864267638 124.896673033961 -353.391672868801</t>
  </si>
  <si>
    <t>-870.907262251516 131.755509816266 -442.077972610795</t>
  </si>
  <si>
    <t>-872.723358255929 144.964989910928 -565.944976744299</t>
  </si>
  <si>
    <t>-837.967160754802 158.434581900564 -640.21208095314</t>
  </si>
  <si>
    <t>-874.109246231909 166.61569790738 -508.476523110966</t>
  </si>
  <si>
    <t>-877.067463634402 301.17351809666 -480.479820521317</t>
  </si>
  <si>
    <t>-780.643993839207 285.854818939156 -202.884634531447</t>
  </si>
  <si>
    <t>-542.556160299397 309.294892822339 -231.442882922771</t>
  </si>
  <si>
    <t>-869.739009085439 111.688376027893 -514.398054659563</t>
  </si>
  <si>
    <t>-834.071681699732 226.165005846386 -60.647993132342</t>
  </si>
  <si>
    <t>-805.522623725297 222.839150076635 341.879704120513</t>
  </si>
  <si>
    <t>-831.557384904006 171.118562881771 785.922015402898</t>
  </si>
  <si>
    <t>-704.140328832495 242.573548436788 847.130067823181</t>
  </si>
  <si>
    <t>-782.065476234388 44.3439903381727 -55.4884977880405</t>
  </si>
  <si>
    <t>-646.949851524292 50.1584339509654 324.728108986768</t>
  </si>
  <si>
    <t>-734.505149267188 0.396404492603324 761.519411408698</t>
  </si>
  <si>
    <t>-627.738322461789 -89.2181540510474 836.735074216042</t>
  </si>
  <si>
    <t>9763-20170724T111128.883885600.bin</t>
  </si>
  <si>
    <t>-807.941876232039 135.151151967331 -57.1045521618848</t>
  </si>
  <si>
    <t>-840.037266717169 122.128054457635 -167.632928692733</t>
  </si>
  <si>
    <t>-856.016906911016 121.512841455397 -264.951575034531</t>
  </si>
  <si>
    <t>-866.073998185317 124.763820478484 -353.419328103105</t>
  </si>
  <si>
    <t>-871.214015552893 131.684263703265 -442.098136985403</t>
  </si>
  <si>
    <t>-873.092409669708 145.00099391188 -565.95263127739</t>
  </si>
  <si>
    <t>-838.495130777732 158.518085320051 -640.285229664807</t>
  </si>
  <si>
    <t>-874.453946992492 166.601492532639 -508.46462035271</t>
  </si>
  <si>
    <t>-877.340541861051 301.110887932054 -480.207892776998</t>
  </si>
  <si>
    <t>-781.011082587564 286.030991588095 -202.567112153081</t>
  </si>
  <si>
    <t>-543.304541329569 309.623634794313 -234.030515528457</t>
  </si>
  <si>
    <t>-870.077845284374 111.68030149488 -514.435989860343</t>
  </si>
  <si>
    <t>-834.308875239641 225.984927629779 -60.6940780337811</t>
  </si>
  <si>
    <t>-805.80094523489 222.72802247148 341.837038530565</t>
  </si>
  <si>
    <t>-831.646947876259 171.129296279488 785.927990912324</t>
  </si>
  <si>
    <t>-704.25034671063 242.624453599093 847.131187966581</t>
  </si>
  <si>
    <t>-781.99732760965 44.1766125988565 -55.5594907997934</t>
  </si>
  <si>
    <t>-647.107439289518 50.4175280693157 324.73040605464</t>
  </si>
  <si>
    <t>-734.215084765236 0.640172475062172 761.576893253067</t>
  </si>
  <si>
    <t>-627.684030647998 -89.2485969163956 836.799497221929</t>
  </si>
  <si>
    <t>9763-20170724T111128.916545000.bin</t>
  </si>
  <si>
    <t>-808.057952346285 135.212264043485 -57.1021102365816</t>
  </si>
  <si>
    <t>-840.199543382882 122.155928059785 -167.61315487992</t>
  </si>
  <si>
    <t>-856.210253024553 121.53766772138 -264.926731388975</t>
  </si>
  <si>
    <t>-866.289934265215 124.795010501887 -353.391529019496</t>
  </si>
  <si>
    <t>-871.446579566391 131.7301646946 -442.068161109219</t>
  </si>
  <si>
    <t>-873.340258994395 145.074753294406 -565.919502488017</t>
  </si>
  <si>
    <t>-838.818518251084 158.563825843016 -640.292396057029</t>
  </si>
  <si>
    <t>-874.690584923998 166.662991737949 -508.426574591718</t>
  </si>
  <si>
    <t>-877.541350717478 301.147960924056 -480.065060334775</t>
  </si>
  <si>
    <t>-781.444926478712 286.157533478032 -202.338536725758</t>
  </si>
  <si>
    <t>-543.577233970522 309.208846469301 -232.972443405114</t>
  </si>
  <si>
    <t>-870.323222967834 111.742059419228 -514.410840591836</t>
  </si>
  <si>
    <t>-834.477994068785 225.977594891453 -60.6937321091555</t>
  </si>
  <si>
    <t>-805.916401870688 222.760205922747 341.833994872731</t>
  </si>
  <si>
    <t>-831.72656999854 171.143387804978 785.95761440916</t>
  </si>
  <si>
    <t>-704.372339890502 242.744580492286 847.125517549615</t>
  </si>
  <si>
    <t>-782.088318849196 44.3947681962095 -55.561575908922</t>
  </si>
  <si>
    <t>-647.162998753689 50.4809692047102 324.718336223771</t>
  </si>
  <si>
    <t>-734.108892924389 0.672837805095241 761.601975963835</t>
  </si>
  <si>
    <t>-627.554269308697 -89.1876954865393 836.824922676956</t>
  </si>
  <si>
    <t>9763-20170724T111128.982722800.bin</t>
  </si>
  <si>
    <t>-808.524116324635 135.304941257927 -57.0540563148387</t>
  </si>
  <si>
    <t>-840.754754430649 122.286476334055 -167.543426054204</t>
  </si>
  <si>
    <t>-856.834788811606 121.727646840288 -264.846012168041</t>
  </si>
  <si>
    <t>-866.975064596194 125.051244973407 -353.301390689706</t>
  </si>
  <si>
    <t>-872.191348768397 132.067049796575 -441.968255397659</t>
  </si>
  <si>
    <t>-874.167555381918 145.54158191154 -565.804246091469</t>
  </si>
  <si>
    <t>-839.772768454191 158.969339627464 -640.247081249181</t>
  </si>
  <si>
    <t>-875.52645867264 167.065559150524 -508.287457114669</t>
  </si>
  <si>
    <t>-878.387872090196 301.494706900474 -479.606537065858</t>
  </si>
  <si>
    <t>-783.190272428894 286.868531548309 -201.551190330842</t>
  </si>
  <si>
    <t>-544.178824916925 306.945891105497 -224.383084169454</t>
  </si>
  <si>
    <t>-871.069112115302 112.158574574049 -514.332877401786</t>
  </si>
  <si>
    <t>-834.934986738614 226.038062710179 -60.6196764910868</t>
  </si>
  <si>
    <t>-806.191180494272 222.889447710801 341.895544944201</t>
  </si>
  <si>
    <t>-831.981364606026 171.289333168392 785.993668004665</t>
  </si>
  <si>
    <t>-704.484765453245 242.657107743759 847.137188349599</t>
  </si>
  <si>
    <t>-782.539995486214 44.445285632441 -55.5351137874189</t>
  </si>
  <si>
    <t>-647.343036065833 50.5509120580323 324.64796157318</t>
  </si>
  <si>
    <t>-733.911151958433 0.704910424749869 761.613320793173</t>
  </si>
  <si>
    <t>-627.422128579158 -89.2168174484102 836.856070821969</t>
  </si>
  <si>
    <t>9763-20170724T111129.014490800.bin</t>
  </si>
  <si>
    <t>-808.779061971678 135.32889454013 -57.0411508414005</t>
  </si>
  <si>
    <t>-841.045949087893 122.325664378815 -167.521867361106</t>
  </si>
  <si>
    <t>-857.183095666051 121.784277585353 -264.81494187274</t>
  </si>
  <si>
    <t>-867.387862168436 125.128094563182 -353.262207095288</t>
  </si>
  <si>
    <t>-872.682382316958 132.171943806478 -441.922257605355</t>
  </si>
  <si>
    <t>-874.783103642063 145.695185368268 -565.750810211127</t>
  </si>
  <si>
    <t>-840.442483835165 159.096543384218 -640.223363986557</t>
  </si>
  <si>
    <t>-876.134059518072 167.192154635472 -508.223865119846</t>
  </si>
  <si>
    <t>-879.130972062003 301.564227416218 -479.367718346175</t>
  </si>
  <si>
    <t>-783.858381639087 287.511666000861 -201.308590901158</t>
  </si>
  <si>
    <t>-544.416511507845 306.423623506808 -220.302560102613</t>
  </si>
  <si>
    <t>-871.583207890759 112.29616658312 -514.296157756463</t>
  </si>
  <si>
    <t>-835.156288585753 226.01598803905 -60.5935663158103</t>
  </si>
  <si>
    <t>-806.321699776722 222.925484323433 341.915720334527</t>
  </si>
  <si>
    <t>-831.994790100577 171.267584812755 786.002296736109</t>
  </si>
  <si>
    <t>-704.541289390189 242.708941611704 847.149929082985</t>
  </si>
  <si>
    <t>-782.830108696513 44.5756868849476 -55.5259606344033</t>
  </si>
  <si>
    <t>-647.486826772179 50.6007736002762 324.606378445928</t>
  </si>
  <si>
    <t>-733.812832230421 0.73149572281136 761.603677009886</t>
  </si>
  <si>
    <t>-627.217302920988 -89.0664697730642 836.843406852426</t>
  </si>
  <si>
    <t>9763-20170724T111129.081171400.bin</t>
  </si>
  <si>
    <t>-809.394739429684 135.479209756912 -57.0269114159751</t>
  </si>
  <si>
    <t>-841.715637807044 122.411655081957 -167.484193725784</t>
  </si>
  <si>
    <t>-857.986840122683 121.815912490295 -264.754762596598</t>
  </si>
  <si>
    <t>-868.352134236978 125.117408006547 -353.185000028094</t>
  </si>
  <si>
    <t>-873.847977209499 132.130623626832 -441.835068724902</t>
  </si>
  <si>
    <t>-876.274682825635 145.628361767705 -565.660527261979</t>
  </si>
  <si>
    <t>-842.004651478673 158.991914864274 -640.172332824826</t>
  </si>
  <si>
    <t>-877.600226826155 167.126510167015 -508.133277098196</t>
  </si>
  <si>
    <t>-880.999097545011 301.464218430764 -479.15240513478</t>
  </si>
  <si>
    <t>-785.084123788358 288.475860436736 -201.26241869089</t>
  </si>
  <si>
    <t>-545.178563976269 307.347640351816 -213.096032252191</t>
  </si>
  <si>
    <t>-872.813021903955 112.250884072015 -514.208949613641</t>
  </si>
  <si>
    <t>-835.835060888217 225.944321700324 -60.5783009237481</t>
  </si>
  <si>
    <t>-806.758261974434 223.104326648891 341.915368297062</t>
  </si>
  <si>
    <t>-832.071975006451 171.29668641609 786.015546909208</t>
  </si>
  <si>
    <t>-704.637383049886 242.772770210815 847.162175125764</t>
  </si>
  <si>
    <t>-783.365812763296 44.8814600480382 -55.4842222051531</t>
  </si>
  <si>
    <t>-647.757817511842 50.7428512764209 324.556297952408</t>
  </si>
  <si>
    <t>-733.742859107164 0.643221275873657 761.62558573878</t>
  </si>
  <si>
    <t>-627.079316189674 -89.1257637488764 836.803344039767</t>
  </si>
  <si>
    <t>9763-20170724T111129.118285800.bin</t>
  </si>
  <si>
    <t>-809.610483684508 135.493446621646 -57.0167268921792</t>
  </si>
  <si>
    <t>-841.935515149491 122.402849549188 -167.470064465243</t>
  </si>
  <si>
    <t>-858.270055819359 121.764094698899 -264.72967270002</t>
  </si>
  <si>
    <t>-868.719567761525 125.020882270179 -353.151721773119</t>
  </si>
  <si>
    <t>-874.328240323432 131.987170894206 -441.798535050568</t>
  </si>
  <si>
    <t>-876.943931769057 145.419803269161 -565.627163427179</t>
  </si>
  <si>
    <t>-842.729728404611 158.78325217351 -640.164506439231</t>
  </si>
  <si>
    <t>-878.255366568706 166.941598798962 -508.108436603096</t>
  </si>
  <si>
    <t>-881.870907101672 301.2906359732 -479.1897913028</t>
  </si>
  <si>
    <t>-785.8308655945 289.127638541806 -201.305508008052</t>
  </si>
  <si>
    <t>-545.815924157901 308.061653652088 -210.535406464829</t>
  </si>
  <si>
    <t>-873.33028545173 112.075854445556 -514.164120951813</t>
  </si>
  <si>
    <t>-836.135870142483 225.918556140708 -60.5702154381834</t>
  </si>
  <si>
    <t>-806.938671377467 223.156260834181 341.915211721277</t>
  </si>
  <si>
    <t>-832.104823666538 171.299873965872 786.022275422562</t>
  </si>
  <si>
    <t>-704.718098474326 242.863070358139 847.166067079307</t>
  </si>
  <si>
    <t>-783.444873770615 44.9230919083052 -55.4991536713961</t>
  </si>
  <si>
    <t>-647.80584494897 50.9079382822633 324.528349059523</t>
  </si>
  <si>
    <t>-733.676422875267 0.649765669079443 761.60278427522</t>
  </si>
  <si>
    <t>-627.247914320401 -89.3974850858312 836.781100416801</t>
  </si>
  <si>
    <t>9763-20170724T111129.183463200.bin</t>
  </si>
  <si>
    <t>-809.855506435241 135.345223350937 -57.0615442442405</t>
  </si>
  <si>
    <t>-842.176774214897 122.181574746888 -167.507304194675</t>
  </si>
  <si>
    <t>-858.593146917197 121.40909435876 -264.752113618119</t>
  </si>
  <si>
    <t>-869.1560971172 124.52012594533 -353.165907565687</t>
  </si>
  <si>
    <t>-874.920764158227 131.321238304729 -441.815577989988</t>
  </si>
  <si>
    <t>-877.799649216662 144.5066323611 -565.664895358244</t>
  </si>
  <si>
    <t>-843.727452107748 157.819215886811 -640.276429786547</t>
  </si>
  <si>
    <t>-879.108874113744 166.132170409157 -508.184943960217</t>
  </si>
  <si>
    <t>-883.08541959489 300.510846979319 -479.482642220701</t>
  </si>
  <si>
    <t>-787.497051170001 289.653411736622 -201.388779399947</t>
  </si>
  <si>
    <t>-547.367050041507 308.2791678253 -207.832863694092</t>
  </si>
  <si>
    <t>-873.956768373405 111.276606720849 -514.144833477833</t>
  </si>
  <si>
    <t>-836.603541645642 225.668778336058 -60.6055678988535</t>
  </si>
  <si>
    <t>-807.179522554464 223.218918876817 341.865405979302</t>
  </si>
  <si>
    <t>-832.121239662201 171.291896237894 785.994842853292</t>
  </si>
  <si>
    <t>-704.952506944499 243.221386621285 847.162755798757</t>
  </si>
  <si>
    <t>-783.475934265395 44.8298186231445 -55.5568819137488</t>
  </si>
  <si>
    <t>-647.835673672352 51.0450051838452 324.46654301941</t>
  </si>
  <si>
    <t>-733.530456355612 0.569510090649146 761.521347845139</t>
  </si>
  <si>
    <t>-626.890337669744 -89.2151575842711 836.713812331081</t>
  </si>
  <si>
    <t>9763-20170724T111129.214057700.bin</t>
  </si>
  <si>
    <t>-809.905062105773 135.259995245113 -57.0634745549082</t>
  </si>
  <si>
    <t>-842.222629938773 122.030275973844 -167.502374889029</t>
  </si>
  <si>
    <t>-858.673582166658 121.189601051443 -264.740890166848</t>
  </si>
  <si>
    <t>-869.283668798256 124.235441083935 -353.15120121889</t>
  </si>
  <si>
    <t>-875.111769777982 130.969410376798 -441.801903240354</t>
  </si>
  <si>
    <t>-878.097526233195 144.060357956996 -565.658742719266</t>
  </si>
  <si>
    <t>-844.100052747649 157.335995153005 -640.310993757266</t>
  </si>
  <si>
    <t>-879.402831577247 165.725101010841 -508.193569650539</t>
  </si>
  <si>
    <t>-883.538399638397 300.121390743679 -479.581564729432</t>
  </si>
  <si>
    <t>-788.191821295681 289.653067170336 -201.38966331796</t>
  </si>
  <si>
    <t>-548.027944655965 308.040012874177 -207.229680652792</t>
  </si>
  <si>
    <t>-874.164396728176 110.874165428928 -514.117246370151</t>
  </si>
  <si>
    <t>-836.785483568094 225.552130934536 -60.6190884727918</t>
  </si>
  <si>
    <t>-807.272886328404 223.268600607051 341.84644034094</t>
  </si>
  <si>
    <t>-832.179697576236 171.32480764142 785.991026832251</t>
  </si>
  <si>
    <t>-705.011297492844 243.260299677095 847.152953555157</t>
  </si>
  <si>
    <t>-783.412689971457 44.8485076120564 -55.533890022072</t>
  </si>
  <si>
    <t>-647.670595635726 51.101196495325 324.452560885247</t>
  </si>
  <si>
    <t>-733.394117771727 0.649378862067351 761.475711729113</t>
  </si>
  <si>
    <t>-626.918382768102 -89.2982492527913 836.706286440271</t>
  </si>
  <si>
    <t>9763-20170724T111129.281763400.bin</t>
  </si>
  <si>
    <t>-809.992294237323 135.083042807681 -57.0293489753138</t>
  </si>
  <si>
    <t>-842.35411796255 121.732923513478 -167.44091579227</t>
  </si>
  <si>
    <t>-858.896241578303 120.765146192273 -264.662634886584</t>
  </si>
  <si>
    <t>-869.612010782075 123.688767988029 -353.064436793843</t>
  </si>
  <si>
    <t>-875.570579204578 130.296208580592 -441.715799434027</t>
  </si>
  <si>
    <t>-878.764090559126 143.208631134662 -565.586312752656</t>
  </si>
  <si>
    <t>-844.873987348206 156.368025410389 -640.307848761091</t>
  </si>
  <si>
    <t>-880.050515620219 164.948772295991 -508.149175903995</t>
  </si>
  <si>
    <t>-884.584204716186 299.368900594476 -479.714566388823</t>
  </si>
  <si>
    <t>-789.734528436 289.938107596782 -201.315958100568</t>
  </si>
  <si>
    <t>-549.527231490546 307.596894760973 -207.600461843755</t>
  </si>
  <si>
    <t>-874.667086287272 110.104421671962 -514.005015510317</t>
  </si>
  <si>
    <t>-837.242762555732 225.322047992078 -60.6065956768622</t>
  </si>
  <si>
    <t>-807.432427992762 223.357526812888 341.838603570549</t>
  </si>
  <si>
    <t>-832.399871294775 171.42984889421 786.047074956802</t>
  </si>
  <si>
    <t>-705.145013817682 243.28140883996 847.128119315444</t>
  </si>
  <si>
    <t>-783.160746244119 44.7571782850305 -55.500449680225</t>
  </si>
  <si>
    <t>-647.384157466755 51.2181869716155 324.470180229881</t>
  </si>
  <si>
    <t>-733.163245349823 0.742206447291665 761.428830909698</t>
  </si>
  <si>
    <t>-627.108768601697 -89.6353672837204 836.739217235167</t>
  </si>
  <si>
    <t>9763-20170724T111129.317080800.bin</t>
  </si>
  <si>
    <t>-810.11136724808 134.826500864288 -56.9830042543372</t>
  </si>
  <si>
    <t>-842.502696889103 121.413975738876 -167.378332307814</t>
  </si>
  <si>
    <t>-859.110408748545 120.382815721066 -264.588270499769</t>
  </si>
  <si>
    <t>-869.902809407876 123.246969703621 -352.982644082466</t>
  </si>
  <si>
    <t>-875.95607939799 129.795225176882 -441.632062942741</t>
  </si>
  <si>
    <t>-879.302145207225 142.626643258748 -565.506753162072</t>
  </si>
  <si>
    <t>-845.447453132675 155.704260919945 -640.258777470139</t>
  </si>
  <si>
    <t>-880.570523263849 164.399028370703 -508.081541646026</t>
  </si>
  <si>
    <t>-885.386431771023 298.83450871693 -479.744353976967</t>
  </si>
  <si>
    <t>-790.700483026792 290.05572276753 -201.268704224816</t>
  </si>
  <si>
    <t>-550.470392595239 307.064741416189 -208.419557027651</t>
  </si>
  <si>
    <t>-875.089278393471 109.561611479678 -513.90981224169</t>
  </si>
  <si>
    <t>-837.517259837934 225.045144261878 -60.5517571664271</t>
  </si>
  <si>
    <t>-807.447182624851 223.342828525059 341.87533812169</t>
  </si>
  <si>
    <t>-832.482898499515 171.415334183086 786.112551224266</t>
  </si>
  <si>
    <t>-705.223384001083 243.335813546814 847.102813950924</t>
  </si>
  <si>
    <t>-783.148685090577 44.4611693187694 -55.4674981274529</t>
  </si>
  <si>
    <t>-647.438355911041 51.1052647955676 324.523642109987</t>
  </si>
  <si>
    <t>-733.153390135414 0.54632287789218 761.449289498264</t>
  </si>
  <si>
    <t>-626.766119015611 -89.4259803325035 836.775392143693</t>
  </si>
  <si>
    <t>9763-20170724T111129.383741300.bin</t>
  </si>
  <si>
    <t>-810.338674683995 134.292094399738 -56.899275504628</t>
  </si>
  <si>
    <t>-842.842943383276 120.773229810839 -167.248413420892</t>
  </si>
  <si>
    <t>-859.625190065896 119.616125592672 -264.426941387344</t>
  </si>
  <si>
    <t>-870.610086207978 122.35529204171 -352.801640806002</t>
  </si>
  <si>
    <t>-876.891539220587 128.772141596318 -441.444765724506</t>
  </si>
  <si>
    <t>-880.594621029994 141.416099901992 -565.328673563306</t>
  </si>
  <si>
    <t>-846.774661869612 154.285376138894 -640.132556375567</t>
  </si>
  <si>
    <t>-881.809988224062 163.263722837244 -507.930732062884</t>
  </si>
  <si>
    <t>-887.136437272431 297.707959164005 -479.724368703612</t>
  </si>
  <si>
    <t>-792.858929977466 290.155367306175 -201.074267212847</t>
  </si>
  <si>
    <t>-552.609646637444 305.86168990748 -210.261660733982</t>
  </si>
  <si>
    <t>-876.120036978472 108.440811056652 -513.69627313043</t>
  </si>
  <si>
    <t>-838.048240309481 224.447457459116 -60.4556281538108</t>
  </si>
  <si>
    <t>-807.53671592428 223.307586899743 341.940173179843</t>
  </si>
  <si>
    <t>-832.601468758754 171.427610069009 786.150299952984</t>
  </si>
  <si>
    <t>-705.26008867064 243.256525041546 847.077762444532</t>
  </si>
  <si>
    <t>-783.070830854409 44.0558618939294 -55.3936742774763</t>
  </si>
  <si>
    <t>-647.342551148542 50.9797344533854 324.586037861162</t>
  </si>
  <si>
    <t>-732.94508979997 0.576710800265573 761.503673159348</t>
  </si>
  <si>
    <t>-626.630661705389 -89.4192086728387 836.904190351769</t>
  </si>
  <si>
    <t>9763-20170724T111129.413902500.bin</t>
  </si>
  <si>
    <t>-810.360007339963 134.004787013646 -56.8706233040231</t>
  </si>
  <si>
    <t>-842.922502112751 120.418024154325 -167.194198683163</t>
  </si>
  <si>
    <t>-859.791028666062 119.190610893082 -264.356999114199</t>
  </si>
  <si>
    <t>-870.868992716682 121.862301541 -352.722034211372</t>
  </si>
  <si>
    <t>-877.258718324066 128.20917889071 -441.362477808126</t>
  </si>
  <si>
    <t>-881.129911444812 140.754257530617 -565.251415297031</t>
  </si>
  <si>
    <t>-847.322598828576 153.498127419875 -640.082340052075</t>
  </si>
  <si>
    <t>-882.316202804104 162.64227988162 -507.868305038771</t>
  </si>
  <si>
    <t>-887.879183058865 297.093016681153 -479.738873470754</t>
  </si>
  <si>
    <t>-793.916755909058 290.180938302085 -200.965597152903</t>
  </si>
  <si>
    <t>-553.670728590427 305.403249830264 -211.011357518447</t>
  </si>
  <si>
    <t>-876.536666150475 107.825333893868 -513.599734645895</t>
  </si>
  <si>
    <t>-838.143677878907 224.107889457272 -60.4469971637201</t>
  </si>
  <si>
    <t>-807.514542809464 223.268841325361 341.940649714062</t>
  </si>
  <si>
    <t>-832.517232200555 171.366029490797 786.1062262485</t>
  </si>
  <si>
    <t>-705.380934518491 243.507172778776 847.092177418748</t>
  </si>
  <si>
    <t>-782.942367904211 43.7765868787328 -55.3427172711899</t>
  </si>
  <si>
    <t>-647.184258225687 50.9517111744412 324.621632787968</t>
  </si>
  <si>
    <t>-732.870667460105 0.571294272883279 761.529130918962</t>
  </si>
  <si>
    <t>-626.619617725761 -89.4876594732434 836.944153455808</t>
  </si>
  <si>
    <t>9763-20170724T111129.482053800.bin</t>
  </si>
  <si>
    <t>-810.427587482039 133.447315335377 -56.8545305928393</t>
  </si>
  <si>
    <t>-843.114365805807 119.680589844949 -167.119153456038</t>
  </si>
  <si>
    <t>-860.158478017103 118.331165857204 -264.249625518296</t>
  </si>
  <si>
    <t>-871.422304067186 120.907179930947 -352.59410106951</t>
  </si>
  <si>
    <t>-878.024738803737 127.175708617917 -441.22458851307</t>
  </si>
  <si>
    <t>-882.220960997433 139.631462799378 -565.111839646577</t>
  </si>
  <si>
    <t>-848.459238412843 152.153658376252 -640.00076019095</t>
  </si>
  <si>
    <t>-883.356682547553 161.550025934414 -507.739305947055</t>
  </si>
  <si>
    <t>-889.295373725444 295.98275977204 -479.641635826744</t>
  </si>
  <si>
    <t>-795.978011715682 289.959019737108 -200.631207270833</t>
  </si>
  <si>
    <t>-555.736037434253 304.557127138251 -211.654676274335</t>
  </si>
  <si>
    <t>-877.392111629497 106.750689395762 -513.450995502521</t>
  </si>
  <si>
    <t>-838.461863256583 223.535185291341 -60.4965506955302</t>
  </si>
  <si>
    <t>-807.537366508467 223.206031072712 341.869183147363</t>
  </si>
  <si>
    <t>-832.516499989593 171.430592562203 786.021342803897</t>
  </si>
  <si>
    <t>-705.45309058899 243.579484608294 847.150244039286</t>
  </si>
  <si>
    <t>-782.771016826026 43.2362069108981 -55.2708790030758</t>
  </si>
  <si>
    <t>-647.032311364171 50.9776066715986 324.689305370349</t>
  </si>
  <si>
    <t>-732.774967544343 0.576072285974988 761.60395022629</t>
  </si>
  <si>
    <t>-626.363694317832 -89.3505409030831 836.950580117768</t>
  </si>
  <si>
    <t>9763-20170724T111129.513707600.bin</t>
  </si>
  <si>
    <t>-810.485858341968 133.283210455885 -56.8599733317633</t>
  </si>
  <si>
    <t>-843.257880995755 119.437903604124 -167.089398275269</t>
  </si>
  <si>
    <t>-860.389531561279 118.029969566946 -264.20353159891</t>
  </si>
  <si>
    <t>-871.737220839344 120.55709819151 -352.538751750968</t>
  </si>
  <si>
    <t>-878.429038352011 126.782285658323 -441.16554660885</t>
  </si>
  <si>
    <t>-882.755214074036 139.183238342448 -565.053761163743</t>
  </si>
  <si>
    <t>-849.018185246514 151.574423110022 -639.975763656759</t>
  </si>
  <si>
    <t>-883.873171334258 161.122413562728 -507.68882698037</t>
  </si>
  <si>
    <t>-889.930004972248 295.556319749325 -479.589256550353</t>
  </si>
  <si>
    <t>-796.992448099973 289.752680799628 -200.44740466315</t>
  </si>
  <si>
    <t>-556.759683584841 304.098609103753 -211.992584757023</t>
  </si>
  <si>
    <t>-877.829565685002 106.330071573256 -513.384510877839</t>
  </si>
  <si>
    <t>-838.60606966453 223.338108974259 -60.5146801845348</t>
  </si>
  <si>
    <t>-807.560466332416 223.214671030731 341.841922087773</t>
  </si>
  <si>
    <t>-832.543162244954 171.480253272228 786.000321870017</t>
  </si>
  <si>
    <t>-705.440524571012 243.519816667998 847.176108261554</t>
  </si>
  <si>
    <t>-782.804410901091 43.1403190544788 -55.2413467105912</t>
  </si>
  <si>
    <t>-646.921695897553 50.9795103972392 324.665417098332</t>
  </si>
  <si>
    <t>-732.702685755163 0.645180107837405 761.614383913701</t>
  </si>
  <si>
    <t>-626.43865995408 -89.4822808655999 836.92886763248</t>
  </si>
  <si>
    <t>9763-20170724T111129.579902000.bin</t>
  </si>
  <si>
    <t>-810.814384575929 133.107364743327 -56.8666212726183</t>
  </si>
  <si>
    <t>-843.74765616345 119.084232431193 -167.025407722109</t>
  </si>
  <si>
    <t>-861.0621283754 117.557502540933 -264.105572141851</t>
  </si>
  <si>
    <t>-872.591047829651 119.990962345229 -352.419832703232</t>
  </si>
  <si>
    <t>-879.479575139628 126.138300793261 -441.036876118138</t>
  </si>
  <si>
    <t>-884.095800456472 138.448795074887 -564.923743637055</t>
  </si>
  <si>
    <t>-850.428683451392 150.546244851952 -639.924958221785</t>
  </si>
  <si>
    <t>-885.15287438202 160.421386444112 -507.570549673496</t>
  </si>
  <si>
    <t>-891.357646779893 294.849316303787 -479.487778791224</t>
  </si>
  <si>
    <t>-799.045803673016 289.2574610795 -200.134231893109</t>
  </si>
  <si>
    <t>-558.855243302702 302.710084359836 -213.492390362438</t>
  </si>
  <si>
    <t>-878.976198861947 105.64167397152 -513.243945277765</t>
  </si>
  <si>
    <t>-839.071907186582 223.173981388383 -60.5524320019993</t>
  </si>
  <si>
    <t>-807.741002504932 223.370976563955 341.782041224588</t>
  </si>
  <si>
    <t>-832.669352485053 171.65213321638 785.925798613621</t>
  </si>
  <si>
    <t>-705.421855869624 243.352231132016 847.199657318345</t>
  </si>
  <si>
    <t>-782.982507461388 42.9103339368035 -55.2042787226546</t>
  </si>
  <si>
    <t>-646.923262595075 51.1486563972721 324.630797326193</t>
  </si>
  <si>
    <t>-732.685323901886 0.581174362670026 761.642502167761</t>
  </si>
  <si>
    <t>-626.289654300048 -89.4994786860914 836.826801731081</t>
  </si>
  <si>
    <t>9763-20170724T111129.616990300.bin</t>
  </si>
  <si>
    <t>-811.016421855415 133.131014020798 -56.8487760728481</t>
  </si>
  <si>
    <t>-844.031145018211 118.99735550084 -166.969151482436</t>
  </si>
  <si>
    <t>-861.434300858329 117.395439868043 -264.03216351095</t>
  </si>
  <si>
    <t>-873.049906720421 119.768772046065 -352.336673396796</t>
  </si>
  <si>
    <t>-880.030676148091 125.863843631077 -440.950195143567</t>
  </si>
  <si>
    <t>-884.780790075239 138.1097301997 -564.838382277973</t>
  </si>
  <si>
    <t>-851.158437542902 150.062893287506 -639.883016245112</t>
  </si>
  <si>
    <t>-885.802353849889 160.109223720071 -507.494783280863</t>
  </si>
  <si>
    <t>-892.026199450551 294.532488110932 -479.418074184165</t>
  </si>
  <si>
    <t>-799.813961475271 289.123782378962 -200.027886121898</t>
  </si>
  <si>
    <t>-559.658423264885 302.195177452438 -214.358828176402</t>
  </si>
  <si>
    <t>-879.578555288009 105.332660223572 -513.147909745774</t>
  </si>
  <si>
    <t>-839.416171241225 223.176941869667 -60.5570914726923</t>
  </si>
  <si>
    <t>-807.859720353855 223.433376487484 341.759680153609</t>
  </si>
  <si>
    <t>-832.701892193228 171.692132918473 785.889533892722</t>
  </si>
  <si>
    <t>-705.497224607577 243.435089734692 847.202062663374</t>
  </si>
  <si>
    <t>-783.103903963891 42.9432948210874 -55.1432330595692</t>
  </si>
  <si>
    <t>-646.916300957545 51.3687865176698 324.64173575491</t>
  </si>
  <si>
    <t>-732.651541689 0.580173190558526 761.642682530809</t>
  </si>
  <si>
    <t>-626.44157994298 -89.7558888465237 836.783407495853</t>
  </si>
  <si>
    <t>9763-20170724T111129.684672300.bin</t>
  </si>
  <si>
    <t>-811.292952534882 132.962414726459 -56.8866190651925</t>
  </si>
  <si>
    <t>-844.351296337956 118.696590262859 -166.976891209076</t>
  </si>
  <si>
    <t>-861.838965027008 116.952826474847 -264.022246656556</t>
  </si>
  <si>
    <t>-873.549934458444 119.186615570085 -352.317696306822</t>
  </si>
  <si>
    <t>-880.644591666533 125.132031766375 -440.932382157978</t>
  </si>
  <si>
    <t>-885.573199561389 137.158314539186 -564.835118026326</t>
  </si>
  <si>
    <t>-852.019783878915 148.779501335136 -639.962707482717</t>
  </si>
  <si>
    <t>-886.517661588264 159.258852085874 -507.528935688625</t>
  </si>
  <si>
    <t>-892.643004957706 293.730211401505 -479.605292715093</t>
  </si>
  <si>
    <t>-800.726648822525 288.729652890508 -200.110142509725</t>
  </si>
  <si>
    <t>-560.651497041009 301.146165190525 -216.253173197784</t>
  </si>
  <si>
    <t>-880.290892037367 104.473640445948 -513.094350956058</t>
  </si>
  <si>
    <t>-839.776844987425 223.122314712069 -60.6784707028111</t>
  </si>
  <si>
    <t>-808.189040675723 223.423194489516 341.635814899972</t>
  </si>
  <si>
    <t>-832.692698831947 171.73586071285 785.773921051109</t>
  </si>
  <si>
    <t>-705.610809868136 243.62246034836 847.173273727015</t>
  </si>
  <si>
    <t>-783.220553304134 42.6339703604526 -55.1549423521316</t>
  </si>
  <si>
    <t>-647.017016537796 51.6093334385823 324.611647603113</t>
  </si>
  <si>
    <t>-732.546837724159 0.499634783282545 761.576539473645</t>
  </si>
  <si>
    <t>-625.958771362267 -89.4220390414068 836.679179204086</t>
  </si>
  <si>
    <t>9763-20170724T111129.718265500.bin</t>
  </si>
  <si>
    <t>-811.503400649244 133.074086847732 -56.9368509897971</t>
  </si>
  <si>
    <t>-844.594600308124 118.717870059303 -167.005441218962</t>
  </si>
  <si>
    <t>-862.127583482895 116.885719593852 -264.040946494501</t>
  </si>
  <si>
    <t>-873.885431423127 119.034551647196 -352.332317561419</t>
  </si>
  <si>
    <t>-881.033256729531 124.890440042627 -440.948702531034</t>
  </si>
  <si>
    <t>-886.041930987258 136.786442986754 -564.860855090582</t>
  </si>
  <si>
    <t>-852.533273353652 148.225426608954 -640.036192318718</t>
  </si>
  <si>
    <t>-886.949211716628 158.9472212785 -507.577358097789</t>
  </si>
  <si>
    <t>-893.052408717933 293.430301518634 -479.771091570116</t>
  </si>
  <si>
    <t>-801.035384720597 288.964700670514 -200.300093676781</t>
  </si>
  <si>
    <t>-560.986189295905 301.216338484336 -216.947321325055</t>
  </si>
  <si>
    <t>-880.726446698636 104.156047466474 -513.089094720709</t>
  </si>
  <si>
    <t>-840.12020361323 223.216219804126 -60.7454340094554</t>
  </si>
  <si>
    <t>-808.403501243918 223.562491079661 341.558657675938</t>
  </si>
  <si>
    <t>-832.806460751981 171.862221150761 785.730490222159</t>
  </si>
  <si>
    <t>-705.635757504607 243.570634954506 847.153805566083</t>
  </si>
  <si>
    <t>-783.383885552506 42.8510182488299 -55.1362065623493</t>
  </si>
  <si>
    <t>-647.03515845862 51.7565175565614 324.580036956246</t>
  </si>
  <si>
    <t>-732.457677171295 0.553043802209231 761.550234451111</t>
  </si>
  <si>
    <t>-625.93922981238 -89.4529972648782 836.65033337935</t>
  </si>
  <si>
    <t>9763-20170724T111129.782971400.bin</t>
  </si>
  <si>
    <t>-812.101544960998 133.323488607299 -56.9288198469825</t>
  </si>
  <si>
    <t>-845.186160698042 118.864600132239 -166.985909015002</t>
  </si>
  <si>
    <t>-862.721637327591 116.900617282174 -264.018475387433</t>
  </si>
  <si>
    <t>-874.484928186767 118.911987594217 -352.312409579123</t>
  </si>
  <si>
    <t>-881.641335228786 124.611021759054 -440.938227632768</t>
  </si>
  <si>
    <t>-886.665521875165 136.267549635412 -564.872460246797</t>
  </si>
  <si>
    <t>-853.236528212921 147.350171157434 -640.136747146715</t>
  </si>
  <si>
    <t>-887.545283610531 158.541220614388 -507.632389671807</t>
  </si>
  <si>
    <t>-893.528209389124 293.07994515937 -480.027418335296</t>
  </si>
  <si>
    <t>-801.788291406491 289.187870987276 -200.456640374376</t>
  </si>
  <si>
    <t>-561.719016140671 301.981233652396 -216.395825891652</t>
  </si>
  <si>
    <t>-881.3640237228 103.734898303157 -513.037841303531</t>
  </si>
  <si>
    <t>-840.739780588653 223.466946549131 -60.8495206023682</t>
  </si>
  <si>
    <t>-808.852062754133 223.898040117748 341.44102652778</t>
  </si>
  <si>
    <t>-832.944735477762 172.042198199766 785.621858653789</t>
  </si>
  <si>
    <t>-705.614206177682 243.404997869039 847.11657774887</t>
  </si>
  <si>
    <t>-783.91962120829 43.006410118981 -55.0570738906004</t>
  </si>
  <si>
    <t>-647.223995057051 52.0153296154954 324.531872372378</t>
  </si>
  <si>
    <t>-732.408642097067 0.482089995396109 761.547000109627</t>
  </si>
  <si>
    <t>-625.987567149433 -89.6822915230143 836.595383956069</t>
  </si>
  <si>
    <t>9763-20170724T111129.814135000.bin</t>
  </si>
  <si>
    <t>-812.298107552021 133.425479360263 -56.9073359200183</t>
  </si>
  <si>
    <t>-845.367695179945 118.94041014571 -166.965532889424</t>
  </si>
  <si>
    <t>-862.869283574009 116.933913077335 -264.003254962478</t>
  </si>
  <si>
    <t>-874.594224038765 118.898618192683 -352.303376888416</t>
  </si>
  <si>
    <t>-881.704357761853 124.542195723437 -440.936544534981</t>
  </si>
  <si>
    <t>-886.656057302384 136.111978782529 -564.881944337825</t>
  </si>
  <si>
    <t>-853.266628529464 147.018640760907 -640.189303464604</t>
  </si>
  <si>
    <t>-887.555517458774 158.427383455304 -507.658454356806</t>
  </si>
  <si>
    <t>-893.47233477739 292.988476517183 -480.134901563627</t>
  </si>
  <si>
    <t>-802.25149011974 289.307119477219 -200.391317008803</t>
  </si>
  <si>
    <t>-562.170707703691 302.19030623651 -216.078349702182</t>
  </si>
  <si>
    <t>-881.398339364699 103.614205811368 -513.020989019717</t>
  </si>
  <si>
    <t>-840.942362499484 223.582465825782 -60.8659105846519</t>
  </si>
  <si>
    <t>-808.973740385596 223.970291662466 341.418222926249</t>
  </si>
  <si>
    <t>-833.033786592959 172.114789428331 785.612430993801</t>
  </si>
  <si>
    <t>-705.761001586628 243.576440078633 847.111823256212</t>
  </si>
  <si>
    <t>-784.082019133393 43.15447060723 -55.0094402154449</t>
  </si>
  <si>
    <t>-647.369417609972 52.1334659379654 324.574267429836</t>
  </si>
  <si>
    <t>-732.395553839837 0.467264792108836 761.572211461933</t>
  </si>
  <si>
    <t>-625.861376517226 -89.6103504915018 836.563949712726</t>
  </si>
  <si>
    <t>9763-20170724T111129.880830100.bin</t>
  </si>
  <si>
    <t>-812.570510581986 133.757354578219 -56.9109287165412</t>
  </si>
  <si>
    <t>-845.607240662169 119.277825169816 -166.979694817009</t>
  </si>
  <si>
    <t>-863.028079655611 117.238789009708 -264.031295695596</t>
  </si>
  <si>
    <t>-874.660189254793 119.158979540119 -352.344693148238</t>
  </si>
  <si>
    <t>-881.659583848788 124.742917627961 -440.990415400198</t>
  </si>
  <si>
    <t>-886.438373877786 136.212955741346 -564.951762392729</t>
  </si>
  <si>
    <t>-853.090360338115 146.780216441688 -640.325996422003</t>
  </si>
  <si>
    <t>-887.398484907346 158.576504040878 -507.748099209039</t>
  </si>
  <si>
    <t>-893.228177913016 293.143991429109 -480.267455731409</t>
  </si>
  <si>
    <t>-802.866726379049 289.257285896646 -200.248009778585</t>
  </si>
  <si>
    <t>-562.823885104745 303.034476597026 -215.755164220655</t>
  </si>
  <si>
    <t>-881.272849133047 103.754441810936 -513.05689909566</t>
  </si>
  <si>
    <t>-841.226390554751 223.943722279981 -60.8867976158268</t>
  </si>
  <si>
    <t>-809.20969780097 224.256012304421 341.393590386437</t>
  </si>
  <si>
    <t>-833.221581572434 172.274617075789 785.582751444867</t>
  </si>
  <si>
    <t>-705.749674121365 243.359442586471 847.106406252929</t>
  </si>
  <si>
    <t>-784.400666779059 43.4454376986869 -54.9584303698872</t>
  </si>
  <si>
    <t>-647.536937076156 52.2901423984003 324.573852533992</t>
  </si>
  <si>
    <t>-732.314876248684 0.444462670481698 761.564015614584</t>
  </si>
  <si>
    <t>-625.807704276691 -89.7005146195022 836.513089107539</t>
  </si>
  <si>
    <t>9763-20170724T111129.917021000.bin</t>
  </si>
  <si>
    <t>-812.541491331331 133.820987139952 -56.9156953929923</t>
  </si>
  <si>
    <t>-845.548364692581 119.3409608908 -166.993312226367</t>
  </si>
  <si>
    <t>-862.91796127486 117.294400656882 -264.053973013193</t>
  </si>
  <si>
    <t>-874.493396676129 119.204481669884 -352.375090883872</t>
  </si>
  <si>
    <t>-881.425729480348 124.773646705557 -441.026949957513</t>
  </si>
  <si>
    <t>-886.099735928935 136.218307264512 -564.994637717136</t>
  </si>
  <si>
    <t>-852.730500143787 146.6447664823 -640.37912723253</t>
  </si>
  <si>
    <t>-887.096295311198 158.594867614451 -507.796738554296</t>
  </si>
  <si>
    <t>-892.89117475926 293.169034935717 -480.322850591482</t>
  </si>
  <si>
    <t>-802.808687620883 289.056086291412 -200.216657860669</t>
  </si>
  <si>
    <t>-562.81032721015 303.58142906418 -215.728181775331</t>
  </si>
  <si>
    <t>-880.989372666661 103.769118319045 -513.08842227312</t>
  </si>
  <si>
    <t>-841.17270890162 223.970331776754 -60.8953098590114</t>
  </si>
  <si>
    <t>-809.162825240392 224.273246887305 341.385606022705</t>
  </si>
  <si>
    <t>-833.200743305059 172.237038654238 785.57634289371</t>
  </si>
  <si>
    <t>-705.879881996285 243.587982252587 847.10452543164</t>
  </si>
  <si>
    <t>-784.309828786534 43.5073669020089 -54.9592675962011</t>
  </si>
  <si>
    <t>-647.455775188229 52.2779502197745 324.578217410027</t>
  </si>
  <si>
    <t>-732.262620169117 0.454249186924244 761.563248922103</t>
  </si>
  <si>
    <t>-625.7207625172 -89.6628029715382 836.496881861477</t>
  </si>
  <si>
    <t>9763-20170724T111129.983667400.bin</t>
  </si>
  <si>
    <t>-812.315038757154 134.110991949166 -56.8953164179703</t>
  </si>
  <si>
    <t>-845.18722608232 119.633579955333 -167.013685686095</t>
  </si>
  <si>
    <t>-862.37171316647 117.555810545376 -264.106443902841</t>
  </si>
  <si>
    <t>-873.753026855752 119.422178182781 -352.453681980655</t>
  </si>
  <si>
    <t>-880.46358735748 124.930313978096 -441.126584389815</t>
  </si>
  <si>
    <t>-884.799964002143 136.269832173115 -565.116209854746</t>
  </si>
  <si>
    <t>-851.296431936347 146.460949607211 -640.473011310495</t>
  </si>
  <si>
    <t>-885.922418947024 158.69844944409 -507.940962637832</t>
  </si>
  <si>
    <t>-891.665459742952 293.285567663121 -480.505490010088</t>
  </si>
  <si>
    <t>-802.060296442993 289.185520110571 -200.245968266982</t>
  </si>
  <si>
    <t>-562.139663008191 305.488862439098 -215.182143693567</t>
  </si>
  <si>
    <t>-879.861171494229 103.86134112897 -513.168094119083</t>
  </si>
  <si>
    <t>-841.012130006062 224.341929358528 -60.9239210515475</t>
  </si>
  <si>
    <t>-809.174510980022 224.456336752707 341.370731691639</t>
  </si>
  <si>
    <t>-833.474242462745 172.468339182531 785.553006677545</t>
  </si>
  <si>
    <t>-705.902170411634 243.346310103719 847.107282742368</t>
  </si>
  <si>
    <t>-784.008980509249 43.7778372436201 -54.931359000352</t>
  </si>
  <si>
    <t>-647.329209862373 52.2984404178087 324.674582873897</t>
  </si>
  <si>
    <t>-732.216425999683 0.410139670300396 761.601725565241</t>
  </si>
  <si>
    <t>-625.629528908991 -89.6919113797728 836.489162198281</t>
  </si>
  <si>
    <t>9763-20170724T111130.015253500.bin</t>
  </si>
  <si>
    <t>-812.100321221332 134.27832663613 -56.8974351492548</t>
  </si>
  <si>
    <t>-844.90541318652 119.800845592617 -167.035802387259</t>
  </si>
  <si>
    <t>-862.000100740074 117.683227432524 -264.143676829052</t>
  </si>
  <si>
    <t>-873.288690709926 119.496510582027 -352.503855298239</t>
  </si>
  <si>
    <t>-879.895936636443 124.934346174994 -441.188670446695</t>
  </si>
  <si>
    <t>-884.077267166035 136.157475649442 -565.194312229192</t>
  </si>
  <si>
    <t>-850.483774572786 146.23584143964 -640.52645747486</t>
  </si>
  <si>
    <t>-885.263513253691 158.640602823521 -508.041747662303</t>
  </si>
  <si>
    <t>-891.047024566096 293.230494314504 -480.659054849555</t>
  </si>
  <si>
    <t>-801.682048248802 289.227032951699 -200.321533557527</t>
  </si>
  <si>
    <t>-561.799064396407 306.219925940535 -215.094964555126</t>
  </si>
  <si>
    <t>-879.211054720278 103.796936188583 -513.209520615295</t>
  </si>
  <si>
    <t>-840.806007126586 224.431828082545 -60.9302635925513</t>
  </si>
  <si>
    <t>-808.984494165929 224.507368887186 341.365717483837</t>
  </si>
  <si>
    <t>-833.403447920457 172.390457685948 785.545653145564</t>
  </si>
  <si>
    <t>-706.008178826569 243.584872235972 847.101698130163</t>
  </si>
  <si>
    <t>-783.873824949552 44.0041065392052 -54.8885176890855</t>
  </si>
  <si>
    <t>-647.138455508198 52.2336571708079 324.703892942367</t>
  </si>
  <si>
    <t>-732.173107334395 0.396612860904042 761.608972622977</t>
  </si>
  <si>
    <t>-625.612396775508 -89.7437066111202 836.487865460003</t>
  </si>
  <si>
    <t>9763-20170724T111130.079936900.bin</t>
  </si>
  <si>
    <t>-811.565791338026 134.750550793632 -56.8242757195108</t>
  </si>
  <si>
    <t>-844.226164900075 120.294190278965 -167.008290795773</t>
  </si>
  <si>
    <t>-861.173268552532 118.101306498604 -264.14049994427</t>
  </si>
  <si>
    <t>-872.322492244607 119.809584945179 -352.520456725878</t>
  </si>
  <si>
    <t>-878.786464626128 125.105108298752 -441.224520319468</t>
  </si>
  <si>
    <t>-882.765345384684 136.090384182282 -565.25794297947</t>
  </si>
  <si>
    <t>-848.998110572838 145.966967931406 -640.539306271664</t>
  </si>
  <si>
    <t>-884.030589114491 158.684843609226 -508.150909477265</t>
  </si>
  <si>
    <t>-889.966360034637 293.302045754186 -480.944513346317</t>
  </si>
  <si>
    <t>-801.259774239855 289.311538305935 -200.397976224875</t>
  </si>
  <si>
    <t>-561.454670189844 307.262658928352 -215.303263212597</t>
  </si>
  <si>
    <t>-877.998024235672 103.82796092566 -513.202936555581</t>
  </si>
  <si>
    <t>-840.236673253519 224.940086586621 -60.8937772462218</t>
  </si>
  <si>
    <t>-808.534590086908 224.767541044738 341.41163916002</t>
  </si>
  <si>
    <t>-833.49159184662 172.409191593649 785.570741837289</t>
  </si>
  <si>
    <t>-706.00959331165 243.47774432202 847.092261122315</t>
  </si>
  <si>
    <t>-783.2937667442 44.4053175919767 -54.8507702625162</t>
  </si>
  <si>
    <t>-646.752011432274 52.1788580223974 324.820933972719</t>
  </si>
  <si>
    <t>-732.053810254434 0.379660741751195 761.630578152905</t>
  </si>
  <si>
    <t>-625.555631780243 -89.8075651931729 836.542074948058</t>
  </si>
  <si>
    <t>9763-20170724T111130.117275200.bin</t>
  </si>
  <si>
    <t>-811.213271970344 134.909627248802 -56.7530564070927</t>
  </si>
  <si>
    <t>-843.834721249356 120.448379464049 -166.948025687317</t>
  </si>
  <si>
    <t>-860.736393532412 118.201243664579 -264.086973510445</t>
  </si>
  <si>
    <t>-871.841797182179 119.841563536184 -352.473644599158</t>
  </si>
  <si>
    <t>-878.261138717088 125.050718001894 -441.186078474749</t>
  </si>
  <si>
    <t>-882.178016534248 135.896818370201 -565.233787097182</t>
  </si>
  <si>
    <t>-848.342955440455 145.665313682901 -640.498509455388</t>
  </si>
  <si>
    <t>-883.476806739013 158.554735243196 -508.152666396399</t>
  </si>
  <si>
    <t>-889.56069614892 293.195519137244 -481.074359059604</t>
  </si>
  <si>
    <t>-801.039030774633 289.565205881113 -200.464420031314</t>
  </si>
  <si>
    <t>-561.265304515846 307.521798147915 -215.857102268418</t>
  </si>
  <si>
    <t>-877.432293411439 103.693310591665 -513.140366270588</t>
  </si>
  <si>
    <t>-839.943122745187 225.047897515816 -60.8104488678617</t>
  </si>
  <si>
    <t>-808.067785047987 224.852206726588 341.481231394216</t>
  </si>
  <si>
    <t>-833.462777651893 172.277117268795 785.653988240682</t>
  </si>
  <si>
    <t>-706.049299808122 243.547687712046 847.083502957042</t>
  </si>
  <si>
    <t>-782.904920231531 44.6016541219165 -54.7580267662482</t>
  </si>
  <si>
    <t>-646.347657452149 52.1593724444988 324.912417416251</t>
  </si>
  <si>
    <t>-731.896004651856 0.501688639106305 761.632707188825</t>
  </si>
  <si>
    <t>-625.53935291561 -89.7944179768783 836.613619508114</t>
  </si>
  <si>
    <t>9763-20170724T111130.180951500.bin</t>
  </si>
  <si>
    <t>-810.671982065174 134.975484046545 -56.4866356749872</t>
  </si>
  <si>
    <t>-843.240831265851 120.445659420214 -166.688183331217</t>
  </si>
  <si>
    <t>-860.087033690778 118.017913843436 -263.832235557666</t>
  </si>
  <si>
    <t>-871.141796268986 119.445568196425 -352.228924464262</t>
  </si>
  <si>
    <t>-877.512408210694 124.393659962665 -440.959902376797</t>
  </si>
  <si>
    <t>-881.364457644345 134.823916725898 -565.045420357946</t>
  </si>
  <si>
    <t>-847.439262881421 144.329567120174 -640.303087970049</t>
  </si>
  <si>
    <t>-882.710476438311 157.670767038063 -508.040814712652</t>
  </si>
  <si>
    <t>-889.208076696414 292.354862330481 -481.27142251803</t>
  </si>
  <si>
    <t>-801.072763953192 289.440769082779 -200.531435149618</t>
  </si>
  <si>
    <t>-561.404495816706 307.758009597617 -217.095211437038</t>
  </si>
  <si>
    <t>-876.628711070401 102.797231932111 -512.842216905881</t>
  </si>
  <si>
    <t>-839.770933707289 225.311969857344 -60.5523419908429</t>
  </si>
  <si>
    <t>-807.530076534897 224.948540761794 341.71013454249</t>
  </si>
  <si>
    <t>-833.718865446825 172.255327510457 785.840020293234</t>
  </si>
  <si>
    <t>-706.177745647786 243.487010595417 847.048772745511</t>
  </si>
  <si>
    <t>-781.976486398859 44.5118244517066 -54.4740256630333</t>
  </si>
  <si>
    <t>-645.641469378112 52.1043850144579 325.275665006966</t>
  </si>
  <si>
    <t>-731.682705980574 0.492769863783906 761.76507134228</t>
  </si>
  <si>
    <t>-625.45217292093 -89.8261782885268 836.897107384135</t>
  </si>
  <si>
    <t>9763-20170724T111130.212183500.bin</t>
  </si>
  <si>
    <t>-810.33255004648 135.051854737657 -56.4133065716514</t>
  </si>
  <si>
    <t>-842.851348001855 120.477933395233 -166.623896053714</t>
  </si>
  <si>
    <t>-859.66846174243 117.961216089565 -263.770702511913</t>
  </si>
  <si>
    <t>-870.704033875684 119.287219449142 -352.171445151006</t>
  </si>
  <si>
    <t>-877.062815101784 124.112692361835 -440.909984097743</t>
  </si>
  <si>
    <t>-880.906899631456 134.349911796708 -565.011716541539</t>
  </si>
  <si>
    <t>-846.970492080586 143.716167582106 -640.282256577224</t>
  </si>
  <si>
    <t>-882.263476438278 157.284674343019 -508.042732285561</t>
  </si>
  <si>
    <t>-888.929060438321 291.988295633381 -481.388417618259</t>
  </si>
  <si>
    <t>-800.902663787274 289.373138684591 -200.611480182186</t>
  </si>
  <si>
    <t>-561.312406576289 308.340624004171 -217.570953692218</t>
  </si>
  <si>
    <t>-876.166756723592 102.405176149099 -512.758495912702</t>
  </si>
  <si>
    <t>-839.553797614787 225.466248867156 -60.5079809459778</t>
  </si>
  <si>
    <t>-807.447783229265 224.995199537797 341.765133466747</t>
  </si>
  <si>
    <t>-833.711628150394 172.233282082392 785.805560314593</t>
  </si>
  <si>
    <t>-706.21437466622 243.524897109823 847.036671009847</t>
  </si>
  <si>
    <t>-781.493491708882 44.5203122063917 -54.3372838195684</t>
  </si>
  <si>
    <t>-645.189687977746 52.0914912951589 325.423977253446</t>
  </si>
  <si>
    <t>-731.610674898562 0.467223602379363 761.839121265004</t>
  </si>
  <si>
    <t>-625.474392723104 -89.9120157547138 837.031889114522</t>
  </si>
  <si>
    <t>9763-20170724T111130.282839900.bin</t>
  </si>
  <si>
    <t>-809.675070540115 135.232893875093 -56.308988809225</t>
  </si>
  <si>
    <t>-842.045509452799 120.507453569955 -166.542933839301</t>
  </si>
  <si>
    <t>-858.729637850955 117.836199158595 -263.708575173738</t>
  </si>
  <si>
    <t>-869.641794931864 119.009750510837 -352.126891732004</t>
  </si>
  <si>
    <t>-875.873168091201 123.668747922789 -440.883290503979</t>
  </si>
  <si>
    <t>-879.535129914281 133.658034327535 -565.01062567438</t>
  </si>
  <si>
    <t>-845.572657343515 142.786609936004 -640.298388979165</t>
  </si>
  <si>
    <t>-880.997783844404 156.704046260673 -508.089278764972</t>
  </si>
  <si>
    <t>-887.77889737037 291.396387552559 -481.518377912356</t>
  </si>
  <si>
    <t>-799.908007759493 289.277379174947 -200.688616530971</t>
  </si>
  <si>
    <t>-560.528426452262 310.553724006405 -217.878531874064</t>
  </si>
  <si>
    <t>-874.850039838085 101.82032857615 -512.687473489069</t>
  </si>
  <si>
    <t>-839.09244779846 225.647041860836 -60.5310199205467</t>
  </si>
  <si>
    <t>-806.860260084329 225.33676450282 341.732172530285</t>
  </si>
  <si>
    <t>-833.579790268249 172.195807972606 785.694432977748</t>
  </si>
  <si>
    <t>-706.275083940829 243.732242215803 847.040244374236</t>
  </si>
  <si>
    <t>-780.648139229295 44.6600735601801 -54.1189688584842</t>
  </si>
  <si>
    <t>-644.452195154323 52.133338342649 325.68296757952</t>
  </si>
  <si>
    <t>-731.595779074283 0.34098123743388 762.04267826516</t>
  </si>
  <si>
    <t>-625.385361926361 -89.9562923823082 837.22946869827</t>
  </si>
  <si>
    <t>9763-20170724T111130.313462200.bin</t>
  </si>
  <si>
    <t>-809.372941523698 135.362992000734 -56.2717723841598</t>
  </si>
  <si>
    <t>-841.698283294103 120.615625247327 -166.516165896394</t>
  </si>
  <si>
    <t>-858.310117036298 117.909915528012 -263.693144566722</t>
  </si>
  <si>
    <t>-869.144376851306 119.045673325996 -352.121446562088</t>
  </si>
  <si>
    <t>-875.286415600164 123.660508027471 -440.886486573116</t>
  </si>
  <si>
    <t>-878.81114226701 133.581609826256 -565.023305963539</t>
  </si>
  <si>
    <t>-844.824563657157 142.619574645616 -640.311043576697</t>
  </si>
  <si>
    <t>-880.351800257973 156.657394619899 -508.115965952003</t>
  </si>
  <si>
    <t>-887.073524051635 291.353426092608 -481.519128742635</t>
  </si>
  <si>
    <t>-799.016573003237 289.550459103921 -200.745370032029</t>
  </si>
  <si>
    <t>-559.762758357312 312.201403630935 -217.932680683654</t>
  </si>
  <si>
    <t>-874.168171680456 101.774580468115 -512.677804832179</t>
  </si>
  <si>
    <t>-838.737936640285 225.837548620552 -60.5402385142763</t>
  </si>
  <si>
    <t>-806.484721132136 225.5737422971 341.721329075278</t>
  </si>
  <si>
    <t>-833.62782561067 172.28751832659 785.627001324156</t>
  </si>
  <si>
    <t>-706.290409705356 243.717500030167 847.029339756417</t>
  </si>
  <si>
    <t>-780.377199614594 44.7413676550309 -54.0457491846373</t>
  </si>
  <si>
    <t>-644.30394293743 52.2131312114211 325.800158689247</t>
  </si>
  <si>
    <t>-731.55219060032 0.375399899021886 762.137708596826</t>
  </si>
  <si>
    <t>-625.263209244419 -89.8444857822108 837.306459027718</t>
  </si>
  <si>
    <t>9763-20170724T111130.383141900.bin</t>
  </si>
  <si>
    <t>-808.762082481552 135.731371141284 -56.1448631074396</t>
  </si>
  <si>
    <t>-840.92581591258 120.815559949973 -166.413761573205</t>
  </si>
  <si>
    <t>-857.335179516992 117.979039000551 -263.621501516153</t>
  </si>
  <si>
    <t>-867.959694066625 119.001535073013 -352.076726714328</t>
  </si>
  <si>
    <t>-873.865849677097 123.507426799211 -440.86323307898</t>
  </si>
  <si>
    <t>-877.034035126812 133.279067802992 -565.021691256898</t>
  </si>
  <si>
    <t>-842.945922831043 142.157178825593 -640.282683194674</t>
  </si>
  <si>
    <t>-878.726155941015 156.424501517874 -508.146802484726</t>
  </si>
  <si>
    <t>-885.011669634345 291.148265731277 -481.544625032411</t>
  </si>
  <si>
    <t>-795.738934966757 291.023896868933 -201.149272410844</t>
  </si>
  <si>
    <t>-556.729307373348 316.597559429437 -217.618174221409</t>
  </si>
  <si>
    <t>-872.553366298062 101.533568125505 -512.624492504415</t>
  </si>
  <si>
    <t>-837.994743050954 226.053697409137 -60.49701479115</t>
  </si>
  <si>
    <t>-805.110631018512 226.602040764777 341.71309012633</t>
  </si>
  <si>
    <t>-833.678755623548 172.418195961377 785.494482795997</t>
  </si>
  <si>
    <t>-706.194743389471 243.517580827792 846.975829067441</t>
  </si>
  <si>
    <t>-779.948405832324 45.269427171906 -53.7265067257587</t>
  </si>
  <si>
    <t>-643.97085723812 52.4106396557095 326.160016202887</t>
  </si>
  <si>
    <t>-731.517885139662 0.387912272832182 762.42213888161</t>
  </si>
  <si>
    <t>-625.102720635246 -89.7493463843628 837.511347174742</t>
  </si>
  <si>
    <t>9763-20170724T111130.415732900.bin</t>
  </si>
  <si>
    <t>-808.498999644067 135.938044154309 -55.9729582216054</t>
  </si>
  <si>
    <t>-840.612081528514 120.932850177598 -166.24456016661</t>
  </si>
  <si>
    <t>-856.928927474688 118.024108037053 -263.465743580805</t>
  </si>
  <si>
    <t>-867.449160025064 118.981453251968 -351.934018478598</t>
  </si>
  <si>
    <t>-873.229764817728 123.420867078286 -440.73220825234</t>
  </si>
  <si>
    <t>-876.200351674804 133.097911078597 -564.90295910617</t>
  </si>
  <si>
    <t>-842.042625022042 141.886786450667 -640.142579037954</t>
  </si>
  <si>
    <t>-877.960232840502 156.289462035838 -508.048943232783</t>
  </si>
  <si>
    <t>-884.027277128954 291.028638786203 -481.501815642799</t>
  </si>
  <si>
    <t>-793.612231388973 292.128276538429 -201.474747470275</t>
  </si>
  <si>
    <t>-554.669897769964 318.720344525426 -217.296362270727</t>
  </si>
  <si>
    <t>-871.826380915405 101.389727461955 -512.47410827265</t>
  </si>
  <si>
    <t>-837.600957207872 226.159553509734 -60.4278931039748</t>
  </si>
  <si>
    <t>-804.378358019416 227.150267640793 341.753537020771</t>
  </si>
  <si>
    <t>-833.650648615406 172.401230903425 785.452113592975</t>
  </si>
  <si>
    <t>-706.20416720273 243.554830406345 846.949254972937</t>
  </si>
  <si>
    <t>-779.828817042184 45.5474235260699 -53.4678792309068</t>
  </si>
  <si>
    <t>-643.671231442205 52.4011958359592 326.359439948594</t>
  </si>
  <si>
    <t>-731.48277923393 0.32770886552953 762.561553868523</t>
  </si>
  <si>
    <t>-624.90024785281 -89.6197147813425 837.640869563287</t>
  </si>
  <si>
    <t>9763-20170724T111130.479906100.bin</t>
  </si>
  <si>
    <t>-808.151964647402 136.691241147673 -55.5970971482242</t>
  </si>
  <si>
    <t>-840.194577383386 121.631356323779 -165.881677908108</t>
  </si>
  <si>
    <t>-856.317151678875 118.585075276198 -263.131094802353</t>
  </si>
  <si>
    <t>-866.609845242941 119.37913380585 -351.627770519805</t>
  </si>
  <si>
    <t>-872.111417799048 123.612639840981 -440.453775947026</t>
  </si>
  <si>
    <t>-874.639577020065 132.954775418293 -564.659789950903</t>
  </si>
  <si>
    <t>-840.347775485382 141.487691936372 -639.868156249718</t>
  </si>
  <si>
    <t>-876.505202648484 156.31028035682 -507.876457929683</t>
  </si>
  <si>
    <t>-881.92505885503 291.143086962368 -481.628404926113</t>
  </si>
  <si>
    <t>-789.683249123179 294.156851296678 -202.211861763662</t>
  </si>
  <si>
    <t>-550.763804221046 321.522979599646 -217.022685754861</t>
  </si>
  <si>
    <t>-870.54897903992 101.377550948784 -512.129421792695</t>
  </si>
  <si>
    <t>-837.179070723865 226.946166963797 -60.2608498245835</t>
  </si>
  <si>
    <t>-803.781421913753 227.798933475984 341.906407299879</t>
  </si>
  <si>
    <t>-833.762050338373 172.496616365646 785.43281524284</t>
  </si>
  <si>
    <t>-706.233444738352 243.484411947789 846.951787073477</t>
  </si>
  <si>
    <t>-779.604366739545 46.2182299103197 -52.9780207167088</t>
  </si>
  <si>
    <t>-642.992512275688 52.6451995087377 326.693683734128</t>
  </si>
  <si>
    <t>-731.263409833089 0.596003648775422 762.808195665552</t>
  </si>
  <si>
    <t>-624.689108814697 -89.3577338713199 837.89156506565</t>
  </si>
  <si>
    <t>9763-20170724T111130.516698100.bin</t>
  </si>
  <si>
    <t>-808.149870379377 136.97003796326 -55.4665225681479</t>
  </si>
  <si>
    <t>-840.090544113544 121.920935641057 -165.782174952328</t>
  </si>
  <si>
    <t>-856.079236274639 118.813252877329 -263.051754249823</t>
  </si>
  <si>
    <t>-866.233616882227 119.522744078603 -351.565127141795</t>
  </si>
  <si>
    <t>-871.580562330359 123.640182450022 -440.405920271552</t>
  </si>
  <si>
    <t>-873.876512554522 132.786552593297 -564.631152717851</t>
  </si>
  <si>
    <t>-839.526777014255 141.161462904752 -639.830599587316</t>
  </si>
  <si>
    <t>-875.77898665473 156.238916901847 -507.888973090606</t>
  </si>
  <si>
    <t>-880.771207033342 291.133744977856 -481.853477582979</t>
  </si>
  <si>
    <t>-787.912502019336 294.632169584028 -202.647118032217</t>
  </si>
  <si>
    <t>-548.971412316867 321.957182318578 -217.18327574175</t>
  </si>
  <si>
    <t>-869.953270301509 101.284544050974 -512.042646669177</t>
  </si>
  <si>
    <t>-837.094965974709 227.293646977787 -60.2194891452572</t>
  </si>
  <si>
    <t>-803.838113500619 227.958922219379 341.95983063146</t>
  </si>
  <si>
    <t>-833.809436845611 172.546143517447 785.439210673007</t>
  </si>
  <si>
    <t>-706.244795208694 243.458072769416 846.970365407975</t>
  </si>
  <si>
    <t>-779.693580992709 46.4320239733302 -52.7383871111197</t>
  </si>
  <si>
    <t>-642.801976736225 52.6509540480783 326.835946483332</t>
  </si>
  <si>
    <t>-731.254125660031 0.554441721992589 762.904110812533</t>
  </si>
  <si>
    <t>-624.778002657292 -89.5195509430566 837.982953274888</t>
  </si>
  <si>
    <t>9763-20170724T111130.584382300.bin</t>
  </si>
  <si>
    <t>-808.113233612312 137.475874640018 -55.2566819961255</t>
  </si>
  <si>
    <t>-839.858492206719 122.459028824829 -165.633098925893</t>
  </si>
  <si>
    <t>-855.584818066519 119.275338970631 -262.942979364118</t>
  </si>
  <si>
    <t>-865.464957936381 119.87008730937 -351.48830309929</t>
  </si>
  <si>
    <t>-870.500320977975 123.821779313984 -440.354753354423</t>
  </si>
  <si>
    <t>-872.323732607961 132.6795316798 -564.608756296638</t>
  </si>
  <si>
    <t>-837.87554700229 140.764685294876 -639.795039525196</t>
  </si>
  <si>
    <t>-874.302782490072 156.278205528021 -507.929785051316</t>
  </si>
  <si>
    <t>-878.444815483091 291.247723840283 -482.188510041809</t>
  </si>
  <si>
    <t>-784.555149464336 295.481839726998 -203.337311224744</t>
  </si>
  <si>
    <t>-545.507668638124 322.054818168223 -217.515865175797</t>
  </si>
  <si>
    <t>-868.739606300725 101.285407057375 -511.931616627829</t>
  </si>
  <si>
    <t>-836.953098597357 227.922176845324 -60.1392350485215</t>
  </si>
  <si>
    <t>-803.730033191662 228.456873251232 342.043109056512</t>
  </si>
  <si>
    <t>-833.926531427936 172.654510836663 785.469270062777</t>
  </si>
  <si>
    <t>-706.32128716038 243.489887246228 847.004162301691</t>
  </si>
  <si>
    <t>-779.77395599013 46.8849604239535 -52.4770430595943</t>
  </si>
  <si>
    <t>-642.624790910594 52.5533411648594 327.012966232556</t>
  </si>
  <si>
    <t>-731.161693760623 0.631568174289896 763.049166466955</t>
  </si>
  <si>
    <t>-624.860767230922 -89.646788588944 838.130397116837</t>
  </si>
  <si>
    <t>9763-20170724T111130.616488100.bin</t>
  </si>
  <si>
    <t>-808.149060173913 137.775473004211 -55.1481991472858</t>
  </si>
  <si>
    <t>-839.827812927741 122.824168829067 -165.552548569487</t>
  </si>
  <si>
    <t>-855.439176219755 119.637440782981 -262.880911473538</t>
  </si>
  <si>
    <t>-865.193229664331 120.203877054067 -351.440335219251</t>
  </si>
  <si>
    <t>-870.081358246343 124.09948827821 -440.317647662845</t>
  </si>
  <si>
    <t>-871.676717167301 132.847528179242 -564.582439160642</t>
  </si>
  <si>
    <t>-837.182802900595 140.805411969788 -639.761348629306</t>
  </si>
  <si>
    <t>-873.697615402431 156.502407363032 -507.928424863921</t>
  </si>
  <si>
    <t>-877.461572110625 291.509216035494 -482.300360036061</t>
  </si>
  <si>
    <t>-783.009392598337 296.032058299912 -203.643864374606</t>
  </si>
  <si>
    <t>-543.920153078049 322.313620989115 -217.660249312422</t>
  </si>
  <si>
    <t>-868.251686734513 101.493641324197 -511.870910377725</t>
  </si>
  <si>
    <t>-836.789153874166 228.279911218595 -60.0368915798834</t>
  </si>
  <si>
    <t>-803.523264462766 228.757759252461 342.141983960517</t>
  </si>
  <si>
    <t>-833.972376573708 172.642806980048 785.529651952501</t>
  </si>
  <si>
    <t>-706.303495514656 243.398144701082 847.024855788708</t>
  </si>
  <si>
    <t>-780.012628220183 47.1601616008197 -52.3339357459965</t>
  </si>
  <si>
    <t>-642.715318128777 52.5888060434299 327.105983212435</t>
  </si>
  <si>
    <t>-731.193721848877 0.468690246984352 763.114749126909</t>
  </si>
  <si>
    <t>-624.797090763024 -89.6915588958254 838.202743648731</t>
  </si>
  <si>
    <t>9763-20170724T111130.686173100.bin</t>
  </si>
  <si>
    <t>-807.819244246079 138.438845615411 -54.9963118167927</t>
  </si>
  <si>
    <t>-839.33686853289 123.681901425784 -165.472859888818</t>
  </si>
  <si>
    <t>-854.749381009614 120.535595423673 -262.834205061673</t>
  </si>
  <si>
    <t>-864.304721221005 121.088173395138 -351.415384492023</t>
  </si>
  <si>
    <t>-868.977263464059 124.91765951211 -440.3071684778</t>
  </si>
  <si>
    <t>-870.256676884751 133.517761983545 -564.585986197794</t>
  </si>
  <si>
    <t>-835.715600898394 141.250052385875 -639.766778896361</t>
  </si>
  <si>
    <t>-872.317092061578 157.250210550766 -507.965840177267</t>
  </si>
  <si>
    <t>-875.468809953721 292.311154625081 -482.495866778703</t>
  </si>
  <si>
    <t>-780.026005196457 297.267670254081 -204.184283322634</t>
  </si>
  <si>
    <t>-540.86290948893 322.946861267458 -218.056954650028</t>
  </si>
  <si>
    <t>-867.070376056332 102.216484273094 -511.828179764346</t>
  </si>
  <si>
    <t>-836.196944713852 229.024729352415 -59.8410574809257</t>
  </si>
  <si>
    <t>-803.055209239538 229.012263592907 342.348322340976</t>
  </si>
  <si>
    <t>-834.02282640271 172.533311054282 785.657712255258</t>
  </si>
  <si>
    <t>-706.382787807363 243.429036805375 847.050852274978</t>
  </si>
  <si>
    <t>-779.776578656261 47.7330887960406 -52.2593417496989</t>
  </si>
  <si>
    <t>-642.926804765945 52.7326527518603 327.347992542902</t>
  </si>
  <si>
    <t>-731.186919504623 0.360051441834003 763.340052528023</t>
  </si>
  <si>
    <t>-624.997299735071 -90.0391222392834 838.433717434344</t>
  </si>
  <si>
    <t>9763-20170724T111130.712821000.bin</t>
  </si>
  <si>
    <t>-807.662190088284 138.720543746607 -54.9784367135602</t>
  </si>
  <si>
    <t>-839.070599861706 124.069227141316 -165.500294312483</t>
  </si>
  <si>
    <t>-854.362024337931 120.954701601335 -262.881552532525</t>
  </si>
  <si>
    <t>-863.798985227673 121.512038261263 -351.475537280793</t>
  </si>
  <si>
    <t>-868.345154452546 125.321229281414 -440.374540496088</t>
  </si>
  <si>
    <t>-869.440958712032 133.866464356137 -564.659045446666</t>
  </si>
  <si>
    <t>-834.905222885225 141.50237038933 -639.851960330997</t>
  </si>
  <si>
    <t>-871.530725413231 157.629043015453 -508.052538005254</t>
  </si>
  <si>
    <t>-874.412100370995 292.706423832077 -482.645927663164</t>
  </si>
  <si>
    <t>-778.641041019984 297.955587586536 -204.452658247165</t>
  </si>
  <si>
    <t>-539.417468235027 323.2323388411 -218.020840316824</t>
  </si>
  <si>
    <t>-866.386766195256 102.583300884673 -511.882525472173</t>
  </si>
  <si>
    <t>-835.920508900742 229.340165580221 -59.8185251781824</t>
  </si>
  <si>
    <t>-803.014975380787 229.089462832249 342.390177804919</t>
  </si>
  <si>
    <t>-834.07203872945 172.553622947516 785.674895911649</t>
  </si>
  <si>
    <t>-706.414817751826 243.428661709806 847.055936252504</t>
  </si>
  <si>
    <t>-779.805030421132 47.9919871225752 -52.2069372557927</t>
  </si>
  <si>
    <t>-643.029079644523 52.7053079931907 327.430857402092</t>
  </si>
  <si>
    <t>-731.132351037564 0.379060416333232 763.427439053529</t>
  </si>
  <si>
    <t>-624.928026833783 -89.9959372304659 838.529268546562</t>
  </si>
  <si>
    <t>9763-20170724T111130.786518400.bin</t>
  </si>
  <si>
    <t>-807.675689967938 139.239892344282 -54.9326684784544</t>
  </si>
  <si>
    <t>-838.820117431552 124.782179891945 -165.554675384899</t>
  </si>
  <si>
    <t>-853.785428003481 121.760207213607 -262.989663672016</t>
  </si>
  <si>
    <t>-862.890160628307 122.369049741219 -351.617896373347</t>
  </si>
  <si>
    <t>-867.067016156336 126.192550388097 -440.534674356392</t>
  </si>
  <si>
    <t>-867.609582395308 134.716489159785 -564.824062271934</t>
  </si>
  <si>
    <t>-833.142053111319 142.22918757528 -640.060825088235</t>
  </si>
  <si>
    <t>-869.842900587119 158.498879369594 -508.231349603326</t>
  </si>
  <si>
    <t>-872.138249920326 293.578301095631 -482.813865713368</t>
  </si>
  <si>
    <t>-775.642420959271 299.227970952678 -204.878923756898</t>
  </si>
  <si>
    <t>-536.303573350251 323.87437097218 -217.540035475258</t>
  </si>
  <si>
    <t>-864.89905464886 103.43244120304 -512.029525330102</t>
  </si>
  <si>
    <t>-835.585483879788 229.922596496919 -59.809384212138</t>
  </si>
  <si>
    <t>-803.100437616971 229.188431258271 342.432900529538</t>
  </si>
  <si>
    <t>-834.098618484159 172.601952439798 785.668047062097</t>
  </si>
  <si>
    <t>-706.455230167511 243.472433250711 847.08308138527</t>
  </si>
  <si>
    <t>-780.135806406929 48.4588554092529 -52.0868556000142</t>
  </si>
  <si>
    <t>-642.988156813674 52.2466361411884 327.427123629887</t>
  </si>
  <si>
    <t>-731.154457660931 0.12805163740768 763.509732602664</t>
  </si>
  <si>
    <t>-624.453799373247 -89.6645268887914 838.606529403015</t>
  </si>
  <si>
    <t>9763-20170724T111130.814096300.bin</t>
  </si>
  <si>
    <t>-807.525790477454 139.541755173405 -54.947535826423</t>
  </si>
  <si>
    <t>-838.542875396481 125.208679171497 -165.62144789855</t>
  </si>
  <si>
    <t>-853.334290997075 122.256097592125 -263.085099474552</t>
  </si>
  <si>
    <t>-862.256387153639 122.910316585918 -351.73169580917</t>
  </si>
  <si>
    <t>-866.226591001046 126.760662999847 -440.656594440469</t>
  </si>
  <si>
    <t>-866.455834336535 135.300276480858 -564.945950440769</t>
  </si>
  <si>
    <t>-832.052532633089 142.765852802526 -640.21670606677</t>
  </si>
  <si>
    <t>-868.766708447179 159.081178762509 -508.355745242482</t>
  </si>
  <si>
    <t>-870.73302440313 294.16195731311 -482.894321470652</t>
  </si>
  <si>
    <t>-773.840526007188 299.757573037502 -205.096423147187</t>
  </si>
  <si>
    <t>-534.452433659579 324.127833006768 -217.355303463715</t>
  </si>
  <si>
    <t>-863.943337021333 104.003834846545 -512.148956333367</t>
  </si>
  <si>
    <t>-835.294337520021 230.195075944367 -59.8142356574513</t>
  </si>
  <si>
    <t>-803.021154023282 229.295295513796 342.444748915769</t>
  </si>
  <si>
    <t>-834.120167166262 172.635158578564 785.673563906759</t>
  </si>
  <si>
    <t>-706.526941398928 243.583880916841 847.102759090071</t>
  </si>
  <si>
    <t>-780.095489724003 48.769096369927 -52.1455657621568</t>
  </si>
  <si>
    <t>-642.944680144866 52.192665860754 327.370718647792</t>
  </si>
  <si>
    <t>-731.010497237001 0.34420719564605 763.507084666634</t>
  </si>
  <si>
    <t>-624.667610578849 -89.8442939701872 838.636903270584</t>
  </si>
  <si>
    <t>9763-20170724T111130.880774800.bin</t>
  </si>
  <si>
    <t>-807.242725771834 139.841148807625 -54.9663851125673</t>
  </si>
  <si>
    <t>-838.065050694666 125.733158578681 -165.72364576515</t>
  </si>
  <si>
    <t>-852.570703886072 122.929201918473 -263.234632849294</t>
  </si>
  <si>
    <t>-861.187821727772 123.697275069456 -351.91042668209</t>
  </si>
  <si>
    <t>-864.807170273674 127.635604271915 -440.846434029188</t>
  </si>
  <si>
    <t>-864.498357460026 136.268756998081 -565.129261601318</t>
  </si>
  <si>
    <t>-830.353029110888 143.647592426935 -640.525850542097</t>
  </si>
  <si>
    <t>-866.928498884453 160.01774535983 -508.530688746088</t>
  </si>
  <si>
    <t>-868.196253515075 295.080909462675 -482.94198415502</t>
  </si>
  <si>
    <t>-770.423842103781 300.503785559416 -205.448943896778</t>
  </si>
  <si>
    <t>-530.887642781359 323.778014007461 -216.926153902829</t>
  </si>
  <si>
    <t>-862.339938451298 104.921746440551 -512.346273563889</t>
  </si>
  <si>
    <t>-834.651909550612 230.605288420846 -59.795992691769</t>
  </si>
  <si>
    <t>-802.789624008637 229.390149572765 342.494944941736</t>
  </si>
  <si>
    <t>-834.159839540304 172.641041714577 785.726412804458</t>
  </si>
  <si>
    <t>-706.497731903406 243.489421880718 847.128102625054</t>
  </si>
  <si>
    <t>-780.255524208255 48.9190654492058 -52.1972112748616</t>
  </si>
  <si>
    <t>-643.161278288949 51.8744978150103 327.3434130823</t>
  </si>
  <si>
    <t>-731.024940026805 0.167819830616736 763.550947490786</t>
  </si>
  <si>
    <t>-624.380547216905 -89.6794009847531 838.662754585472</t>
  </si>
  <si>
    <t>9763-20170724T111130.918401800.bin</t>
  </si>
  <si>
    <t>-807.045298187312 139.949474191 -54.9720183856869</t>
  </si>
  <si>
    <t>-837.794345882653 125.97554888903 -165.766635085484</t>
  </si>
  <si>
    <t>-852.17527161809 123.254898638372 -263.298309344562</t>
  </si>
  <si>
    <t>-860.655187112655 124.083546878436 -351.986851740081</t>
  </si>
  <si>
    <t>-864.113477385453 128.065472684515 -440.927474071664</t>
  </si>
  <si>
    <t>-863.555242567192 136.739372245114 -565.206449677846</t>
  </si>
  <si>
    <t>-829.572205900923 144.071940240026 -640.681031979484</t>
  </si>
  <si>
    <t>-866.029786379976 160.475176976843 -508.60429291549</t>
  </si>
  <si>
    <t>-866.938934509406 295.53057271439 -482.94765625949</t>
  </si>
  <si>
    <t>-768.724646802548 300.781838051661 -205.607474819807</t>
  </si>
  <si>
    <t>-529.151247496009 323.778166452283 -216.858785722026</t>
  </si>
  <si>
    <t>-861.571902574873 105.369463787529 -512.430347066348</t>
  </si>
  <si>
    <t>-834.291347991174 230.801636549472 -59.7502783277822</t>
  </si>
  <si>
    <t>-802.614678497325 229.360046102589 342.55456718085</t>
  </si>
  <si>
    <t>-834.190622807044 172.622512602532 785.78021904789</t>
  </si>
  <si>
    <t>-706.606523413598 243.647743476929 847.139539392334</t>
  </si>
  <si>
    <t>-780.189529541545 48.9905485155841 -52.2515398980964</t>
  </si>
  <si>
    <t>-643.26033279621 51.7676490127701 327.350093612714</t>
  </si>
  <si>
    <t>-731.03798866094 0.0925704874589428 763.591788600359</t>
  </si>
  <si>
    <t>-624.289358918055 -89.6497375774584 838.681040971516</t>
  </si>
  <si>
    <t>9763-20170724T111130.982686800.bin</t>
  </si>
  <si>
    <t>-806.552660158415 140.239445784797 -54.9866589128737</t>
  </si>
  <si>
    <t>-837.104014471609 126.57752498512 -165.874851436579</t>
  </si>
  <si>
    <t>-851.23806804054 124.039335889963 -263.447585785034</t>
  </si>
  <si>
    <t>-859.466708746559 124.997398131853 -352.158453023613</t>
  </si>
  <si>
    <t>-862.646291295321 129.068433567518 -441.105369122586</t>
  </si>
  <si>
    <t>-861.672314966574 137.822357010541 -565.376144732174</t>
  </si>
  <si>
    <t>-828.213651447885 145.066225568668 -641.093050461273</t>
  </si>
  <si>
    <t>-864.189313297847 161.533386109818 -508.765546255721</t>
  </si>
  <si>
    <t>-864.553390102726 296.576268583808 -483.052142309354</t>
  </si>
  <si>
    <t>-765.79025533266 301.301589182059 -205.897417054125</t>
  </si>
  <si>
    <t>-526.162836715307 323.977243535623 -216.636712804263</t>
  </si>
  <si>
    <t>-860.012895115033 106.407068339079 -512.615961746445</t>
  </si>
  <si>
    <t>-833.516452740872 231.201140627978 -59.664254707065</t>
  </si>
  <si>
    <t>-802.395915455597 229.213128041237 342.681732216714</t>
  </si>
  <si>
    <t>-834.290126112754 172.594035375076 785.902731220492</t>
  </si>
  <si>
    <t>-706.571888124748 243.442697768262 847.187688437041</t>
  </si>
  <si>
    <t>-779.947179072687 49.2225332695652 -52.3721523629679</t>
  </si>
  <si>
    <t>-643.583004128276 51.4787066131503 327.436232812375</t>
  </si>
  <si>
    <t>-731.117912864684 -0.103647903973069 763.713473403246</t>
  </si>
  <si>
    <t>-624.208206328473 -89.7112428736607 838.734426756351</t>
  </si>
  <si>
    <t>9763-20170724T111131.013789800.bin</t>
  </si>
  <si>
    <t>-806.293988312577 140.432716649204 -55.0075022229183</t>
  </si>
  <si>
    <t>-836.740122148266 126.948942628563 -165.946483771913</t>
  </si>
  <si>
    <t>-850.747288731529 124.523282244485 -263.540449773094</t>
  </si>
  <si>
    <t>-858.848049659467 125.565964481006 -352.262127549025</t>
  </si>
  <si>
    <t>-861.887822234939 129.702901031922 -441.210772681055</t>
  </si>
  <si>
    <t>-860.705982940292 138.527896127126 -565.474785183726</t>
  </si>
  <si>
    <t>-827.604627194703 145.736575348184 -641.352210434067</t>
  </si>
  <si>
    <t>-863.244265640061 162.211623116563 -508.853735068274</t>
  </si>
  <si>
    <t>-863.371063173745 297.255310434141 -483.115652982469</t>
  </si>
  <si>
    <t>-764.866041161846 301.835491453985 -205.866626255783</t>
  </si>
  <si>
    <t>-525.188870899562 324.139491159543 -216.265155159744</t>
  </si>
  <si>
    <t>-859.20774106679 107.077147626325 -512.731074645495</t>
  </si>
  <si>
    <t>-833.133474932451 231.486500332888 -59.6475211779729</t>
  </si>
  <si>
    <t>-802.421639125445 229.021577570181 342.727138292486</t>
  </si>
  <si>
    <t>-834.311479952857 172.561581506196 785.957051907689</t>
  </si>
  <si>
    <t>-706.710268621423 243.643435676136 847.216011368195</t>
  </si>
  <si>
    <t>-779.869549919683 49.2893354978492 -52.4166933087848</t>
  </si>
  <si>
    <t>-643.672979441646 51.3081716135534 327.453131128905</t>
  </si>
  <si>
    <t>-731.150759504147 -0.180951910328986 763.755705550428</t>
  </si>
  <si>
    <t>-624.205566251166 -89.77117375802 838.746486492825</t>
  </si>
  <si>
    <t>9763-20170724T111131.078965100.bin</t>
  </si>
  <si>
    <t>-806.039531919775 140.680731845991 -55.0691824504872</t>
  </si>
  <si>
    <t>-836.201155962634 127.569164492275 -166.130373850246</t>
  </si>
  <si>
    <t>-849.883597108397 125.383993109602 -263.776134697139</t>
  </si>
  <si>
    <t>-857.662528337471 126.612572640612 -352.524103742294</t>
  </si>
  <si>
    <t>-860.354833373061 130.899743201991 -441.476950584076</t>
  </si>
  <si>
    <t>-858.662072942245 139.896872618948 -565.722820513705</t>
  </si>
  <si>
    <t>-826.413802096136 147.068111348634 -641.970032698646</t>
  </si>
  <si>
    <t>-861.313320242041 163.510709588846 -509.077545429732</t>
  </si>
  <si>
    <t>-861.061242642281 298.526288927264 -483.189759422762</t>
  </si>
  <si>
    <t>-763.891440147299 302.560633899659 -205.461426020374</t>
  </si>
  <si>
    <t>-524.060982847104 323.579547579536 -214.965842236427</t>
  </si>
  <si>
    <t>-857.500233346964 108.364618310087 -513.019003038957</t>
  </si>
  <si>
    <t>-832.658270370784 231.85985693219 -59.615998587016</t>
  </si>
  <si>
    <t>-802.7650772836 228.621099130822 342.814832169108</t>
  </si>
  <si>
    <t>-834.314406459205 172.488573706446 786.083400867722</t>
  </si>
  <si>
    <t>-706.745788718087 243.674506601167 847.289130717568</t>
  </si>
  <si>
    <t>-779.801597847076 49.390222198464 -52.5538527843736</t>
  </si>
  <si>
    <t>-643.771012910938 50.7937554568139 327.378273001767</t>
  </si>
  <si>
    <t>-731.186437370214 -0.281099975813959 763.743154600655</t>
  </si>
  <si>
    <t>-624.171286882242 -89.8240904469646 838.690877345798</t>
  </si>
  <si>
    <t>9763-20170724T111131.117003700.bin</t>
  </si>
  <si>
    <t>-805.985998924184 140.733303842199 -55.1241412356453</t>
  </si>
  <si>
    <t>-835.997648770765 127.783805629202 -166.244868207743</t>
  </si>
  <si>
    <t>-849.502209953547 125.724847699552 -263.918130762415</t>
  </si>
  <si>
    <t>-857.101536605358 127.060576702041 -352.680245180988</t>
  </si>
  <si>
    <t>-859.594966658497 131.446860484634 -441.633908098335</t>
  </si>
  <si>
    <t>-857.606182910053 140.57219735335 -565.866005243974</t>
  </si>
  <si>
    <t>-825.820379560002 147.771524552617 -642.304596072612</t>
  </si>
  <si>
    <t>-860.353708610221 164.130286176935 -509.202320729282</t>
  </si>
  <si>
    <t>-859.964265284289 299.109766912759 -483.154119715818</t>
  </si>
  <si>
    <t>-763.654361906764 302.615952920719 -205.119301024021</t>
  </si>
  <si>
    <t>-523.726874243345 322.708622082978 -214.174540552702</t>
  </si>
  <si>
    <t>-856.608861482351 108.983060441026 -513.19304880764</t>
  </si>
  <si>
    <t>-832.44602183289 231.968601826254 -59.620082902436</t>
  </si>
  <si>
    <t>-802.890364493008 228.490921127499 342.833689703741</t>
  </si>
  <si>
    <t>-834.355255884384 172.527776284712 786.103565302027</t>
  </si>
  <si>
    <t>-706.753736510429 243.650931722309 847.31328618578</t>
  </si>
  <si>
    <t>-779.849836049729 49.3408952397795 -52.6631253461936</t>
  </si>
  <si>
    <t>-643.903263497393 50.5972450673371 327.299537710434</t>
  </si>
  <si>
    <t>-731.216991508414 -0.345837125479648 763.711645344202</t>
  </si>
  <si>
    <t>-624.202314128191 -89.9090876842411 838.635217711001</t>
  </si>
  <si>
    <t>9763-20170724T111131.182179300.bin</t>
  </si>
  <si>
    <t>-805.78341787448 140.830159485784 -55.2985289436091</t>
  </si>
  <si>
    <t>-835.526789769703 128.158033502807 -166.523371913796</t>
  </si>
  <si>
    <t>-848.679866025358 126.367073260245 -264.249669361206</t>
  </si>
  <si>
    <t>-855.912182456157 127.952944900385 -353.038411972139</t>
  </si>
  <si>
    <t>-857.989834917408 132.593943412762 -441.989973459695</t>
  </si>
  <si>
    <t>-855.36916154148 142.076249145363 -566.183465892621</t>
  </si>
  <si>
    <t>-824.580585461391 149.465599198367 -643.011297925672</t>
  </si>
  <si>
    <t>-858.358944071941 165.474238677847 -509.465744172433</t>
  </si>
  <si>
    <t>-857.784388540298 300.371899841215 -482.984727674039</t>
  </si>
  <si>
    <t>-763.060869913824 302.666399110822 -204.392911008577</t>
  </si>
  <si>
    <t>-522.989017971088 321.162958446182 -213.01103259922</t>
  </si>
  <si>
    <t>-854.685662389241 110.332583076485 -513.598403504826</t>
  </si>
  <si>
    <t>-831.908914965126 231.998459126475 -59.6739736255324</t>
  </si>
  <si>
    <t>-802.977911561731 228.254089172622 342.822798148058</t>
  </si>
  <si>
    <t>-834.303667078841 172.503730223237 786.110528180068</t>
  </si>
  <si>
    <t>-706.815231880302 243.805723933634 847.348146333992</t>
  </si>
  <si>
    <t>-779.993877613085 49.5837054710901 -52.9681897052915</t>
  </si>
  <si>
    <t>-644.345943663393 50.1694384698749 327.102713501242</t>
  </si>
  <si>
    <t>-731.34397265031 -0.592722074765334 763.636132031359</t>
  </si>
  <si>
    <t>-623.941355401438 -89.7698905522025 838.465457724512</t>
  </si>
  <si>
    <t>9763-20170724T111131.213262900.bin</t>
  </si>
  <si>
    <t>-805.688417268049 141.054334624263 -55.3895490293334</t>
  </si>
  <si>
    <t>-835.298003729159 128.501622762979 -166.663523549931</t>
  </si>
  <si>
    <t>-848.262459337878 126.846235270841 -264.417682129984</t>
  </si>
  <si>
    <t>-855.293825812627 128.566003611435 -353.219891853855</t>
  </si>
  <si>
    <t>-857.139698567104 133.349463778504 -442.168979268208</t>
  </si>
  <si>
    <t>-854.16397195108 143.039096119782 -566.338642208591</t>
  </si>
  <si>
    <t>-823.859508361402 150.562834489862 -643.345396373615</t>
  </si>
  <si>
    <t>-857.299057872507 166.343574473881 -509.590223812673</t>
  </si>
  <si>
    <t>-856.682645778448 301.195405671042 -482.89683367806</t>
  </si>
  <si>
    <t>-762.656578580519 302.884216270252 -204.064627767852</t>
  </si>
  <si>
    <t>-522.526634999881 320.5861852051 -212.72891572371</t>
  </si>
  <si>
    <t>-853.647614612569 111.206691351897 -513.805197570135</t>
  </si>
  <si>
    <t>-831.678833834106 232.09226836412 -59.7104500884294</t>
  </si>
  <si>
    <t>-803.018357717488 228.280168428638 342.805003248642</t>
  </si>
  <si>
    <t>-834.336703474496 172.555689735172 786.105366498216</t>
  </si>
  <si>
    <t>-706.83581545586 243.81893180927 847.361624162077</t>
  </si>
  <si>
    <t>-780.029444684996 49.949732181025 -53.1083267987775</t>
  </si>
  <si>
    <t>-644.459329328456 50.1532278894824 326.99087693109</t>
  </si>
  <si>
    <t>-731.30940354791 -0.475841833467712 763.593461550753</t>
  </si>
  <si>
    <t>-624.293780950921 -90.1391301486983 838.396085878899</t>
  </si>
  <si>
    <t>9763-20170724T111131.284455200.bin</t>
  </si>
  <si>
    <t>-805.614513760161 141.334818980384 -55.5471232975405</t>
  </si>
  <si>
    <t>-835.038116266184 129.030440581254 -166.898353849051</t>
  </si>
  <si>
    <t>-847.671115692942 127.664446737259 -264.700116000613</t>
  </si>
  <si>
    <t>-854.332083305634 129.671932286008 -353.524857993771</t>
  </si>
  <si>
    <t>-855.737415685152 134.766632331841 -442.464925567872</t>
  </si>
  <si>
    <t>-852.072139074877 144.911067228432 -566.579738311776</t>
  </si>
  <si>
    <t>-822.700629797986 152.709612611314 -643.919936175555</t>
  </si>
  <si>
    <t>-855.503054937668 168.008595538686 -509.763759423351</t>
  </si>
  <si>
    <t>-854.825107291605 302.773722923456 -482.625663443678</t>
  </si>
  <si>
    <t>-761.546543619616 303.788550944001 -203.539144559959</t>
  </si>
  <si>
    <t>-521.351192379204 320.119558636606 -213.046944752364</t>
  </si>
  <si>
    <t>-851.866769412179 112.8852850084 -514.161928788455</t>
  </si>
  <si>
    <t>-831.313903178206 232.1885962634 -59.7597028797335</t>
  </si>
  <si>
    <t>-803.087415968372 228.251346083134 342.785272055248</t>
  </si>
  <si>
    <t>-834.310946460305 172.566961642847 786.107986564478</t>
  </si>
  <si>
    <t>-706.928165605843 244.021909988395 847.386941905276</t>
  </si>
  <si>
    <t>-780.25543777981 50.3168156498418 -53.3704924935103</t>
  </si>
  <si>
    <t>-644.784765508056 49.8290827908072 326.763905447832</t>
  </si>
  <si>
    <t>-731.379360624824 -0.624045863563879 763.474265414486</t>
  </si>
  <si>
    <t>-624.083278157663 -90.0443647151385 838.165965873544</t>
  </si>
  <si>
    <t>9763-20170724T111131.317546300.bin</t>
  </si>
  <si>
    <t>-805.598785372188 141.265843975522 -55.637075108448</t>
  </si>
  <si>
    <t>-834.955826810004 129.087770963705 -167.019678357734</t>
  </si>
  <si>
    <t>-847.463111189005 127.863349227275 -264.83943042785</t>
  </si>
  <si>
    <t>-853.982058533593 130.00998708427 -353.671554526252</t>
  </si>
  <si>
    <t>-855.215366550417 135.252296043685 -442.605475147125</t>
  </si>
  <si>
    <t>-851.279823761668 145.609793175307 -566.694368834776</t>
  </si>
  <si>
    <t>-822.360520040559 153.495146647535 -644.196092475051</t>
  </si>
  <si>
    <t>-854.816991049496 168.610982634857 -509.845934284352</t>
  </si>
  <si>
    <t>-854.047600007984 303.331548376454 -482.476701883092</t>
  </si>
  <si>
    <t>-760.722430983605 304.141583542835 -203.405017053522</t>
  </si>
  <si>
    <t>-520.524443829679 320.023834467167 -213.577249474779</t>
  </si>
  <si>
    <t>-851.206350383129 113.49303209368 -514.332041925087</t>
  </si>
  <si>
    <t>-831.207287075587 232.144326879522 -59.7725497239715</t>
  </si>
  <si>
    <t>-803.127704370461 228.084894623158 342.781396420189</t>
  </si>
  <si>
    <t>-834.274059081208 172.538461231097 786.114350075693</t>
  </si>
  <si>
    <t>-706.983838112957 244.154121111699 847.398334061786</t>
  </si>
  <si>
    <t>-780.34909043296 50.1739605670778 -53.5402844050275</t>
  </si>
  <si>
    <t>-644.952119785946 49.6241712572055 326.620318578156</t>
  </si>
  <si>
    <t>-731.434250175356 -0.810241103695262 763.383846804864</t>
  </si>
  <si>
    <t>-623.929765374287 -90.0071211720776 838.043118370489</t>
  </si>
  <si>
    <t>9763-20170724T111131.383224800.bin</t>
  </si>
  <si>
    <t>-805.410618283154 141.069258450556 -55.8154639118617</t>
  </si>
  <si>
    <t>-834.7296383454 129.101015717818 -167.230848181565</t>
  </si>
  <si>
    <t>-847.100867916544 128.147274500681 -265.07100365755</t>
  </si>
  <si>
    <t>-853.450227407998 130.568456660131 -353.908180575332</t>
  </si>
  <si>
    <t>-854.465674871127 136.109821251098 -442.826835644483</t>
  </si>
  <si>
    <t>-850.172994330365 146.906340033037 -566.866350487594</t>
  </si>
  <si>
    <t>-822.266983556344 154.851951833099 -644.732693141444</t>
  </si>
  <si>
    <t>-853.810169348623 169.710348734878 -509.944729607035</t>
  </si>
  <si>
    <t>-852.607195718078 304.311365517079 -482.025573689565</t>
  </si>
  <si>
    <t>-758.442047823062 304.735072165346 -203.235520714055</t>
  </si>
  <si>
    <t>-518.248797585929 320.363358568177 -213.907217779892</t>
  </si>
  <si>
    <t>-850.313619716933 114.600711306372 -514.620710702723</t>
  </si>
  <si>
    <t>-830.919972664472 232.002038150108 -59.8086834600965</t>
  </si>
  <si>
    <t>-803.278183925998 227.894903516443 342.775103646733</t>
  </si>
  <si>
    <t>-834.342664759383 172.606953995722 786.127217021331</t>
  </si>
  <si>
    <t>-707.010106140157 244.139876069416 847.419318578205</t>
  </si>
  <si>
    <t>-780.224596673942 50.02146860217 -53.8945652248526</t>
  </si>
  <si>
    <t>-645.077567564115 49.3942965278407 326.354795269718</t>
  </si>
  <si>
    <t>-731.419371746106 -0.965698000516113 763.155435938595</t>
  </si>
  <si>
    <t>-623.773306344631 -90.001671549061 837.802590625654</t>
  </si>
  <si>
    <t>9763-20170724T111131.413709200.bin</t>
  </si>
  <si>
    <t>-805.206466793267 141.089253942352 -55.9021368144467</t>
  </si>
  <si>
    <t>-834.561938093293 129.210880640471 -167.317463849243</t>
  </si>
  <si>
    <t>-846.922931003259 128.387726253405 -265.160187482621</t>
  </si>
  <si>
    <t>-853.243605014426 130.945888731697 -353.99572385687</t>
  </si>
  <si>
    <t>-854.209154851895 136.640018689221 -442.905190072914</t>
  </si>
  <si>
    <t>-849.823713927217 147.664978843114 -566.921389306233</t>
  </si>
  <si>
    <t>-822.493091104685 155.624990518722 -644.989981178322</t>
  </si>
  <si>
    <t>-853.467875633057 170.366010791201 -509.959256425852</t>
  </si>
  <si>
    <t>-851.951230662732 304.90148511305 -481.765145369193</t>
  </si>
  <si>
    <t>-757.079948319238 305.128751059817 -203.214163928961</t>
  </si>
  <si>
    <t>-516.863795367964 320.562338642305 -213.64890877492</t>
  </si>
  <si>
    <t>-850.03922847977 115.260868381473 -514.736706377998</t>
  </si>
  <si>
    <t>-830.664217321083 232.032188730919 -59.8191504049579</t>
  </si>
  <si>
    <t>-803.185993890331 227.849473054084 342.775129526544</t>
  </si>
  <si>
    <t>-834.359606350098 172.611335827675 786.136323440324</t>
  </si>
  <si>
    <t>-707.034527676038 244.161805326912 847.423909108048</t>
  </si>
  <si>
    <t>-780.065539295171 50.0364372307372 -54.0617065400654</t>
  </si>
  <si>
    <t>-645.004983961632 49.364176764615 326.218228490376</t>
  </si>
  <si>
    <t>-731.328706258394 -0.916632683406533 763.022619489694</t>
  </si>
  <si>
    <t>-623.962073924273 -90.2540336843233 837.712184450536</t>
  </si>
  <si>
    <t>9763-20170724T111131.484909000.bin</t>
  </si>
  <si>
    <t>-804.765951658906 141.067907943218 -56.0442600785074</t>
  </si>
  <si>
    <t>-834.170387881428 129.385460084572 -167.467485285342</t>
  </si>
  <si>
    <t>-846.512122445311 128.793689374948 -265.314208996606</t>
  </si>
  <si>
    <t>-852.787512635148 131.583212104952 -354.145979409152</t>
  </si>
  <si>
    <t>-853.678517556993 137.527492961415 -443.039843093402</t>
  </si>
  <si>
    <t>-849.156768538157 148.917499548913 -567.018278589346</t>
  </si>
  <si>
    <t>-822.928479513698 156.938046847749 -645.457792885755</t>
  </si>
  <si>
    <t>-852.774734692947 171.455815868493 -509.989676777764</t>
  </si>
  <si>
    <t>-850.489425249598 305.889208418233 -481.359554113833</t>
  </si>
  <si>
    <t>-754.613526940323 306.1092290329 -203.152862263706</t>
  </si>
  <si>
    <t>-514.302967171661 320.590451927612 -212.746354846133</t>
  </si>
  <si>
    <t>-849.518495169022 116.354738066942 -514.93311049695</t>
  </si>
  <si>
    <t>-830.152696527298 232.131839355737 -59.8018861935411</t>
  </si>
  <si>
    <t>-802.853857466076 227.850090103515 342.803523123206</t>
  </si>
  <si>
    <t>-834.453993564709 172.663339246515 786.16181846415</t>
  </si>
  <si>
    <t>-707.029548134743 244.067509286134 847.413227153866</t>
  </si>
  <si>
    <t>-779.759422119475 49.8290803624427 -54.3317410221191</t>
  </si>
  <si>
    <t>-644.760016399847 49.1531605091409 325.969969046433</t>
  </si>
  <si>
    <t>-731.152509988017 -0.840628941075011 762.77261991512</t>
  </si>
  <si>
    <t>-623.955195109648 -90.3168514853253 837.538783369486</t>
  </si>
  <si>
    <t>9763-20170724T111131.516987300.bin</t>
  </si>
  <si>
    <t>-804.649926258568 141.077401756193 -56.0760368190444</t>
  </si>
  <si>
    <t>-834.055226948779 129.505658015049 -167.510487031888</t>
  </si>
  <si>
    <t>-846.373192445722 129.020527211013 -265.360888970699</t>
  </si>
  <si>
    <t>-852.616664949729 131.910737036918 -354.191711957316</t>
  </si>
  <si>
    <t>-853.465236005278 137.958382786631 -443.078951990019</t>
  </si>
  <si>
    <t>-848.872720917554 149.494008523952 -567.041300322356</t>
  </si>
  <si>
    <t>-823.150740322191 157.563736339661 -645.643196769641</t>
  </si>
  <si>
    <t>-852.474405439477 171.967887596157 -509.986280695055</t>
  </si>
  <si>
    <t>-849.832032305882 306.371665261532 -481.223371445275</t>
  </si>
  <si>
    <t>-753.638504195907 306.474543980294 -203.126206856</t>
  </si>
  <si>
    <t>-513.283066119715 320.463231351865 -212.31288804031</t>
  </si>
  <si>
    <t>-849.313074262516 116.867445958471 -514.996789959218</t>
  </si>
  <si>
    <t>-829.90229056027 232.247629631915 -59.7789465167472</t>
  </si>
  <si>
    <t>-802.610081365163 227.835697063819 342.825474003918</t>
  </si>
  <si>
    <t>-834.423084819887 172.616095381632 786.17013135483</t>
  </si>
  <si>
    <t>-707.142698219324 244.292426602745 847.403484942164</t>
  </si>
  <si>
    <t>-779.83637240587 49.7773192779518 -54.3879628071152</t>
  </si>
  <si>
    <t>-644.654403145909 48.9619004379874 325.848522216417</t>
  </si>
  <si>
    <t>-731.156033726323 -0.996276560775186 762.665884796372</t>
  </si>
  <si>
    <t>-623.859798277178 -90.3330877184576 837.45729720848</t>
  </si>
  <si>
    <t>9763-20170724T111131.581660500.bin</t>
  </si>
  <si>
    <t>-804.462313578701 141.331960366026 -56.1222844451067</t>
  </si>
  <si>
    <t>-833.857973300322 129.978341875851 -167.581823259719</t>
  </si>
  <si>
    <t>-846.133334595315 129.66639963274 -265.438186171714</t>
  </si>
  <si>
    <t>-852.323792029022 132.706271056142 -354.267673060788</t>
  </si>
  <si>
    <t>-853.10520400022 138.892817469577 -443.146111111709</t>
  </si>
  <si>
    <t>-848.404244010343 150.610489907926 -567.087125098325</t>
  </si>
  <si>
    <t>-823.690386813728 158.799385822157 -645.999789067211</t>
  </si>
  <si>
    <t>-851.950284377445 173.005951186379 -509.997924739925</t>
  </si>
  <si>
    <t>-848.693104334506 307.353447870599 -481.013205728924</t>
  </si>
  <si>
    <t>-752.100068594499 306.921651048043 -203.054768664556</t>
  </si>
  <si>
    <t>-511.638547586054 319.320178994902 -211.735328984969</t>
  </si>
  <si>
    <t>-848.995611675227 117.902270224977 -515.095579801916</t>
  </si>
  <si>
    <t>-829.520123785529 232.63371786529 -59.7260954978977</t>
  </si>
  <si>
    <t>-802.350577478859 227.878899392039 342.88273454044</t>
  </si>
  <si>
    <t>-834.525139162283 172.672756755961 786.1946809457</t>
  </si>
  <si>
    <t>-707.219276906824 244.324309500241 847.404198829405</t>
  </si>
  <si>
    <t>-779.766469498835 49.998192343689 -54.5763811391183</t>
  </si>
  <si>
    <t>-644.63564892572 48.9163891085523 325.677741035145</t>
  </si>
  <si>
    <t>-731.016941755405 -0.939001669573827 762.479745160812</t>
  </si>
  <si>
    <t>-623.879604114201 -90.41662697518 837.330806802672</t>
  </si>
  <si>
    <t>9763-20170724T111131.614250800.bin</t>
  </si>
  <si>
    <t>-804.462342612248 141.469459813127 -56.1597897291081</t>
  </si>
  <si>
    <t>-833.837161651624 130.196355665226 -167.632957515071</t>
  </si>
  <si>
    <t>-846.10077788245 129.948610101508 -265.491053648831</t>
  </si>
  <si>
    <t>-852.283241760254 133.043565491174 -354.31911004461</t>
  </si>
  <si>
    <t>-853.058014875339 139.280728902099 -443.193884137413</t>
  </si>
  <si>
    <t>-848.348886032493 151.063540219841 -567.128709791125</t>
  </si>
  <si>
    <t>-824.070786493297 159.313748509222 -646.169985128483</t>
  </si>
  <si>
    <t>-851.847599147326 173.431882021172 -510.025839378861</t>
  </si>
  <si>
    <t>-848.310811592371 307.748280747582 -480.945544305165</t>
  </si>
  <si>
    <t>-751.683569812996 307.05063894365 -202.99977325292</t>
  </si>
  <si>
    <t>-511.163770418913 318.261188569308 -211.680859555828</t>
  </si>
  <si>
    <t>-848.994673320694 118.325433720478 -515.156403762663</t>
  </si>
  <si>
    <t>-829.421484520236 232.821189796021 -59.7209843266296</t>
  </si>
  <si>
    <t>-802.41069930602 227.918853076088 342.896750100771</t>
  </si>
  <si>
    <t>-834.621258172847 172.752459489923 786.195215685512</t>
  </si>
  <si>
    <t>-707.23522261311 244.263719663271 847.401575077589</t>
  </si>
  <si>
    <t>-779.856019340282 50.0408635924782 -54.6528562302777</t>
  </si>
  <si>
    <t>-644.774371255568 48.7804443147165 325.618157596406</t>
  </si>
  <si>
    <t>-731.098236820925 -1.23821639638254 762.41453507302</t>
  </si>
  <si>
    <t>-623.535909268653 -90.2113880043141 837.257056678424</t>
  </si>
  <si>
    <t>9763-20170724T111131.679930300.bin</t>
  </si>
  <si>
    <t>-804.392616361196 141.904557290151 -56.2178104919869</t>
  </si>
  <si>
    <t>-833.782135372726 130.732251392186 -167.697201672539</t>
  </si>
  <si>
    <t>-846.083955995293 130.589769443373 -265.550667871458</t>
  </si>
  <si>
    <t>-852.308512346306 133.784898665196 -354.372368046477</t>
  </si>
  <si>
    <t>-853.131141596691 140.125542432826 -443.239443429853</t>
  </si>
  <si>
    <t>-848.49458925621 152.053274172105 -567.16305279184</t>
  </si>
  <si>
    <t>-824.967278778425 160.457199348459 -646.414967918995</t>
  </si>
  <si>
    <t>-851.87337899548 174.358378494492 -510.028373946294</t>
  </si>
  <si>
    <t>-847.891169475736 308.622476441235 -480.761256054429</t>
  </si>
  <si>
    <t>-751.431411280675 307.251087179413 -202.759707412805</t>
  </si>
  <si>
    <t>-510.85156177521 316.291045940965 -212.26948527096</t>
  </si>
  <si>
    <t>-849.196310565007 119.250323448213 -515.232416328502</t>
  </si>
  <si>
    <t>-829.303921501006 233.273953421808 -59.7284478148123</t>
  </si>
  <si>
    <t>-802.419072816205 228.14075622046 342.894924438367</t>
  </si>
  <si>
    <t>-834.708541580437 172.837429130775 786.187096427725</t>
  </si>
  <si>
    <t>-707.246579157977 244.20643212203 847.401619791636</t>
  </si>
  <si>
    <t>-779.818468419426 50.4318620624144 -54.7649405771405</t>
  </si>
  <si>
    <t>-644.683504809476 48.9579965728362 325.486328726511</t>
  </si>
  <si>
    <t>-730.937787992953 -1.09460756291037 762.258102852998</t>
  </si>
  <si>
    <t>-623.785438360405 -90.5146044270189 837.156334654655</t>
  </si>
  <si>
    <t>9763-20170724T111131.718141300.bin</t>
  </si>
  <si>
    <t>-804.374703059776 141.952583708838 -56.2142939774376</t>
  </si>
  <si>
    <t>-833.795851267227 130.803326035146 -167.687705551926</t>
  </si>
  <si>
    <t>-846.151743569036 130.72687493523 -265.534296528427</t>
  </si>
  <si>
    <t>-852.4339834999 134.00103266797 -354.349068211536</t>
  </si>
  <si>
    <t>-853.322553997582 140.438597457722 -443.208508087173</t>
  </si>
  <si>
    <t>-848.784532089028 152.521675418625 -567.120615323087</t>
  </si>
  <si>
    <t>-825.547867105189 161.050219215303 -646.445078907601</t>
  </si>
  <si>
    <t>-852.102099407766 174.756069638018 -509.954826812081</t>
  </si>
  <si>
    <t>-848.057856208072 308.976834384482 -480.534381686829</t>
  </si>
  <si>
    <t>-751.680544027191 307.149237327461 -202.506841385808</t>
  </si>
  <si>
    <t>-511.115326809676 315.378979759281 -213.066391378936</t>
  </si>
  <si>
    <t>-849.460760418848 119.653081758601 -515.231419658646</t>
  </si>
  <si>
    <t>-829.306368479833 233.3752187982 -59.714095603589</t>
  </si>
  <si>
    <t>-802.365970325515 228.182659410629 342.904752797102</t>
  </si>
  <si>
    <t>-834.735250178837 172.856145918342 786.191597116191</t>
  </si>
  <si>
    <t>-707.291298302466 244.263539495683 847.398855924628</t>
  </si>
  <si>
    <t>-779.793734708749 50.4024954292272 -54.7975270277035</t>
  </si>
  <si>
    <t>-644.664070402448 48.9609922219674 325.455764307015</t>
  </si>
  <si>
    <t>-730.978882053779 -1.27704556594063 762.210515329065</t>
  </si>
  <si>
    <t>-623.619374217698 -90.4564164414637 837.098601010456</t>
  </si>
  <si>
    <t>9763-20170724T111131.783316600.bin</t>
  </si>
  <si>
    <t>-804.261720539282 142.065688322368 -56.242140339976</t>
  </si>
  <si>
    <t>-833.810777670044 130.950656751981 -167.68503813952</t>
  </si>
  <si>
    <t>-846.364909989217 131.027141873937 -265.50656520162</t>
  </si>
  <si>
    <t>-852.857575098805 134.490461258812 -354.29893079407</t>
  </si>
  <si>
    <t>-853.984841412172 141.169132841158 -443.137955364571</t>
  </si>
  <si>
    <t>-849.807537507207 153.64394839458 -567.024051340199</t>
  </si>
  <si>
    <t>-827.016432370325 162.453062687027 -646.446825999495</t>
  </si>
  <si>
    <t>-852.967047497577 175.697066185445 -509.778965183975</t>
  </si>
  <si>
    <t>-848.951778154523 309.828925057252 -479.935034065329</t>
  </si>
  <si>
    <t>-752.312667105826 307.155474657583 -202.005344657893</t>
  </si>
  <si>
    <t>-511.757773328118 314.200997382683 -213.607397637219</t>
  </si>
  <si>
    <t>-850.324421750656 120.611853052427 -515.236620666685</t>
  </si>
  <si>
    <t>-829.187853828651 233.536197451702 -59.6732941792536</t>
  </si>
  <si>
    <t>-802.201433644068 228.301685254446 342.941915729291</t>
  </si>
  <si>
    <t>-834.761700162459 172.876464494903 786.184037729628</t>
  </si>
  <si>
    <t>-707.320266235084 244.284231236864 847.395760569826</t>
  </si>
  <si>
    <t>-779.673515045986 50.4815386198143 -54.8682912520832</t>
  </si>
  <si>
    <t>-644.418330620711 48.900471832284 325.339791573866</t>
  </si>
  <si>
    <t>-730.939675395432 -1.41481503651084 762.06457013327</t>
  </si>
  <si>
    <t>-623.507951597036 -90.4880267123151 836.975795222999</t>
  </si>
  <si>
    <t>9763-20170724T111131.814005600.bin</t>
  </si>
  <si>
    <t>-804.138158910177 142.112778942851 -56.2631244823818</t>
  </si>
  <si>
    <t>-833.766524160019 131.013366333376 -167.686526990817</t>
  </si>
  <si>
    <t>-846.43227273152 131.1696314257 -265.493639031313</t>
  </si>
  <si>
    <t>-853.040613269354 134.731730798172 -354.273499951865</t>
  </si>
  <si>
    <t>-854.297047004802 141.536742875634 -443.101198668795</t>
  </si>
  <si>
    <t>-850.312499305965 154.21556452633 -566.972832663117</t>
  </si>
  <si>
    <t>-827.667049169253 163.165230515533 -646.421561894572</t>
  </si>
  <si>
    <t>-853.393751191336 176.173726723743 -509.687232275342</t>
  </si>
  <si>
    <t>-849.33500422428 310.245932976937 -479.58397352026</t>
  </si>
  <si>
    <t>-752.400511891141 307.233561294844 -201.760429998386</t>
  </si>
  <si>
    <t>-511.877255807614 313.847990218826 -214.236789111768</t>
  </si>
  <si>
    <t>-850.737971389887 121.098459760508 -515.238936606647</t>
  </si>
  <si>
    <t>-829.125321882765 233.563691450033 -59.6539134185095</t>
  </si>
  <si>
    <t>-802.102449658569 228.343431465016 342.95906393177</t>
  </si>
  <si>
    <t>-834.74163210495 172.860118745893 786.179428651902</t>
  </si>
  <si>
    <t>-707.401651005142 244.441830597306 847.399186074514</t>
  </si>
  <si>
    <t>-779.488674021175 50.5557971210937 -54.930078216642</t>
  </si>
  <si>
    <t>-644.161548189305 48.9475219540259 325.252451870052</t>
  </si>
  <si>
    <t>-730.837835368523 -1.32314054664448 761.963579218659</t>
  </si>
  <si>
    <t>-623.618616152495 -90.6197168983713 836.912962614362</t>
  </si>
  <si>
    <t>9763-20170724T111131.884195500.bin</t>
  </si>
  <si>
    <t>-803.912936102626 142.15566436743 -56.307962513612</t>
  </si>
  <si>
    <t>-833.696004343668 131.079983651883 -167.692450120844</t>
  </si>
  <si>
    <t>-846.574319441294 131.384798702395 -265.471324760534</t>
  </si>
  <si>
    <t>-853.400568171349 135.131931319581 -354.227317701445</t>
  </si>
  <si>
    <t>-854.896840062496 142.170969839535 -443.03292217619</t>
  </si>
  <si>
    <t>-851.267382760611 155.228275856502 -566.876218751412</t>
  </si>
  <si>
    <t>-828.772892025363 164.457363685754 -646.335902339727</t>
  </si>
  <si>
    <t>-854.186410895029 177.011269473652 -509.515158663194</t>
  </si>
  <si>
    <t>-849.953242259799 310.968381231757 -478.934035519059</t>
  </si>
  <si>
    <t>-752.393084919358 307.219790863116 -201.338706169129</t>
  </si>
  <si>
    <t>-511.876523341048 313.490546925162 -214.114704611791</t>
  </si>
  <si>
    <t>-851.542712595892 121.953403426216 -515.242684319288</t>
  </si>
  <si>
    <t>-829.078953600677 233.653476684653 -59.6054319606026</t>
  </si>
  <si>
    <t>-801.954865999836 228.401906849347 343.000252313291</t>
  </si>
  <si>
    <t>-834.772411987667 172.882839646329 786.189884365468</t>
  </si>
  <si>
    <t>-707.443436240883 244.488583818354 847.405161410812</t>
  </si>
  <si>
    <t>-779.080502835712 50.520468194044 -55.0501424236426</t>
  </si>
  <si>
    <t>-643.567750281263 48.946495290204 325.066294874277</t>
  </si>
  <si>
    <t>-730.660493257938 -1.23793831084322 761.713063051448</t>
  </si>
  <si>
    <t>-623.710788907211 -90.7737155437717 836.762462745731</t>
  </si>
  <si>
    <t>9763-20170724T111131.917184300.bin</t>
  </si>
  <si>
    <t>-803.874552873503 142.037556865991 -56.3281076099729</t>
  </si>
  <si>
    <t>-833.729034438003 130.988775009521 -167.696278051905</t>
  </si>
  <si>
    <t>-846.704475112965 131.378775388167 -265.46198687256</t>
  </si>
  <si>
    <t>-853.630673861523 135.227418857957 -354.205846930458</t>
  </si>
  <si>
    <t>-855.236951489738 142.392760766862 -442.999572390935</t>
  </si>
  <si>
    <t>-851.771140813772 155.652246740983 -566.825958493132</t>
  </si>
  <si>
    <t>-829.322439217553 165.066735693779 -646.276838754349</t>
  </si>
  <si>
    <t>-854.614504381866 177.341735620626 -509.425550778878</t>
  </si>
  <si>
    <t>-850.310769575512 311.241641725896 -478.612619586557</t>
  </si>
  <si>
    <t>-752.439346230309 307.290809858648 -201.129527089321</t>
  </si>
  <si>
    <t>-511.926234036762 313.17303333575 -214.156532477107</t>
  </si>
  <si>
    <t>-851.977814319501 122.293250868268 -515.246406973332</t>
  </si>
  <si>
    <t>-829.098331769867 233.675020268021 -59.5879921317414</t>
  </si>
  <si>
    <t>-802.011303117352 228.390847461628 343.019782983989</t>
  </si>
  <si>
    <t>-834.884187814841 172.982066122679 786.19260483696</t>
  </si>
  <si>
    <t>-707.392896589029 244.29765047013 847.408432622965</t>
  </si>
  <si>
    <t>-779.008127548408 50.2166008285872 -55.1161794860203</t>
  </si>
  <si>
    <t>-643.378782227932 48.8626335987051 324.959473481148</t>
  </si>
  <si>
    <t>-730.660957808444 -1.40659833489008 761.5817664686</t>
  </si>
  <si>
    <t>-623.458779766842 -90.6059165420579 836.671425727517</t>
  </si>
  <si>
    <t>9763-20170724T111131.982869800.bin</t>
  </si>
  <si>
    <t>-803.918875144127 141.952769800066 -56.3969424681262</t>
  </si>
  <si>
    <t>-833.867264496278 130.950043724094 -167.744384326316</t>
  </si>
  <si>
    <t>-846.985488322828 131.52638547947 -265.489981787147</t>
  </si>
  <si>
    <t>-854.05952194492 135.601302378304 -354.212207352941</t>
  </si>
  <si>
    <t>-855.82868598039 143.049638517725 -442.979414548765</t>
  </si>
  <si>
    <t>-852.602748122889 156.762528910751 -566.76291392953</t>
  </si>
  <si>
    <t>-830.114817148137 166.658565634089 -646.144203960335</t>
  </si>
  <si>
    <t>-855.333249662978 178.241725717886 -509.278110831835</t>
  </si>
  <si>
    <t>-850.870311263647 312.011289479344 -477.910292397611</t>
  </si>
  <si>
    <t>-751.98646802439 307.322789843856 -200.798160536901</t>
  </si>
  <si>
    <t>-511.486704523975 312.586141388443 -214.3273952118</t>
  </si>
  <si>
    <t>-852.711464910164 123.214596524328 -515.305820236178</t>
  </si>
  <si>
    <t>-829.33419374496 233.712964984956 -59.5822041087791</t>
  </si>
  <si>
    <t>-802.202455128161 228.371258445184 343.021808911116</t>
  </si>
  <si>
    <t>-834.954542947994 173.058380977872 786.180523910509</t>
  </si>
  <si>
    <t>-707.478559247848 244.387466797969 847.412650528196</t>
  </si>
  <si>
    <t>-778.845446356571 50.1381839131541 -55.2705379184379</t>
  </si>
  <si>
    <t>-643.023702650689 48.8711667074413 324.736767306437</t>
  </si>
  <si>
    <t>-730.515583611068 -1.35015261885883 761.304471321983</t>
  </si>
  <si>
    <t>-623.410493274374 -90.5891166767251 836.485506802518</t>
  </si>
  <si>
    <t>9763-20170724T111132.012513600.bin</t>
  </si>
  <si>
    <t>-803.938637711355 141.886751927063 -56.4625729976401</t>
  </si>
  <si>
    <t>-833.940220999302 130.895290373884 -167.796946090846</t>
  </si>
  <si>
    <t>-847.130909074482 131.590871195004 -265.532170417781</t>
  </si>
  <si>
    <t>-854.276485490149 135.815565018949 -354.24137947161</t>
  </si>
  <si>
    <t>-856.120710973708 143.455633820794 -442.990851103683</t>
  </si>
  <si>
    <t>-853.001485329376 157.4788838135 -566.742399177768</t>
  </si>
  <si>
    <t>-830.460901985791 167.674042552251 -646.070885392915</t>
  </si>
  <si>
    <t>-855.687374027568 178.813623004251 -509.201624362192</t>
  </si>
  <si>
    <t>-851.185908039576 312.491329825991 -477.461845567315</t>
  </si>
  <si>
    <t>-751.56513844377 307.462355681628 -200.619456098767</t>
  </si>
  <si>
    <t>-511.075913360839 312.375925574718 -214.460997860958</t>
  </si>
  <si>
    <t>-853.060933037013 123.802503944652 -515.369296012011</t>
  </si>
  <si>
    <t>-829.466696693075 233.64215433221 -59.5898352261484</t>
  </si>
  <si>
    <t>-802.247331180349 228.361103144171 343.009085346906</t>
  </si>
  <si>
    <t>-834.946331417418 173.051971379038 786.173383307733</t>
  </si>
  <si>
    <t>-707.519953160873 244.461561253645 847.414766111692</t>
  </si>
  <si>
    <t>-778.778627360894 50.0755487723445 -55.3789852788183</t>
  </si>
  <si>
    <t>-642.912457661791 48.7989112105643 324.612340706838</t>
  </si>
  <si>
    <t>-730.51365389179 -1.46873785002026 761.168753021795</t>
  </si>
  <si>
    <t>-623.353833306485 -90.6140142460122 836.383006949464</t>
  </si>
  <si>
    <t>9763-20170724T111132.084676800.bin</t>
  </si>
  <si>
    <t>-804.017388273413 141.860865448286 -56.6006750939703</t>
  </si>
  <si>
    <t>-834.13863034293 130.933617899988 -167.908853654688</t>
  </si>
  <si>
    <t>-847.463546713654 131.913491442738 -265.623480047765</t>
  </si>
  <si>
    <t>-854.732786831171 136.484445120453 -354.305542575128</t>
  </si>
  <si>
    <t>-856.698036699284 144.556792788922 -443.014176268068</t>
  </si>
  <si>
    <t>-853.739872349639 159.27128394244 -566.689245109864</t>
  </si>
  <si>
    <t>-831.087938722405 170.0432949373 -645.90973563997</t>
  </si>
  <si>
    <t>-856.352036167931 180.28405832234 -509.026870090186</t>
  </si>
  <si>
    <t>-851.71935076106 313.769725957762 -476.482547576618</t>
  </si>
  <si>
    <t>-750.808605334436 307.688664200758 -200.129091474884</t>
  </si>
  <si>
    <t>-510.374311430494 312.140172574304 -215.043624368287</t>
  </si>
  <si>
    <t>-853.731184116446 125.308278969708 -515.505060587812</t>
  </si>
  <si>
    <t>-829.648641849973 233.589007545988 -59.6320911849184</t>
  </si>
  <si>
    <t>-802.487989620862 228.284163328615 342.970500355838</t>
  </si>
  <si>
    <t>-834.869643238443 173.00000916109 786.139456684165</t>
  </si>
  <si>
    <t>-707.577284781419 244.613189015933 847.421286444639</t>
  </si>
  <si>
    <t>-778.751399454155 50.0492311482703 -55.6235954453812</t>
  </si>
  <si>
    <t>-642.777199179256 48.9279932176928 324.329677837683</t>
  </si>
  <si>
    <t>-730.433926807689 -1.50544878122673 760.887030319193</t>
  </si>
  <si>
    <t>-623.31507665052 -90.65272560735 836.157261305055</t>
  </si>
  <si>
    <t>9763-20170724T111132.115971500.bin</t>
  </si>
  <si>
    <t>-804.04114201804 141.876751927668 -56.7004825441745</t>
  </si>
  <si>
    <t>-834.224047641937 131.009521963723 -167.997891643481</t>
  </si>
  <si>
    <t>-847.596744219399 132.145159026537 -265.704265610141</t>
  </si>
  <si>
    <t>-854.903506454787 136.897000340181 -354.373671518176</t>
  </si>
  <si>
    <t>-856.897599995236 145.190229119593 -443.061275855497</t>
  </si>
  <si>
    <t>-853.969903667689 160.252958875491 -566.695275420925</t>
  </si>
  <si>
    <t>-831.270676996246 171.27910063845 -645.867174683929</t>
  </si>
  <si>
    <t>-856.566878950897 181.103178602717 -508.973259475797</t>
  </si>
  <si>
    <t>-851.853463512929 314.486349115834 -476.024958233909</t>
  </si>
  <si>
    <t>-750.334242046041 307.843824970901 -199.907291662574</t>
  </si>
  <si>
    <t>-509.907936829968 312.080024344228 -215.011290373794</t>
  </si>
  <si>
    <t>-853.949729142382 126.14588858096 -515.60694204504</t>
  </si>
  <si>
    <t>-829.688785905089 233.543719567026 -59.6557907313953</t>
  </si>
  <si>
    <t>-802.497811382218 228.304564738055 342.945603824451</t>
  </si>
  <si>
    <t>-834.787775336074 172.932542988024 786.131187052942</t>
  </si>
  <si>
    <t>-707.540881454897 244.622271398264 847.418309345636</t>
  </si>
  <si>
    <t>-778.735916114366 50.1369039915553 -55.8088765009969</t>
  </si>
  <si>
    <t>-642.813125090319 49.044327476759 324.162782094282</t>
  </si>
  <si>
    <t>-730.318528652651 -1.34574367316873 760.730152799051</t>
  </si>
  <si>
    <t>-623.333909450509 -90.6245679209776 836.035268454806</t>
  </si>
  <si>
    <t>9763-20170724T111132.148026900.bin</t>
  </si>
  <si>
    <t>-804.12979340097 141.903076750148 -56.7746961694389</t>
  </si>
  <si>
    <t>-834.388075634219 131.097446146367 -168.057596362569</t>
  </si>
  <si>
    <t>-847.806590121329 132.374163911548 -265.756038936184</t>
  </si>
  <si>
    <t>-855.14277861217 137.28764375508 -354.414311737494</t>
  </si>
  <si>
    <t>-857.153585457086 145.773984980664 -443.083198494317</t>
  </si>
  <si>
    <t>-854.233101498099 161.138856395241 -566.680214587231</t>
  </si>
  <si>
    <t>-831.502775725708 172.37332085161 -645.813812204144</t>
  </si>
  <si>
    <t>-856.815648315516 181.848697882409 -508.906892127235</t>
  </si>
  <si>
    <t>-852.007087670797 315.144123012425 -475.617055285539</t>
  </si>
  <si>
    <t>-749.86126088318 308.089366232447 -199.740920927682</t>
  </si>
  <si>
    <t>-509.446173311768 311.977829255145 -215.112656799609</t>
  </si>
  <si>
    <t>-854.22076282444 126.906654809681 -515.675667842963</t>
  </si>
  <si>
    <t>-829.810115739803 233.588048008536 -59.657764930085</t>
  </si>
  <si>
    <t>-802.518000545709 228.297214049328 342.936103331837</t>
  </si>
  <si>
    <t>-834.792014350181 172.929291473322 786.131582550329</t>
  </si>
  <si>
    <t>-707.546767849153 244.622359028098 847.418197893293</t>
  </si>
  <si>
    <t>-778.856424968583 50.1452406743138 -55.9546021502025</t>
  </si>
  <si>
    <t>-642.863201927631 48.9806987636634 323.991732706367</t>
  </si>
  <si>
    <t>-730.354582229423 -1.51505220927038 760.585912056816</t>
  </si>
  <si>
    <t>-623.207372523063 -90.5852999449478 835.907038986145</t>
  </si>
  <si>
    <t>9763-20170724T111132.228966000.bin</t>
  </si>
  <si>
    <t>-804.245697498667 142.00411925495 -56.8139213705222</t>
  </si>
  <si>
    <t>-834.570487218148 131.284112722709 -168.087057769274</t>
  </si>
  <si>
    <t>-848.027356120776 132.695754366659 -265.778290346974</t>
  </si>
  <si>
    <t>-855.388255879523 137.754430310132 -354.426293029376</t>
  </si>
  <si>
    <t>-857.411825707875 146.407782519564 -443.078773212128</t>
  </si>
  <si>
    <t>-854.496308832488 162.027557560688 -566.643840161805</t>
  </si>
  <si>
    <t>-831.745772468343 173.430438759262 -645.747800323945</t>
  </si>
  <si>
    <t>-857.057109518417 182.618895936065 -508.827331773939</t>
  </si>
  <si>
    <t>-852.151888998926 315.837937100458 -475.267276869268</t>
  </si>
  <si>
    <t>-749.385021973677 308.454756895223 -199.630494256403</t>
  </si>
  <si>
    <t>-508.991360009927 312.035253309597 -215.411456340837</t>
  </si>
  <si>
    <t>-854.501525053702 127.689325287331 -515.710622070165</t>
  </si>
  <si>
    <t>-829.867117335888 233.703503559483 -59.6358659820577</t>
  </si>
  <si>
    <t>-802.61531422304 228.367135213801 342.96009484452</t>
  </si>
  <si>
    <t>-834.88501059365 173.002583448545 786.142122438127</t>
  </si>
  <si>
    <t>-707.52953742106 244.506128110755 847.421223631722</t>
  </si>
  <si>
    <t>-779.021989612949 50.1912632693416 -56.0614307319424</t>
  </si>
  <si>
    <t>-642.79313522677 48.934689167264 323.800049352345</t>
  </si>
  <si>
    <t>-730.317383451026 -1.5399608054945 760.409607806109</t>
  </si>
  <si>
    <t>-623.401954096807 -90.8398496993489 835.787970617934</t>
  </si>
  <si>
    <t>9763-20170724T111132.282110300.bin</t>
  </si>
  <si>
    <t>-804.645198093065 142.22880891986 -56.9399684561783</t>
  </si>
  <si>
    <t>-835.135749302732 131.785120980298 -168.194142754894</t>
  </si>
  <si>
    <t>-848.692652437818 133.506957549196 -265.866482372717</t>
  </si>
  <si>
    <t>-856.123885478579 138.874140790768 -354.490479663379</t>
  </si>
  <si>
    <t>-858.196569574307 147.860818187759 -443.10869454861</t>
  </si>
  <si>
    <t>-855.325011691509 163.969897616425 -566.611961395921</t>
  </si>
  <si>
    <t>-832.605292392286 175.696192823986 -645.677410772359</t>
  </si>
  <si>
    <t>-857.797167822359 184.334674824753 -508.711402596732</t>
  </si>
  <si>
    <t>-852.628787856922 317.404734130624 -474.588519408052</t>
  </si>
  <si>
    <t>-748.313521449274 309.130585532846 -199.559320098774</t>
  </si>
  <si>
    <t>-508.009404683175 311.821729365225 -216.809351225522</t>
  </si>
  <si>
    <t>-855.380141228466 129.427320273816 -515.817161912635</t>
  </si>
  <si>
    <t>-830.164068353876 234.239105208752 -59.531839752487</t>
  </si>
  <si>
    <t>-802.797870040919 228.5008417847 343.050874706392</t>
  </si>
  <si>
    <t>-835.107649660354 173.115173059856 786.204899308235</t>
  </si>
  <si>
    <t>-707.640651275828 244.463920316561 847.432577848296</t>
  </si>
  <si>
    <t>-779.496110878941 50.1422975956571 -56.4127165910434</t>
  </si>
  <si>
    <t>-642.807705554969 48.7760715871377 323.283328037643</t>
  </si>
  <si>
    <t>-730.264032799239 -1.87727471527978 759.868484405098</t>
  </si>
  <si>
    <t>-623.248176556491 -90.8858389262532 835.449046663071</t>
  </si>
  <si>
    <t>9763-20170724T111132.313195000.bin</t>
  </si>
  <si>
    <t>-804.774851116824 142.413936328788 -56.9653100169784</t>
  </si>
  <si>
    <t>-835.287348072268 132.028145553337 -168.218847972205</t>
  </si>
  <si>
    <t>-848.846393710199 133.826443246599 -265.889558237806</t>
  </si>
  <si>
    <t>-856.271657134222 139.27181299849 -354.509319406457</t>
  </si>
  <si>
    <t>-858.328345649979 148.344761806778 -443.119080806723</t>
  </si>
  <si>
    <t>-855.425324106864 164.581537645926 -566.604938357983</t>
  </si>
  <si>
    <t>-832.723117043273 176.40012604282 -645.661521314052</t>
  </si>
  <si>
    <t>-857.890408279068 184.887299253721 -508.683392621906</t>
  </si>
  <si>
    <t>-852.673375261268 317.915823095321 -474.416533026981</t>
  </si>
  <si>
    <t>-747.941523583526 309.246772844633 -199.557805289442</t>
  </si>
  <si>
    <t>-507.687701568999 311.768251025539 -217.517429947129</t>
  </si>
  <si>
    <t>-855.514947979166 129.985521802991 -515.846482614133</t>
  </si>
  <si>
    <t>-830.366467955974 234.449231421108 -59.5080877161995</t>
  </si>
  <si>
    <t>-802.921215524227 228.573123750252 343.067287702531</t>
  </si>
  <si>
    <t>-835.085530221337 173.051938584159 786.233527397418</t>
  </si>
  <si>
    <t>-707.729696014978 244.6217251376 847.433831917755</t>
  </si>
  <si>
    <t>-779.555415446556 50.3215852130811 -56.4686586772593</t>
  </si>
  <si>
    <t>-642.637591921926 48.766058419596 323.144023192146</t>
  </si>
  <si>
    <t>-730.158306629831 -1.82823651477383 759.677999759885</t>
  </si>
  <si>
    <t>-623.341312147187 -90.9929955027305 835.355572242842</t>
  </si>
  <si>
    <t>9763-20170724T111132.384925800.bin</t>
  </si>
  <si>
    <t>-804.911865189925 142.463298300039 -57.0272165415954</t>
  </si>
  <si>
    <t>-835.456951733924 132.123319049633 -168.275969030983</t>
  </si>
  <si>
    <t>-849.040465860832 134.02652584133 -265.941298862091</t>
  </si>
  <si>
    <t>-856.481823033804 139.590793950762 -354.552403941976</t>
  </si>
  <si>
    <t>-858.548007335945 148.804982660688 -443.147443064067</t>
  </si>
  <si>
    <t>-855.64970335148 165.260724284024 -566.604270485089</t>
  </si>
  <si>
    <t>-832.994472241526 177.29159885506 -645.642646112132</t>
  </si>
  <si>
    <t>-858.105151091173 185.464202198246 -508.646475956075</t>
  </si>
  <si>
    <t>-852.985458908007 318.41840756466 -474.080188522789</t>
  </si>
  <si>
    <t>-747.592779176035 309.005107217942 -199.498724772201</t>
  </si>
  <si>
    <t>-507.470629138973 311.127847281493 -219.190838437661</t>
  </si>
  <si>
    <t>-855.744673967512 130.574553196675 -515.907449951807</t>
  </si>
  <si>
    <t>-830.72721008479 234.632063946647 -59.4839401058135</t>
  </si>
  <si>
    <t>-803.098138968131 228.668934540173 343.077545404164</t>
  </si>
  <si>
    <t>-835.050250081585 172.968115100161 786.239312183863</t>
  </si>
  <si>
    <t>-707.788628085193 244.72191052998 847.420528564605</t>
  </si>
  <si>
    <t>-779.409675377955 50.1943833649352 -56.6547118346732</t>
  </si>
  <si>
    <t>-642.301430712649 48.9384334148776 322.890243207398</t>
  </si>
  <si>
    <t>-729.951169959014 -1.73596825238701 759.333114502297</t>
  </si>
  <si>
    <t>-623.290452090553 -90.9234597786885 835.204117071922</t>
  </si>
  <si>
    <t>9763-20170724T111132.415509300.bin</t>
  </si>
  <si>
    <t>-804.943470680767 142.471778980792 -57.0815450834054</t>
  </si>
  <si>
    <t>-835.537639834977 132.145209108449 -168.318157915307</t>
  </si>
  <si>
    <t>-849.1734500567 134.114443372386 -265.9748417675</t>
  </si>
  <si>
    <t>-856.664346958589 139.75982669786 -354.576543696215</t>
  </si>
  <si>
    <t>-858.781073632948 149.07628170481 -443.15972862899</t>
  </si>
  <si>
    <t>-855.951895552965 165.696247165791 -566.596157076946</t>
  </si>
  <si>
    <t>-833.342545028293 177.867367300604 -645.625967827534</t>
  </si>
  <si>
    <t>-858.3921087602 185.821926926738 -508.610726706655</t>
  </si>
  <si>
    <t>-853.401927168089 318.73648334725 -473.874367913288</t>
  </si>
  <si>
    <t>-747.69479999003 308.921446032249 -199.42787281944</t>
  </si>
  <si>
    <t>-507.675303354501 310.733776889056 -220.36288916305</t>
  </si>
  <si>
    <t>-856.001737524156 130.943354289685 -515.94510255896</t>
  </si>
  <si>
    <t>-830.896667361053 234.707733500197 -59.4918398630142</t>
  </si>
  <si>
    <t>-803.121617701493 228.732350179207 343.059406878584</t>
  </si>
  <si>
    <t>-835.062808460289 172.971294610488 786.220811669457</t>
  </si>
  <si>
    <t>-707.769305145365 244.663473381113 847.408828929112</t>
  </si>
  <si>
    <t>-779.33010002586 50.1996229902843 -56.7526161564491</t>
  </si>
  <si>
    <t>-642.151712510157 48.8368793891982 322.766775855155</t>
  </si>
  <si>
    <t>-729.970633057984 -1.96684988947072 759.178251063273</t>
  </si>
  <si>
    <t>-622.983250395619 -90.6917706433987 835.131091855963</t>
  </si>
  <si>
    <t>9763-20170724T111132.483194200.bin</t>
  </si>
  <si>
    <t>-804.957528915358 142.582311333113 -57.1809473041533</t>
  </si>
  <si>
    <t>-835.702736104887 132.276558252957 -168.377785774737</t>
  </si>
  <si>
    <t>-849.49404598149 134.372152257324 -266.010128195007</t>
  </si>
  <si>
    <t>-857.131625021561 140.173778873761 -354.589137226808</t>
  </si>
  <si>
    <t>-859.398080116094 149.689053536364 -443.147385490809</t>
  </si>
  <si>
    <t>-856.779846296614 166.630363842909 -566.544823245472</t>
  </si>
  <si>
    <t>-834.254174115378 179.095049867212 -645.552852071074</t>
  </si>
  <si>
    <t>-859.167264669195 186.602894749781 -508.504472333395</t>
  </si>
  <si>
    <t>-854.432715381184 319.43748417849 -473.404736300095</t>
  </si>
  <si>
    <t>-747.763622716601 309.029000542497 -199.352707850517</t>
  </si>
  <si>
    <t>-508.016284137427 310.205891278595 -223.244655188263</t>
  </si>
  <si>
    <t>-856.696549052753 131.747460190325 -515.983095345078</t>
  </si>
  <si>
    <t>-831.142118202288 234.851483728789 -59.5014342016626</t>
  </si>
  <si>
    <t>-803.196535963966 228.822823219056 343.037212547516</t>
  </si>
  <si>
    <t>-835.13367252035 173.034785821412 786.187099516278</t>
  </si>
  <si>
    <t>-707.791732244183 244.622388117328 847.396198192593</t>
  </si>
  <si>
    <t>-779.166539900786 50.189812758264 -56.9166830072486</t>
  </si>
  <si>
    <t>-641.647207678037 49.0293694803227 322.479803709034</t>
  </si>
  <si>
    <t>-729.764839264461 -1.87731232982605 758.823086356786</t>
  </si>
  <si>
    <t>-623.036996715753 -90.729973676433 834.991943271733</t>
  </si>
  <si>
    <t>9763-20170724T111132.516787700.bin</t>
  </si>
  <si>
    <t>-804.985863652345 142.576474053114 -57.2266711918357</t>
  </si>
  <si>
    <t>-835.829659030224 132.257449943465 -168.394999087156</t>
  </si>
  <si>
    <t>-849.719432078723 134.399632480591 -266.012453629719</t>
  </si>
  <si>
    <t>-857.447871683932 140.265916533487 -354.579358619193</t>
  </si>
  <si>
    <t>-859.805968946554 149.867638596067 -443.125763108446</t>
  </si>
  <si>
    <t>-857.315697973665 166.952878667837 -566.506115254139</t>
  </si>
  <si>
    <t>-834.832780389256 179.563708244067 -645.5030222493</t>
  </si>
  <si>
    <t>-859.660249957522 186.857091954505 -508.440302916266</t>
  </si>
  <si>
    <t>-855.000231453595 319.646860463864 -473.16996895223</t>
  </si>
  <si>
    <t>-747.871578422893 308.875655865971 -199.311103585835</t>
  </si>
  <si>
    <t>-508.286074054858 309.974676651368 -224.774686537371</t>
  </si>
  <si>
    <t>-857.162680762102 132.01177291602 -515.98474503375</t>
  </si>
  <si>
    <t>-831.280524097375 234.861468528725 -59.4929319107532</t>
  </si>
  <si>
    <t>-803.186234227782 228.894426101986 343.036326406723</t>
  </si>
  <si>
    <t>-835.125728500294 173.015204532002 786.181923983984</t>
  </si>
  <si>
    <t>-707.803730090373 244.639816181634 847.388994735698</t>
  </si>
  <si>
    <t>-779.048616658358 50.217024428634 -56.9972812433978</t>
  </si>
  <si>
    <t>-641.388872381452 49.1173790958019 322.348585336533</t>
  </si>
  <si>
    <t>-729.667927991253 -1.83065177519165 758.648133505809</t>
  </si>
  <si>
    <t>-623.047649851846 -90.7244462749877 834.919131522249</t>
  </si>
  <si>
    <t>9763-20170724T111132.583467300.bin</t>
  </si>
  <si>
    <t>-804.551836245873 142.275831286845 -57.3611386030967</t>
  </si>
  <si>
    <t>-835.621113309445 131.97747018447 -168.468515601175</t>
  </si>
  <si>
    <t>-849.732220051044 134.259317439665 -266.050978249001</t>
  </si>
  <si>
    <t>-857.667631490706 140.300152802802 -354.587910276033</t>
  </si>
  <si>
    <t>-860.236170149797 150.125247759835 -443.104068417491</t>
  </si>
  <si>
    <t>-858.040866172151 167.573439079846 -566.439233270856</t>
  </si>
  <si>
    <t>-835.633498632122 180.48848622762 -645.408426793549</t>
  </si>
  <si>
    <t>-860.284210377379 187.305216159556 -508.31055762566</t>
  </si>
  <si>
    <t>-855.817484107832 320.0019047198 -472.697398339263</t>
  </si>
  <si>
    <t>-747.760934122264 308.604413904103 -199.228808223127</t>
  </si>
  <si>
    <t>-508.412770444394 309.421429362695 -226.846784370487</t>
  </si>
  <si>
    <t>-857.729326067838 132.485458152797 -516.020371780014</t>
  </si>
  <si>
    <t>-831.215519132983 234.818304024799 -59.4903619886107</t>
  </si>
  <si>
    <t>-802.843721920866 228.790142279681 343.018473476336</t>
  </si>
  <si>
    <t>-835.14801651167 172.986038481599 786.174770472893</t>
  </si>
  <si>
    <t>-707.818005540098 244.617990722905 847.356611724942</t>
  </si>
  <si>
    <t>-778.210792056735 49.5946721965761 -57.3235367814882</t>
  </si>
  <si>
    <t>-641.000013817391 49.3452640736105 322.186360343397</t>
  </si>
  <si>
    <t>-729.533391450574 -1.92364025864026 758.359867334701</t>
  </si>
  <si>
    <t>-622.9429207486 -90.6388124941709 834.880232242944</t>
  </si>
  <si>
    <t>9763-20170724T111132.615052300.bin</t>
  </si>
  <si>
    <t>-804.39112401365 142.067483218839 -57.4116401449787</t>
  </si>
  <si>
    <t>-835.586000593133 131.793736808206 -168.486150167925</t>
  </si>
  <si>
    <t>-849.820798698561 134.153147871694 -266.048834512083</t>
  </si>
  <si>
    <t>-857.872260046144 140.287527390395 -354.568722442048</t>
  </si>
  <si>
    <t>-860.559728039438 150.229139857031 -443.068296702363</t>
  </si>
  <si>
    <t>-858.53303118115 167.864482806966 -566.379779637076</t>
  </si>
  <si>
    <t>-836.150636856329 180.922588941256 -645.332654839335</t>
  </si>
  <si>
    <t>-860.714976047054 187.507165100469 -508.218574248486</t>
  </si>
  <si>
    <t>-856.334804143948 320.163555110752 -472.403228921925</t>
  </si>
  <si>
    <t>-747.899478743814 308.372306171338 -199.101251319252</t>
  </si>
  <si>
    <t>-508.652674814105 308.944451831243 -227.58721297782</t>
  </si>
  <si>
    <t>-858.134564622048 132.700649731476 -516.014397389758</t>
  </si>
  <si>
    <t>-831.243866600342 234.738296009357 -59.4675638475466</t>
  </si>
  <si>
    <t>-802.696517196671 228.702257032938 343.028731906991</t>
  </si>
  <si>
    <t>-835.176494466028 172.984106759126 786.180623603893</t>
  </si>
  <si>
    <t>-707.822475673614 244.593872959596 847.338384247158</t>
  </si>
  <si>
    <t>-777.939992796001 49.2613533389053 -57.3950552061876</t>
  </si>
  <si>
    <t>-640.732480160781 49.5265875152763 322.116076763872</t>
  </si>
  <si>
    <t>-729.438620860216 -1.86907518445605 758.223191746932</t>
  </si>
  <si>
    <t>-623.116935904817 -90.7824176248578 834.887405403421</t>
  </si>
  <si>
    <t>9763-20170724T111132.681730800.bin</t>
  </si>
  <si>
    <t>-804.165509765955 141.543039148239 -57.4562652898093</t>
  </si>
  <si>
    <t>-835.666852808226 131.310217742741 -168.448184623728</t>
  </si>
  <si>
    <t>-850.190852017591 133.841123909042 -265.963775087895</t>
  </si>
  <si>
    <t>-858.508249027722 140.183501123204 -354.44450443787</t>
  </si>
  <si>
    <t>-861.462916781078 150.387204029812 -442.905829927148</t>
  </si>
  <si>
    <t>-859.807556098805 168.443400326064 -566.161706972119</t>
  </si>
  <si>
    <t>-837.48047648494 181.804418084556 -645.079602118198</t>
  </si>
  <si>
    <t>-861.865288923774 187.885365413308 -507.928588113661</t>
  </si>
  <si>
    <t>-857.750060336765 320.430252364667 -471.690367738465</t>
  </si>
  <si>
    <t>-748.836182804757 307.691888699222 -198.621343664837</t>
  </si>
  <si>
    <t>-509.751198154702 307.413415907175 -228.437829436612</t>
  </si>
  <si>
    <t>-859.206510926705 133.110280435272 -515.917175477371</t>
  </si>
  <si>
    <t>-831.393995954324 234.509143294755 -59.3807271523319</t>
  </si>
  <si>
    <t>-802.516984715783 228.453613572401 343.091757282101</t>
  </si>
  <si>
    <t>-835.184510008341 172.932156868224 786.199109261299</t>
  </si>
  <si>
    <t>-707.865215748047 244.629203043387 847.327369814293</t>
  </si>
  <si>
    <t>-777.314713559111 48.4630905883096 -57.565660114048</t>
  </si>
  <si>
    <t>-639.937670192827 49.5393585147517 321.882728019642</t>
  </si>
  <si>
    <t>-729.34574546326 -2.07073569695194 757.855080514319</t>
  </si>
  <si>
    <t>-622.903122773813 -90.5685075808813 834.83165864146</t>
  </si>
  <si>
    <t>9763-20170724T111132.717997800.bin</t>
  </si>
  <si>
    <t>-804.115126579549 141.249667919377 -57.4834252436358</t>
  </si>
  <si>
    <t>-835.780649985901 131.034572525789 -168.4301482916</t>
  </si>
  <si>
    <t>-850.450996597898 133.660503837563 -265.921318723153</t>
  </si>
  <si>
    <t>-858.898638851139 140.120264420088 -354.381302307693</t>
  </si>
  <si>
    <t>-861.980209712044 150.472093480497 -442.820916595803</t>
  </si>
  <si>
    <t>-860.496872279487 168.766835964427 -566.043983791158</t>
  </si>
  <si>
    <t>-838.18390541414 182.300527475018 -644.936399852767</t>
  </si>
  <si>
    <t>-862.50456811125 188.094521545925 -507.771214288326</t>
  </si>
  <si>
    <t>-858.522798800682 320.570903188217 -471.26751191176</t>
  </si>
  <si>
    <t>-749.446795849917 307.182869503561 -198.294224089431</t>
  </si>
  <si>
    <t>-510.458302063889 306.688962612006 -228.873897391114</t>
  </si>
  <si>
    <t>-859.794924534983 133.338022158574 -515.868085982548</t>
  </si>
  <si>
    <t>-831.45332927461 234.350352942178 -59.3445376398026</t>
  </si>
  <si>
    <t>-802.509139227952 228.36170716834 343.124149887803</t>
  </si>
  <si>
    <t>-835.16032682247 172.897786848055 786.187587714607</t>
  </si>
  <si>
    <t>-707.780889460815 244.469717637853 847.337149951212</t>
  </si>
  <si>
    <t>-777.144551735935 48.0811859109976 -57.623801068169</t>
  </si>
  <si>
    <t>-639.533812183932 49.6016979071183 321.738193255828</t>
  </si>
  <si>
    <t>-729.249905471429 -2.04270210828918 757.628792101512</t>
  </si>
  <si>
    <t>-622.902555813105 -90.503882081709 834.779256726417</t>
  </si>
  <si>
    <t>9763-20170724T111132.784211600.bin</t>
  </si>
  <si>
    <t>-804.010705343053 140.474969312301 -57.5057936766141</t>
  </si>
  <si>
    <t>-836.029387692409 130.221608387681 -168.347606461198</t>
  </si>
  <si>
    <t>-850.988229942959 133.027974173609 -265.789848813525</t>
  </si>
  <si>
    <t>-859.68041693034 139.732104796589 -354.207910677493</t>
  </si>
  <si>
    <t>-862.984729351346 150.407633331488 -442.601093019906</t>
  </si>
  <si>
    <t>-861.784959567197 169.235664615793 -565.746875211781</t>
  </si>
  <si>
    <t>-839.465878300086 183.148346907154 -644.571538433637</t>
  </si>
  <si>
    <t>-863.7227742208 188.307791534357 -507.387469954379</t>
  </si>
  <si>
    <t>-860.005068421912 320.617502529682 -470.279725843359</t>
  </si>
  <si>
    <t>-750.592836026341 305.872375989289 -197.511092226703</t>
  </si>
  <si>
    <t>-511.724331327102 305.09600623627 -229.008742803898</t>
  </si>
  <si>
    <t>-860.902886010389 133.593198288432 -515.725393070678</t>
  </si>
  <si>
    <t>-831.655668396837 233.764149689458 -59.24758784936</t>
  </si>
  <si>
    <t>-802.097433632715 228.214923650084 343.182807172607</t>
  </si>
  <si>
    <t>-835.074400793711 172.808703484774 786.166569531074</t>
  </si>
  <si>
    <t>-707.745575298106 244.428005783205 847.365845381941</t>
  </si>
  <si>
    <t>-776.793913186229 47.0933893822539 -57.7401069927168</t>
  </si>
  <si>
    <t>-638.441451279323 49.562761858173 321.347198429203</t>
  </si>
  <si>
    <t>-729.090233920801 -2.06729475810971 757.118601686986</t>
  </si>
  <si>
    <t>-622.906989194656 -90.4304594918556 834.606466337802</t>
  </si>
  <si>
    <t>9763-20170724T111132.816311400.bin</t>
  </si>
  <si>
    <t>-803.969856746162 140.133012486687 -57.4960018506665</t>
  </si>
  <si>
    <t>-836.169819786508 129.886128065364 -168.285759319428</t>
  </si>
  <si>
    <t>-851.265373416808 132.800548062596 -265.703869870388</t>
  </si>
  <si>
    <t>-860.068836061179 139.642175573173 -354.100384930043</t>
  </si>
  <si>
    <t>-863.469626329723 150.494090560198 -442.468355311576</t>
  </si>
  <si>
    <t>-862.388527423316 169.607461650291 -565.57126086922</t>
  </si>
  <si>
    <t>-840.060564428906 183.712948523955 -644.359155269115</t>
  </si>
  <si>
    <t>-864.299213958511 188.542944780177 -507.166459991451</t>
  </si>
  <si>
    <t>-860.666350999596 320.764779500398 -469.725916139634</t>
  </si>
  <si>
    <t>-751.092783167327 305.421790481477 -197.054988993565</t>
  </si>
  <si>
    <t>-512.274801680679 304.585096646905 -228.932561635162</t>
  </si>
  <si>
    <t>-861.429747164993 133.850544015756 -515.633114773126</t>
  </si>
  <si>
    <t>-831.543586314346 233.483930915165 -59.1916979845997</t>
  </si>
  <si>
    <t>-801.777797005432 228.200769880202 343.226904232783</t>
  </si>
  <si>
    <t>-834.940286239206 172.667552397021 786.15651672944</t>
  </si>
  <si>
    <t>-707.7584553442 244.532804676594 847.373129747258</t>
  </si>
  <si>
    <t>-776.799783466653 46.7687533776279 -57.8160374274711</t>
  </si>
  <si>
    <t>-638.014690389386 49.4104710761703 321.111862764266</t>
  </si>
  <si>
    <t>-729.063997785336 -2.20415965803886 756.857840252668</t>
  </si>
  <si>
    <t>-622.734668604367 -90.2663487549507 834.488048764108</t>
  </si>
  <si>
    <t>9763-20170724T111132.882495200.bin</t>
  </si>
  <si>
    <t>-804.121516176155 140.205399164225 -57.4749366165798</t>
  </si>
  <si>
    <t>-836.649104408451 130.033854978908 -168.175850789288</t>
  </si>
  <si>
    <t>-851.983187644019 133.188076779519 -265.549328115785</t>
  </si>
  <si>
    <t>-860.977028855309 140.315105372065 -353.904005646427</t>
  </si>
  <si>
    <t>-864.54001133944 151.518217882864 -442.22185551291</t>
  </si>
  <si>
    <t>-863.652329242109 171.189601260959 -565.238400693843</t>
  </si>
  <si>
    <t>-841.286107353788 185.64704625145 -643.951552484554</t>
  </si>
  <si>
    <t>-865.4879815688 189.859235684303 -506.745671106913</t>
  </si>
  <si>
    <t>-861.792396991257 321.892286396968 -468.661870091491</t>
  </si>
  <si>
    <t>-751.583616136724 305.634890642679 -196.300178872231</t>
  </si>
  <si>
    <t>-512.84672974784 304.570454502657 -228.773177445983</t>
  </si>
  <si>
    <t>-862.598093998374 135.207502407481 -515.464014875291</t>
  </si>
  <si>
    <t>-831.591686732995 233.674598653612 -59.0285054804629</t>
  </si>
  <si>
    <t>-801.331716155918 228.408593749218 343.35353301133</t>
  </si>
  <si>
    <t>-835.007354032057 172.658338022093 786.160528452388</t>
  </si>
  <si>
    <t>-707.646247312652 244.20357660867 847.379327001401</t>
  </si>
  <si>
    <t>-777.142998637937 46.7506104124145 -57.9577943520516</t>
  </si>
  <si>
    <t>-637.498958732654 49.4943740623503 320.653774111152</t>
  </si>
  <si>
    <t>-728.871893712037 -2.05567503144948 756.376494455823</t>
  </si>
  <si>
    <t>-622.738088688262 -90.123046885986 834.268023670235</t>
  </si>
  <si>
    <t>9763-20170724T111132.915442000.bin</t>
  </si>
  <si>
    <t>-804.305485704314 140.520018589396 -57.5067951995585</t>
  </si>
  <si>
    <t>-836.9667885831 130.407053830607 -168.173738542768</t>
  </si>
  <si>
    <t>-852.391488679902 133.678107345305 -265.529063162143</t>
  </si>
  <si>
    <t>-861.455139321534 140.93622639861 -353.86580786816</t>
  </si>
  <si>
    <t>-865.074225830092 152.295700277974 -442.16144475842</t>
  </si>
  <si>
    <t>-864.249445012992 172.209979058364 -565.139446943999</t>
  </si>
  <si>
    <t>-841.872954905234 186.810065100753 -643.823206438994</t>
  </si>
  <si>
    <t>-866.038866648232 190.764678028327 -506.608872596499</t>
  </si>
  <si>
    <t>-862.167764719164 322.71489154007 -468.2332595865</t>
  </si>
  <si>
    <t>-751.453004192136 306.178232006177 -196.093437967326</t>
  </si>
  <si>
    <t>-512.745514536014 304.918515534069 -228.773603883079</t>
  </si>
  <si>
    <t>-863.186098039501 136.128524035306 -515.436995791059</t>
  </si>
  <si>
    <t>-831.760384403113 233.926126870808 -58.9936240410318</t>
  </si>
  <si>
    <t>-801.429417025276 228.41235119144 343.379764161557</t>
  </si>
  <si>
    <t>-834.922822484361 172.53720760129 786.164701203352</t>
  </si>
  <si>
    <t>-707.637991901224 244.222844397333 847.377844626134</t>
  </si>
  <si>
    <t>-777.373819514523 47.1041803395328 -58.070278261742</t>
  </si>
  <si>
    <t>-637.413530822563 49.6252480111743 320.42607968567</t>
  </si>
  <si>
    <t>-728.801570016108 -1.97771311609949 756.156064206259</t>
  </si>
  <si>
    <t>-622.87044362525 -90.1927373194228 834.155792052732</t>
  </si>
  <si>
    <t>9763-20170724T111132.985633300.bin</t>
  </si>
  <si>
    <t>-805.09104560199 141.158636602611 -57.6841944794866</t>
  </si>
  <si>
    <t>-837.844934701923 131.203538727039 -168.338194400753</t>
  </si>
  <si>
    <t>-853.330589509714 134.694621655414 -265.675989717512</t>
  </si>
  <si>
    <t>-862.436824067757 142.182775245468 -353.989371325346</t>
  </si>
  <si>
    <t>-866.083776090422 153.800474750276 -442.250262962102</t>
  </si>
  <si>
    <t>-865.279997639085 174.101452141289 -565.165006735854</t>
  </si>
  <si>
    <t>-842.887473121843 188.858704462109 -643.814920585378</t>
  </si>
  <si>
    <t>-866.999418976931 192.474676239034 -506.575023025792</t>
  </si>
  <si>
    <t>-862.68035583112 324.274006095899 -467.74538054754</t>
  </si>
  <si>
    <t>-750.95348538407 307.285613181911 -196.047511949592</t>
  </si>
  <si>
    <t>-512.271374904157 305.511223954361 -228.888823633748</t>
  </si>
  <si>
    <t>-864.267915842492 137.86086556833 -515.577350121456</t>
  </si>
  <si>
    <t>-861.776561594129 0.611197057127356 -508.260477322873</t>
  </si>
  <si>
    <t>-832.486049964987 234.525860487529 -59.0593937138902</t>
  </si>
  <si>
    <t>-802.22029063263 228.660942835575 343.313909955153</t>
  </si>
  <si>
    <t>-834.964156207131 172.567802564694 786.12085594676</t>
  </si>
  <si>
    <t>-707.630343556883 244.134514628418 847.370549111592</t>
  </si>
  <si>
    <t>-778.145073040277 47.6395442728531 -58.3441958867284</t>
  </si>
  <si>
    <t>-637.472230309411 49.788643538102 319.890027009915</t>
  </si>
  <si>
    <t>-728.809251083515 -2.24145420147806 755.603570847584</t>
  </si>
  <si>
    <t>-622.658563300913 -89.9786606947614 833.843745962666</t>
  </si>
  <si>
    <t>9763-20170724T111133.012708600.bin</t>
  </si>
  <si>
    <t>-805.491238098271 141.441339611428 -57.7829210496296</t>
  </si>
  <si>
    <t>-838.281159891769 131.597318171203 -168.436174259097</t>
  </si>
  <si>
    <t>-853.78113514555 135.198831694576 -265.767856719434</t>
  </si>
  <si>
    <t>-862.89232984672 142.79167952188 -354.07164707111</t>
  </si>
  <si>
    <t>-866.535544358396 154.516159186366 -442.318537226051</t>
  </si>
  <si>
    <t>-865.716881021616 174.968041092 -565.2080393671</t>
  </si>
  <si>
    <t>-843.322152775528 189.769243429438 -643.849450825595</t>
  </si>
  <si>
    <t>-867.415100385186 193.270832829257 -506.595573213395</t>
  </si>
  <si>
    <t>-862.916841479132 325.011341680283 -467.585651872684</t>
  </si>
  <si>
    <t>-750.720528729855 307.827502585176 -196.093683522163</t>
  </si>
  <si>
    <t>-512.033670239323 305.840661725666 -228.888677469223</t>
  </si>
  <si>
    <t>-864.739194451653 138.665541672357 -515.66544230237</t>
  </si>
  <si>
    <t>-862.394215214737 1.40110415209256 -508.516835862251</t>
  </si>
  <si>
    <t>-832.862155248207 234.870608960342 -59.083197034439</t>
  </si>
  <si>
    <t>-802.460341810087 228.889571286305 343.278046276654</t>
  </si>
  <si>
    <t>-835.028909773836 172.610561167604 786.104610495621</t>
  </si>
  <si>
    <t>-707.58719732673 243.975272198397 847.366342606066</t>
  </si>
  <si>
    <t>-778.544226914663 47.9033331597807 -58.571947951369</t>
  </si>
  <si>
    <t>-637.611982691107 49.9907467486478 319.566135357703</t>
  </si>
  <si>
    <t>-728.744753523691 -2.30671331152143 755.295838464138</t>
  </si>
  <si>
    <t>-622.760526154005 -90.0780937135587 833.723114496052</t>
  </si>
  <si>
    <t>9763-20170724T111133.082897800.bin</t>
  </si>
  <si>
    <t>-805.997948791847 142.146749279716 -57.9919766153521</t>
  </si>
  <si>
    <t>-838.877780923342 132.58959896891 -168.643593139357</t>
  </si>
  <si>
    <t>-854.378059622161 136.414227186752 -265.966660884786</t>
  </si>
  <si>
    <t>-863.459348427717 144.19678264305 -354.257067143123</t>
  </si>
  <si>
    <t>-867.042812851809 156.097560342545 -442.482858177001</t>
  </si>
  <si>
    <t>-866.110480704757 176.778097627884 -565.333286068411</t>
  </si>
  <si>
    <t>-843.673312066147 191.607748160948 -643.957081634759</t>
  </si>
  <si>
    <t>-867.808180915298 194.974272475545 -506.687445649865</t>
  </si>
  <si>
    <t>-862.990254555826 326.614504895428 -467.368330937533</t>
  </si>
  <si>
    <t>-749.975052388751 309.189171687515 -196.231536141454</t>
  </si>
  <si>
    <t>-511.252389408339 306.510945180768 -228.715591077322</t>
  </si>
  <si>
    <t>-865.233039426808 140.38103129127 -515.858308474498</t>
  </si>
  <si>
    <t>-863.178150521207 3.09865251702195 -508.977334072982</t>
  </si>
  <si>
    <t>-833.190286761356 235.643644226161 -59.0505884718492</t>
  </si>
  <si>
    <t>-802.432804305206 229.413825759736 343.279863938509</t>
  </si>
  <si>
    <t>-835.047290800816 172.561028934716 786.076222128384</t>
  </si>
  <si>
    <t>-707.580674740086 243.875367626966 847.344816073252</t>
  </si>
  <si>
    <t>-779.228192361646 48.6007327886773 -58.9835440360023</t>
  </si>
  <si>
    <t>-637.838705962618 50.5371197681084 318.984574205733</t>
  </si>
  <si>
    <t>-728.521064264594 -2.37877844392642 754.665344118105</t>
  </si>
  <si>
    <t>-622.951492596335 -90.2304066229094 833.560256565217</t>
  </si>
  <si>
    <t>9763-20170724T111133.113984900.bin</t>
  </si>
  <si>
    <t>-806.194424695607 142.55848225763 -58.0796508415602</t>
  </si>
  <si>
    <t>-839.07515343876 133.141471787772 -168.743148748697</t>
  </si>
  <si>
    <t>-854.519502184568 137.060932245912 -266.071341157352</t>
  </si>
  <si>
    <t>-863.528166020342 144.917276493131 -354.362665386606</t>
  </si>
  <si>
    <t>-867.017694770565 156.877366561218 -442.584145305499</t>
  </si>
  <si>
    <t>-865.93195642553 177.6250648994 -565.422146334516</t>
  </si>
  <si>
    <t>-843.426930363728 192.421876905599 -644.032605245097</t>
  </si>
  <si>
    <t>-867.665545336592 195.790907722504 -506.767835802877</t>
  </si>
  <si>
    <t>-862.659903104741 327.382630443771 -467.317375402581</t>
  </si>
  <si>
    <t>-749.442537509206 309.896331508863 -196.268873034256</t>
  </si>
  <si>
    <t>-510.683158242285 306.859697398796 -228.449783003903</t>
  </si>
  <si>
    <t>-865.153743899393 141.199227737191 -515.966335684314</t>
  </si>
  <si>
    <t>-863.291227504156 3.91111974126534 -509.193594099568</t>
  </si>
  <si>
    <t>-833.348902188099 236.052153981379 -59.0360195093215</t>
  </si>
  <si>
    <t>-802.357362769593 229.682319688732 343.274338730525</t>
  </si>
  <si>
    <t>-835.002892575267 172.486384078774 786.047390965088</t>
  </si>
  <si>
    <t>-707.608781054404 243.92653913638 847.320047827627</t>
  </si>
  <si>
    <t>-779.466910611433 49.0149863646552 -59.1701755654207</t>
  </si>
  <si>
    <t>-637.793051144349 50.786212005471 318.692399194165</t>
  </si>
  <si>
    <t>-728.276045891123 -2.34656841771584 754.303175246132</t>
  </si>
  <si>
    <t>-622.870288681269 -90.1065679015192 833.518703752075</t>
  </si>
  <si>
    <t>9763-20170724T111133.186175500.bin</t>
  </si>
  <si>
    <t>-806.510543930372 144.014312228073 -58.1180124326011</t>
  </si>
  <si>
    <t>-839.349873548634 134.792921082273 -168.81027485042</t>
  </si>
  <si>
    <t>-854.659625768282 138.824400273061 -266.155068606187</t>
  </si>
  <si>
    <t>-863.509644434758 146.758202472523 -354.455415565029</t>
  </si>
  <si>
    <t>-866.804216628753 158.768220558401 -442.677595732327</t>
  </si>
  <si>
    <t>-865.410753630233 179.555978828017 -565.505823490212</t>
  </si>
  <si>
    <t>-842.748172958852 194.229368672984 -644.093971966837</t>
  </si>
  <si>
    <t>-867.203234660143 197.706366472345 -506.848711283611</t>
  </si>
  <si>
    <t>-861.801850489913 329.227626480865 -467.211448010008</t>
  </si>
  <si>
    <t>-748.042493695433 311.721913002149 -196.391195254728</t>
  </si>
  <si>
    <t>-509.234601230535 308.240018603849 -228.164497851323</t>
  </si>
  <si>
    <t>-864.845026710291 143.110316243114 -516.061653069774</t>
  </si>
  <si>
    <t>-863.428119314357 5.81449372449697 -509.357824017472</t>
  </si>
  <si>
    <t>-833.539130309046 237.420716472442 -59.0118325513648</t>
  </si>
  <si>
    <t>-802.441319849172 230.387265476935 343.279306650814</t>
  </si>
  <si>
    <t>-835.01303833792 172.462662466413 785.996832857847</t>
  </si>
  <si>
    <t>-707.563153410336 243.78595526644 847.289637257238</t>
  </si>
  <si>
    <t>-779.933865435232 50.6642108173442 -59.2765314031254</t>
  </si>
  <si>
    <t>-637.210590680091 51.486021304871 318.194034273221</t>
  </si>
  <si>
    <t>-727.845679833714 -1.94319467703872 753.74684008823</t>
  </si>
  <si>
    <t>-622.911626291776 -89.8402458609264 833.435126197113</t>
  </si>
  <si>
    <t>9763-20170724T111133.218261900.bin</t>
  </si>
  <si>
    <t>-806.62684283953 144.694859670415 -58.0816287696558</t>
  </si>
  <si>
    <t>-839.447668279013 135.519242772741 -168.783047179724</t>
  </si>
  <si>
    <t>-854.711608516498 139.576453759361 -266.134101867723</t>
  </si>
  <si>
    <t>-863.508023497464 147.527185436628 -354.438323513046</t>
  </si>
  <si>
    <t>-866.737320901706 159.547168201167 -442.661561629044</t>
  </si>
  <si>
    <t>-865.24094252979 180.339785655822 -565.48776161394</t>
  </si>
  <si>
    <t>-842.515289041274 194.933163062559 -644.072617477431</t>
  </si>
  <si>
    <t>-867.041827300137 198.489536268917 -506.830462389654</t>
  </si>
  <si>
    <t>-861.44239847904 329.984197276045 -467.128482693109</t>
  </si>
  <si>
    <t>-747.343428356418 312.551765936998 -196.446388448227</t>
  </si>
  <si>
    <t>-508.490116063942 309.012771150075 -227.870690427539</t>
  </si>
  <si>
    <t>-864.757607806871 143.890678394335 -516.045393179106</t>
  </si>
  <si>
    <t>-863.546548475367 6.59211854714522 -509.337358990306</t>
  </si>
  <si>
    <t>-833.570186442587 238.082700279896 -58.9694827123502</t>
  </si>
  <si>
    <t>-802.422756018795 230.730182881459 343.312072571235</t>
  </si>
  <si>
    <t>-834.993232660198 172.432050364521 785.990152870907</t>
  </si>
  <si>
    <t>-707.532899269109 243.737123568168 847.282683775699</t>
  </si>
  <si>
    <t>-780.116146092199 51.2473951013226 -59.211762180339</t>
  </si>
  <si>
    <t>-636.87456824084 51.6120133062527 318.063144973432</t>
  </si>
  <si>
    <t>-727.803049483933 -1.94003567665504 753.553364940992</t>
  </si>
  <si>
    <t>-622.88490102991 -89.751180384437 833.357300468818</t>
  </si>
  <si>
    <t>9763-20170724T111133.283411800.bin</t>
  </si>
  <si>
    <t>-806.696650108094 145.616509581573 -58.0795131563071</t>
  </si>
  <si>
    <t>-839.44368384501 136.588867091353 -168.814918626355</t>
  </si>
  <si>
    <t>-854.59165273832 140.69663678801 -266.181889650756</t>
  </si>
  <si>
    <t>-863.264588374346 148.660873613658 -354.497231262107</t>
  </si>
  <si>
    <t>-866.353362112114 160.659882730746 -442.728288682567</t>
  </si>
  <si>
    <t>-864.643903212717 181.38630452209 -565.562761870009</t>
  </si>
  <si>
    <t>-841.791792713793 195.708631031994 -644.160936512003</t>
  </si>
  <si>
    <t>-866.47934051698 199.570062402295 -506.917303602847</t>
  </si>
  <si>
    <t>-860.482308291785 331.016038912351 -467.121120144139</t>
  </si>
  <si>
    <t>-745.665331341526 313.861298807866 -196.725030701984</t>
  </si>
  <si>
    <t>-506.684889331656 309.934251883034 -227.118590871283</t>
  </si>
  <si>
    <t>-864.312932431982 144.961367658737 -516.101486499898</t>
  </si>
  <si>
    <t>-863.497348740437 7.66032942486845 -509.325691018695</t>
  </si>
  <si>
    <t>-833.575882916232 239.166122840252 -58.8883962481563</t>
  </si>
  <si>
    <t>-802.186202873979 231.261438547653 343.363840939056</t>
  </si>
  <si>
    <t>-835.039472928127 172.440483991799 785.961513808199</t>
  </si>
  <si>
    <t>-707.470756001079 243.54890058197 847.257020880061</t>
  </si>
  <si>
    <t>-780.235442970152 51.9101819785501 -59.3037413090627</t>
  </si>
  <si>
    <t>-636.447491377853 52.0243318228668 317.763309729145</t>
  </si>
  <si>
    <t>-727.700656504703 -1.93963010158222 753.107458471413</t>
  </si>
  <si>
    <t>-623.081695776905 -89.8372456059217 833.208408494678</t>
  </si>
  <si>
    <t>9763-20170724T111133.326145500.bin</t>
  </si>
  <si>
    <t>-806.63522384364 146.05441805012 -58.1145257334549</t>
  </si>
  <si>
    <t>-839.338133701273 137.131643707879 -168.871443878931</t>
  </si>
  <si>
    <t>-854.425982172135 141.25433754993 -266.247111230199</t>
  </si>
  <si>
    <t>-863.038249854312 149.201693377815 -354.570025323393</t>
  </si>
  <si>
    <t>-866.061442266608 161.152255579752 -442.809889034831</t>
  </si>
  <si>
    <t>-864.25672231532 181.778025890868 -565.659895493962</t>
  </si>
  <si>
    <t>-841.341857089629 195.912588858411 -644.273884212285</t>
  </si>
  <si>
    <t>-866.110132853496 200.010730373641 -507.030276736812</t>
  </si>
  <si>
    <t>-859.949886079528 331.456814719669 -467.250428792054</t>
  </si>
  <si>
    <t>-744.832640612625 314.618393702148 -196.962234492429</t>
  </si>
  <si>
    <t>-505.764070014094 310.403122584092 -226.615207697867</t>
  </si>
  <si>
    <t>-863.991580989195 145.392318579531 -516.169175892934</t>
  </si>
  <si>
    <t>-863.350829142314 8.10150221559752 -509.320565617313</t>
  </si>
  <si>
    <t>-833.4852141134 239.653817939128 -58.8561860445658</t>
  </si>
  <si>
    <t>-801.971860599667 231.480273010487 343.381004531991</t>
  </si>
  <si>
    <t>-834.986657179294 172.365096940356 785.944701113535</t>
  </si>
  <si>
    <t>-707.436464453689 243.506990996986 847.239763300523</t>
  </si>
  <si>
    <t>-780.206472602661 52.4084332172101 -59.4197324616987</t>
  </si>
  <si>
    <t>-636.314333873376 52.12783470973 317.607741124985</t>
  </si>
  <si>
    <t>-727.677127990378 -2.13300647116603 752.861221692661</t>
  </si>
  <si>
    <t>-623.042418374444 -89.8203095659096 833.171587151558</t>
  </si>
  <si>
    <t>9763-20170724T111133.398065700.bin</t>
  </si>
  <si>
    <t>-806.473446445524 146.658577610617 -58.124847557433</t>
  </si>
  <si>
    <t>-839.127539453546 137.836374796049 -168.904314921644</t>
  </si>
  <si>
    <t>-854.155302785509 141.961467790874 -266.28910469116</t>
  </si>
  <si>
    <t>-862.709682875017 149.876612012878 -354.620341671142</t>
  </si>
  <si>
    <t>-865.672113855535 161.760728560755 -442.871458394618</t>
  </si>
  <si>
    <t>-863.780825444429 182.256874723759 -565.741851793682</t>
  </si>
  <si>
    <t>-840.811143019778 196.18246420719 -644.377090689126</t>
  </si>
  <si>
    <t>-865.648488990131 200.55252636422 -507.13208757849</t>
  </si>
  <si>
    <t>-859.323003162353 332.015152007051 -467.432214725068</t>
  </si>
  <si>
    <t>-743.962731240783 315.41014095635 -197.233107473938</t>
  </si>
  <si>
    <t>-504.79714087782 310.991023873032 -226.062826167141</t>
  </si>
  <si>
    <t>-863.57757036241 145.922518402823 -516.213080252547</t>
  </si>
  <si>
    <t>-863.115218118885 8.63390879951885 -509.248449262915</t>
  </si>
  <si>
    <t>-833.26377897448 240.214922193579 -58.8173249265334</t>
  </si>
  <si>
    <t>-801.758645204066 231.739180785979 343.414273494636</t>
  </si>
  <si>
    <t>-834.881933893276 172.238915428358 785.936081143847</t>
  </si>
  <si>
    <t>-707.415873186681 243.535973117791 847.225491978866</t>
  </si>
  <si>
    <t>-780.083308987827 53.1176831063749 -59.4903451013524</t>
  </si>
  <si>
    <t>-636.001665733965 52.2540523500215 317.463794812398</t>
  </si>
  <si>
    <t>-727.596084555708 -2.2089797225326 752.619593443691</t>
  </si>
  <si>
    <t>-623.257674665145 -90.0244718096837 833.175696653413</t>
  </si>
  <si>
    <t>9763-20170724T111133.485337800.bin</t>
  </si>
  <si>
    <t>-806.375686995151 147.969981842829 -58.0826927468146</t>
  </si>
  <si>
    <t>-838.875510602151 139.287912156176 -168.918622276536</t>
  </si>
  <si>
    <t>-853.754665490401 143.372726111722 -266.328025746578</t>
  </si>
  <si>
    <t>-862.173078471187 151.186450876747 -354.681331229372</t>
  </si>
  <si>
    <t>-865.002429711616 162.902303834116 -442.95913717147</t>
  </si>
  <si>
    <t>-862.929423808659 183.094482910443 -565.876965643298</t>
  </si>
  <si>
    <t>-839.880999677679 196.537168035917 -644.573299194409</t>
  </si>
  <si>
    <t>-864.820527135167 201.53717126627 -507.314079272803</t>
  </si>
  <si>
    <t>-858.089264219712 333.029916168377 -467.789666596254</t>
  </si>
  <si>
    <t>-742.340235129815 316.981879071259 -197.723182785582</t>
  </si>
  <si>
    <t>-502.988735195364 312.39603901566 -224.936549369836</t>
  </si>
  <si>
    <t>-862.862734197386 146.880638095357 -516.259615495005</t>
  </si>
  <si>
    <t>-862.787290087185 9.60755159345808 -508.973580865992</t>
  </si>
  <si>
    <t>-833.184463925318 241.60966748573 -58.7297647779587</t>
  </si>
  <si>
    <t>-801.649207104533 232.422645933823 343.483812079714</t>
  </si>
  <si>
    <t>-834.972481928112 172.292954047112 785.907304261713</t>
  </si>
  <si>
    <t>-707.326245009059 243.259547858752 847.205790787667</t>
  </si>
  <si>
    <t>-779.999346798892 54.2730800423424 -59.454529459092</t>
  </si>
  <si>
    <t>-635.425363074389 52.5723235820228 317.308147266021</t>
  </si>
  <si>
    <t>-727.576617028747 -2.53799745872038 752.234041186436</t>
  </si>
  <si>
    <t>-623.125476951456 -89.8750447759255 833.163126426891</t>
  </si>
  <si>
    <t>9763-20170724T111133.515421000.bin</t>
  </si>
  <si>
    <t>-806.263599478011 149.919770354296 -58.0324310922804</t>
  </si>
  <si>
    <t>-838.467692289528 141.409777334114 -168.967933045847</t>
  </si>
  <si>
    <t>-853.072930004454 145.386114770709 -266.423357680325</t>
  </si>
  <si>
    <t>-861.245443813247 152.9981964039 -354.817353827105</t>
  </si>
  <si>
    <t>-863.834489588643 164.409207018879 -443.142421423087</t>
  </si>
  <si>
    <t>-861.43741823609 184.066699367449 -566.14099294509</t>
  </si>
  <si>
    <t>-838.243557743598 196.717014087532 -644.925697068239</t>
  </si>
  <si>
    <t>-863.390035027431 202.766656494308 -507.661777574013</t>
  </si>
  <si>
    <t>-856.037844734077 334.345186003347 -468.555678791573</t>
  </si>
  <si>
    <t>-739.370467976635 319.235780506375 -198.830591025961</t>
  </si>
  <si>
    <t>-499.790674886807 314.421154905023 -223.915143623912</t>
  </si>
  <si>
    <t>-861.594565235273 148.066290671608 -516.369038475627</t>
  </si>
  <si>
    <t>-862.030222800162 10.8207751420455 -508.518568345488</t>
  </si>
  <si>
    <t>-832.975964179372 243.558868702345 -58.6493800307999</t>
  </si>
  <si>
    <t>-801.278601562866 233.367955019727 343.527325060102</t>
  </si>
  <si>
    <t>-834.811657645737 172.128661399939 785.830844176104</t>
  </si>
  <si>
    <t>-707.314701621774 243.339963652787 847.155659109517</t>
  </si>
  <si>
    <t>-779.969795922336 56.2736039498036 -59.4483180861843</t>
  </si>
  <si>
    <t>-634.977904966838 53.3852910527789 317.146452506304</t>
  </si>
  <si>
    <t>-727.380064612655 -2.4994577242519 751.803874960857</t>
  </si>
  <si>
    <t>-623.260590085278 -89.8192026490806 833.177576143383</t>
  </si>
  <si>
    <t>9763-20170724T111133.581136800.bin</t>
  </si>
  <si>
    <t>-806.058336101109 151.483270032458 -57.9861971979544</t>
  </si>
  <si>
    <t>-838.047933415314 143.059139362838 -168.990364835071</t>
  </si>
  <si>
    <t>-852.465858757923 146.915687485103 -266.478245060101</t>
  </si>
  <si>
    <t>-860.475313544384 154.343913023879 -354.903018400944</t>
  </si>
  <si>
    <t>-862.91230242755 165.494905533852 -443.265538691354</t>
  </si>
  <si>
    <t>-860.317068852735 184.71155997124 -566.329793746546</t>
  </si>
  <si>
    <t>-836.997986217615 196.823706940955 -645.162061094755</t>
  </si>
  <si>
    <t>-862.304154651519 203.622589838677 -507.919649251531</t>
  </si>
  <si>
    <t>-854.553565132157 335.303088840025 -469.202246816184</t>
  </si>
  <si>
    <t>-736.599942983796 321.115078248898 -199.987014907599</t>
  </si>
  <si>
    <t>-496.889973952995 316.265669920585 -223.78845508652</t>
  </si>
  <si>
    <t>-860.614223610818 148.888045843356 -516.430930127186</t>
  </si>
  <si>
    <t>-861.408945390963 11.6766948163399 -508.116677146768</t>
  </si>
  <si>
    <t>-832.66503872165 245.001849207979 -58.6078058897288</t>
  </si>
  <si>
    <t>-800.968303375102 234.1309242358 343.551127697788</t>
  </si>
  <si>
    <t>-834.756345996087 172.082731333115 785.770255572228</t>
  </si>
  <si>
    <t>-707.245459178062 243.252244397298 847.11563206006</t>
  </si>
  <si>
    <t>-779.845261433756 57.9448689166552 -59.4144176815661</t>
  </si>
  <si>
    <t>-634.66648493046 54.1625289374529 317.100590897057</t>
  </si>
  <si>
    <t>-727.165894593787 -2.24587626352559 751.618551591851</t>
  </si>
  <si>
    <t>-623.670560232546 -90.0666790149789 833.248854321054</t>
  </si>
  <si>
    <t>9763-20170724T111133.615253600.bin</t>
  </si>
  <si>
    <t>-805.926611781974 152.132719648323 -57.9574154615589</t>
  </si>
  <si>
    <t>-837.79738709817 143.745392089186 -168.998644942291</t>
  </si>
  <si>
    <t>-852.114814691869 147.522550223289 -266.504348817128</t>
  </si>
  <si>
    <t>-860.038670310778 154.8350745003 -354.946516225485</t>
  </si>
  <si>
    <t>-862.397068336266 165.826257675968 -443.331217978374</t>
  </si>
  <si>
    <t>-859.700771284544 184.774377011842 -566.434967951341</t>
  </si>
  <si>
    <t>-836.311278964606 196.602844645503 -645.289528024254</t>
  </si>
  <si>
    <t>-861.692620402687 203.813801593331 -508.06676720183</t>
  </si>
  <si>
    <t>-853.637411796702 335.539716032619 -469.572368826627</t>
  </si>
  <si>
    <t>-735.102292437955 321.89804542442 -200.5843281899</t>
  </si>
  <si>
    <t>-495.33602556507 316.858951489864 -223.771221667207</t>
  </si>
  <si>
    <t>-860.081888813206 149.058727896375 -516.45944046319</t>
  </si>
  <si>
    <t>-861.090980180574 11.862252544579 -507.860586614511</t>
  </si>
  <si>
    <t>-832.432455788585 245.62109632647 -58.6006880826453</t>
  </si>
  <si>
    <t>-800.793378516029 234.429335754182 343.553980601134</t>
  </si>
  <si>
    <t>-834.66963916474 172.015091775633 785.737690310648</t>
  </si>
  <si>
    <t>-707.226662022072 243.298546194543 847.09121657949</t>
  </si>
  <si>
    <t>-779.816656963818 58.5478264572303 -59.3719784835774</t>
  </si>
  <si>
    <t>-634.56832940638 54.4977614475292 317.113352476621</t>
  </si>
  <si>
    <t>-727.131968945391 -2.22860840970088 751.574662281979</t>
  </si>
  <si>
    <t>-623.594091161013 -89.9291730014104 833.280251093641</t>
  </si>
  <si>
    <t>9763-20170724T111133.681961400.bin</t>
  </si>
  <si>
    <t>-805.792704693261 153.409712823914 -57.8682163089746</t>
  </si>
  <si>
    <t>-837.418799068185 145.128329777182 -168.987109527968</t>
  </si>
  <si>
    <t>-851.531356193533 148.751223307246 -266.528828514836</t>
  </si>
  <si>
    <t>-859.281709456168 155.828204833519 -355.005274769721</t>
  </si>
  <si>
    <t>-861.482889064006 166.487972940894 -443.434785840874</t>
  </si>
  <si>
    <t>-858.588450401111 184.874338603601 -566.619105255753</t>
  </si>
  <si>
    <t>-835.034409215949 196.114908450871 -645.510636765042</t>
  </si>
  <si>
    <t>-860.578480014153 204.182321270006 -508.33901901208</t>
  </si>
  <si>
    <t>-851.882606429141 336.007127658847 -470.330288560081</t>
  </si>
  <si>
    <t>-732.13033235549 323.858088527003 -201.810363739564</t>
  </si>
  <si>
    <t>-492.256089635541 318.427320151616 -223.7592715362</t>
  </si>
  <si>
    <t>-859.145850908869 149.384732470838 -516.484467248001</t>
  </si>
  <si>
    <t>-860.647276892115 12.2320697821815 -507.261872668694</t>
  </si>
  <si>
    <t>-832.123718067671 247.001888057141 -58.5791453966854</t>
  </si>
  <si>
    <t>-800.745334251525 234.935289970785 343.570678919327</t>
  </si>
  <si>
    <t>-834.725294393995 172.08148594517 785.694739174959</t>
  </si>
  <si>
    <t>-707.062467851674 242.957823580719 847.062999730141</t>
  </si>
  <si>
    <t>-779.871762291189 59.7684490127099 -59.245597340926</t>
  </si>
  <si>
    <t>-634.432867356569 54.8821787706415 317.156293224081</t>
  </si>
  <si>
    <t>-727.107651614034 -2.17400974639395 751.52847921061</t>
  </si>
  <si>
    <t>-623.64387117152 -89.8349818655545 833.370528990765</t>
  </si>
  <si>
    <t>9763-20170724T111133.718060900.bin</t>
  </si>
  <si>
    <t>-805.62058938683 153.97086579381 -57.8439442078004</t>
  </si>
  <si>
    <t>-837.126756529951 145.732548932886 -169.000212966648</t>
  </si>
  <si>
    <t>-851.140142764618 149.265144813137 -266.559565140705</t>
  </si>
  <si>
    <t>-858.807234544737 156.210450798424 -355.053666898186</t>
  </si>
  <si>
    <t>-860.934232074998 166.68872501161 -443.5065087276</t>
  </si>
  <si>
    <t>-857.947808970397 184.770788267395 -566.73377554155</t>
  </si>
  <si>
    <t>-834.306618522036 195.699641067006 -645.64322389497</t>
  </si>
  <si>
    <t>-859.936019275619 204.223520788893 -508.501882655033</t>
  </si>
  <si>
    <t>-850.930351138774 336.106175354061 -470.753661508455</t>
  </si>
  <si>
    <t>-730.637311908421 324.63898432539 -202.445585189449</t>
  </si>
  <si>
    <t>-490.706034600077 319.133583205102 -223.743927113622</t>
  </si>
  <si>
    <t>-858.587857490712 149.404145496552 -516.513235878346</t>
  </si>
  <si>
    <t>-860.362988583354 12.2831529194918 -506.957215162527</t>
  </si>
  <si>
    <t>-831.8349045897 247.556434717989 -58.5543301318139</t>
  </si>
  <si>
    <t>-800.469897964177 235.17383082718 343.586876105261</t>
  </si>
  <si>
    <t>-834.645978555955 172.005228009665 785.687788976369</t>
  </si>
  <si>
    <t>-707.038559400869 242.988412024552 847.047676016094</t>
  </si>
  <si>
    <t>-779.798366793486 60.3193398925819 -59.190989712227</t>
  </si>
  <si>
    <t>-634.363100362977 55.0299589130977 317.206756539498</t>
  </si>
  <si>
    <t>-727.119528473095 -2.1762489927969 751.524909267857</t>
  </si>
  <si>
    <t>-623.709784587105 -89.8411447116916 833.43089648676</t>
  </si>
  <si>
    <t>9763-20170724T111133.782731700.bin</t>
  </si>
  <si>
    <t>-805.184715834266 155.013508518694 -57.7223102468807</t>
  </si>
  <si>
    <t>-836.461156268452 146.877118991531 -168.950857072688</t>
  </si>
  <si>
    <t>-850.25940201051 150.221020314818 -266.547575425202</t>
  </si>
  <si>
    <t>-857.735673245576 156.88651510322 -355.07951245752</t>
  </si>
  <si>
    <t>-859.681121041944 166.976109681314 -443.581869637188</t>
  </si>
  <si>
    <t>-856.455347181642 184.402556934634 -566.897284956245</t>
  </si>
  <si>
    <t>-832.59579562167 194.703608912559 -645.825428516221</t>
  </si>
  <si>
    <t>-858.483509895852 204.166249336225 -508.771531437703</t>
  </si>
  <si>
    <t>-848.995370699295 336.184075969439 -471.631038066418</t>
  </si>
  <si>
    <t>-727.911405961984 326.279811576671 -203.616376627038</t>
  </si>
  <si>
    <t>-487.857360787692 320.194356448118 -223.312216561012</t>
  </si>
  <si>
    <t>-857.266139832089 149.302099611018 -516.493028056051</t>
  </si>
  <si>
    <t>-859.488478760393 12.2386582764771 -506.228308036092</t>
  </si>
  <si>
    <t>-831.170580112208 248.602275284513 -58.4679421862975</t>
  </si>
  <si>
    <t>-799.86272057141 235.709361828451 343.661755196529</t>
  </si>
  <si>
    <t>-834.61444689042 171.965073012731 785.670867544507</t>
  </si>
  <si>
    <t>-706.94885178408 242.853357478233 847.019688995362</t>
  </si>
  <si>
    <t>-779.569748384605 61.3913060966702 -59.0557430867715</t>
  </si>
  <si>
    <t>-634.147656781114 55.1971231822404 317.333212268411</t>
  </si>
  <si>
    <t>-727.156940782018 -2.26966240733418 751.536515112509</t>
  </si>
  <si>
    <t>-623.883308618841 -89.9486490325949 833.599194857009</t>
  </si>
  <si>
    <t>9763-20170724T111133.814872000.bin</t>
  </si>
  <si>
    <t>-804.895709089554 155.506883822038 -57.6549555381555</t>
  </si>
  <si>
    <t>-836.077532761281 147.405733696143 -168.912777007624</t>
  </si>
  <si>
    <t>-849.779211887663 150.633099091839 -266.526763556789</t>
  </si>
  <si>
    <t>-857.168122253313 157.13480002656 -355.078281059963</t>
  </si>
  <si>
    <t>-859.028675068716 167.003708882398 -443.607296371446</t>
  </si>
  <si>
    <t>-855.69011339974 184.063024139913 -566.971205622254</t>
  </si>
  <si>
    <t>-831.700367935963 194.045375601838 -645.900761181664</t>
  </si>
  <si>
    <t>-857.749635805498 203.999682197181 -508.905881754862</t>
  </si>
  <si>
    <t>-848.094131662767 336.103493816502 -472.12888278487</t>
  </si>
  <si>
    <t>-726.844778802696 327.140351539073 -204.155926484297</t>
  </si>
  <si>
    <t>-486.726150753317 320.775292544839 -222.955763621694</t>
  </si>
  <si>
    <t>-856.568791336005 149.112282582061 -516.463888824154</t>
  </si>
  <si>
    <t>-858.946194058693 12.0803016410632 -505.787288705984</t>
  </si>
  <si>
    <t>-830.824889945764 249.115797045973 -58.4102075539772</t>
  </si>
  <si>
    <t>-799.53998240446 235.962853340926 343.712833269151</t>
  </si>
  <si>
    <t>-834.621435861279 171.978828819802 785.655327666606</t>
  </si>
  <si>
    <t>-706.904013001351 242.766487816487 847.011699761433</t>
  </si>
  <si>
    <t>-779.327794922772 61.8323229205635 -58.9688493962858</t>
  </si>
  <si>
    <t>-633.916614449989 55.4128288166598 317.420611592613</t>
  </si>
  <si>
    <t>-727.121751693049 -2.20834204407447 751.532299470472</t>
  </si>
  <si>
    <t>-623.996340085533 -89.9649016480287 833.698491251727</t>
  </si>
  <si>
    <t>9763-20170724T111133.884058000.bin</t>
  </si>
  <si>
    <t>-804.284397196613 156.272150564439 -57.4854574503402</t>
  </si>
  <si>
    <t>-835.270770837597 148.197241123756 -168.799621484541</t>
  </si>
  <si>
    <t>-848.769615860443 151.161552266932 -266.450439448596</t>
  </si>
  <si>
    <t>-855.970814213271 157.311275306104 -355.042442561484</t>
  </si>
  <si>
    <t>-857.645883374951 166.714405040761 -443.625948479464</t>
  </si>
  <si>
    <t>-854.055253983421 183.00469642237 -567.086556184676</t>
  </si>
  <si>
    <t>-829.747728108848 192.339893936813 -645.998099578102</t>
  </si>
  <si>
    <t>-856.18935145164 203.303714931854 -509.149409293859</t>
  </si>
  <si>
    <t>-846.236482718301 335.592191139465 -473.102191009744</t>
  </si>
  <si>
    <t>-724.392925917644 328.126473613538 -205.352963843996</t>
  </si>
  <si>
    <t>-484.140113822549 321.280812163659 -222.164345284703</t>
  </si>
  <si>
    <t>-855.081214749331 148.368472762937 -516.365754745887</t>
  </si>
  <si>
    <t>-857.77278683441 11.4102206660764 -504.826541260514</t>
  </si>
  <si>
    <t>-830.182576226387 249.928105528579 -58.2921801463846</t>
  </si>
  <si>
    <t>-798.872571700801 236.299008228776 343.813017293565</t>
  </si>
  <si>
    <t>-834.504090978393 171.875287712565 785.640819082196</t>
  </si>
  <si>
    <t>-706.82322476975 242.722008507686 847.0054324102</t>
  </si>
  <si>
    <t>-778.765803501281 62.5453436256275 -58.7441811332378</t>
  </si>
  <si>
    <t>-633.299925034209 55.5447863047602 317.613812751289</t>
  </si>
  <si>
    <t>-727.139043465615 -2.38512083318892 751.512378290867</t>
  </si>
  <si>
    <t>-623.95058198469 -89.8559674747275 833.903559897586</t>
  </si>
  <si>
    <t>9763-20170724T111133.914656000.bin</t>
  </si>
  <si>
    <t>-804.000927650606 156.573507139684 -57.4148100128346</t>
  </si>
  <si>
    <t>-834.854094733843 148.505007552123 -168.766468552766</t>
  </si>
  <si>
    <t>-848.216523582137 151.330776456063 -266.440052817228</t>
  </si>
  <si>
    <t>-855.291380633944 157.29754845491 -355.054852246672</t>
  </si>
  <si>
    <t>-856.839181544732 166.459587410065 -443.665754428732</t>
  </si>
  <si>
    <t>-853.072370394403 182.353218437145 -567.17305146372</t>
  </si>
  <si>
    <t>-828.566837487269 191.362234338756 -646.061191749083</t>
  </si>
  <si>
    <t>-855.269136336419 202.838639000016 -509.303876548544</t>
  </si>
  <si>
    <t>-845.191475769075 335.217764396409 -473.630141766979</t>
  </si>
  <si>
    <t>-722.832746809978 328.720678708435 -206.090805886607</t>
  </si>
  <si>
    <t>-482.52030699996 321.448700083471 -221.836996500707</t>
  </si>
  <si>
    <t>-854.190468093393 147.880069599699 -516.343292867415</t>
  </si>
  <si>
    <t>-857.069812525148 10.9654460690726 -504.370949164374</t>
  </si>
  <si>
    <t>-829.850866826714 250.282051744583 -58.2505878353358</t>
  </si>
  <si>
    <t>-798.640599801684 236.394041668888 343.853602278928</t>
  </si>
  <si>
    <t>-834.437643286069 171.827348993274 785.626899593937</t>
  </si>
  <si>
    <t>-706.789097049248 242.726788177215 846.998510523855</t>
  </si>
  <si>
    <t>-778.490577932835 62.7881631455143 -58.6192176232676</t>
  </si>
  <si>
    <t>-632.931452446439 55.5970275746613 317.699239726358</t>
  </si>
  <si>
    <t>-727.128992483079 -2.44607738996956 751.487482945382</t>
  </si>
  <si>
    <t>-623.929053177025 -89.7894102234677 833.999214107741</t>
  </si>
  <si>
    <t>9763-20170724T111133.982840200.bin</t>
  </si>
  <si>
    <t>-803.396816527787 157.250053150114 -57.2928665376469</t>
  </si>
  <si>
    <t>-833.907046967057 149.182833431672 -168.739011660057</t>
  </si>
  <si>
    <t>-846.941516768325 151.649508315786 -266.466605436157</t>
  </si>
  <si>
    <t>-853.718440450308 157.145546470363 -355.135183085118</t>
  </si>
  <si>
    <t>-854.974601403564 165.691592697708 -443.812225402727</t>
  </si>
  <si>
    <t>-850.812204786073 180.572085086579 -567.432870465053</t>
  </si>
  <si>
    <t>-825.897520643642 188.884133114085 -646.269420522363</t>
  </si>
  <si>
    <t>-853.128361061812 201.532204755084 -509.738622576299</t>
  </si>
  <si>
    <t>-842.812103529735 334.138217274033 -475.002697702252</t>
  </si>
  <si>
    <t>-719.495288723347 330.430954151933 -207.850238438882</t>
  </si>
  <si>
    <t>-479.065804182308 322.307479558209 -221.212838581577</t>
  </si>
  <si>
    <t>-852.159416954323 146.515766052136 -516.328541451003</t>
  </si>
  <si>
    <t>-855.43835464242 9.69807349454504 -503.390977323102</t>
  </si>
  <si>
    <t>-829.218603958665 251.05371451169 -58.2264571879771</t>
  </si>
  <si>
    <t>-798.204458714528 236.63768834235 343.87420043304</t>
  </si>
  <si>
    <t>-834.347500900182 171.77502930074 785.592618482311</t>
  </si>
  <si>
    <t>-706.706444266158 242.672499712945 846.981518542489</t>
  </si>
  <si>
    <t>-777.919527897652 63.4386944124658 -58.407513400129</t>
  </si>
  <si>
    <t>-632.250173640061 55.6927815578752 317.857101416917</t>
  </si>
  <si>
    <t>-727.154401999152 -2.65454441639122 751.450963822099</t>
  </si>
  <si>
    <t>-624.176732593456 -90.0138112240359 834.22336472081</t>
  </si>
  <si>
    <t>9763-20170724T111134.017102200.bin</t>
  </si>
  <si>
    <t>-803.193072649576 157.630902178264 -57.2151426347225</t>
  </si>
  <si>
    <t>-833.501687531006 149.585379186454 -168.717918104347</t>
  </si>
  <si>
    <t>-846.352319202234 151.864235545343 -266.474352611994</t>
  </si>
  <si>
    <t>-852.966100739188 157.107287723313 -355.170556572819</t>
  </si>
  <si>
    <t>-854.065753756775 165.316157696615 -443.881490797462</t>
  </si>
  <si>
    <t>-849.694586445644 179.638379929504 -567.560924777577</t>
  </si>
  <si>
    <t>-824.551683838115 187.576644646124 -646.363457747066</t>
  </si>
  <si>
    <t>-852.064260611935 200.859253388308 -509.964274459054</t>
  </si>
  <si>
    <t>-841.593919422533 333.601050966535 -475.7982265252</t>
  </si>
  <si>
    <t>-718.110741842166 331.053619875598 -208.709095742638</t>
  </si>
  <si>
    <t>-477.632142139709 322.665385616604 -220.97965859042</t>
  </si>
  <si>
    <t>-851.171555866754 145.812563551809 -516.307161613847</t>
  </si>
  <si>
    <t>-854.696636155212 9.05241559572551 -502.811364417613</t>
  </si>
  <si>
    <t>-829.005043114479 251.459153050298 -58.2091177321292</t>
  </si>
  <si>
    <t>-798.026036272452 236.798551906766 343.885481670173</t>
  </si>
  <si>
    <t>-834.29793620363 171.746080849042 785.575007172235</t>
  </si>
  <si>
    <t>-706.669984304436 242.65933418169 846.973007890627</t>
  </si>
  <si>
    <t>-777.784892402935 63.7717744446372 -58.2854000255396</t>
  </si>
  <si>
    <t>-632.007546298067 55.7249876438136 317.931103654872</t>
  </si>
  <si>
    <t>-727.131496923973 -2.68841820039324 751.443911524876</t>
  </si>
  <si>
    <t>-624.089964144909 -89.8659455290472 834.328373759041</t>
  </si>
  <si>
    <t>9763-20170724T111134.082762000.bin</t>
  </si>
  <si>
    <t>-802.85620605738 158.450350281077 -57.0607751266821</t>
  </si>
  <si>
    <t>-832.804514638332 150.398923495523 -168.660484737685</t>
  </si>
  <si>
    <t>-845.315072928166 152.274820276387 -266.469670301059</t>
  </si>
  <si>
    <t>-851.622225606782 156.993326757554 -355.217543026943</t>
  </si>
  <si>
    <t>-852.423900597071 164.516177984281 -443.992640640884</t>
  </si>
  <si>
    <t>-847.65173383459 177.711178069757 -567.78246025295</t>
  </si>
  <si>
    <t>-822.016486082531 184.836838172842 -646.504163569799</t>
  </si>
  <si>
    <t>-850.106409733511 199.456901000386 -510.385522016816</t>
  </si>
  <si>
    <t>-839.216973012053 332.450814316124 -477.338192913921</t>
  </si>
  <si>
    <t>-715.409586861823 331.755037806108 -210.387821671608</t>
  </si>
  <si>
    <t>-474.88028710062 322.956378397238 -221.301134546734</t>
  </si>
  <si>
    <t>-849.39699331682 144.352576400023 -516.231872996084</t>
  </si>
  <si>
    <t>-853.551910995387 7.7309869134092 -501.573345866832</t>
  </si>
  <si>
    <t>-828.563964368435 252.317408893256 -58.1773660368741</t>
  </si>
  <si>
    <t>-797.728479454044 237.133520958117 343.90881510252</t>
  </si>
  <si>
    <t>-834.166450601948 171.66000710257 785.541693792168</t>
  </si>
  <si>
    <t>-706.528795268225 242.546348468295 846.950714734846</t>
  </si>
  <si>
    <t>-777.532503254196 64.5203802364786 -58.0355706483317</t>
  </si>
  <si>
    <t>-631.833098834273 55.9663151088562 318.200072267974</t>
  </si>
  <si>
    <t>-727.226569739169 -2.8135936728504 751.568873864789</t>
  </si>
  <si>
    <t>-623.874999473447 -89.5340751156868 834.546577229224</t>
  </si>
  <si>
    <t>9763-20170724T111134.114354100.bin</t>
  </si>
  <si>
    <t>-802.654353561517 158.954171099544 -56.9804279039034</t>
  </si>
  <si>
    <t>-832.449941259765 150.881407154849 -168.619408160561</t>
  </si>
  <si>
    <t>-844.812845687633 152.546731381877 -266.451093908654</t>
  </si>
  <si>
    <t>-850.98642863804 156.997378369561 -355.222264169764</t>
  </si>
  <si>
    <t>-851.657116648848 164.174401202454 -444.027096178539</t>
  </si>
  <si>
    <t>-846.70877921217 176.80447915266 -567.868905041338</t>
  </si>
  <si>
    <t>-820.811029076722 183.527910601077 -646.539867278439</t>
  </si>
  <si>
    <t>-849.187994585582 198.812171246119 -510.572928065011</t>
  </si>
  <si>
    <t>-838.048849095546 331.923580730472 -478.095682822924</t>
  </si>
  <si>
    <t>-713.956909256584 332.29528035434 -211.276737521846</t>
  </si>
  <si>
    <t>-473.408112219603 323.340115170302 -221.616202835788</t>
  </si>
  <si>
    <t>-848.584639313492 143.681056064411 -516.171411938294</t>
  </si>
  <si>
    <t>-853.10457619638 7.13217393532113 -500.920078401963</t>
  </si>
  <si>
    <t>-828.305130771449 252.795652257435 -58.1611254979789</t>
  </si>
  <si>
    <t>-797.5299861542 237.37487806336 343.92060669954</t>
  </si>
  <si>
    <t>-834.123354726496 171.635358461754 785.523340646428</t>
  </si>
  <si>
    <t>-706.493118440655 242.53234519923 846.935785842637</t>
  </si>
  <si>
    <t>-777.386186194514 65.1157287804967 -57.8752442519694</t>
  </si>
  <si>
    <t>-631.73611716519 56.1817492836676 318.370480753568</t>
  </si>
  <si>
    <t>-727.24168094519 -2.70973880719293 751.684099383555</t>
  </si>
  <si>
    <t>-624.285051659221 -89.8648631899373 834.697179315307</t>
  </si>
  <si>
    <t>9763-20170724T111134.181542800.bin</t>
  </si>
  <si>
    <t>-802.207842420727 159.650390467727 -56.8433778193922</t>
  </si>
  <si>
    <t>-831.641172324649 151.679580936953 -168.585781079979</t>
  </si>
  <si>
    <t>-843.680744783642 152.971274108811 -266.463506726367</t>
  </si>
  <si>
    <t>-849.574150770042 156.902672941962 -355.278097731818</t>
  </si>
  <si>
    <t>-849.986853303483 163.378728460619 -444.138366437591</t>
  </si>
  <si>
    <t>-844.709257273575 174.843071634456 -568.080027443677</t>
  </si>
  <si>
    <t>-818.281515354778 180.778804669598 -646.638117148014</t>
  </si>
  <si>
    <t>-847.226809449656 197.389569574474 -510.995630517724</t>
  </si>
  <si>
    <t>-835.682901164895 330.762818841194 -479.7529127716</t>
  </si>
  <si>
    <t>-711.084046427872 333.765258194546 -213.187200473057</t>
  </si>
  <si>
    <t>-470.504099891365 324.322056380447 -222.302459088482</t>
  </si>
  <si>
    <t>-846.836603723729 142.206869069727 -516.083242543273</t>
  </si>
  <si>
    <t>-851.993430474813 5.82726354726401 -499.617877728924</t>
  </si>
  <si>
    <t>-827.573464929654 253.546206199984 -58.1105072645017</t>
  </si>
  <si>
    <t>-796.958884028277 237.727422915428 343.968041260588</t>
  </si>
  <si>
    <t>-834.013146263418 171.542466335668 785.513387981915</t>
  </si>
  <si>
    <t>-706.385941647125 242.458686173085 846.909507766838</t>
  </si>
  <si>
    <t>-777.218383119445 65.7291697258565 -57.645611776901</t>
  </si>
  <si>
    <t>-631.726299354076 56.353874589041 318.65049565596</t>
  </si>
  <si>
    <t>-727.318540693088 -2.72038092052208 751.897211716967</t>
  </si>
  <si>
    <t>-624.323900926001 -89.7772000392301 834.966268207116</t>
  </si>
  <si>
    <t>9763-20170724T111134.217640300.bin</t>
  </si>
  <si>
    <t>-802.034120601813 159.892405021105 -56.7725173729998</t>
  </si>
  <si>
    <t>-831.324519700107 151.990225268725 -168.5573894737</t>
  </si>
  <si>
    <t>-843.218691069631 153.106982746679 -266.45498548921</t>
  </si>
  <si>
    <t>-848.981316136488 156.788083802067 -355.289051142792</t>
  </si>
  <si>
    <t>-849.268053387848 162.922878627139 -444.173858671809</t>
  </si>
  <si>
    <t>-843.823644468075 173.8146007854 -568.159907490609</t>
  </si>
  <si>
    <t>-817.129635717631 179.36497915615 -646.656070194384</t>
  </si>
  <si>
    <t>-846.356899933945 196.624523751645 -511.180970282881</t>
  </si>
  <si>
    <t>-834.543572445858 330.124093899663 -480.570942044924</t>
  </si>
  <si>
    <t>-709.921880555693 334.425949801656 -214.033595195854</t>
  </si>
  <si>
    <t>-469.328560458537 324.731329833548 -222.506253063805</t>
  </si>
  <si>
    <t>-846.082144103956 141.418714245758 -516.018766475482</t>
  </si>
  <si>
    <t>-851.60595300891 5.12536794140215 -498.956825516277</t>
  </si>
  <si>
    <t>-827.243101492395 253.86930201125 -58.0534530567398</t>
  </si>
  <si>
    <t>-796.602980829494 237.856788191049 344.015492507743</t>
  </si>
  <si>
    <t>-833.97431852072 171.495876278768 785.529204887504</t>
  </si>
  <si>
    <t>-706.343324763902 242.417940380195 846.91068949477</t>
  </si>
  <si>
    <t>-777.225725007032 65.8014669527956 -57.5344080487237</t>
  </si>
  <si>
    <t>-631.771597262696 56.2843314402094 318.772963899173</t>
  </si>
  <si>
    <t>-727.384575205541 -2.73707720362518 752.023917686813</t>
  </si>
  <si>
    <t>-624.54291662588 -89.9356976706463 835.133769956726</t>
  </si>
  <si>
    <t>9763-20170724T111134.284820900.bin</t>
  </si>
  <si>
    <t>-801.779335803501 160.427028937698 -56.5176090270589</t>
  </si>
  <si>
    <t>-830.818860747361 152.579368607904 -168.371713912319</t>
  </si>
  <si>
    <t>-842.452437351532 153.310103750008 -266.304302453236</t>
  </si>
  <si>
    <t>-847.976263087027 156.467927278728 -355.173646865746</t>
  </si>
  <si>
    <t>-848.028288761255 161.904071660718 -444.104459541686</t>
  </si>
  <si>
    <t>-842.26836728463 171.636576014292 -568.172567371132</t>
  </si>
  <si>
    <t>-815.062175714228 176.375027326188 -646.546091097081</t>
  </si>
  <si>
    <t>-844.802276746292 194.978032338629 -511.409281754728</t>
  </si>
  <si>
    <t>-832.323192151767 328.694374032434 -482.029949013045</t>
  </si>
  <si>
    <t>-707.795897051778 335.119181717314 -215.491279725983</t>
  </si>
  <si>
    <t>-467.172830800176 325.095239965639 -222.624063264881</t>
  </si>
  <si>
    <t>-844.803585415252 139.729601889814 -515.743267941347</t>
  </si>
  <si>
    <t>-851.145400432683 3.62900030792707 -497.469848281177</t>
  </si>
  <si>
    <t>-826.661193270879 254.454498395755 -57.8887948348087</t>
  </si>
  <si>
    <t>-795.998345688513 238.115859368253 344.165386511956</t>
  </si>
  <si>
    <t>-833.891685348112 171.379654259768 785.588298032683</t>
  </si>
  <si>
    <t>-706.240881379505 242.305864676709 846.924595440915</t>
  </si>
  <si>
    <t>-777.237619142667 66.3441779228165 -57.1861958845795</t>
  </si>
  <si>
    <t>-631.698083677677 56.2650708785372 319.073446985269</t>
  </si>
  <si>
    <t>-727.521600227786 -2.70458204200895 752.255047176416</t>
  </si>
  <si>
    <t>-625.060715632786 -90.2569853945408 835.463467930023</t>
  </si>
  <si>
    <t>9763-20170724T111134.314928100.bin</t>
  </si>
  <si>
    <t>-801.703787012443 160.613102822231 -56.3803121421919</t>
  </si>
  <si>
    <t>-830.615538163996 152.772741353484 -168.268077966776</t>
  </si>
  <si>
    <t>-842.132748010973 153.304062227206 -266.215503696919</t>
  </si>
  <si>
    <t>-847.555348366263 156.199407201198 -355.100182487536</t>
  </si>
  <si>
    <t>-847.514153379171 161.289540533947 -444.051463675257</t>
  </si>
  <si>
    <t>-841.635859752773 170.451443357843 -568.157550912876</t>
  </si>
  <si>
    <t>-814.159089369022 174.768758769923 -646.460849578905</t>
  </si>
  <si>
    <t>-844.158578789193 194.053370741956 -511.501570084155</t>
  </si>
  <si>
    <t>-831.353153017859 327.86640989643 -482.717827788488</t>
  </si>
  <si>
    <t>-706.720667585905 335.381351565671 -216.256730794157</t>
  </si>
  <si>
    <t>-466.073449304448 325.384329674338 -222.566781339812</t>
  </si>
  <si>
    <t>-844.286509886761 138.786075772819 -515.587530738694</t>
  </si>
  <si>
    <t>-851.014061135922 2.78124460059462 -496.742158946467</t>
  </si>
  <si>
    <t>-826.436098310057 254.690404556115 -57.8197636456437</t>
  </si>
  <si>
    <t>-795.804089402234 238.198859027464 344.230492112668</t>
  </si>
  <si>
    <t>-833.870928154653 171.356877623929 785.601958132741</t>
  </si>
  <si>
    <t>-706.210821276998 242.277602194664 846.924097562156</t>
  </si>
  <si>
    <t>-777.316969316779 66.4460273033765 -57.0096021484987</t>
  </si>
  <si>
    <t>-631.848744280671 56.0480804066992 319.268990930248</t>
  </si>
  <si>
    <t>-727.801392371856 -3.15636074983604 752.396422615942</t>
  </si>
  <si>
    <t>-624.688657934074 -89.9269251602807 835.618835589939</t>
  </si>
  <si>
    <t>9763-20170724T111134.382618200.bin</t>
  </si>
  <si>
    <t>-801.653091069104 161.208639059771 -56.1339324445952</t>
  </si>
  <si>
    <t>-830.307889271663 153.414833210831 -168.090949047897</t>
  </si>
  <si>
    <t>-841.639498686632 153.498415871203 -266.061542782064</t>
  </si>
  <si>
    <t>-846.925225200702 155.795415711568 -354.971829896205</t>
  </si>
  <si>
    <t>-846.78776270883 160.094431398031 -443.964709309288</t>
  </si>
  <si>
    <t>-840.824808230178 167.951959820024 -568.156273717235</t>
  </si>
  <si>
    <t>-812.803982535498 171.425538964456 -646.308558003969</t>
  </si>
  <si>
    <t>-843.277050867012 192.146956934544 -511.747911675923</t>
  </si>
  <si>
    <t>-829.950283865058 326.207231124679 -484.388740148831</t>
  </si>
  <si>
    <t>-704.659040249645 336.227050651278 -218.319219182852</t>
  </si>
  <si>
    <t>-463.970607000172 326.27529991044 -222.884868839821</t>
  </si>
  <si>
    <t>-843.620504432948 136.841503990269 -515.263498771393</t>
  </si>
  <si>
    <t>-851.04079044581 1.05838703490053 -495.149664749898</t>
  </si>
  <si>
    <t>-826.16345785328 255.319478541541 -57.6526397698825</t>
  </si>
  <si>
    <t>-795.290046536157 238.606481992009 344.369967394333</t>
  </si>
  <si>
    <t>-833.721231305317 171.201706792138 785.646058443061</t>
  </si>
  <si>
    <t>-706.119172171663 242.254888935743 846.935973881388</t>
  </si>
  <si>
    <t>-777.494351570741 67.023541893343 -56.6861470742916</t>
  </si>
  <si>
    <t>-632.032053392272 56.0853938688483 319.579388382897</t>
  </si>
  <si>
    <t>-728.262456360253 -3.80201832332477 752.47216593066</t>
  </si>
  <si>
    <t>-625.014198704224 -90.2189042460932 835.894090894874</t>
  </si>
  <si>
    <t>9763-20170724T111134.415021700.bin</t>
  </si>
  <si>
    <t>-801.80023183972 161.505296246099 -56.0500785921265</t>
  </si>
  <si>
    <t>-830.327505628848 153.763900549793 -168.043314860808</t>
  </si>
  <si>
    <t>-841.574444904041 153.609133602698 -266.023511018295</t>
  </si>
  <si>
    <t>-846.803751642371 155.579477631767 -354.945022734176</t>
  </si>
  <si>
    <t>-846.635834178554 159.442000393914 -443.957878405457</t>
  </si>
  <si>
    <t>-840.661567104441 166.575174640018 -568.192512513936</t>
  </si>
  <si>
    <t>-812.358777144752 169.641126042186 -646.260271057985</t>
  </si>
  <si>
    <t>-843.061323656449 191.098311637636 -511.923629293899</t>
  </si>
  <si>
    <t>-829.462389406444 325.295352307508 -485.393843420941</t>
  </si>
  <si>
    <t>-703.761153819261 336.792912771164 -219.577666408532</t>
  </si>
  <si>
    <t>-463.047426906312 326.953994089973 -222.884456452853</t>
  </si>
  <si>
    <t>-843.519537784095 135.774495258107 -515.122340855781</t>
  </si>
  <si>
    <t>-851.290899480373 0.118691134332494 -494.282632688894</t>
  </si>
  <si>
    <t>-826.138717111937 255.638350490635 -57.5977544371727</t>
  </si>
  <si>
    <t>-795.185152291967 238.763438355685 344.411892757602</t>
  </si>
  <si>
    <t>-833.702713680784 171.189866165652 785.647899708045</t>
  </si>
  <si>
    <t>-706.062950503153 242.179555245504 846.933152796646</t>
  </si>
  <si>
    <t>-777.817529283758 67.3438559101314 -56.5624477553185</t>
  </si>
  <si>
    <t>-632.239005407626 56.115284722317 319.649668662264</t>
  </si>
  <si>
    <t>-728.415582278114 -4.11185195908683 752.480193005155</t>
  </si>
  <si>
    <t>-625.099225589494 -90.3159543894201 836.037931132738</t>
  </si>
  <si>
    <t>9763-20170724T111134.487709800.bin</t>
  </si>
  <si>
    <t>-802.168033206269 162.102590521946 -55.8681085987606</t>
  </si>
  <si>
    <t>-830.476807494927 154.374851840975 -167.917635827404</t>
  </si>
  <si>
    <t>-841.537025231653 153.681299056711 -265.916861591422</t>
  </si>
  <si>
    <t>-846.616831612879 154.947126922305 -354.859753883999</t>
  </si>
  <si>
    <t>-846.3296731494 157.887352012027 -443.907653978463</t>
  </si>
  <si>
    <t>-840.229521971705 163.507050845802 -568.213715684699</t>
  </si>
  <si>
    <t>-811.304160533341 165.686268595901 -646.082792549698</t>
  </si>
  <si>
    <t>-842.549434693614 188.711714515863 -512.243566103483</t>
  </si>
  <si>
    <t>-828.393084474264 323.193427158229 -487.472491666778</t>
  </si>
  <si>
    <t>-702.012752404304 338.050856043586 -222.145470238409</t>
  </si>
  <si>
    <t>-461.268004397973 328.426876461579 -222.604928225875</t>
  </si>
  <si>
    <t>-843.278464586042 133.356728659059 -514.781927829453</t>
  </si>
  <si>
    <t>-826.271851512645 256.277713254408 -57.5225118381948</t>
  </si>
  <si>
    <t>-795.000685376585 239.281505328725 344.457433702979</t>
  </si>
  <si>
    <t>-833.631430567865 171.151377477689 785.655573170725</t>
  </si>
  <si>
    <t>-705.953098729856 242.088836515682 846.920664370009</t>
  </si>
  <si>
    <t>-778.407813052381 67.869283739944 -56.2606196708768</t>
  </si>
  <si>
    <t>-632.645888387272 56.3823343760587 319.872650092741</t>
  </si>
  <si>
    <t>-728.471365437522 -4.28368246921309 752.620278063898</t>
  </si>
  <si>
    <t>-625.293948012826 -90.4290743286103 836.409553860937</t>
  </si>
  <si>
    <t>9763-20170724T111134.548376600.bin</t>
  </si>
  <si>
    <t>-802.667503486972 162.837770620686 -55.5379810206581</t>
  </si>
  <si>
    <t>-830.777176539735 155.031197226893 -167.632127506029</t>
  </si>
  <si>
    <t>-841.661995421088 153.71791838423 -265.644712413481</t>
  </si>
  <si>
    <t>-846.59985634947 154.201599847744 -354.603282916837</t>
  </si>
  <si>
    <t>-846.197083892747 156.136177781832 -443.678079076502</t>
  </si>
  <si>
    <t>-839.972776669679 160.117062957497 -568.041451910701</t>
  </si>
  <si>
    <t>-810.439112800582 161.219730706593 -645.704515404433</t>
  </si>
  <si>
    <t>-842.192866451123 186.054353579718 -512.403015572743</t>
  </si>
  <si>
    <t>-827.488452102041 320.79498706313 -489.440768878403</t>
  </si>
  <si>
    <t>-700.689872268978 339.075995342047 -224.527288753433</t>
  </si>
  <si>
    <t>-459.954666267526 329.554771626948 -221.940624082769</t>
  </si>
  <si>
    <t>-843.230687699314 130.676138649218 -514.227600808322</t>
  </si>
  <si>
    <t>-826.646513971728 256.996510569531 -57.3730193704703</t>
  </si>
  <si>
    <t>-794.77190832005 239.938309016567 344.556991882434</t>
  </si>
  <si>
    <t>-833.568634480243 171.09084306581 785.69632956544</t>
  </si>
  <si>
    <t>-705.837994111097 241.978982484589 846.909463707223</t>
  </si>
  <si>
    <t>-779.018264268766 68.6952182535474 -55.8018223445945</t>
  </si>
  <si>
    <t>-633.014805316116 56.8106126429475 320.225318039564</t>
  </si>
  <si>
    <t>-728.601788316542 -4.41038825320038 752.908479379682</t>
  </si>
  <si>
    <t>-625.624082613152 -90.6610649529209 836.835235143683</t>
  </si>
  <si>
    <t>9763-20170724T111134.581964800.bin</t>
  </si>
  <si>
    <t>-803.07614768769 163.345650734976 -55.3715835226782</t>
  </si>
  <si>
    <t>-831.098507057096 155.515402979078 -167.486102560837</t>
  </si>
  <si>
    <t>-841.90752077478 153.892658395207 -265.502456409878</t>
  </si>
  <si>
    <t>-846.786104053541 153.980134312578 -354.46552190516</t>
  </si>
  <si>
    <t>-846.338365806329 155.401239900847 -443.549880723844</t>
  </si>
  <si>
    <t>-840.072139224705 158.541709641719 -567.935010438104</t>
  </si>
  <si>
    <t>-810.232030985401 159.074805934757 -645.487113580291</t>
  </si>
  <si>
    <t>-842.228685811127 184.852719313531 -512.469807798118</t>
  </si>
  <si>
    <t>-827.235370384921 319.712671686827 -490.410536421735</t>
  </si>
  <si>
    <t>-700.479373626531 339.584136365751 -225.591209124033</t>
  </si>
  <si>
    <t>-459.766157906515 329.968424807706 -221.646846892931</t>
  </si>
  <si>
    <t>-843.430661994024 129.466797191049 -513.92876757225</t>
  </si>
  <si>
    <t>-827.007387645121 257.416402894416 -57.2795739936697</t>
  </si>
  <si>
    <t>-794.778917246058 240.281130220512 344.618938665065</t>
  </si>
  <si>
    <t>-833.473486189603 171.007813773263 785.713893492944</t>
  </si>
  <si>
    <t>-705.709253748842 241.849226766146 846.910578355441</t>
  </si>
  <si>
    <t>-779.477655892067 69.266606486794 -55.5487588092011</t>
  </si>
  <si>
    <t>-633.238201864143 57.0932695208257 320.377484065612</t>
  </si>
  <si>
    <t>-728.599099736445 -4.44311984935848 753.016062453215</t>
  </si>
  <si>
    <t>-625.67336446064 -90.668239918032 837.03275200198</t>
  </si>
  <si>
    <t>9763-20170724T111134.618146800.bin</t>
  </si>
  <si>
    <t>-803.469968265343 163.705159097342 -55.245578409872</t>
  </si>
  <si>
    <t>-831.383839640248 155.848519563283 -167.385297704986</t>
  </si>
  <si>
    <t>-842.098117612685 153.914414922064 -265.406280094911</t>
  </si>
  <si>
    <t>-846.900084670958 153.604487856352 -354.372951028749</t>
  </si>
  <si>
    <t>-846.390645790686 154.51153561121 -443.463777535493</t>
  </si>
  <si>
    <t>-840.057961847523 156.811803409275 -567.864073709533</t>
  </si>
  <si>
    <t>-809.945157321184 156.788772809191 -645.312307245303</t>
  </si>
  <si>
    <t>-842.158587478868 183.494761302497 -512.574605364411</t>
  </si>
  <si>
    <t>-826.895874281962 318.475559007903 -491.441490401962</t>
  </si>
  <si>
    <t>-700.320391050711 339.862039107712 -226.65394001081</t>
  </si>
  <si>
    <t>-459.641302728753 330.089872992233 -221.267104548508</t>
  </si>
  <si>
    <t>-843.530797514277 128.104412108216 -513.668662607728</t>
  </si>
  <si>
    <t>-827.266661635908 257.656832137507 -57.23313159575</t>
  </si>
  <si>
    <t>-794.751922508865 240.628967286207 344.646769186066</t>
  </si>
  <si>
    <t>-833.377398693885 170.964491801332 785.706523024571</t>
  </si>
  <si>
    <t>-705.718421614362 241.996412781634 846.902047960304</t>
  </si>
  <si>
    <t>-779.913441296908 69.6525714555878 -55.3222944703632</t>
  </si>
  <si>
    <t>-633.48189308275 57.4559398845618 320.528344841582</t>
  </si>
  <si>
    <t>-728.639348429828 -4.54319751393541 753.104331503139</t>
  </si>
  <si>
    <t>-625.786071859574 -90.7359142273187 837.243098888284</t>
  </si>
  <si>
    <t>9763-20170724T111134.682820700.bin</t>
  </si>
  <si>
    <t>-804.388183300562 164.043075848097 -55.0322400174076</t>
  </si>
  <si>
    <t>-832.082109012303 156.091216717561 -167.219839281857</t>
  </si>
  <si>
    <t>-842.549216404765 153.547980223856 -265.253648433676</t>
  </si>
  <si>
    <t>-847.120965966092 152.471501216127 -354.226511514458</t>
  </si>
  <si>
    <t>-846.385256990059 152.391598242553 -443.320211076843</t>
  </si>
  <si>
    <t>-839.750076721313 153.078648358091 -567.724195210492</t>
  </si>
  <si>
    <t>-809.134564924556 152.033385031175 -644.968083601175</t>
  </si>
  <si>
    <t>-841.787082141095 180.470432539442 -512.78011107612</t>
  </si>
  <si>
    <t>-825.821361692762 315.635713760725 -493.43755034586</t>
  </si>
  <si>
    <t>-699.684155834247 339.979598244056 -228.69613027556</t>
  </si>
  <si>
    <t>-459.067715775107 330.292794572852 -220.899532796857</t>
  </si>
  <si>
    <t>-843.55310560973 125.082129002292 -513.180152748721</t>
  </si>
  <si>
    <t>-828.088665225373 257.990402437676 -57.1957520312146</t>
  </si>
  <si>
    <t>-794.834622587782 241.114758993188 344.630102272286</t>
  </si>
  <si>
    <t>-833.235816729632 170.965284846634 785.664497367298</t>
  </si>
  <si>
    <t>-705.56365160576 241.959064610874 846.876752230792</t>
  </si>
  <si>
    <t>-780.917370452653 69.9907325603676 -54.8844525383049</t>
  </si>
  <si>
    <t>-633.914620595816 58.2312768636034 320.757109564063</t>
  </si>
  <si>
    <t>-728.57650279348 -4.60663597413077 753.261236798022</t>
  </si>
  <si>
    <t>-625.920508887742 -90.7494150670741 837.691137736841</t>
  </si>
  <si>
    <t>9763-20170724T111134.712927200.bin</t>
  </si>
  <si>
    <t>-804.89987451923 164.019600941419 -54.9410283044359</t>
  </si>
  <si>
    <t>-832.469911561441 156.046841869712 -167.157554560392</t>
  </si>
  <si>
    <t>-842.784066242584 153.223443837567 -265.199887753136</t>
  </si>
  <si>
    <t>-847.207440656933 151.786924343266 -354.175255105125</t>
  </si>
  <si>
    <t>-846.318440368429 151.236942565325 -443.266012096014</t>
  </si>
  <si>
    <t>-839.469104071801 151.151132126827 -567.660078315944</t>
  </si>
  <si>
    <t>-808.611746404328 149.646543435853 -644.800038256199</t>
  </si>
  <si>
    <t>-841.49488935807 178.880444759278 -512.885049915984</t>
  </si>
  <si>
    <t>-825.162734750426 314.126690306171 -494.419624440246</t>
  </si>
  <si>
    <t>-699.069830887935 339.729782672739 -229.775817837495</t>
  </si>
  <si>
    <t>-458.469749339873 330.408765350603 -221.082216015313</t>
  </si>
  <si>
    <t>-843.471585961518 123.497470129572 -512.955668521715</t>
  </si>
  <si>
    <t>-828.529727937918 258.017712013426 -57.2246866588041</t>
  </si>
  <si>
    <t>-795.060285779846 241.226656940663 344.586872088691</t>
  </si>
  <si>
    <t>-833.174281006545 171.009169700235 785.625614204941</t>
  </si>
  <si>
    <t>-705.507802111227 241.992162534361 846.86216596348</t>
  </si>
  <si>
    <t>-781.489652823684 69.9242265605803 -54.7203687853869</t>
  </si>
  <si>
    <t>-634.218647447421 58.4967640053515 320.826313356118</t>
  </si>
  <si>
    <t>-728.560679467456 -4.6387209684126 753.33290495361</t>
  </si>
  <si>
    <t>-625.871381884225 -90.6106076815686 837.896886658425</t>
  </si>
  <si>
    <t>9763-20170724T111134.783618800.bin</t>
  </si>
  <si>
    <t>-806.15913234954 163.743362477579 -54.8926045689449</t>
  </si>
  <si>
    <t>-833.48086151464 155.741739029536 -167.167685673919</t>
  </si>
  <si>
    <t>-843.498214710639 152.411253805195 -265.224871729546</t>
  </si>
  <si>
    <t>-847.636570974526 150.320233498747 -354.200940477927</t>
  </si>
  <si>
    <t>-846.455530489879 148.915901932982 -443.278968435424</t>
  </si>
  <si>
    <t>-839.200987193273 147.4254072293 -567.64117276118</t>
  </si>
  <si>
    <t>-807.902514513708 145.107704369417 -644.583161487677</t>
  </si>
  <si>
    <t>-841.22085706615 175.764131288707 -513.178983620941</t>
  </si>
  <si>
    <t>-824.28153078687 311.152407012629 -496.376935200555</t>
  </si>
  <si>
    <t>-697.918693823448 339.83184200167 -232.177973271049</t>
  </si>
  <si>
    <t>-457.360963694464 331.36038113185 -221.638780102317</t>
  </si>
  <si>
    <t>-843.565743454194 120.398353452301 -512.652031005142</t>
  </si>
  <si>
    <t>-829.603407692108 257.954654191242 -57.384724446776</t>
  </si>
  <si>
    <t>-795.849261989968 241.093003086127 344.400099012875</t>
  </si>
  <si>
    <t>-832.945222356456 171.037921505729 785.523134393916</t>
  </si>
  <si>
    <t>-705.320902598212 242.030681014568 846.837396731157</t>
  </si>
  <si>
    <t>-783.101471319863 69.4776921029388 -54.4985877983113</t>
  </si>
  <si>
    <t>-635.242685309089 58.9171977902915 320.842546291992</t>
  </si>
  <si>
    <t>-728.541086672176 -4.6595806518053 753.486097463407</t>
  </si>
  <si>
    <t>-626.02849465645 -90.6086316635908 838.287086343755</t>
  </si>
  <si>
    <t>9763-20170724T111134.815860000.bin</t>
  </si>
  <si>
    <t>-806.964304869126 163.643650330009 -54.8963685590835</t>
  </si>
  <si>
    <t>-834.244750580818 155.608037229834 -167.179148955064</t>
  </si>
  <si>
    <t>-844.177716283343 152.008351739409 -265.235522113515</t>
  </si>
  <si>
    <t>-848.227592579734 149.577150396639 -354.206988907979</t>
  </si>
  <si>
    <t>-846.951889879138 147.733012477877 -443.275510875558</t>
  </si>
  <si>
    <t>-839.562730734964 145.523406431155 -567.619121405017</t>
  </si>
  <si>
    <t>-808.072673152379 142.817735394297 -644.470240808611</t>
  </si>
  <si>
    <t>-841.566402629273 174.173580760925 -513.319416253606</t>
  </si>
  <si>
    <t>-824.467517705845 309.64477642159 -497.353233542259</t>
  </si>
  <si>
    <t>-697.747641624519 340.083773100889 -233.522241627791</t>
  </si>
  <si>
    <t>-457.217994903156 332.12731071899 -221.98688920468</t>
  </si>
  <si>
    <t>-844.062010178161 118.818038103365 -512.483948931621</t>
  </si>
  <si>
    <t>-830.319995289665 257.860935060897 -57.4758518441921</t>
  </si>
  <si>
    <t>-796.233171254111 241.118176516243 344.285769718709</t>
  </si>
  <si>
    <t>-832.83717527417 171.067295509757 785.471907583758</t>
  </si>
  <si>
    <t>-705.208131093758 242.018909424083 846.823608276984</t>
  </si>
  <si>
    <t>-784.044267866146 69.4136895620904 -54.435430226855</t>
  </si>
  <si>
    <t>-635.862550916889 59.1371345226075 320.786261182874</t>
  </si>
  <si>
    <t>-728.55945863226 -4.68184422507056 753.555582195936</t>
  </si>
  <si>
    <t>-626.240203839691 -90.7594903044126 838.459583362549</t>
  </si>
  <si>
    <t>9763-20170724T111134.881540700.bin</t>
  </si>
  <si>
    <t>-808.749257328007 163.79379371883 -54.8153651684977</t>
  </si>
  <si>
    <t>-835.989135311098 155.696590837249 -167.103618801809</t>
  </si>
  <si>
    <t>-845.809034128183 151.583356042566 -265.151039383318</t>
  </si>
  <si>
    <t>-849.741196683191 148.498662392179 -354.10773385198</t>
  </si>
  <si>
    <t>-848.341294345522 145.809691352447 -443.152884916599</t>
  </si>
  <si>
    <t>-840.781591147304 142.216676325572 -567.453898694935</t>
  </si>
  <si>
    <t>-808.98155974116 138.769605095374 -644.147467313291</t>
  </si>
  <si>
    <t>-842.729967495226 171.463173615616 -513.471004553419</t>
  </si>
  <si>
    <t>-825.307491877361 307.057919594713 -499.075366459306</t>
  </si>
  <si>
    <t>-697.348577609935 340.672769685916 -236.229997433108</t>
  </si>
  <si>
    <t>-456.97665827652 333.90719841301 -221.18130571276</t>
  </si>
  <si>
    <t>-845.486285490916 116.132212532029 -512.039213897465</t>
  </si>
  <si>
    <t>-831.875412858492 257.898944206213 -57.5489481787293</t>
  </si>
  <si>
    <t>-797.142736622223 241.312387006931 344.163872246725</t>
  </si>
  <si>
    <t>-832.695807084537 171.14358730272 785.425831771946</t>
  </si>
  <si>
    <t>-705.025450121328 241.983581627767 846.820053733721</t>
  </si>
  <si>
    <t>-785.900357410782 69.7639920898023 -54.2493691267933</t>
  </si>
  <si>
    <t>-637.08208920618 59.8620178450542 320.730294944513</t>
  </si>
  <si>
    <t>-728.539930696725 -4.68091457968876 753.609744123486</t>
  </si>
  <si>
    <t>-626.541357957648 -90.9471276644638 838.708123724463</t>
  </si>
  <si>
    <t>9763-20170724T111134.917138400.bin</t>
  </si>
  <si>
    <t>-809.412673825998 163.673613139781 -54.8661018289304</t>
  </si>
  <si>
    <t>-836.668454592547 155.497503714475 -167.144786989718</t>
  </si>
  <si>
    <t>-846.468251223181 151.132443161982 -265.183341297131</t>
  </si>
  <si>
    <t>-850.375052378496 147.744879872424 -354.129984986819</t>
  </si>
  <si>
    <t>-848.945686485126 144.67515284289 -443.162471966344</t>
  </si>
  <si>
    <t>-841.344903336162 140.467822199333 -567.44186042512</t>
  </si>
  <si>
    <t>-809.43146831935 136.669941681375 -644.071569756467</t>
  </si>
  <si>
    <t>-843.250020393471 169.977776702567 -513.60081999185</t>
  </si>
  <si>
    <t>-825.821438356769 305.664414855859 -499.963695573098</t>
  </si>
  <si>
    <t>-697.268428894298 340.189419390977 -237.526381883607</t>
  </si>
  <si>
    <t>-456.95931534287 334.02877821855 -221.26613021955</t>
  </si>
  <si>
    <t>-846.129386590865 114.660826425757 -511.904337168472</t>
  </si>
  <si>
    <t>-832.708468845148 257.801720326056 -57.6327436133436</t>
  </si>
  <si>
    <t>-797.664841405077 241.259576027483 344.054931624872</t>
  </si>
  <si>
    <t>-832.577486917554 171.123675383945 785.403810474293</t>
  </si>
  <si>
    <t>-704.924065149013 242.004297197666 846.786781172989</t>
  </si>
  <si>
    <t>-786.218349633636 69.4101620912888 -54.4054996989598</t>
  </si>
  <si>
    <t>-638.152041955861 60.3259013613983 320.892344954549</t>
  </si>
  <si>
    <t>-728.568566826126 -4.70474291067012 753.723198566502</t>
  </si>
  <si>
    <t>-626.708979268922 -91.0555963232925 838.902378512341</t>
  </si>
  <si>
    <t>9763-20170724T111134.982847200.bin</t>
  </si>
  <si>
    <t>-811.183995612219 162.971495469749 -54.9006956960808</t>
  </si>
  <si>
    <t>-838.529288186681 154.443322402204 -167.131370638842</t>
  </si>
  <si>
    <t>-848.383035446595 149.607007861845 -265.142484595758</t>
  </si>
  <si>
    <t>-852.333793332814 145.719575662561 -354.066714564188</t>
  </si>
  <si>
    <t>-850.94750291617 142.073041418876 -443.07799491103</t>
  </si>
  <si>
    <t>-843.408703279862 136.975882481373 -567.327752327824</t>
  </si>
  <si>
    <t>-811.386794824576 132.568897188227 -643.879793668005</t>
  </si>
  <si>
    <t>-845.203561789897 166.866279854155 -513.693387006074</t>
  </si>
  <si>
    <t>-828.101325736581 302.702208203604 -501.219610161387</t>
  </si>
  <si>
    <t>-699.914046788294 338.721778009721 -238.804292038255</t>
  </si>
  <si>
    <t>-459.629556944285 332.893336864171 -222.062565060069</t>
  </si>
  <si>
    <t>-848.248567126933 111.571449103192 -511.609840205614</t>
  </si>
  <si>
    <t>-834.826117001587 257.24359997155 -57.8055519336115</t>
  </si>
  <si>
    <t>-798.812897495829 241.263111662387 343.819137269445</t>
  </si>
  <si>
    <t>-832.494491403002 171.194791059038 785.352539293956</t>
  </si>
  <si>
    <t>-704.768151537338 241.988968843989 846.68381925592</t>
  </si>
  <si>
    <t>-788.022386252871 68.5352083785424 -54.0781454077103</t>
  </si>
  <si>
    <t>-639.497303096387 60.2522134375813 321.056917243675</t>
  </si>
  <si>
    <t>-728.842956889602 -4.92812808592998 754.153327337979</t>
  </si>
  <si>
    <t>-626.744090427853 -90.9276744529129 839.400843010389</t>
  </si>
  <si>
    <t>9763-20170724T111135.014977700.bin</t>
  </si>
  <si>
    <t>-812.163865516932 162.534932091216 -54.7975187273508</t>
  </si>
  <si>
    <t>-839.589243361698 153.898624448915 -167.000396336993</t>
  </si>
  <si>
    <t>-849.521833818897 148.87645537382 -264.994077162253</t>
  </si>
  <si>
    <t>-853.550131328038 144.780822658446 -353.905505643158</t>
  </si>
  <si>
    <t>-852.250319813854 140.88441028854 -442.907664127092</t>
  </si>
  <si>
    <t>-844.843612467045 135.392655360785 -567.148548925191</t>
  </si>
  <si>
    <t>-812.790212760562 130.688180275925 -643.669503309715</t>
  </si>
  <si>
    <t>-846.531148510796 165.45081311146 -513.604379217969</t>
  </si>
  <si>
    <t>-829.310321785956 301.311526746792 -501.485278127716</t>
  </si>
  <si>
    <t>-702.210516900343 337.986011570959 -238.632044221408</t>
  </si>
  <si>
    <t>-461.955287665324 331.724978330006 -221.629729076589</t>
  </si>
  <si>
    <t>-849.674660077536 110.167947791309 -511.348217200959</t>
  </si>
  <si>
    <t>-835.944995756997 257.028588612711 -57.8100791008529</t>
  </si>
  <si>
    <t>-799.415924034179 241.134593301224 343.771381224236</t>
  </si>
  <si>
    <t>-832.505331488103 171.269844611946 785.347680050912</t>
  </si>
  <si>
    <t>-704.668182900727 241.874776810791 846.665846149275</t>
  </si>
  <si>
    <t>-788.753982458018 67.9404743447967 -53.8871691241992</t>
  </si>
  <si>
    <t>-640.109913354994 60.4728262176513 321.217966754917</t>
  </si>
  <si>
    <t>-728.91582767439 -4.92114184889442 754.374666983692</t>
  </si>
  <si>
    <t>-626.766303501375 -90.8496616578673 839.63360955479</t>
  </si>
  <si>
    <t>9763-20170724T111135.081663300.bin</t>
  </si>
  <si>
    <t>-813.881079605654 162.00097227397 -54.8236909785676</t>
  </si>
  <si>
    <t>-841.437808543086 153.267816970199 -166.986870040197</t>
  </si>
  <si>
    <t>-851.539859505556 147.998664382367 -264.950395091021</t>
  </si>
  <si>
    <t>-855.749224313445 143.608631273139 -353.839390444868</t>
  </si>
  <si>
    <t>-854.661076784038 139.340115378261 -442.827268258503</t>
  </si>
  <si>
    <t>-847.585981087828 133.242537863439 -567.059125983982</t>
  </si>
  <si>
    <t>-815.482566206561 128.022432734315 -643.525866045226</t>
  </si>
  <si>
    <t>-848.904943910094 163.54831166451 -513.644331759322</t>
  </si>
  <si>
    <t>-831.050430443771 299.351457082628 -501.881599529922</t>
  </si>
  <si>
    <t>-708.105405164609 337.461208545176 -237.262304108361</t>
  </si>
  <si>
    <t>-467.803492512511 329.968140431746 -221.459952882675</t>
  </si>
  <si>
    <t>-852.493619769718 108.303168352389 -511.137237115269</t>
  </si>
  <si>
    <t>-837.509067646595 256.550590366233 -57.9184155307651</t>
  </si>
  <si>
    <t>-800.813300631892 240.625186106817 343.646562871221</t>
  </si>
  <si>
    <t>-832.424335653667 171.283070421359 785.404899749828</t>
  </si>
  <si>
    <t>-704.524946639011 241.847396451374 846.64029964887</t>
  </si>
  <si>
    <t>-790.595345307979 67.6914685877382 -53.8112504137042</t>
  </si>
  <si>
    <t>-641.963975902496 60.7195184448001 321.308436002459</t>
  </si>
  <si>
    <t>-729.138566880744 -4.95613696782084 754.803958808806</t>
  </si>
  <si>
    <t>-626.933142506071 -90.8149913108091 840.066089545712</t>
  </si>
  <si>
    <t>9763-20170724T111135.113097700.bin</t>
  </si>
  <si>
    <t>-814.971145577634 162.007157670039 -54.7411562496096</t>
  </si>
  <si>
    <t>-842.619604868785 153.140905486523 -166.87124534461</t>
  </si>
  <si>
    <t>-852.793691445095 147.808001402959 -264.823854833223</t>
  </si>
  <si>
    <t>-857.062935887967 143.377145695379 -353.707928557313</t>
  </si>
  <si>
    <t>-856.028305124621 139.081295608256 -442.695101792083</t>
  </si>
  <si>
    <t>-849.020475342782 132.957407464562 -566.929464931606</t>
  </si>
  <si>
    <t>-816.920092122149 127.57319719673 -643.386350376486</t>
  </si>
  <si>
    <t>-850.198352377285 163.267181076669 -513.513833542409</t>
  </si>
  <si>
    <t>-832.018740559495 299.015638363932 -501.777131728661</t>
  </si>
  <si>
    <t>-712.183035558127 337.769545050202 -235.828440875507</t>
  </si>
  <si>
    <t>-471.7782330523 329.527796572044 -222.09716250222</t>
  </si>
  <si>
    <t>-854.009874733619 108.037192603879 -511.006408560031</t>
  </si>
  <si>
    <t>-838.454018616656 256.283801379285 -57.8961112394431</t>
  </si>
  <si>
    <t>-801.295373464632 240.648270868734 343.637674821407</t>
  </si>
  <si>
    <t>-832.471342743055 171.290420310278 785.537226524509</t>
  </si>
  <si>
    <t>-704.491586853319 241.834165063332 846.627240775863</t>
  </si>
  <si>
    <t>-792.015899250414 67.7912157699275 -53.4893234530497</t>
  </si>
  <si>
    <t>-642.801671473392 60.5550674323431 321.393832036623</t>
  </si>
  <si>
    <t>-729.248701787552 -4.94951552819066 755.043019917661</t>
  </si>
  <si>
    <t>-626.997214876815 -90.8138919214969 840.243879698072</t>
  </si>
  <si>
    <t>9763-20170724T111135.179274400.bin</t>
  </si>
  <si>
    <t>-816.582933688984 161.385851059824 -54.2693423495906</t>
  </si>
  <si>
    <t>-844.497088448521 152.223648636651 -166.309919346657</t>
  </si>
  <si>
    <t>-854.851784572517 146.787302243447 -264.237809084862</t>
  </si>
  <si>
    <t>-859.25799039888 142.3194092348 -353.113504891311</t>
  </si>
  <si>
    <t>-858.330456556641 138.03826053239 -442.102548577424</t>
  </si>
  <si>
    <t>-851.437806449325 131.986091419015 -566.346978170492</t>
  </si>
  <si>
    <t>-819.328625822357 126.380807153719 -642.783990194732</t>
  </si>
  <si>
    <t>-852.455455204397 162.257419890412 -512.906194820851</t>
  </si>
  <si>
    <t>-834.139819826605 297.997394344733 -501.097309154758</t>
  </si>
  <si>
    <t>-721.748958046326 338.20291491487 -232.130852840494</t>
  </si>
  <si>
    <t>-481.09118872829 329.195154996304 -224.805812925179</t>
  </si>
  <si>
    <t>-856.486145744437 107.041311410909 -510.43995632059</t>
  </si>
  <si>
    <t>-839.435801286437 255.326314341926 -57.734088242296</t>
  </si>
  <si>
    <t>-801.526735614327 240.744496508205 343.769256701721</t>
  </si>
  <si>
    <t>-832.325724107372 171.19955428638 785.628657434345</t>
  </si>
  <si>
    <t>-704.254222586408 241.696523722204 846.580780487578</t>
  </si>
  <si>
    <t>-793.998973079491 67.4470931628057 -52.8066491416904</t>
  </si>
  <si>
    <t>-644.356558207065 60.1458125272652 321.904665490103</t>
  </si>
  <si>
    <t>-729.74183973699 -4.88665629666366 755.863027779585</t>
  </si>
  <si>
    <t>-627.125197417469 -90.7265158300002 840.64902705407</t>
  </si>
  <si>
    <t>9763-20170724T111135.215382500.bin</t>
  </si>
  <si>
    <t>-816.98125266095 161.037805156592 -54.1504044148667</t>
  </si>
  <si>
    <t>-845.003182752801 151.826004414479 -166.159980083725</t>
  </si>
  <si>
    <t>-855.482579777276 146.360182982884 -264.072896239059</t>
  </si>
  <si>
    <t>-860.013996432232 141.872471919097 -352.941167262268</t>
  </si>
  <si>
    <t>-859.223313218125 137.578071885332 -441.930970249883</t>
  </si>
  <si>
    <t>-852.533101580533 131.515420594119 -566.186030878684</t>
  </si>
  <si>
    <t>-820.431836181536 125.847516440187 -642.621604179219</t>
  </si>
  <si>
    <t>-853.445347962769 161.790082962062 -512.745102139704</t>
  </si>
  <si>
    <t>-835.221360060089 297.531453881273 -500.867559073426</t>
  </si>
  <si>
    <t>-727.354853010036 338.083300614791 -230.106540240686</t>
  </si>
  <si>
    <t>-486.599898079013 329.015158181913 -227.739456510671</t>
  </si>
  <si>
    <t>-857.508612706346 106.576707732278 -510.269850365407</t>
  </si>
  <si>
    <t>-839.408037929682 254.777990119007 -57.7430542626417</t>
  </si>
  <si>
    <t>-801.512844794647 240.673931766559 343.778680100607</t>
  </si>
  <si>
    <t>-832.112361064105 171.144117883837 785.558318581599</t>
  </si>
  <si>
    <t>-704.195338771611 241.8457947499 846.597716784274</t>
  </si>
  <si>
    <t>-794.721755045365 67.4487122211021 -52.7086739941476</t>
  </si>
  <si>
    <t>-645.350360197011 60.1196530215184 322.110167268234</t>
  </si>
  <si>
    <t>-730.037442594661 -4.88152117794834 756.276299523035</t>
  </si>
  <si>
    <t>-627.294791772958 -90.823830179844 840.805011416403</t>
  </si>
  <si>
    <t>9763-20170724T111135.280557100.bin</t>
  </si>
  <si>
    <t>-817.394075651765 160.495514455675 -54.1310491644833</t>
  </si>
  <si>
    <t>-845.724377220159 151.198982998921 -166.05593858517</t>
  </si>
  <si>
    <t>-856.515392246974 145.690834745493 -263.932863056311</t>
  </si>
  <si>
    <t>-861.345759938763 141.183307369599 -352.784339534319</t>
  </si>
  <si>
    <t>-860.868921172793 136.890892085435 -441.776420036815</t>
  </si>
  <si>
    <t>-854.632364320815 130.855928628113 -566.056258003751</t>
  </si>
  <si>
    <t>-822.534481448519 125.179007954877 -642.492714808903</t>
  </si>
  <si>
    <t>-855.346911280447 161.118447321122 -512.60556864312</t>
  </si>
  <si>
    <t>-837.303330567829 296.866016891895 -500.625594272275</t>
  </si>
  <si>
    <t>-740.942657591018 337.048226547746 -225.505347472236</t>
  </si>
  <si>
    <t>-500.24148120493 329.680170208092 -233.227532119599</t>
  </si>
  <si>
    <t>-859.406687991647 105.904908178244 -510.128235486973</t>
  </si>
  <si>
    <t>-839.355586351342 253.885497607412 -57.8172399241859</t>
  </si>
  <si>
    <t>-801.11488935472 240.723330756084 343.703699845724</t>
  </si>
  <si>
    <t>-832.015678898842 171.332225154507 785.50882946909</t>
  </si>
  <si>
    <t>-703.938876593233 241.62840302369 846.681068720457</t>
  </si>
  <si>
    <t>-795.838026824271 67.0000672074993 -52.5582833669001</t>
  </si>
  <si>
    <t>-646.907415787791 59.8720811039939 322.439722426078</t>
  </si>
  <si>
    <t>-730.354331353948 -4.59103314825279 757.047395354411</t>
  </si>
  <si>
    <t>-627.629612018833 -91.0474986009767 841.072358027095</t>
  </si>
  <si>
    <t>9763-20170724T111135.317655200.bin</t>
  </si>
  <si>
    <t>-817.501829033098 159.956674155425 -54.0335512406651</t>
  </si>
  <si>
    <t>-845.946370491598 150.616623716737 -165.92595677217</t>
  </si>
  <si>
    <t>-856.825032101874 145.097549370908 -263.792343236213</t>
  </si>
  <si>
    <t>-861.729780980598 140.59624265672 -352.640272880945</t>
  </si>
  <si>
    <t>-861.322006779649 136.328038370084 -441.633707850418</t>
  </si>
  <si>
    <t>-855.173923238885 130.348611238049 -565.920851510592</t>
  </si>
  <si>
    <t>-823.059372734522 124.714454041145 -642.353314341501</t>
  </si>
  <si>
    <t>-855.88064581942 160.58947869465 -512.457566701691</t>
  </si>
  <si>
    <t>-838.02370356393 296.353978352548 -500.478937072298</t>
  </si>
  <si>
    <t>-748.127182716314 336.638547709323 -223.193979177215</t>
  </si>
  <si>
    <t>-507.609274004959 330.55386255921 -236.03848786808</t>
  </si>
  <si>
    <t>-859.878261391944 105.370259977053 -509.998883596375</t>
  </si>
  <si>
    <t>-839.074805430248 253.410794163186 -57.8276806635083</t>
  </si>
  <si>
    <t>-800.88942463683 240.538456013948 343.707909981833</t>
  </si>
  <si>
    <t>-831.93630217434 171.367640689307 785.493492432487</t>
  </si>
  <si>
    <t>-703.811601197279 241.535480604248 846.712928751194</t>
  </si>
  <si>
    <t>-796.266585381288 66.3752570907109 -52.3545582315411</t>
  </si>
  <si>
    <t>-647.277315985887 59.6082926540339 322.626964225105</t>
  </si>
  <si>
    <t>-730.486233564237 -4.38266739967821 757.425282181048</t>
  </si>
  <si>
    <t>-627.686512980144 -91.0064413204377 841.185842290987</t>
  </si>
  <si>
    <t>9763-20170724T111135.378820600.bin</t>
  </si>
  <si>
    <t>-817.363306665813 158.546506946924 -53.8669400956486</t>
  </si>
  <si>
    <t>-845.897065576296 149.050857047835 -165.723411597342</t>
  </si>
  <si>
    <t>-856.772966092243 143.467301150123 -263.586487686662</t>
  </si>
  <si>
    <t>-861.641684398136 138.943517160718 -352.435127609021</t>
  </si>
  <si>
    <t>-861.161806350751 134.694553364239 -441.429230326242</t>
  </si>
  <si>
    <t>-854.87403528823 128.790389786616 -565.712829146338</t>
  </si>
  <si>
    <t>-822.707334668432 123.286281187015 -642.133061460963</t>
  </si>
  <si>
    <t>-855.76911430421 159.007451472808 -512.23920483557</t>
  </si>
  <si>
    <t>-838.487358737266 294.843923634845 -500.210344483561</t>
  </si>
  <si>
    <t>-758.629719627659 335.889023619998 -219.979592253161</t>
  </si>
  <si>
    <t>-518.614313103767 331.371193135431 -240.548559081658</t>
  </si>
  <si>
    <t>-859.512856050719 103.769474090906 -509.804573958568</t>
  </si>
  <si>
    <t>-838.472767643933 252.302669935325 -57.8610079331811</t>
  </si>
  <si>
    <t>-800.587362310909 239.840302956743 343.715986986061</t>
  </si>
  <si>
    <t>-831.781318881234 171.458481015559 785.436498131536</t>
  </si>
  <si>
    <t>-703.610319560678 241.467051944117 846.741221148716</t>
  </si>
  <si>
    <t>-796.469598742768 64.6452554384505 -51.9341671085064</t>
  </si>
  <si>
    <t>-647.210872069101 58.7447623331122 322.954780430141</t>
  </si>
  <si>
    <t>-730.715784662545 -3.89577341149698 758.06807616579</t>
  </si>
  <si>
    <t>-627.991740147905 -91.1281725529414 841.288179115192</t>
  </si>
  <si>
    <t>9763-20170724T111135.413917600.bin</t>
  </si>
  <si>
    <t>-817.178167060994 157.814653598929 -53.8710601858013</t>
  </si>
  <si>
    <t>-845.730174251802 148.174762097038 -165.710543770225</t>
  </si>
  <si>
    <t>-856.573522014155 142.52124040223 -263.573415857535</t>
  </si>
  <si>
    <t>-861.390694322643 137.953208660683 -352.422410196081</t>
  </si>
  <si>
    <t>-860.837117817798 133.679701267935 -441.415067884219</t>
  </si>
  <si>
    <t>-854.421659912216 127.761279994019 -565.69153967047</t>
  </si>
  <si>
    <t>-822.216654952857 122.307246846545 -642.098938059738</t>
  </si>
  <si>
    <t>-855.429898101929 157.988211186483 -512.225320719749</t>
  </si>
  <si>
    <t>-838.385051208613 293.84200029683 -500.10674356027</t>
  </si>
  <si>
    <t>-760.205937969913 335.457682288834 -219.487084318103</t>
  </si>
  <si>
    <t>-520.446588631726 330.904854501327 -242.845297682827</t>
  </si>
  <si>
    <t>-859.059902257974 102.743174710379 -509.781662766142</t>
  </si>
  <si>
    <t>-838.383686950326 251.577496756973 -57.9483777346488</t>
  </si>
  <si>
    <t>-800.702051868297 239.520718844507 343.660107913852</t>
  </si>
  <si>
    <t>-831.781168582166 171.593344007242 785.39749313312</t>
  </si>
  <si>
    <t>-703.487522842367 241.337989904924 846.746155710572</t>
  </si>
  <si>
    <t>-796.198078520339 63.9404184922291 -51.8558884548534</t>
  </si>
  <si>
    <t>-646.812611138076 58.2652586414438 322.986047586338</t>
  </si>
  <si>
    <t>-730.608841798626 -3.46806271539936 758.233634077467</t>
  </si>
  <si>
    <t>-628.035738187302 -91.0691081812968 841.252511817131</t>
  </si>
  <si>
    <t>9763-20170724T111135.483103200.bin</t>
  </si>
  <si>
    <t>-817.112040544056 156.746791443475 -53.9457188645712</t>
  </si>
  <si>
    <t>-845.594861630718 146.864066250488 -165.781630786602</t>
  </si>
  <si>
    <t>-856.32979721415 141.015264554854 -263.644867841459</t>
  </si>
  <si>
    <t>-861.02710866438 136.267233149769 -352.490968241236</t>
  </si>
  <si>
    <t>-860.332471016895 131.807296169134 -441.473374037097</t>
  </si>
  <si>
    <t>-853.699018111952 125.617449927252 -565.725056802302</t>
  </si>
  <si>
    <t>-821.441720838041 120.073016060913 -642.104218229518</t>
  </si>
  <si>
    <t>-854.846897898088 155.963825162703 -512.329572110249</t>
  </si>
  <si>
    <t>-837.816731958137 291.825157858813 -500.194904747951</t>
  </si>
  <si>
    <t>-756.298194033717 333.828361203574 -220.585007667664</t>
  </si>
  <si>
    <t>-516.386593518434 324.322776442929 -240.659231537575</t>
  </si>
  <si>
    <t>-858.389075373204 100.718713786761 -509.766555688703</t>
  </si>
  <si>
    <t>-838.528836370833 250.475019852798 -58.1559892156679</t>
  </si>
  <si>
    <t>-801.182155488536 239.009310599025 343.50108736017</t>
  </si>
  <si>
    <t>-831.607418204156 171.691865848652 785.312790958702</t>
  </si>
  <si>
    <t>-703.357838830758 241.418007769844 846.774755900942</t>
  </si>
  <si>
    <t>-796.052377667578 62.829992292176 -51.7006330985442</t>
  </si>
  <si>
    <t>-645.822153240603 57.4206315549313 322.807479721953</t>
  </si>
  <si>
    <t>-730.874514547915 -3.44317199937041 758.162876678195</t>
  </si>
  <si>
    <t>-628.303346013758 -91.2257754403338 840.991923222265</t>
  </si>
  <si>
    <t>9763-20170724T111135.516194600.bin</t>
  </si>
  <si>
    <t>-817.087569709725 156.270522939893 -54.0579835991921</t>
  </si>
  <si>
    <t>-845.455474430575 146.390347528443 -165.923386910531</t>
  </si>
  <si>
    <t>-856.090947367972 140.432572324344 -263.790860225509</t>
  </si>
  <si>
    <t>-860.70318851426 135.539529020391 -352.633582965674</t>
  </si>
  <si>
    <t>-859.93019262065 130.887093692161 -441.605474802641</t>
  </si>
  <si>
    <t>-853.196354957708 124.377349005141 -565.835506109192</t>
  </si>
  <si>
    <t>-820.91208501471 118.692561110591 -642.192879053963</t>
  </si>
  <si>
    <t>-854.368034157519 154.860108771192 -512.518149391067</t>
  </si>
  <si>
    <t>-837.087439699628 290.701131314372 -500.576719080498</t>
  </si>
  <si>
    <t>-752.33874867631 332.924381111541 -221.962324090451</t>
  </si>
  <si>
    <t>-512.227067925326 321.114639414204 -238.019700935831</t>
  </si>
  <si>
    <t>-857.951020623378 99.6238340249556 -509.817935094027</t>
  </si>
  <si>
    <t>-838.443880534478 250.126594555806 -58.3100205470669</t>
  </si>
  <si>
    <t>-801.588166195893 238.690064974945 343.393250387972</t>
  </si>
  <si>
    <t>-831.58177094122 171.797701600373 785.256085928463</t>
  </si>
  <si>
    <t>-703.252810500837 241.32191750022 846.781392592368</t>
  </si>
  <si>
    <t>-796.035892476008 62.2290211628865 -51.8421968984921</t>
  </si>
  <si>
    <t>-645.68983018649 57.1371389427654 322.623878072927</t>
  </si>
  <si>
    <t>-731.073314207314 -3.64910041393568 757.972587124947</t>
  </si>
  <si>
    <t>-628.330609190893 -91.2351288534562 840.797389076841</t>
  </si>
  <si>
    <t>9763-20170724T111135.581369600.bin</t>
  </si>
  <si>
    <t>-817.146691379659 155.873854691559 -54.4108227735453</t>
  </si>
  <si>
    <t>-845.243799107105 146.133530782894 -166.356790848079</t>
  </si>
  <si>
    <t>-855.604283054392 139.861901405861 -264.234152862666</t>
  </si>
  <si>
    <t>-859.966437407947 134.508295118546 -353.063008049426</t>
  </si>
  <si>
    <t>-858.952655227421 129.215281848044 -441.996641621748</t>
  </si>
  <si>
    <t>-851.902141191673 121.621133971191 -566.147487148049</t>
  </si>
  <si>
    <t>-819.502101515497 115.408599397532 -642.414527081332</t>
  </si>
  <si>
    <t>-853.079622728295 152.559994248624 -513.093610556242</t>
  </si>
  <si>
    <t>-834.857382163403 288.362092686843 -501.984664423149</t>
  </si>
  <si>
    <t>-742.020620094889 332.383080310887 -226.24082950335</t>
  </si>
  <si>
    <t>-501.765206962149 316.046133284182 -234.068517852538</t>
  </si>
  <si>
    <t>-856.929739325129 97.3661683388805 -509.936082581369</t>
  </si>
  <si>
    <t>-838.377318005914 250.00744646541 -58.6683448935157</t>
  </si>
  <si>
    <t>-802.328099790909 238.090231355267 343.09420732074</t>
  </si>
  <si>
    <t>-831.455840914218 171.943282934687 785.096489569258</t>
  </si>
  <si>
    <t>-703.17024632789 241.426260127177 846.758415911348</t>
  </si>
  <si>
    <t>-796.461182555169 61.7303150837029 -52.1965501826309</t>
  </si>
  <si>
    <t>-646.227260488451 56.8657193668541 322.317561322503</t>
  </si>
  <si>
    <t>-731.576803047171 -4.21471638200183 757.577621777945</t>
  </si>
  <si>
    <t>-628.354027059788 -91.2341262551388 840.402430469465</t>
  </si>
  <si>
    <t>9763-20170724T111135.617503300.bin</t>
  </si>
  <si>
    <t>-817.302911226803 156.238944826435 -54.589606683135</t>
  </si>
  <si>
    <t>-845.240194988821 146.611027594923 -166.585322910534</t>
  </si>
  <si>
    <t>-855.410858569545 140.158067707392 -264.470877918234</t>
  </si>
  <si>
    <t>-859.591738722795 134.527010724556 -353.291107953867</t>
  </si>
  <si>
    <t>-858.393201937283 128.840369883272 -442.198251391708</t>
  </si>
  <si>
    <t>-851.087295314062 120.573451617122 -566.291380703141</t>
  </si>
  <si>
    <t>-818.535998958828 113.937190341127 -642.458182693843</t>
  </si>
  <si>
    <t>-852.250886140039 151.790964348061 -513.400572985409</t>
  </si>
  <si>
    <t>-833.27013690399 287.518540423609 -502.796239361201</t>
  </si>
  <si>
    <t>-737.23922957976 332.150261380324 -228.247032826569</t>
  </si>
  <si>
    <t>-496.939373685263 315.159894967237 -232.503384809756</t>
  </si>
  <si>
    <t>-856.35395876598 96.6317694206582 -509.967596962043</t>
  </si>
  <si>
    <t>-838.148746969276 250.374949224943 -58.8582507145801</t>
  </si>
  <si>
    <t>-802.517016790871 238.207509799462 342.933978408045</t>
  </si>
  <si>
    <t>-831.421582868399 172.080165545621 784.960247249026</t>
  </si>
  <si>
    <t>-703.061195945823 241.326906413229 846.732657631918</t>
  </si>
  <si>
    <t>-796.96635976394 62.1736591611821 -52.332428639451</t>
  </si>
  <si>
    <t>-646.590054225922 56.8485171086277 322.118124053402</t>
  </si>
  <si>
    <t>-731.70637524736 -4.35300819883378 757.391387134429</t>
  </si>
  <si>
    <t>-628.488676123169 -91.3935841845657 840.200456569713</t>
  </si>
  <si>
    <t>9763-20170724T111135.684700900.bin</t>
  </si>
  <si>
    <t>-817.320936761318 157.385720438908 -54.7271795521317</t>
  </si>
  <si>
    <t>-845.056075515815 148.001161300419 -166.793691822439</t>
  </si>
  <si>
    <t>-854.820769721087 141.216495011538 -264.698041561795</t>
  </si>
  <si>
    <t>-858.561431899799 135.066843251869 -353.503644137679</t>
  </si>
  <si>
    <t>-856.86250373282 128.635767874354 -442.351940970244</t>
  </si>
  <si>
    <t>-848.80800559252 119.089050773324 -566.306685568577</t>
  </si>
  <si>
    <t>-815.404555497478 111.109132008858 -641.974040231936</t>
  </si>
  <si>
    <t>-849.980348782453 150.827400944022 -513.727019745099</t>
  </si>
  <si>
    <t>-829.209127393923 286.3888183188 -504.155221551634</t>
  </si>
  <si>
    <t>-729.160701524066 331.279341716054 -231.086933259699</t>
  </si>
  <si>
    <t>-488.848357637919 313.937698474826 -231.435123569643</t>
  </si>
  <si>
    <t>-854.724196878226 95.752946842651 -509.793550195419</t>
  </si>
  <si>
    <t>-836.966742825002 251.483492729296 -59.010614404348</t>
  </si>
  <si>
    <t>-801.443872940249 239.304490106775 342.790954639541</t>
  </si>
  <si>
    <t>-831.393249130623 172.31643341544 784.767361655574</t>
  </si>
  <si>
    <t>-702.90274535066 241.183275787692 846.693486152581</t>
  </si>
  <si>
    <t>-798.052548783121 63.1223222496983 -52.4236867077027</t>
  </si>
  <si>
    <t>-646.992288979282 56.7724338816506 321.735542641438</t>
  </si>
  <si>
    <t>-731.752929509385 -4.37519037204902 757.099633320958</t>
  </si>
  <si>
    <t>-628.751851798133 -91.7065759231198 839.872282441318</t>
  </si>
  <si>
    <t>9763-20170724T111135.716791500.bin</t>
  </si>
  <si>
    <t>-817.128433379638 157.956656960508 -54.596583641332</t>
  </si>
  <si>
    <t>-844.84936752146 148.696944849323 -166.677025445629</t>
  </si>
  <si>
    <t>-854.493343141357 141.706536821028 -264.578860245783</t>
  </si>
  <si>
    <t>-858.092472538464 135.24773566452 -353.368421381928</t>
  </si>
  <si>
    <t>-856.226890843729 128.381157694972 -442.180631546636</t>
  </si>
  <si>
    <t>-847.920421118196 118.094405031364 -566.059648206524</t>
  </si>
  <si>
    <t>-813.830023962068 109.088846822466 -641.304321202683</t>
  </si>
  <si>
    <t>-849.022196668526 150.131355731762 -513.65981386151</t>
  </si>
  <si>
    <t>-827.338879756858 285.595676571361 -504.752491687332</t>
  </si>
  <si>
    <t>-727.105060724758 331.009886983582 -231.838842570154</t>
  </si>
  <si>
    <t>-486.776740091791 313.898955943725 -231.266723612448</t>
  </si>
  <si>
    <t>-854.129411024694 95.1110260158939 -509.433463300038</t>
  </si>
  <si>
    <t>-836.117818758655 252.094850198938 -58.8980164364243</t>
  </si>
  <si>
    <t>-800.195641402566 240.02397700858 342.871259858646</t>
  </si>
  <si>
    <t>-831.381863497783 172.321091215982 784.763505396957</t>
  </si>
  <si>
    <t>-702.783132240752 240.993881148885 846.679818190994</t>
  </si>
  <si>
    <t>-798.514288486828 63.6107687767562 -52.3282681999887</t>
  </si>
  <si>
    <t>-646.91112818673 56.7974181431046 321.603195638755</t>
  </si>
  <si>
    <t>-731.535224686226 -4.19062088761893 756.977969745619</t>
  </si>
  <si>
    <t>-629.000694504469 -91.9819700080095 839.843262929178</t>
  </si>
  <si>
    <t>9763-20170724T111135.782964000.bin</t>
  </si>
  <si>
    <t>-816.70344692512 158.872153233066 -54.0649686173291</t>
  </si>
  <si>
    <t>-844.520712628239 149.924527654307 -166.146791821201</t>
  </si>
  <si>
    <t>-854.02001708923 142.518519098051 -264.032417579558</t>
  </si>
  <si>
    <t>-857.420850655857 135.417902546181 -352.78061716524</t>
  </si>
  <si>
    <t>-855.304922623135 127.640769332959 -441.512268934262</t>
  </si>
  <si>
    <t>-846.608525351448 115.801674026607 -565.225528740762</t>
  </si>
  <si>
    <t>-811.050812587725 104.412275120589 -639.46139306955</t>
  </si>
  <si>
    <t>-847.536644841267 148.461786552278 -513.208509171656</t>
  </si>
  <si>
    <t>-824.265169532057 283.762212705111 -505.802481786933</t>
  </si>
  <si>
    <t>-725.763397272726 331.339350303178 -232.62673131265</t>
  </si>
  <si>
    <t>-485.416906029755 314.590612270072 -230.635669281713</t>
  </si>
  <si>
    <t>-853.334447966899 93.5613201624174 -508.36226617728</t>
  </si>
  <si>
    <t>-834.333064929952 253.219736103332 -58.3876872477475</t>
  </si>
  <si>
    <t>-797.70270474227 240.988867855271 343.31273202162</t>
  </si>
  <si>
    <t>-831.382883129987 172.134586724571 784.919056469344</t>
  </si>
  <si>
    <t>-702.634778748873 240.697554508469 846.647357888836</t>
  </si>
  <si>
    <t>-799.381444733327 64.3677102126171 -51.8294932128607</t>
  </si>
  <si>
    <t>-646.581756680044 56.6890110300437 321.597754111509</t>
  </si>
  <si>
    <t>-731.146564214718 -3.9760363420969 756.888201432575</t>
  </si>
  <si>
    <t>-629.041496757493 -91.9990334372008 840.037452724483</t>
  </si>
  <si>
    <t>9763-20170724T111135.813566300.bin</t>
  </si>
  <si>
    <t>-816.461055678576 159.201732885497 -53.7964965804676</t>
  </si>
  <si>
    <t>-844.250368492123 150.387555709553 -165.895933134107</t>
  </si>
  <si>
    <t>-853.59238861214 142.753540447265 -263.779045027469</t>
  </si>
  <si>
    <t>-856.809930222124 135.310343304731 -352.505981517663</t>
  </si>
  <si>
    <t>-854.477306026082 127.05127925683 -441.188599708085</t>
  </si>
  <si>
    <t>-845.451410178597 114.393381492493 -564.797349847223</t>
  </si>
  <si>
    <t>-809.271484392878 101.851941301606 -638.545316025723</t>
  </si>
  <si>
    <t>-846.365806406563 147.381852975643 -512.987736695544</t>
  </si>
  <si>
    <t>-822.466108880299 282.607615856001 -506.385996934094</t>
  </si>
  <si>
    <t>-724.979889344069 331.832788775912 -233.137774214621</t>
  </si>
  <si>
    <t>-484.654613665229 314.918846164054 -230.227900601477</t>
  </si>
  <si>
    <t>-852.480615868035 92.5451362304075 -507.818822673601</t>
  </si>
  <si>
    <t>-833.643218502577 253.646726251945 -58.1100431002961</t>
  </si>
  <si>
    <t>-796.738174271392 241.297112660734 343.561684255175</t>
  </si>
  <si>
    <t>-831.343876144369 171.981174876949 785.003727600542</t>
  </si>
  <si>
    <t>-702.644025605411 240.726206569362 846.629942992516</t>
  </si>
  <si>
    <t>-799.524955496293 64.550266393142 -51.5558602998973</t>
  </si>
  <si>
    <t>-646.335512688546 56.8223249990774 321.710764393094</t>
  </si>
  <si>
    <t>-730.979768073929 -3.9177727077049 756.901836160382</t>
  </si>
  <si>
    <t>-629.347477867466 -92.3178239399931 840.230168628343</t>
  </si>
  <si>
    <t>9763-20170724T111135.883254700.bin</t>
  </si>
  <si>
    <t>-816.298601676422 159.64696351039 -53.45712847069</t>
  </si>
  <si>
    <t>-843.667655115575 151.084558167517 -165.679417500947</t>
  </si>
  <si>
    <t>-852.384222755269 142.986665185118 -263.582956649415</t>
  </si>
  <si>
    <t>-854.956284749981 134.847125136597 -352.269874958666</t>
  </si>
  <si>
    <t>-851.915984471058 125.608585266424 -440.83418331053</t>
  </si>
  <si>
    <t>-841.854070397475 111.2830814634 -564.18074448927</t>
  </si>
  <si>
    <t>-804.717733733668 96.8421709802656 -637.101055808391</t>
  </si>
  <si>
    <t>-842.937397566631 144.93975508773 -512.805875924168</t>
  </si>
  <si>
    <t>-817.993252482239 280.034499082351 -507.82810979571</t>
  </si>
  <si>
    <t>-722.653421142827 332.633429861241 -234.451382373324</t>
  </si>
  <si>
    <t>-482.363195339001 315.462997671926 -230.371835371073</t>
  </si>
  <si>
    <t>-849.626418445669 90.2341435940957 -506.998073821086</t>
  </si>
  <si>
    <t>-832.729412987534 254.237121682479 -57.7798242504657</t>
  </si>
  <si>
    <t>-795.681327944581 241.871522614962 343.878253739689</t>
  </si>
  <si>
    <t>-831.219158094587 171.781069543299 785.081778600575</t>
  </si>
  <si>
    <t>-702.5397758312 240.665587457684 846.594451364061</t>
  </si>
  <si>
    <t>-800.123861303529 64.9843994302505 -51.073117740912</t>
  </si>
  <si>
    <t>-645.801385291335 56.8382149702925 321.717554064718</t>
  </si>
  <si>
    <t>-730.890375294995 -4.22076889097616 756.760057057123</t>
  </si>
  <si>
    <t>-629.638676728884 -92.6236885783678 840.547236597704</t>
  </si>
  <si>
    <t>9763-20170724T111135.913844300.bin</t>
  </si>
  <si>
    <t>-816.296317329818 159.994402776678 -53.3198057459903</t>
  </si>
  <si>
    <t>-843.400343633784 151.576249379118 -165.617311560973</t>
  </si>
  <si>
    <t>-851.78399137972 143.298798365671 -263.534942492728</t>
  </si>
  <si>
    <t>-854.025097818394 134.873286789214 -352.204084861438</t>
  </si>
  <si>
    <t>-850.632519501712 125.22246645104 -440.711624505766</t>
  </si>
  <si>
    <t>-840.063240611603 110.187971787565 -563.931293470623</t>
  </si>
  <si>
    <t>-802.571939973518 95.053317314042 -636.528546008929</t>
  </si>
  <si>
    <t>-841.264346994926 144.128684721388 -512.746424969155</t>
  </si>
  <si>
    <t>-815.943955357524 279.174938978563 -508.483041568497</t>
  </si>
  <si>
    <t>-721.575050908111 332.965109258015 -235.001157606144</t>
  </si>
  <si>
    <t>-481.294185574783 315.746667074267 -230.590344548136</t>
  </si>
  <si>
    <t>-848.164433768698 89.4788878833215 -506.670409492626</t>
  </si>
  <si>
    <t>-832.565577257923 254.630698233102 -57.6774966917635</t>
  </si>
  <si>
    <t>-795.436821948826 242.12034085856 343.968650598883</t>
  </si>
  <si>
    <t>-831.186591125346 171.750520588745 785.104997906284</t>
  </si>
  <si>
    <t>-702.521112706342 240.683338918456 846.59306996847</t>
  </si>
  <si>
    <t>-800.320540652382 65.4386606277822 -50.9652335811155</t>
  </si>
  <si>
    <t>-645.710370397238 56.7737298630695 321.694566299674</t>
  </si>
  <si>
    <t>-730.928450517216 -4.5039763022337 756.638674643565</t>
  </si>
  <si>
    <t>-629.782333256142 -92.8033575817935 840.662535312181</t>
  </si>
  <si>
    <t>9763-20170724T111135.978015000.bin</t>
  </si>
  <si>
    <t>-816.465716154181 160.791128672405 -53.2041297911995</t>
  </si>
  <si>
    <t>-843.035119572013 152.629720929166 -165.648215725121</t>
  </si>
  <si>
    <t>-850.783537049445 144.095517834831 -263.596070487249</t>
  </si>
  <si>
    <t>-852.398874455649 135.242785047337 -352.23730703132</t>
  </si>
  <si>
    <t>-848.342620509541 124.968087643184 -440.646753685729</t>
  </si>
  <si>
    <t>-836.820314558336 108.85496952458 -563.644302527631</t>
  </si>
  <si>
    <t>-798.639176414423 92.7732155511353 -635.676351420193</t>
  </si>
  <si>
    <t>-838.322486600886 143.232200285946 -512.75952515383</t>
  </si>
  <si>
    <t>-812.572790476693 278.231879076936 -509.517389360861</t>
  </si>
  <si>
    <t>-719.917876390548 333.92684408097 -235.830778872717</t>
  </si>
  <si>
    <t>-479.618961376751 317.113788021509 -230.87346898057</t>
  </si>
  <si>
    <t>-845.459041334118 88.6590110814354 -506.278806484174</t>
  </si>
  <si>
    <t>-832.369379510365 255.319980393444 -57.5848016700357</t>
  </si>
  <si>
    <t>-795.374965972898 242.517431548444 344.064498030441</t>
  </si>
  <si>
    <t>-831.003067101668 171.662033472013 785.11674338338</t>
  </si>
  <si>
    <t>-702.52223491603 240.939474404525 846.603591350069</t>
  </si>
  <si>
    <t>-800.906046031658 66.3918221178255 -50.982582903776</t>
  </si>
  <si>
    <t>-646.402421030883 57.1848569099425 321.708406292656</t>
  </si>
  <si>
    <t>-731.055058294213 -4.94472727139282 756.565154814192</t>
  </si>
  <si>
    <t>-629.816542002928 -92.8510877610004 840.889314002149</t>
  </si>
  <si>
    <t>9763-20170724T111136.014240400.bin</t>
  </si>
  <si>
    <t>-816.613692350495 161.276548066424 -53.2189954314075</t>
  </si>
  <si>
    <t>-842.931838952753 153.221963358894 -165.729938932734</t>
  </si>
  <si>
    <t>-850.391782291998 144.624675323239 -263.694641972122</t>
  </si>
  <si>
    <t>-851.722870732425 135.653741070617 -352.328752306384</t>
  </si>
  <si>
    <t>-847.364240686572 125.199470522894 -440.70259499808</t>
  </si>
  <si>
    <t>-835.403417279369 108.77206692416 -563.61689154251</t>
  </si>
  <si>
    <t>-796.923121015317 92.3967169571833 -635.423014581285</t>
  </si>
  <si>
    <t>-837.084967929187 143.278907546844 -512.825533413816</t>
  </si>
  <si>
    <t>-811.308754154519 278.271265663761 -509.893019469213</t>
  </si>
  <si>
    <t>-719.269638053051 334.704785716874 -236.150016789068</t>
  </si>
  <si>
    <t>-478.96207505902 318.063505521411 -231.03066958663</t>
  </si>
  <si>
    <t>-844.248527720466 88.7228397937224 -506.231271520903</t>
  </si>
  <si>
    <t>-916.670741880935 0.303676083931805 -174.66307921869</t>
  </si>
  <si>
    <t>-832.343140503721 255.661055431875 -57.5821322564248</t>
  </si>
  <si>
    <t>-795.45328987139 242.660566316017 344.070521680599</t>
  </si>
  <si>
    <t>-830.897205378202 171.620241180223 785.110849662766</t>
  </si>
  <si>
    <t>-702.554220562879 241.144465373952 846.60691150568</t>
  </si>
  <si>
    <t>-801.246407108343 67.0056647679839 -51.0342421075188</t>
  </si>
  <si>
    <t>-646.930225440788 57.4828074170855 321.72641760235</t>
  </si>
  <si>
    <t>-731.156072064437 -5.08015739994926 756.644535696601</t>
  </si>
  <si>
    <t>-630.045750813864 -93.1032871357227 841.000451617882</t>
  </si>
  <si>
    <t>9763-20170724T111136.082426700.bin</t>
  </si>
  <si>
    <t>-816.766249388 162.080352558866 -53.309222940352</t>
  </si>
  <si>
    <t>-842.646437350243 154.18085515654 -165.932663320332</t>
  </si>
  <si>
    <t>-849.567094892767 145.500182306646 -263.929569560152</t>
  </si>
  <si>
    <t>-850.35390086834 136.366421624029 -352.553432019935</t>
  </si>
  <si>
    <t>-845.400545415443 125.662558185052 -440.866210459286</t>
  </si>
  <si>
    <t>-832.562965809614 108.796914136804 -563.632445528095</t>
  </si>
  <si>
    <t>-793.592549303417 92.052800614179 -635.088457092927</t>
  </si>
  <si>
    <t>-834.641603913683 143.48863966646 -512.982252816091</t>
  </si>
  <si>
    <t>-808.964829584221 278.516323528754 -510.438106298841</t>
  </si>
  <si>
    <t>-718.064495515161 336.531381348904 -236.645170294346</t>
  </si>
  <si>
    <t>-477.735124330165 320.295268348592 -231.255703845225</t>
  </si>
  <si>
    <t>-841.782450564994 88.9483080070459 -506.235953555988</t>
  </si>
  <si>
    <t>-916.262966158764 0.469320534312828 -174.701898093317</t>
  </si>
  <si>
    <t>-832.129261605385 256.237263150214 -57.618150682738</t>
  </si>
  <si>
    <t>-795.648720435116 242.907117690859 344.06100733812</t>
  </si>
  <si>
    <t>-830.838546263653 171.695095980256 785.107476594621</t>
  </si>
  <si>
    <t>-702.456082314044 241.120987342957 846.631966221162</t>
  </si>
  <si>
    <t>-801.688764383207 68.0259603201621 -51.1205446610072</t>
  </si>
  <si>
    <t>-647.893682122832 57.5578188641193 321.830155582519</t>
  </si>
  <si>
    <t>-731.777143672299 -5.70263839125982 756.839360394275</t>
  </si>
  <si>
    <t>-629.832505358351 -92.8719912912579 841.077802273129</t>
  </si>
  <si>
    <t>9763-20170724T111136.116518100.bin</t>
  </si>
  <si>
    <t>-816.576821570996 162.432240926762 -53.3791695473877</t>
  </si>
  <si>
    <t>-842.27283962351 154.585182651458 -166.048323775299</t>
  </si>
  <si>
    <t>-848.965970796424 145.874050755522 -264.058545835538</t>
  </si>
  <si>
    <t>-849.523393465111 136.680813997668 -352.677975269836</t>
  </si>
  <si>
    <t>-844.318595705924 125.885577814918 -440.96505329014</t>
  </si>
  <si>
    <t>-831.109792017361 108.857601717351 -563.669554073743</t>
  </si>
  <si>
    <t>-791.938468225012 92.0064740050493 -634.990442501041</t>
  </si>
  <si>
    <t>-833.359307050179 143.618562281916 -513.07384981585</t>
  </si>
  <si>
    <t>-807.760086171781 278.663525623097 -510.695414312616</t>
  </si>
  <si>
    <t>-717.196623890858 337.183684797931 -236.898394926822</t>
  </si>
  <si>
    <t>-476.843479668205 321.335343636219 -231.415738090232</t>
  </si>
  <si>
    <t>-840.485376303399 89.0830775191266 -506.272959354235</t>
  </si>
  <si>
    <t>-915.769722398999 0.520867862246178 -174.767064838632</t>
  </si>
  <si>
    <t>-831.855744471048 256.437672738799 -57.6648563146654</t>
  </si>
  <si>
    <t>-795.694539356645 242.945110022179 344.037733381028</t>
  </si>
  <si>
    <t>-830.804619669213 171.735879559975 785.097208632843</t>
  </si>
  <si>
    <t>-702.482089120633 241.252503663566 846.644341371838</t>
  </si>
  <si>
    <t>-801.499386520688 68.4118747691773 -51.1982234096305</t>
  </si>
  <si>
    <t>-647.957468957499 57.6787744341104 321.849225008187</t>
  </si>
  <si>
    <t>-731.728764953214 -5.62664648209966 756.871170964856</t>
  </si>
  <si>
    <t>-630.016664535885 -93.0858616948085 841.090386112094</t>
  </si>
  <si>
    <t>9763-20170724T111136.181690900.bin</t>
  </si>
  <si>
    <t>-815.93092526285 162.601295973906 -53.5037939694666</t>
  </si>
  <si>
    <t>-841.273325313238 154.837657263673 -166.258755829119</t>
  </si>
  <si>
    <t>-847.54394971634 146.080440646919 -264.29263514784</t>
  </si>
  <si>
    <t>-847.677033786623 136.795062249872 -352.904238389777</t>
  </si>
  <si>
    <t>-842.0102996302 125.856197852306 -441.145182193236</t>
  </si>
  <si>
    <t>-828.121430867231 108.573909388161 -563.73906977388</t>
  </si>
  <si>
    <t>-788.609776339052 91.5692675246141 -634.835347473502</t>
  </si>
  <si>
    <t>-830.684839866591 143.443637786831 -513.233041835335</t>
  </si>
  <si>
    <t>-805.182666095627 278.513776852653 -511.070289772879</t>
  </si>
  <si>
    <t>-714.971544833335 337.93757808327 -237.351440062586</t>
  </si>
  <si>
    <t>-474.593123447539 322.561331239292 -231.633041401813</t>
  </si>
  <si>
    <t>-837.781835913005 88.9144417195425 -506.34999323411</t>
  </si>
  <si>
    <t>-913.895304078951 0.445407009453447 -174.832063484576</t>
  </si>
  <si>
    <t>-831.180919745887 256.505773824464 -57.7604141166453</t>
  </si>
  <si>
    <t>-795.619487310957 242.895428813877 343.991788672027</t>
  </si>
  <si>
    <t>-830.741320549213 171.830900678842 785.076549216862</t>
  </si>
  <si>
    <t>-702.454461177876 241.369865773231 846.673622009363</t>
  </si>
  <si>
    <t>-800.870921843221 68.4820109596835 -51.3366848999566</t>
  </si>
  <si>
    <t>-647.555762829414 57.4024250204443 321.793795322776</t>
  </si>
  <si>
    <t>-731.882356140632 -5.8964459587919 756.794955242501</t>
  </si>
  <si>
    <t>-630.185092632782 -93.3193979623306 841.06952389895</t>
  </si>
  <si>
    <t>9763-20170724T111136.215800700.bin</t>
  </si>
  <si>
    <t>-815.56191761292 162.324104400442 -53.5732720843677</t>
  </si>
  <si>
    <t>-840.755585284291 154.599005944079 -166.364245167652</t>
  </si>
  <si>
    <t>-846.844038964905 145.828166431038 -264.408433758281</t>
  </si>
  <si>
    <t>-846.793056088156 136.509235853202 -353.016608266821</t>
  </si>
  <si>
    <t>-840.925225530546 125.515105075704 -441.237571659115</t>
  </si>
  <si>
    <t>-826.739484076813 108.131701614058 -563.782916571519</t>
  </si>
  <si>
    <t>-787.066863123263 91.0759519841658 -634.777395756413</t>
  </si>
  <si>
    <t>-829.440200323688 143.044757095251 -513.31420135663</t>
  </si>
  <si>
    <t>-803.951889340154 278.115193966161 -511.216339084147</t>
  </si>
  <si>
    <t>-713.833082779564 337.660632707924 -237.493445493357</t>
  </si>
  <si>
    <t>-473.434313220805 322.626256305017 -231.72948868114</t>
  </si>
  <si>
    <t>-836.523654918327 88.517929487095 -506.399427920623</t>
  </si>
  <si>
    <t>-830.811780939353 256.366274728149 -57.8026518110464</t>
  </si>
  <si>
    <t>-795.489885654715 242.68145306423 343.968108547638</t>
  </si>
  <si>
    <t>-830.712226145412 171.867081671673 785.060125043274</t>
  </si>
  <si>
    <t>-702.41279375335 241.358431859783 846.684065747034</t>
  </si>
  <si>
    <t>-800.56414158634 68.0745475789909 -51.4180970476335</t>
  </si>
  <si>
    <t>-647.326499623793 57.2059100785077 321.750445150689</t>
  </si>
  <si>
    <t>-731.975651407991 -6.06695845247486 756.743639203898</t>
  </si>
  <si>
    <t>-630.204841002226 -93.34754913347 841.076970155287</t>
  </si>
  <si>
    <t>9763-20170724T111136.281973900.bin</t>
  </si>
  <si>
    <t>-814.420545823821 161.696823898055 -53.6914930003787</t>
  </si>
  <si>
    <t>-839.355928905983 154.051705645481 -166.545309582003</t>
  </si>
  <si>
    <t>-845.146638678082 145.281621739266 -264.607617941333</t>
  </si>
  <si>
    <t>-844.799389897652 135.934135356466 -353.212129857919</t>
  </si>
  <si>
    <t>-838.611141404413 124.881918463127 -441.403895646722</t>
  </si>
  <si>
    <t>-823.955643227697 107.385737476566 -563.877985969166</t>
  </si>
  <si>
    <t>-784.027987922545 90.3192761373598 -634.726922567012</t>
  </si>
  <si>
    <t>-826.90021743933 142.350952694097 -513.458959507161</t>
  </si>
  <si>
    <t>-801.484811059621 277.43645793374 -511.422329640817</t>
  </si>
  <si>
    <t>-710.907460414796 337.241738831219 -237.907761759783</t>
  </si>
  <si>
    <t>-470.477666410472 322.76490037283 -232.000886053698</t>
  </si>
  <si>
    <t>-833.909341383358 87.8190321924253 -506.507438887427</t>
  </si>
  <si>
    <t>-829.739357021495 255.98360963123 -57.8772731915489</t>
  </si>
  <si>
    <t>-795.119713600438 242.080066094541 343.947129305134</t>
  </si>
  <si>
    <t>-830.564838899477 171.824770731683 785.041934128895</t>
  </si>
  <si>
    <t>-702.420131361011 241.56994724071 846.700658650351</t>
  </si>
  <si>
    <t>-799.361366539161 67.3476444411785 -51.599749011832</t>
  </si>
  <si>
    <t>-646.525734028756 56.7132189698018 321.740356788942</t>
  </si>
  <si>
    <t>-732.016680814915 -6.23441270116018 756.621878578012</t>
  </si>
  <si>
    <t>-630.010659044226 -93.1267265538297 841.071979970189</t>
  </si>
  <si>
    <t>9763-20170724T111136.316594900.bin</t>
  </si>
  <si>
    <t>-813.850773409195 161.539574953772 -53.7826437886606</t>
  </si>
  <si>
    <t>-838.670696944142 153.916410965986 -166.663451007512</t>
  </si>
  <si>
    <t>-844.314413518366 145.143599933573 -264.73400580824</t>
  </si>
  <si>
    <t>-843.816474802672 135.782757576704 -353.336370648431</t>
  </si>
  <si>
    <t>-837.461031567392 124.706215456778 -441.513224912033</t>
  </si>
  <si>
    <t>-822.554850662845 107.164078905432 -563.950601072593</t>
  </si>
  <si>
    <t>-782.52772646575 90.1396380428369 -634.753211810246</t>
  </si>
  <si>
    <t>-825.633454503585 142.151702591911 -513.55492908424</t>
  </si>
  <si>
    <t>-800.309012274578 277.254746801468 -511.546094159804</t>
  </si>
  <si>
    <t>-709.29330076912 337.221758753939 -238.212437577845</t>
  </si>
  <si>
    <t>-468.852086286569 323.001612888413 -232.160111820698</t>
  </si>
  <si>
    <t>-832.595396585772 87.6155268195375 -506.588825322111</t>
  </si>
  <si>
    <t>-829.185134167194 255.842923296179 -57.9312029877425</t>
  </si>
  <si>
    <t>-794.916042631613 241.895537865517 343.921730491675</t>
  </si>
  <si>
    <t>-830.52146427017 171.838980621515 785.018689914365</t>
  </si>
  <si>
    <t>-702.347801351546 241.509579292388 846.701924508286</t>
  </si>
  <si>
    <t>-798.793232704183 67.2354569253898 -51.7133853862696</t>
  </si>
  <si>
    <t>-646.19335301394 56.4994334482144 321.72027725901</t>
  </si>
  <si>
    <t>-732.047879849902 -6.31935223850087 756.572084414834</t>
  </si>
  <si>
    <t>-630.120072281745 -93.2413112038905 841.08579000117</t>
  </si>
  <si>
    <t>9763-20170724T111136.385278400.bin</t>
  </si>
  <si>
    <t>-812.866790596013 161.291718099325 -53.8952808529375</t>
  </si>
  <si>
    <t>-837.408098948564 153.708954001715 -166.839714268563</t>
  </si>
  <si>
    <t>-842.727344424741 144.896068887247 -264.924904937044</t>
  </si>
  <si>
    <t>-841.905239646407 135.466902587531 -353.51750220009</t>
  </si>
  <si>
    <t>-835.197956809879 124.289797788748 -441.655689734101</t>
  </si>
  <si>
    <t>-819.775714932751 106.573990027207 -564.00398211043</t>
  </si>
  <si>
    <t>-779.609949446566 89.6681726058405 -634.756785851953</t>
  </si>
  <si>
    <t>-823.128000206349 141.639536273292 -513.680311391978</t>
  </si>
  <si>
    <t>-797.986906389815 276.783739893431 -511.804505864866</t>
  </si>
  <si>
    <t>-706.035066938003 337.445819094441 -238.937898874622</t>
  </si>
  <si>
    <t>-465.573264760448 323.706088355821 -232.596843937978</t>
  </si>
  <si>
    <t>-829.996575858373 87.1001292188926 -506.648847571308</t>
  </si>
  <si>
    <t>-828.290587954618 255.707118448522 -58.0124774283514</t>
  </si>
  <si>
    <t>-794.656269089358 241.543212904468 343.886493849856</t>
  </si>
  <si>
    <t>-830.449719628936 171.827720625234 785.009905895574</t>
  </si>
  <si>
    <t>-702.270158720093 241.477212124692 846.705219153637</t>
  </si>
  <si>
    <t>-797.749708354652 66.849951438674 -51.8602973900312</t>
  </si>
  <si>
    <t>-645.821904302436 56.2868858792872 321.852323012024</t>
  </si>
  <si>
    <t>-732.28164053092 -6.59554924108443 756.5941504038</t>
  </si>
  <si>
    <t>-629.837787933521 -92.8978066811744 841.119078124372</t>
  </si>
  <si>
    <t>9763-20170724T111136.415922200.bin</t>
  </si>
  <si>
    <t>-812.304336147921 161.136657845393 -53.969062911269</t>
  </si>
  <si>
    <t>-836.695266932227 153.606503365334 -166.949603048796</t>
  </si>
  <si>
    <t>-841.855770485683 144.767701016764 -265.04092966803</t>
  </si>
  <si>
    <t>-840.881053784459 135.286226175677 -353.626464117417</t>
  </si>
  <si>
    <t>-834.014871997775 124.028645170182 -441.742092604725</t>
  </si>
  <si>
    <t>-818.365622819156 106.170546698884 -564.040961657501</t>
  </si>
  <si>
    <t>-778.163022823845 89.3294761669545 -634.788080421174</t>
  </si>
  <si>
    <t>-821.83229311736 141.296803143512 -513.767314011067</t>
  </si>
  <si>
    <t>-796.789978265437 276.455089599051 -511.982968912324</t>
  </si>
  <si>
    <t>-704.45879872368 337.557354902975 -239.342817097819</t>
  </si>
  <si>
    <t>-463.986524663526 324.08877113161 -232.816556406843</t>
  </si>
  <si>
    <t>-828.671894959035 86.761144207122 -506.679162418748</t>
  </si>
  <si>
    <t>-827.745389386429 255.6278958286 -58.0416899527104</t>
  </si>
  <si>
    <t>-794.415427966276 241.293106895531 343.876608671582</t>
  </si>
  <si>
    <t>-830.328730690713 171.721072255288 785.011305747861</t>
  </si>
  <si>
    <t>-702.310391728863 241.670789929244 846.7012807916</t>
  </si>
  <si>
    <t>-797.111707451078 66.5853469371368 -51.9775415046742</t>
  </si>
  <si>
    <t>-645.642035868304 56.3543612185345 321.930223005792</t>
  </si>
  <si>
    <t>-732.300071355365 -6.62189180865425 756.613925039208</t>
  </si>
  <si>
    <t>-629.790109110512 -92.8263250106231 841.158294943958</t>
  </si>
  <si>
    <t>9763-20170724T111136.482097200.bin</t>
  </si>
  <si>
    <t>-811.059569143792 160.964034798234 -54.1210561636472</t>
  </si>
  <si>
    <t>-835.156130888795 153.573593639646 -167.174001041549</t>
  </si>
  <si>
    <t>-840.017708081328 144.67577686091 -265.275187484049</t>
  </si>
  <si>
    <t>-838.762620916377 135.068417311564 -353.843620322703</t>
  </si>
  <si>
    <t>-831.610879034065 123.613639098866 -441.911141983282</t>
  </si>
  <si>
    <t>-815.562337178206 105.405685995352 -564.106681357049</t>
  </si>
  <si>
    <t>-775.356296202386 88.6786820180118 -634.878819762897</t>
  </si>
  <si>
    <t>-819.198968883761 140.676269545195 -513.94620155717</t>
  </si>
  <si>
    <t>-794.101773766167 275.828990024429 -512.404823840816</t>
  </si>
  <si>
    <t>-701.181382217072 337.803663517757 -240.161860770355</t>
  </si>
  <si>
    <t>-460.691486670974 324.930126697299 -233.110090597195</t>
  </si>
  <si>
    <t>-826.050420787337 86.1597900892266 -506.72260520248</t>
  </si>
  <si>
    <t>-826.609643933821 255.579776977896 -58.0931522276466</t>
  </si>
  <si>
    <t>-793.919972305944 240.920638629714 343.866067552948</t>
  </si>
  <si>
    <t>-830.277129319519 171.691446975158 785.020664739292</t>
  </si>
  <si>
    <t>-702.297407659681 241.715551106699 846.706656703341</t>
  </si>
  <si>
    <t>-795.710484134662 66.2316040954852 -52.213235748737</t>
  </si>
  <si>
    <t>-644.89922785393 56.2510780859184 321.967207405887</t>
  </si>
  <si>
    <t>-732.201127210501 -6.57786420768571 756.585094096938</t>
  </si>
  <si>
    <t>-629.94207379117 -92.9548187622624 841.257505201375</t>
  </si>
  <si>
    <t>9763-20170724T111136.515084600.bin</t>
  </si>
  <si>
    <t>-810.45722131035 160.927668337759 -54.162353243968</t>
  </si>
  <si>
    <t>-834.419389257766 153.595695118408 -167.247568273328</t>
  </si>
  <si>
    <t>-839.131181272764 144.665285216817 -265.353192910971</t>
  </si>
  <si>
    <t>-837.730362245833 134.995062129612 -353.912598684959</t>
  </si>
  <si>
    <t>-830.425034234548 123.442498330492 -441.954631653572</t>
  </si>
  <si>
    <t>-814.156988171423 105.061980895061 -564.09522577836</t>
  </si>
  <si>
    <t>-773.979864466339 88.3973393932019 -634.898543619521</t>
  </si>
  <si>
    <t>-817.875352337967 140.402418180558 -513.990043022932</t>
  </si>
  <si>
    <t>-792.73058655748 275.544984528558 -512.600362484124</t>
  </si>
  <si>
    <t>-699.41985741158 337.922207733577 -240.583197901103</t>
  </si>
  <si>
    <t>-458.914858121236 325.471668654023 -233.288144986856</t>
  </si>
  <si>
    <t>-824.756222417739 85.8980635674998 -506.7042575955</t>
  </si>
  <si>
    <t>-826.078180172067 255.610828853418 -58.0977581029691</t>
  </si>
  <si>
    <t>-793.594267092261 240.785299971678 343.871980263685</t>
  </si>
  <si>
    <t>-830.206747330143 171.628555625946 785.030156678511</t>
  </si>
  <si>
    <t>-702.197341323686 241.602461068127 846.710962796708</t>
  </si>
  <si>
    <t>-795.093851550558 66.192100842773 -52.2812243467849</t>
  </si>
  <si>
    <t>-644.470297922496 56.0879487620509 321.971535613461</t>
  </si>
  <si>
    <t>-732.066299204619 -6.46747658850063 756.550411123615</t>
  </si>
  <si>
    <t>-629.991287955744 -92.9822806138441 841.304115304644</t>
  </si>
  <si>
    <t>9763-20170724T111136.580262000.bin</t>
  </si>
  <si>
    <t>-809.498875842022 160.770952068199 -54.1953744006972</t>
  </si>
  <si>
    <t>-833.174558319109 153.577352559164 -167.34975364833</t>
  </si>
  <si>
    <t>-837.566925048009 144.548465517218 -265.461203404791</t>
  </si>
  <si>
    <t>-835.858080511717 134.69965964112 -353.995490014522</t>
  </si>
  <si>
    <t>-828.231816674443 122.878949172276 -441.974869406001</t>
  </si>
  <si>
    <t>-811.508852756003 104.02954413187 -563.982336922534</t>
  </si>
  <si>
    <t>-771.616014961312 87.7915639783159 -635.045283091883</t>
  </si>
  <si>
    <t>-815.390786843494 139.55985896865 -514.024035341937</t>
  </si>
  <si>
    <t>-790.178016535817 274.696076230365 -513.10550734252</t>
  </si>
  <si>
    <t>-696.612690986179 338.322924003023 -241.465331620752</t>
  </si>
  <si>
    <t>-456.094276447533 326.418335884439 -233.721741829496</t>
  </si>
  <si>
    <t>-822.344617236318 85.088494402125 -506.561664621777</t>
  </si>
  <si>
    <t>-825.125133994048 255.628162131986 -58.042290794599</t>
  </si>
  <si>
    <t>-792.952015811702 240.487908538483 343.940736849705</t>
  </si>
  <si>
    <t>-830.08394123745 171.475856372497 785.085223863734</t>
  </si>
  <si>
    <t>-702.208195514731 241.734806170825 846.718731448774</t>
  </si>
  <si>
    <t>-794.189814701069 65.8903261339374 -52.4147987849744</t>
  </si>
  <si>
    <t>-644.018606092666 55.9026518584783 322.022893731913</t>
  </si>
  <si>
    <t>-732.090796762252 -6.67270665068781 756.479158026902</t>
  </si>
  <si>
    <t>-629.930057177556 -92.8818070268369 841.440972477367</t>
  </si>
  <si>
    <t>9763-20170724T111136.617411600.bin</t>
  </si>
  <si>
    <t>-809.150362049431 160.788757715083 -54.1614359893998</t>
  </si>
  <si>
    <t>-832.693817558627 153.656311772563 -167.347464330381</t>
  </si>
  <si>
    <t>-836.967084047201 144.578825721861 -265.459567893299</t>
  </si>
  <si>
    <t>-835.151542297323 134.646658892159 -353.982474359325</t>
  </si>
  <si>
    <t>-827.423887241997 122.704481315946 -441.93640674442</t>
  </si>
  <si>
    <t>-810.565397563973 103.646643844594 -563.892938571813</t>
  </si>
  <si>
    <t>-770.996922243085 87.7956077014046 -635.224017230335</t>
  </si>
  <si>
    <t>-814.507427459722 139.262910010114 -514.000491000874</t>
  </si>
  <si>
    <t>-789.422525567312 274.424286890112 -513.40750956851</t>
  </si>
  <si>
    <t>-696.293917259368 338.812798074927 -241.796814515379</t>
  </si>
  <si>
    <t>-455.777787758944 327.001934433647 -233.833307553382</t>
  </si>
  <si>
    <t>-821.460452052754 84.8033332628061 -506.451321037691</t>
  </si>
  <si>
    <t>-824.754846769985 255.633333148356 -57.9265768417908</t>
  </si>
  <si>
    <t>-792.623235066106 240.535602285025 344.061322680408</t>
  </si>
  <si>
    <t>-830.085862691599 171.349124131869 785.233589488504</t>
  </si>
  <si>
    <t>-702.175917184013 241.653795838693 846.744368707338</t>
  </si>
  <si>
    <t>-793.835263331229 65.9158531497965 -52.4302544819467</t>
  </si>
  <si>
    <t>-643.917814539409 55.7935088497688 322.105363797194</t>
  </si>
  <si>
    <t>-732.117144572244 -6.79535991128841 756.497933204549</t>
  </si>
  <si>
    <t>-629.962003590885 -92.9067199913466 841.565418373295</t>
  </si>
  <si>
    <t>9763-20170724T111136.681579500.bin</t>
  </si>
  <si>
    <t>-808.987871957456 160.632576340178 -53.7206998158601</t>
  </si>
  <si>
    <t>-832.380091954275 153.553436172435 -166.941232406523</t>
  </si>
  <si>
    <t>-836.48356072449 144.429395057635 -265.056299893183</t>
  </si>
  <si>
    <t>-834.502717405388 134.417800110672 -353.566793295925</t>
  </si>
  <si>
    <t>-826.599489173232 122.360118359783 -441.489463663225</t>
  </si>
  <si>
    <t>-809.488623516176 103.103595658313 -563.37958744049</t>
  </si>
  <si>
    <t>-770.710523922882 88.1619627502046 -635.338147354117</t>
  </si>
  <si>
    <t>-813.588418921901 138.806620492822 -513.562063245074</t>
  </si>
  <si>
    <t>-789.202665876796 274.104518099909 -513.411173365589</t>
  </si>
  <si>
    <t>-698.392826488511 339.409372014708 -241.234650738101</t>
  </si>
  <si>
    <t>-457.865909659907 327.558041800748 -233.672264484383</t>
  </si>
  <si>
    <t>-820.448026960968 84.3480951647489 -505.921370575809</t>
  </si>
  <si>
    <t>-824.856702960845 255.380017617797 -57.3907216733832</t>
  </si>
  <si>
    <t>-792.046504874334 240.072129111803 344.534428282124</t>
  </si>
  <si>
    <t>-829.996503557162 170.697083890066 785.746014102704</t>
  </si>
  <si>
    <t>-702.344825614655 241.853011521598 846.812395221806</t>
  </si>
  <si>
    <t>-793.409633862103 65.8013742173871 -52.19338823547</t>
  </si>
  <si>
    <t>-643.968416089406 55.0929523961768 322.516252316331</t>
  </si>
  <si>
    <t>-732.092835943387 -6.81486242644269 756.875092044988</t>
  </si>
  <si>
    <t>-629.88814799918 -92.7703261120068 842.040869312544</t>
  </si>
  <si>
    <t>9763-20170724T111136.712668000.bin</t>
  </si>
  <si>
    <t>-809.032987927917 160.336200195167 -53.5425450708462</t>
  </si>
  <si>
    <t>-832.342960730808 153.245286617203 -166.779470638251</t>
  </si>
  <si>
    <t>-836.396586905239 144.152505810001 -264.899486504858</t>
  </si>
  <si>
    <t>-834.378392939263 134.184473675301 -353.414059032212</t>
  </si>
  <si>
    <t>-826.445245542332 122.184802871302 -441.341879009818</t>
  </si>
  <si>
    <t>-809.299377239035 103.02417730442 -563.242286890419</t>
  </si>
  <si>
    <t>-770.879392783027 88.5508256319863 -635.488112686349</t>
  </si>
  <si>
    <t>-813.436188799385 138.690527006168 -513.401314416388</t>
  </si>
  <si>
    <t>-789.375728330925 274.046207282302 -513.202103726957</t>
  </si>
  <si>
    <t>-700.216750814114 339.303642782004 -240.468972267074</t>
  </si>
  <si>
    <t>-459.689705640117 327.264119964682 -233.212702988942</t>
  </si>
  <si>
    <t>-820.252695531624 84.2211652342808 -505.798517619742</t>
  </si>
  <si>
    <t>-825.039046031048 255.264092399463 -57.2300155276799</t>
  </si>
  <si>
    <t>-792.708038306128 239.435421404945 344.713778941902</t>
  </si>
  <si>
    <t>-830.029048395401 170.535783717946 785.91923317636</t>
  </si>
  <si>
    <t>-702.441017040261 241.962380198731 846.80277742271</t>
  </si>
  <si>
    <t>-793.20884512193 65.2771950509191 -52.0963385968075</t>
  </si>
  <si>
    <t>-644.219507838304 54.81361522207 322.800155145128</t>
  </si>
  <si>
    <t>-732.145592973431 -6.77447861482551 757.212505287022</t>
  </si>
  <si>
    <t>-629.855735923249 -92.6714722266345 842.334492909645</t>
  </si>
  <si>
    <t>9763-20170724T111136.785371000.bin</t>
  </si>
  <si>
    <t>-809.892315146872 159.932602396039 -53.5552032357388</t>
  </si>
  <si>
    <t>-833.070416830558 152.592249460489 -166.803354182672</t>
  </si>
  <si>
    <t>-837.09538071396 143.714971632394 -264.944294222535</t>
  </si>
  <si>
    <t>-835.071965072632 134.105118195138 -353.498216248248</t>
  </si>
  <si>
    <t>-827.145032276546 122.624780316888 -441.495922278455</t>
  </si>
  <si>
    <t>-810.012248075575 104.352972748174 -563.534620524868</t>
  </si>
  <si>
    <t>-772.209604743168 90.9751472606449 -636.315152244578</t>
  </si>
  <si>
    <t>-814.228558341988 139.663804567576 -513.447847731157</t>
  </si>
  <si>
    <t>-790.581979188091 275.066947180959 -512.510799391268</t>
  </si>
  <si>
    <t>-705.371782124465 338.951576807274 -238.194859977289</t>
  </si>
  <si>
    <t>-464.856093333358 326.322351243809 -231.593595048364</t>
  </si>
  <si>
    <t>-820.874933335924 85.1231504273269 -506.214943563664</t>
  </si>
  <si>
    <t>-826.022887481941 254.786251511745 -57.3187383394081</t>
  </si>
  <si>
    <t>-794.325691762826 239.187028028071 344.684487358865</t>
  </si>
  <si>
    <t>-830.075689357611 170.553240407514 785.94875989074</t>
  </si>
  <si>
    <t>-702.486278412635 242.035485051349 846.764472885799</t>
  </si>
  <si>
    <t>-793.99602751345 65.0760771957675 -51.8397814280281</t>
  </si>
  <si>
    <t>-645.049547348134 54.1335842815552 323.060004497956</t>
  </si>
  <si>
    <t>-732.475498932224 -6.88905735904746 757.783487498158</t>
  </si>
  <si>
    <t>-629.814497824679 -92.5376086996275 842.709173724766</t>
  </si>
  <si>
    <t>9763-20170724T111136.815964100.bin</t>
  </si>
  <si>
    <t>-810.162063344154 159.671257595436 -53.5152667840349</t>
  </si>
  <si>
    <t>-833.418355204804 152.246219643383 -166.741696134082</t>
  </si>
  <si>
    <t>-837.507003206827 143.54200525805 -264.895632057512</t>
  </si>
  <si>
    <t>-835.52931887627 134.18426162406 -353.477447275316</t>
  </si>
  <si>
    <t>-827.631687486925 123.050812514546 -441.522428819074</t>
  </si>
  <si>
    <t>-810.516154714901 105.36101198457 -563.649262839472</t>
  </si>
  <si>
    <t>-772.993587140161 92.5147617176672 -636.670260751965</t>
  </si>
  <si>
    <t>-814.823994113173 140.442551552416 -513.409398313213</t>
  </si>
  <si>
    <t>-791.574169413246 275.93237954693 -511.939622109527</t>
  </si>
  <si>
    <t>-707.811426651433 338.272440783705 -236.823815668393</t>
  </si>
  <si>
    <t>-467.28475958961 325.737382956294 -230.441738203063</t>
  </si>
  <si>
    <t>-821.271544552204 85.8482727850774 -506.40511308784</t>
  </si>
  <si>
    <t>-826.45124150847 254.300136480526 -57.3377824744593</t>
  </si>
  <si>
    <t>-794.334772736975 239.18575626306 344.650686083262</t>
  </si>
  <si>
    <t>-829.918279339831 170.428037444425 785.941879371794</t>
  </si>
  <si>
    <t>-702.537347813417 242.269460502552 846.771467370816</t>
  </si>
  <si>
    <t>-794.035563099398 65.2114685928473 -51.7495194747552</t>
  </si>
  <si>
    <t>-645.476623618444 54.1419815874578 323.300330113899</t>
  </si>
  <si>
    <t>-732.774855700776 -7.15735389544352 758.006227637652</t>
  </si>
  <si>
    <t>-629.958255400122 -92.7228393739472 842.827095456634</t>
  </si>
  <si>
    <t>9763-20170724T111136.884139800.bin</t>
  </si>
  <si>
    <t>-810.506497711197 159.239526099281 -53.5662449343157</t>
  </si>
  <si>
    <t>-834.062045949742 151.758508251817 -166.727213403866</t>
  </si>
  <si>
    <t>-838.443435395227 143.451487428393 -264.902731376277</t>
  </si>
  <si>
    <t>-836.726770178989 134.629796313197 -353.545204221009</t>
  </si>
  <si>
    <t>-829.074272777353 124.209875237902 -441.698983156156</t>
  </si>
  <si>
    <t>-812.272880324662 107.701729140907 -564.034656276448</t>
  </si>
  <si>
    <t>-775.266555745338 95.8059480975776 -637.478922354627</t>
  </si>
  <si>
    <t>-816.613563371347 142.311545437135 -513.471543800918</t>
  </si>
  <si>
    <t>-793.967940952069 277.873952030128 -510.905277979441</t>
  </si>
  <si>
    <t>-711.174034291667 337.622698350878 -234.922494813788</t>
  </si>
  <si>
    <t>-470.641913562921 324.912565295758 -229.123170047195</t>
  </si>
  <si>
    <t>-822.719034314998 87.6207530152601 -506.93002548784</t>
  </si>
  <si>
    <t>-826.530849287913 253.266372569227 -57.401278013758</t>
  </si>
  <si>
    <t>-794.603729345385 238.973511863283 344.632337624658</t>
  </si>
  <si>
    <t>-829.931813278772 170.496848869287 785.941260439413</t>
  </si>
  <si>
    <t>-702.474056397135 242.171189583144 846.807280174947</t>
  </si>
  <si>
    <t>-794.681939963607 65.306231567261 -51.7767753099835</t>
  </si>
  <si>
    <t>-647.000264373016 54.0623425259282 323.614110483752</t>
  </si>
  <si>
    <t>-733.213496169783 -7.31872845975795 758.630520157312</t>
  </si>
  <si>
    <t>-629.571132774711 -92.3175261175486 843.014961339537</t>
  </si>
  <si>
    <t>9763-20170724T111136.917243100.bin</t>
  </si>
  <si>
    <t>-810.636053527755 158.882781148428 -53.6256457015613</t>
  </si>
  <si>
    <t>-834.29745058675 151.348633158381 -166.761031001972</t>
  </si>
  <si>
    <t>-838.843481401716 143.222101936154 -264.944121370734</t>
  </si>
  <si>
    <t>-837.296322397274 134.657010378385 -353.614792713606</t>
  </si>
  <si>
    <t>-829.826946845523 124.587992855212 -441.825232043798</t>
  </si>
  <si>
    <t>-813.289912888519 108.668735991491 -564.274907320288</t>
  </si>
  <si>
    <t>-776.512055403779 97.1481303332916 -637.893479752607</t>
  </si>
  <si>
    <t>-817.548646290526 143.037657583603 -513.54053414177</t>
  </si>
  <si>
    <t>-794.957533064601 278.596555736844 -510.518374979902</t>
  </si>
  <si>
    <t>-712.182217388932 337.758852195325 -234.403698296285</t>
  </si>
  <si>
    <t>-471.656946879302 324.847190316631 -228.770878931559</t>
  </si>
  <si>
    <t>-823.585584079956 88.310524090396 -507.241098083123</t>
  </si>
  <si>
    <t>-826.510894384754 252.711528015106 -57.486969413599</t>
  </si>
  <si>
    <t>-794.910623009069 238.723173569671 344.58325582374</t>
  </si>
  <si>
    <t>-829.865174213603 170.476467128873 785.93932256011</t>
  </si>
  <si>
    <t>-702.429549831212 242.170072342688 846.828109522598</t>
  </si>
  <si>
    <t>-794.930905267832 64.9207681086887 -51.8193287783079</t>
  </si>
  <si>
    <t>-647.659174923628 53.8638803576491 323.738197012121</t>
  </si>
  <si>
    <t>-733.329034106916 -7.11270899941655 759.013054607744</t>
  </si>
  <si>
    <t>-629.534546105545 -92.2394018525106 843.081485803588</t>
  </si>
  <si>
    <t>9763-20170724T111136.982417800.bin</t>
  </si>
  <si>
    <t>-811.268696491391 157.75063616662 -53.658312626556</t>
  </si>
  <si>
    <t>-835.171813663252 150.210385567289 -166.742400334305</t>
  </si>
  <si>
    <t>-840.087494470453 142.419771549191 -264.935069891722</t>
  </si>
  <si>
    <t>-838.924979836848 134.303899917023 -353.6538502559</t>
  </si>
  <si>
    <t>-831.879581790618 124.831197886244 -441.965075955901</t>
  </si>
  <si>
    <t>-815.966068539168 109.902714127283 -564.621926452258</t>
  </si>
  <si>
    <t>-779.615188115068 98.9175244037856 -638.533717430435</t>
  </si>
  <si>
    <t>-819.965749757274 143.860409371169 -513.590643490184</t>
  </si>
  <si>
    <t>-797.347736780605 279.411000345613 -509.828803652596</t>
  </si>
  <si>
    <t>-714.855498699283 337.323999095992 -233.364741274932</t>
  </si>
  <si>
    <t>-474.343726378079 323.963262248276 -228.227172606273</t>
  </si>
  <si>
    <t>-825.971656010805 89.0838864984762 -507.702958733386</t>
  </si>
  <si>
    <t>-827.049817295389 251.565512782052 -57.5617926979946</t>
  </si>
  <si>
    <t>-795.352394192384 238.238959771483 344.523214691215</t>
  </si>
  <si>
    <t>-830.008143533911 170.634851822417 786.016799694487</t>
  </si>
  <si>
    <t>-702.436745118115 242.08371416486 846.909400074967</t>
  </si>
  <si>
    <t>-795.791685463456 63.7797495501459 -51.8123457513407</t>
  </si>
  <si>
    <t>-648.471945426779 53.4169914222762 323.746228393972</t>
  </si>
  <si>
    <t>-733.404714789885 -6.6694773919362 759.471221392391</t>
  </si>
  <si>
    <t>-629.811546151677 -92.5177796312184 843.052530295271</t>
  </si>
  <si>
    <t>9763-20170724T111137.016114600.bin</t>
  </si>
  <si>
    <t>-811.480856606063 157.01105701615 -53.6573417917306</t>
  </si>
  <si>
    <t>-835.553513078043 149.52012620748 -166.708790986381</t>
  </si>
  <si>
    <t>-840.651629407755 141.869956155018 -264.90315722557</t>
  </si>
  <si>
    <t>-839.664293720999 133.925760384257 -353.639678556214</t>
  </si>
  <si>
    <t>-832.800596329282 124.671585359265 -441.988254795083</t>
  </si>
  <si>
    <t>-817.14277559144 110.098680112953 -564.720847897802</t>
  </si>
  <si>
    <t>-780.890102156687 99.2204334624385 -638.696818373206</t>
  </si>
  <si>
    <t>-821.023987062861 143.906817052002 -513.581190101634</t>
  </si>
  <si>
    <t>-798.308007442195 279.432842791332 -509.516843053553</t>
  </si>
  <si>
    <t>-716.212344079685 336.318311645465 -232.721703952234</t>
  </si>
  <si>
    <t>-475.710371560231 322.83215512844 -227.451829960977</t>
  </si>
  <si>
    <t>-827.041831960533 89.116011209559 -507.843266688062</t>
  </si>
  <si>
    <t>-826.945256315899 250.885358798966 -57.5904449442751</t>
  </si>
  <si>
    <t>-795.351094029538 237.915117257091 344.514397241715</t>
  </si>
  <si>
    <t>-830.040914980985 170.695911430444 786.022082180032</t>
  </si>
  <si>
    <t>-702.393476256354 241.992744200816 846.933655531326</t>
  </si>
  <si>
    <t>-796.233740378786 63.0344296484691 -51.7976424356198</t>
  </si>
  <si>
    <t>-648.839787726167 52.9417941398292 323.739037407992</t>
  </si>
  <si>
    <t>-733.505602348136 -6.647014460219 759.576143188372</t>
  </si>
  <si>
    <t>-629.679837488746 -92.3794667631137 842.987267673637</t>
  </si>
  <si>
    <t>9763-20170724T111137.081286000.bin</t>
  </si>
  <si>
    <t>-811.825452185966 156.585577547656 -53.4757118268561</t>
  </si>
  <si>
    <t>-836.169447465315 149.255555415851 -166.479577588297</t>
  </si>
  <si>
    <t>-841.570651985865 141.916377096878 -264.681452748746</t>
  </si>
  <si>
    <t>-840.876259359888 134.337127155459 -353.452568316087</t>
  </si>
  <si>
    <t>-834.317438599968 125.536577499831 -441.870719941394</t>
  </si>
  <si>
    <t>-819.090185355393 111.695908538272 -564.742253262183</t>
  </si>
  <si>
    <t>-782.587531929781 100.46568462064 -638.542303066711</t>
  </si>
  <si>
    <t>-822.758909464047 145.195488972217 -513.384150025367</t>
  </si>
  <si>
    <t>-799.802777665001 280.652655454355 -508.57021210924</t>
  </si>
  <si>
    <t>-718.778852931125 334.702417779468 -230.892425418298</t>
  </si>
  <si>
    <t>-478.267074075482 321.368172438848 -225.68488298419</t>
  </si>
  <si>
    <t>-828.823293273823 90.3778117973316 -507.960882364731</t>
  </si>
  <si>
    <t>-826.358161039113 250.273369242967 -57.5134250299847</t>
  </si>
  <si>
    <t>-795.157513370179 238.016928884585 344.644495219498</t>
  </si>
  <si>
    <t>-830.210075190344 170.954416535566 786.059092720924</t>
  </si>
  <si>
    <t>-702.361504123479 241.87049839868 846.993283778182</t>
  </si>
  <si>
    <t>-797.357181939643 63.2829455241804 -51.4159927598295</t>
  </si>
  <si>
    <t>-647.577775734648 52.7551792789864 323.163669790691</t>
  </si>
  <si>
    <t>-732.200956597293 -5.29920588833465 759.139982586047</t>
  </si>
  <si>
    <t>-629.385421752189 -92.0435438775714 842.756251041747</t>
  </si>
  <si>
    <t>9763-20170724T111137.117204600.bin</t>
  </si>
  <si>
    <t>-811.098576354717 156.234951384421 -53.5024477852007</t>
  </si>
  <si>
    <t>-835.487752153491 149.102706641159 -166.509196465909</t>
  </si>
  <si>
    <t>-840.946026231253 141.932845974556 -264.720541761317</t>
  </si>
  <si>
    <t>-840.309451749953 134.521987033257 -353.506210293168</t>
  </si>
  <si>
    <t>-833.811149607119 125.909858115824 -441.947495629495</t>
  </si>
  <si>
    <t>-818.668711012111 112.360087545005 -564.861776033495</t>
  </si>
  <si>
    <t>-781.692060708262 100.615241487047 -638.345222041197</t>
  </si>
  <si>
    <t>-822.281011042054 145.735815285046 -513.419415507261</t>
  </si>
  <si>
    <t>-799.168708193791 281.155710571315 -508.165040941566</t>
  </si>
  <si>
    <t>-719.196724178189 334.229282771165 -229.994511124483</t>
  </si>
  <si>
    <t>-478.683453066457 320.90450987922 -224.838079438964</t>
  </si>
  <si>
    <t>-828.383164088662 90.9095059530332 -508.127183923389</t>
  </si>
  <si>
    <t>-825.392044346271 249.998239998605 -57.5936158330843</t>
  </si>
  <si>
    <t>-794.727668751538 238.207403448239 344.619388418295</t>
  </si>
  <si>
    <t>-830.301296884018 171.258055541824 785.931205129938</t>
  </si>
  <si>
    <t>-702.333604144816 241.894022877238 846.941180235859</t>
  </si>
  <si>
    <t>-796.211567463743 63.1806227637476 -51.541312605812</t>
  </si>
  <si>
    <t>-645.243371672289 53.094397389807 322.573059388882</t>
  </si>
  <si>
    <t>-730.723413341698 -3.742081823219 758.72124578262</t>
  </si>
  <si>
    <t>-628.657012681514 -90.9490343819261 842.773098226461</t>
  </si>
  <si>
    <t>9763-20170724T111137.182389800.bin</t>
  </si>
  <si>
    <t>-809.365973395564 151.399634409139 -53.3740223158441</t>
  </si>
  <si>
    <t>-833.590181181915 144.427511983273 -166.426182315226</t>
  </si>
  <si>
    <t>-838.761462616057 137.245454884173 -264.652145349025</t>
  </si>
  <si>
    <t>-837.808917862356 129.791039290036 -353.431419075636</t>
  </si>
  <si>
    <t>-830.938345147055 121.112176063529 -441.837898858204</t>
  </si>
  <si>
    <t>-815.216400856843 107.455351886932 -564.667671763251</t>
  </si>
  <si>
    <t>-776.700024131324 93.9644193278918 -637.052155795664</t>
  </si>
  <si>
    <t>-818.951609313573 140.863742998115 -513.255169353421</t>
  </si>
  <si>
    <t>-795.226513307694 276.169876595175 -507.823207183685</t>
  </si>
  <si>
    <t>-720.418243360376 329.443015652071 -228.257748307573</t>
  </si>
  <si>
    <t>-479.886843543552 316.541770518897 -222.872325533931</t>
  </si>
  <si>
    <t>-825.318444085675 86.0662469823997 -507.977484770056</t>
  </si>
  <si>
    <t>-822.971238846996 246.978559836247 -57.9406080927906</t>
  </si>
  <si>
    <t>-793.672016859041 236.02776667526 344.397946529173</t>
  </si>
  <si>
    <t>-830.325804426523 171.96279027194 785.575697731476</t>
  </si>
  <si>
    <t>-702.213302253854 242.126308992526 846.825802542985</t>
  </si>
  <si>
    <t>-795.599022916398 54.5507921819226 -50.4350736450749</t>
  </si>
  <si>
    <t>-633.737488042969 54.5314658686179 319.234314053378</t>
  </si>
  <si>
    <t>-726.8036129617 6.98485772139202 755.179292059446</t>
  </si>
  <si>
    <t>-626.891248193258 -81.0179474957442 840.971290310225</t>
  </si>
  <si>
    <t>9763-20170724T111137.213020300.bin</t>
  </si>
  <si>
    <t>-809.549980739911 149.554167466316 -53.9781648263272</t>
  </si>
  <si>
    <t>-833.504280509236 142.587389628784 -167.088148111331</t>
  </si>
  <si>
    <t>-838.232058683675 135.237911423835 -265.324054955423</t>
  </si>
  <si>
    <t>-836.799128030169 127.568481497242 -354.078699958426</t>
  </si>
  <si>
    <t>-829.373898648256 118.611053588309 -442.412477991931</t>
  </si>
  <si>
    <t>-812.8036713926 104.501301841292 -565.079273842427</t>
  </si>
  <si>
    <t>-773.382623402029 89.9286109379868 -636.763731574706</t>
  </si>
  <si>
    <t>-816.806441267321 138.090212874062 -513.804781019055</t>
  </si>
  <si>
    <t>-792.842524605428 273.369316098428 -508.804350403923</t>
  </si>
  <si>
    <t>-722.238867794571 328.053826620211 -228.418997708475</t>
  </si>
  <si>
    <t>-481.711839520096 315.371211463937 -222.354789294295</t>
  </si>
  <si>
    <t>-823.38442282045 83.3304019932243 -508.394547465358</t>
  </si>
  <si>
    <t>-822.219392083488 245.334353011513 -58.6081450915096</t>
  </si>
  <si>
    <t>-793.842964593613 235.103914501514 343.815445158611</t>
  </si>
  <si>
    <t>-830.269086700373 172.28994384623 785.222056642671</t>
  </si>
  <si>
    <t>-702.21853763937 242.447433819976 846.608634064099</t>
  </si>
  <si>
    <t>-797.212236167914 53.386687284431 -51.3174716657616</t>
  </si>
  <si>
    <t>-630.945262996736 60.0897546826877 316.330482031067</t>
  </si>
  <si>
    <t>-727.013188830628 21.106939116989 752.002167709935</t>
  </si>
  <si>
    <t>-628.054796899189 -67.6276074388027 838.145696296718</t>
  </si>
  <si>
    <t>9763-20170724T111137.284211900.bin</t>
  </si>
  <si>
    <t>-808.571387118823 145.872788613225 -56.0492350817817</t>
  </si>
  <si>
    <t>-831.810587564707 138.792497885232 -169.301355416034</t>
  </si>
  <si>
    <t>-834.702225662026 130.650138605831 -267.545899944681</t>
  </si>
  <si>
    <t>-831.146085380074 121.963599990361 -356.146840200007</t>
  </si>
  <si>
    <t>-821.161937044809 111.675369247812 -444.082664914801</t>
  </si>
  <si>
    <t>-800.591204262592 95.3695734112798 -565.86845200656</t>
  </si>
  <si>
    <t>-758.907901935022 78.5277205307643 -635.75325382857</t>
  </si>
  <si>
    <t>-806.165857909232 129.862951940017 -515.346738567854</t>
  </si>
  <si>
    <t>-782.06828580634 265.191532976909 -512.306840247857</t>
  </si>
  <si>
    <t>-724.569617010726 326.200341243547 -230.237676306562</t>
  </si>
  <si>
    <t>-484.113100655855 313.869957649817 -221.321418929337</t>
  </si>
  <si>
    <t>-813.120899175645 75.2270017179235 -509.20646193712</t>
  </si>
  <si>
    <t>-819.81688024702 241.10253028434 -60.6404527059494</t>
  </si>
  <si>
    <t>-793.609149585708 233.810553840735 341.994157730223</t>
  </si>
  <si>
    <t>-830.311905054705 173.28693156396 784.086525612543</t>
  </si>
  <si>
    <t>-702.360558228202 243.27464718716 845.872123223584</t>
  </si>
  <si>
    <t>-797.210597020374 50.0636637447651 -53.5043332842823</t>
  </si>
  <si>
    <t>-631.509819829601 69.8988956726607 313.925291902203</t>
  </si>
  <si>
    <t>-719.133628839522 35.634521252668 751.33721934392</t>
  </si>
  <si>
    <t>-617.133891934137 -51.6455932805113 835.393987134316</t>
  </si>
  <si>
    <t>9763-20170724T111137.315329000.bin</t>
  </si>
  <si>
    <t>-806.857704135481 142.57768540353 -56.8621945435781</t>
  </si>
  <si>
    <t>-829.411516192085 135.100977903566 -170.227186833877</t>
  </si>
  <si>
    <t>-830.886995746542 126.262263202809 -268.443125299536</t>
  </si>
  <si>
    <t>-825.738051727024 116.776371797262 -356.883862976785</t>
  </si>
  <si>
    <t>-813.871290429166 105.508626744523 -444.464958706362</t>
  </si>
  <si>
    <t>-790.390544679592 87.6351869432424 -565.502143232295</t>
  </si>
  <si>
    <t>-747.368792750281 69.7400832207386 -634.305683208161</t>
  </si>
  <si>
    <t>-797.185365611174 122.778682409507 -515.581553889539</t>
  </si>
  <si>
    <t>-773.292656477845 258.163313812185 -514.061785956759</t>
  </si>
  <si>
    <t>-724.252887516193 323.831209660289 -231.441920781789</t>
  </si>
  <si>
    <t>-483.852333579381 311.883401782909 -220.68212507901</t>
  </si>
  <si>
    <t>-804.260888506352 68.22205654255 -508.897741280583</t>
  </si>
  <si>
    <t>-818.073654831958 237.559577654708 -61.6118722934684</t>
  </si>
  <si>
    <t>-792.441980002605 233.150317169508 341.101761175737</t>
  </si>
  <si>
    <t>-830.37824775958 173.90536870672 783.418618639299</t>
  </si>
  <si>
    <t>-702.467090058575 243.738105919572 845.462704555799</t>
  </si>
  <si>
    <t>-795.936894560363 47.9627149145108 -53.7310390059007</t>
  </si>
  <si>
    <t>-629.249990156948 74.7022168912586 312.813748045234</t>
  </si>
  <si>
    <t>-705.366918633738 39.1866786830092 752.629263816732</t>
  </si>
  <si>
    <t>-600.606342572558 -47.2069045886844 834.168700902757</t>
  </si>
  <si>
    <t>9763-20170724T111137.384512900.bin</t>
  </si>
  <si>
    <t>-800.740352710829 133.712680685662 -57.9063227280794</t>
  </si>
  <si>
    <t>-821.17997485263 124.928978320518 -171.578233268291</t>
  </si>
  <si>
    <t>-818.999163537292 114.438698126811 -269.618190660622</t>
  </si>
  <si>
    <t>-809.853550940191 103.194418937775 -357.528255464737</t>
  </si>
  <si>
    <t>-793.353539527364 89.8861399442103 -444.066578184175</t>
  </si>
  <si>
    <t>-762.793955211823 68.8508967005941 -562.996838013234</t>
  </si>
  <si>
    <t>-716.846815116771 49.3883839383348 -629.443070361606</t>
  </si>
  <si>
    <t>-772.772203481622 105.317231638149 -514.582727979662</t>
  </si>
  <si>
    <t>-750.420538092491 240.952755633715 -516.503264727618</t>
  </si>
  <si>
    <t>-720.212046257399 317.766746738249 -234.052924388037</t>
  </si>
  <si>
    <t>-479.868094362652 308.105714685965 -220.185049896347</t>
  </si>
  <si>
    <t>-779.710997638625 50.8974257864929 -506.740447384218</t>
  </si>
  <si>
    <t>-813.605937403727 228.562955402569 -63.6194508518015</t>
  </si>
  <si>
    <t>-789.169420124239 231.726707982399 339.180160113873</t>
  </si>
  <si>
    <t>-830.398271939304 175.440219730244 781.681935136608</t>
  </si>
  <si>
    <t>-702.656065415485 244.924554131534 844.460472112079</t>
  </si>
  <si>
    <t>-787.344763723745 38.6531436646114 -54.133463679931</t>
  </si>
  <si>
    <t>-624.861444963634 83.1744017814422 312.570381885997</t>
  </si>
  <si>
    <t>-678.879442401908 43.0118361531286 755.365002822669</t>
  </si>
  <si>
    <t>-568.042204055628 -41.2340211964577 830.896706722266</t>
  </si>
  <si>
    <t>9763-20170724T111137.416606300.bin</t>
  </si>
  <si>
    <t>-797.226238943695 129.40008980478 -58.4729779367998</t>
  </si>
  <si>
    <t>-815.890991163732 120.023868859932 -172.402532646536</t>
  </si>
  <si>
    <t>-811.401524691095 108.780749703866 -270.280457102193</t>
  </si>
  <si>
    <t>-799.88685683342 96.7355401047535 -357.805100872817</t>
  </si>
  <si>
    <t>-780.76896602306 82.5045287134544 -443.655216209148</t>
  </si>
  <si>
    <t>-746.326963348883 60.0481198415864 -561.257290550684</t>
  </si>
  <si>
    <t>-698.773712225032 40.1044144550747 -626.418322052603</t>
  </si>
  <si>
    <t>-758.147546654505 97.1129465972344 -513.72015936254</t>
  </si>
  <si>
    <t>-737.209194468575 232.88577325385 -517.393536509945</t>
  </si>
  <si>
    <t>-717.29260946314 314.855957547059 -235.479553339114</t>
  </si>
  <si>
    <t>-476.947502063178 307.53621242125 -220.261959153235</t>
  </si>
  <si>
    <t>-764.81865861843 42.7471781893237 -505.292673906988</t>
  </si>
  <si>
    <t>-811.329569026767 224.36386718019 -64.8449919745291</t>
  </si>
  <si>
    <t>-788.977521877591 230.175385503925 338.046206383478</t>
  </si>
  <si>
    <t>-830.703004812046 176.650598979124 780.775778565403</t>
  </si>
  <si>
    <t>-702.743980467824 245.378049673787 843.944468815201</t>
  </si>
  <si>
    <t>-782.967121213987 34.9906345478503 -54.2645856127283</t>
  </si>
  <si>
    <t>-624.954065630428 88.0670048985212 313.253427106068</t>
  </si>
  <si>
    <t>-668.416865732597 46.5655491136895 756.883228788393</t>
  </si>
  <si>
    <t>-555.281678063422 -36.4421334370516 830.350802066332</t>
  </si>
  <si>
    <t>9763-20170724T111137.480776000.bin</t>
  </si>
  <si>
    <t>-790.316539102833 121.153821818167 -60.2386748934423</t>
  </si>
  <si>
    <t>-804.207473055736 110.675362680368 -174.752625630237</t>
  </si>
  <si>
    <t>-794.596078046112 98.1041180826342 -272.098628510691</t>
  </si>
  <si>
    <t>-778.113580967605 84.6820043443545 -358.622686155724</t>
  </si>
  <si>
    <t>-753.757586753566 68.9096464982026 -442.862096337799</t>
  </si>
  <si>
    <t>-711.780916274141 44.1311208992342 -557.51274623288</t>
  </si>
  <si>
    <t>-660.902320274355 23.8478892130256 -620.002674476331</t>
  </si>
  <si>
    <t>-727.36093035606 82.1703428823675 -511.866555573346</t>
  </si>
  <si>
    <t>-709.674146740073 218.267309564468 -519.175414919767</t>
  </si>
  <si>
    <t>-711.771650266889 310.111030313365 -239.619403092467</t>
  </si>
  <si>
    <t>-471.560643393928 309.555679831094 -220.930421936528</t>
  </si>
  <si>
    <t>-733.144543758851 27.8994716961979 -502.254862917469</t>
  </si>
  <si>
    <t>-807.208131804919 215.665441658317 -67.6133374260472</t>
  </si>
  <si>
    <t>-792.158629150558 224.496173673984 335.561773165128</t>
  </si>
  <si>
    <t>-831.886050937417 179.216034017317 779.65565295045</t>
  </si>
  <si>
    <t>-703.065340899136 246.46837961262 842.660943248207</t>
  </si>
  <si>
    <t>-773.970909638113 27.5167814732754 -54.9579658165015</t>
  </si>
  <si>
    <t>-626.215444353303 94.8190893480232 314.492301474923</t>
  </si>
  <si>
    <t>-666.006207886119 56.2367575679873 759.099685228325</t>
  </si>
  <si>
    <t>-549.01981418919 -21.6374442113538 832.155141977809</t>
  </si>
  <si>
    <t>9763-20170724T111137.517653000.bin</t>
  </si>
  <si>
    <t>-785.471977233753 116.446112018718 -61.1958879856535</t>
  </si>
  <si>
    <t>-796.684929480058 105.581772277532 -175.967185633185</t>
  </si>
  <si>
    <t>-784.490110653665 92.5181486635697 -272.95842965647</t>
  </si>
  <si>
    <t>-765.596788501932 78.5725593401112 -358.904799810784</t>
  </si>
  <si>
    <t>-738.789051004848 62.2052725806093 -442.281770214522</t>
  </si>
  <si>
    <t>-693.37472269644 36.5223773237853 -555.413272912716</t>
  </si>
  <si>
    <t>-640.880107591974 16.3417307071632 -616.58592462001</t>
  </si>
  <si>
    <t>-710.778960912177 74.9337802667515 -510.748276966413</t>
  </si>
  <si>
    <t>-695.154289080647 211.208567696231 -519.881275080552</t>
  </si>
  <si>
    <t>-708.594027452061 307.275915321275 -242.06526218124</t>
  </si>
  <si>
    <t>-468.577152611929 311.49083436582 -221.449801351679</t>
  </si>
  <si>
    <t>-715.939845625302 20.714524349803 -500.511188625494</t>
  </si>
  <si>
    <t>-803.603659936741 210.502851921226 -68.9023898139866</t>
  </si>
  <si>
    <t>-794.152840534889 220.676690738852 334.411189298929</t>
  </si>
  <si>
    <t>-832.581206690544 180.312347653467 779.322489038978</t>
  </si>
  <si>
    <t>-703.423215747213 247.523064849245 841.677433780269</t>
  </si>
  <si>
    <t>-767.810234419139 23.2814400330258 -55.5713336148959</t>
  </si>
  <si>
    <t>-624.967505136704 91.293106311442 315.676616426393</t>
  </si>
  <si>
    <t>-665.961738821691 55.5972464041652 760.091948513543</t>
  </si>
  <si>
    <t>-546.944127833036 -18.8647979783341 833.42350671235</t>
  </si>
  <si>
    <t>9763-20170724T111137.584852700.bin</t>
  </si>
  <si>
    <t>-775.171378051794 104.8423278136 -62.5908160994217</t>
  </si>
  <si>
    <t>-780.742504729956 93.9739478783968 -177.77352132013</t>
  </si>
  <si>
    <t>-763.397171575516 80.573043206994 -273.93083017843</t>
  </si>
  <si>
    <t>-739.801623201496 66.1594948756697 -358.628665960378</t>
  </si>
  <si>
    <t>-708.311973101196 49.1805060677725 -440.227504115737</t>
  </si>
  <si>
    <t>-656.434452744337 22.4959437639618 -550.306831771538</t>
  </si>
  <si>
    <t>-600.856067231487 3.07375605614106 -608.948557864712</t>
  </si>
  <si>
    <t>-677.533359541526 61.2905886236131 -507.60882274673</t>
  </si>
  <si>
    <t>-667.265870656074 197.783598040053 -520.128377826567</t>
  </si>
  <si>
    <t>-702.356988926761 300.600681881767 -246.653652314886</t>
  </si>
  <si>
    <t>-463.166271807633 316.97991745915 -222.770725071991</t>
  </si>
  <si>
    <t>-680.993085124312 7.18627437805571 -496.123834531905</t>
  </si>
  <si>
    <t>-794.522780257325 199.051891390713 -70.665780653767</t>
  </si>
  <si>
    <t>-797.978742950756 210.269930104241 332.716044465211</t>
  </si>
  <si>
    <t>-834.426281371484 182.77042959087 778.76663052536</t>
  </si>
  <si>
    <t>-704.241174193007 249.124342398532 839.891718229258</t>
  </si>
  <si>
    <t>-755.966508079777 11.3045371729672 -56.5530166001705</t>
  </si>
  <si>
    <t>-628.000781276948 82.5081034660543 319.491449037019</t>
  </si>
  <si>
    <t>-667.690908134585 54.5007309971588 764.236285893782</t>
  </si>
  <si>
    <t>-545.754505022604 -16.2541187226084 836.434440186097</t>
  </si>
  <si>
    <t>9763-20170724T111137.615822400.bin</t>
  </si>
  <si>
    <t>-769.580812977001 98.1840016270985 -63.2365416556872</t>
  </si>
  <si>
    <t>-771.928109979028 87.6849106968048 -178.564308321097</t>
  </si>
  <si>
    <t>-751.878144322933 74.4694570166939 -274.220008428444</t>
  </si>
  <si>
    <t>-725.896654476066 60.1605977010231 -358.234518028347</t>
  </si>
  <si>
    <t>-692.108279548584 43.235184593666 -438.919943865647</t>
  </si>
  <si>
    <t>-637.131584195145 16.5758056493414 -547.490867152943</t>
  </si>
  <si>
    <t>-660.118975429363 55.3266136897878 -505.738559277177</t>
  </si>
  <si>
    <t>-652.966500779989 191.86298139041 -519.780589718707</t>
  </si>
  <si>
    <t>-698.701269961501 297.187946586868 -248.844924943031</t>
  </si>
  <si>
    <t>-460.326082318506 320.95225039579 -223.087778896892</t>
  </si>
  <si>
    <t>-662.529076898475 1.28793801404845 -493.689863340894</t>
  </si>
  <si>
    <t>-788.694858273968 192.276720264973 -71.3691189606799</t>
  </si>
  <si>
    <t>-799.107709819875 203.954094356539 331.880056209963</t>
  </si>
  <si>
    <t>-835.164750788236 183.913654934711 778.210709177225</t>
  </si>
  <si>
    <t>-704.97664459216 250.473865676084 839.104912846046</t>
  </si>
  <si>
    <t>-750.976911705305 5.30166233210321 -57.0731510297352</t>
  </si>
  <si>
    <t>-628.021400788286 76.4480632050409 320.649996843481</t>
  </si>
  <si>
    <t>-668.150225380421 54.7844474370418 766.197047265525</t>
  </si>
  <si>
    <t>-545.92525158949 -16.1920685419359 837.685937529134</t>
  </si>
  <si>
    <t>9763-20170724T111137.685005900.bin</t>
  </si>
  <si>
    <t>-754.142883221806 83.9476343064116 -63.8082401861955</t>
  </si>
  <si>
    <t>-750.052588861098 74.5685219734087 -179.183945397381</t>
  </si>
  <si>
    <t>-724.772580909038 62.314135833808 -273.721658513757</t>
  </si>
  <si>
    <t>-694.23709072803 48.8121687340808 -356.326272573431</t>
  </si>
  <si>
    <t>-656.12157113753 32.6382864418824 -435.217794863192</t>
  </si>
  <si>
    <t>-595.375011341594 6.95738218662609 -540.911427698805</t>
  </si>
  <si>
    <t>-622.065088362608 45.1893941150497 -500.920534128541</t>
  </si>
  <si>
    <t>-621.665282820287 181.634209458345 -518.027542222162</t>
  </si>
  <si>
    <t>-687.394096249368 289.117343397981 -252.0985108089</t>
  </si>
  <si>
    <t>-451.396834388193 328.017708140073 -223.065709249492</t>
  </si>
  <si>
    <t>-772.157474471647 175.454171784261 -71.8484123941635</t>
  </si>
  <si>
    <t>-796.894924830742 193.419173834338 330.54444264818</t>
  </si>
  <si>
    <t>-838.475419754484 188.259381631327 776.521847820703</t>
  </si>
  <si>
    <t>-707.003456120206 251.314367415425 838.380528431934</t>
  </si>
  <si>
    <t>-627.053132210621 61.7097071425537 325.103055176179</t>
  </si>
  <si>
    <t>-669.196707410597 53.0776625184631 771.356351814817</t>
  </si>
  <si>
    <t>-544.6462629282 -15.6306222101375 841.024504934811</t>
  </si>
  <si>
    <t>9763-20170724T111137.716020700.bin</t>
  </si>
  <si>
    <t>-746.380464470847 74.5709473617312 -62.6075627073648</t>
  </si>
  <si>
    <t>-739.6683264647 66.0083014050733 -177.92382084172</t>
  </si>
  <si>
    <t>-712.160704547233 54.4496996929538 -271.925903159231</t>
  </si>
  <si>
    <t>-679.651021723583 41.5168034636922 -353.865643981507</t>
  </si>
  <si>
    <t>-639.634678255828 25.8424168606093 -431.911967813927</t>
  </si>
  <si>
    <t>-576.334485788389 0.767968439689412 -536.244072822676</t>
  </si>
  <si>
    <t>-604.775123670994 38.6551327006005 -497.141369932986</t>
  </si>
  <si>
    <t>-608.150812170518 174.903904671937 -515.743152077375</t>
  </si>
  <si>
    <t>-682.152160084979 282.428183223772 -252.013059739145</t>
  </si>
  <si>
    <t>-447.663394084827 328.838012556459 -221.811595737178</t>
  </si>
  <si>
    <t>-765.251611112887 165.52363285338 -71.6169825362379</t>
  </si>
  <si>
    <t>-796.646558592108 187.906798265205 330.089361944159</t>
  </si>
  <si>
    <t>-851.40061886841 193.695247252306 773.699484326116</t>
  </si>
  <si>
    <t>-718.920321782742 251.721949565977 838.268746144155</t>
  </si>
  <si>
    <t>-628.254426417861 54.0410060260456 329.340455278401</t>
  </si>
  <si>
    <t>-669.128194220304 52.3548833983705 775.91484009352</t>
  </si>
  <si>
    <t>-543.206394237693 -14.5743963616633 844.84563334498</t>
  </si>
  <si>
    <t>9763-20170724T111137.795738300.bin</t>
  </si>
  <si>
    <t>-763.347994520054 55.1349844996162 -64.8773955690269</t>
  </si>
  <si>
    <t>-751.848280852678 46.612288538518 -179.81815147523</t>
  </si>
  <si>
    <t>-720.212308425638 36.0712835820113 -272.633363863339</t>
  </si>
  <si>
    <t>-683.97771767307 24.3358670121302 -353.178961877339</t>
  </si>
  <si>
    <t>-640.284274376884 10.1127061049115 -429.5126198839</t>
  </si>
  <si>
    <t>-603.971337408798 23.986127736755 -493.724446490474</t>
  </si>
  <si>
    <t>-615.442210616585 159.336112403086 -514.462967549339</t>
  </si>
  <si>
    <t>-702.479014031045 266.155151843564 -254.45232541044</t>
  </si>
  <si>
    <t>-471.340815642136 326.115772016669 -222.348166915631</t>
  </si>
  <si>
    <t>-805.027185352249 140.60117128685 -76.7241585255565</t>
  </si>
  <si>
    <t>-855.167621498037 170.023734884825 322.619020255928</t>
  </si>
  <si>
    <t>-937.343911422016 198.625948869702 762.346645906879</t>
  </si>
  <si>
    <t>-802.970794116637 241.118877754894 834.634020773867</t>
  </si>
  <si>
    <t>-643.907365066829 41.0637385649661 332.608370094308</t>
  </si>
  <si>
    <t>-669.21092589852 51.8868182796605 779.068205234401</t>
  </si>
  <si>
    <t>-541.933556883184 -13.2951234427705 847.178979021075</t>
  </si>
  <si>
    <t>9763-20170724T111137.815295500.bin</t>
  </si>
  <si>
    <t>-768.241801681127 48.0876864359325 -67.1449374776211</t>
  </si>
  <si>
    <t>-754.695780416033 38.8890927036255 -181.810135159982</t>
  </si>
  <si>
    <t>-721.437065711789 28.6629117259549 -274.092025500515</t>
  </si>
  <si>
    <t>-683.764203391445 17.5389205000583 -354.062332890906</t>
  </si>
  <si>
    <t>-638.655656044463 4.25032185527152 -429.738586981864</t>
  </si>
  <si>
    <t>-601.969189149219 18.9268103300906 -493.558124210351</t>
  </si>
  <si>
    <t>-617.406873454141 153.749140083 -515.154614579417</t>
  </si>
  <si>
    <t>-709.355196640237 260.088169884697 -256.642090789903</t>
  </si>
  <si>
    <t>-480.0434643398 326.256221859352 -223.644533432664</t>
  </si>
  <si>
    <t>-813.72676859932 131.431959882169 -80.3175033675068</t>
  </si>
  <si>
    <t>-874.03494700266 163.932904671724 317.377426211754</t>
  </si>
  <si>
    <t>-960.031029300187 201.09313086487 755.45462869862</t>
  </si>
  <si>
    <t>-826.963568772057 240.222928648837 831.934538503654</t>
  </si>
  <si>
    <t>-649.655648906348 35.535487945659 333.339869836277</t>
  </si>
  <si>
    <t>-669.413551667387 51.5207895375561 779.768527174926</t>
  </si>
  <si>
    <t>-541.439439115947 -12.5428300974445 847.634371352344</t>
  </si>
  <si>
    <t>9763-20170724T111137.879474300.bin</t>
  </si>
  <si>
    <t>-761.233082420466 37.430700412358 -71.3531761806436</t>
  </si>
  <si>
    <t>-744.54196505192 27.328382092709 -185.526643074541</t>
  </si>
  <si>
    <t>-709.20076353556 17.7105901050309 -277.096965818253</t>
  </si>
  <si>
    <t>-669.828231445917 7.65724165208803 -356.38758003207</t>
  </si>
  <si>
    <t>-586.528073187923 11.9776843422082 -494.906824830194</t>
  </si>
  <si>
    <t>-608.458188561585 145.750157168286 -517.753285965875</t>
  </si>
  <si>
    <t>-706.874783183 249.272224593943 -260.481915838815</t>
  </si>
  <si>
    <t>-481.121821301921 326.325575357473 -226.582191087079</t>
  </si>
  <si>
    <t>-808.922613994084 119.738438062868 -86.5995736189576</t>
  </si>
  <si>
    <t>-889.130918215458 156.571984816253 307.18287703047</t>
  </si>
  <si>
    <t>-999.56915078589 192.980702580886 740.051530851062</t>
  </si>
  <si>
    <t>-871.646661365346 232.399202995964 824.723622824847</t>
  </si>
  <si>
    <t>-651.589411063792 26.6188518568847 334.070098798039</t>
  </si>
  <si>
    <t>-669.91036304542 50.5219444692734 780.469759082814</t>
  </si>
  <si>
    <t>-540.869265073203 -11.657938381456 848.066880162121</t>
  </si>
  <si>
    <t>9763-20170724T111137.915574200.bin</t>
  </si>
  <si>
    <t>-755.440129962684 33.3836461849887 -72.8987808116625</t>
  </si>
  <si>
    <t>-737.506155707057 23.0301743411869 -186.860906334149</t>
  </si>
  <si>
    <t>-701.451651851255 13.7128736387735 -278.184305334899</t>
  </si>
  <si>
    <t>-661.546591037757 4.12652479364169 -357.26606374548</t>
  </si>
  <si>
    <t>-577.942138591166 9.66329904129407 -495.54706162833</t>
  </si>
  <si>
    <t>-602.176778924078 143.001362418324 -518.585363625616</t>
  </si>
  <si>
    <t>-702.594610873264 244.342212631893 -261.218918655834</t>
  </si>
  <si>
    <t>-478.465208238609 325.961331417479 -227.230971228075</t>
  </si>
  <si>
    <t>-804.009530672471 115.041030720558 -88.8861977309139</t>
  </si>
  <si>
    <t>-894.641264225439 152.638825191473 302.555969060224</t>
  </si>
  <si>
    <t>-1022.86437971419 182.612609146174 731.113858212095</t>
  </si>
  <si>
    <t>-899.326948210644 228.10147791378 819.18515358505</t>
  </si>
  <si>
    <t>-650.367515053049 23.1101552946748 334.351188820687</t>
  </si>
  <si>
    <t>-670.107987625976 49.9958030723014 780.655889039575</t>
  </si>
  <si>
    <t>-540.59108681403 -11.2642475372791 848.182393154016</t>
  </si>
  <si>
    <t>9763-20170724T111137.950660700.bin</t>
  </si>
  <si>
    <t>-749.947704816293 29.8592976458017 -73.882228808387</t>
  </si>
  <si>
    <t>-731.130475809603 19.2906705565092 -187.682233675169</t>
  </si>
  <si>
    <t>-694.606582147943 10.2365259310532 -278.845186799899</t>
  </si>
  <si>
    <t>-654.365348113966 1.05966554799625 -357.80512558972</t>
  </si>
  <si>
    <t>-570.677467988649 7.67185892665339 -495.976249834923</t>
  </si>
  <si>
    <t>-596.709801219484 140.68012682981 -518.921936708802</t>
  </si>
  <si>
    <t>-698.314205468254 239.935379868833 -261.208734766718</t>
  </si>
  <si>
    <t>-475.641266632072 325.445029885032 -227.212211249756</t>
  </si>
  <si>
    <t>-799.447153179417 110.63340844372 -90.4279568686026</t>
  </si>
  <si>
    <t>-900.302468858405 147.765634998216 298.550286937014</t>
  </si>
  <si>
    <t>-1046.61672921923 170.302622179705 721.568988381734</t>
  </si>
  <si>
    <t>-930.298315184261 226.392836486782 813.281545847446</t>
  </si>
  <si>
    <t>-648.160129880971 19.9397808113222 334.652140976711</t>
  </si>
  <si>
    <t>-670.317321798812 49.3772751489155 780.840689720615</t>
  </si>
  <si>
    <t>-540.286404555753 -10.8972494543091 848.26626737436</t>
  </si>
  <si>
    <t>9763-20170724T111138.064967200.bin</t>
  </si>
  <si>
    <t>-745.41986089803 27.2796790791672 -74.4511039774106</t>
  </si>
  <si>
    <t>-726.035005230736 16.5045329118352 -188.136328420744</t>
  </si>
  <si>
    <t>-689.293536912786 7.68249526392447 -279.234720987592</t>
  </si>
  <si>
    <t>-565.475523039642 6.47121076739222 -496.420843359318</t>
  </si>
  <si>
    <t>-592.982528020982 139.237041183598 -519.067042240263</t>
  </si>
  <si>
    <t>-694.811057860749 236.575562983109 -260.711892329429</t>
  </si>
  <si>
    <t>-473.389871982212 325.340443124613 -226.884518631811</t>
  </si>
  <si>
    <t>-795.703000389776 107.159350222541 -91.511784186242</t>
  </si>
  <si>
    <t>-905.681352048841 143.090835484684 295.099627393587</t>
  </si>
  <si>
    <t>-1069.76716555652 157.702645931469 711.735471701399</t>
  </si>
  <si>
    <t>-961.569126407413 222.761009969606 807.380285099779</t>
  </si>
  <si>
    <t>-645.780944139448 17.1322727132651 335.100121662564</t>
  </si>
  <si>
    <t>-670.454940387239 48.9299009324245 781.018897878118</t>
  </si>
  <si>
    <t>-539.952632020829 -10.4435227699587 848.333356036622</t>
  </si>
  <si>
    <t>9763-20170724T111138.069981100.bin</t>
  </si>
  <si>
    <t>-741.055036741916 25.0823351918425 -74.8791968698488</t>
  </si>
  <si>
    <t>-721.30807460593 13.9814754296076 -188.47082808096</t>
  </si>
  <si>
    <t>-684.557562635331 5.32166956764877 -279.58095014162</t>
  </si>
  <si>
    <t>-561.364374903867 5.38715603148648 -497.094934615064</t>
  </si>
  <si>
    <t>-590.087580202198 137.99243784476 -519.232750137278</t>
  </si>
  <si>
    <t>-691.382452407433 233.614857258259 -260.028286888593</t>
  </si>
  <si>
    <t>-470.996685508917 325.119027014471 -226.741344979719</t>
  </si>
  <si>
    <t>-792.172703616025 104.228527415426 -92.5263200966934</t>
  </si>
  <si>
    <t>-908.990237555006 138.350534009127 292.238503033899</t>
  </si>
  <si>
    <t>-1089.04631821898 144.990715469666 702.375907829874</t>
  </si>
  <si>
    <t>-989.050143727998 217.59061606986 801.458288987218</t>
  </si>
  <si>
    <t>-643.893168579139 15.1700972111239 335.535351237288</t>
  </si>
  <si>
    <t>-670.54593563261 48.6683416447418 781.147680981957</t>
  </si>
  <si>
    <t>-539.666432881118 -9.97941888005562 848.366367710343</t>
  </si>
  <si>
    <t>9763-20170724T111138.116697200.bin</t>
  </si>
  <si>
    <t>-730.956212933472 20.9695029922145 -75.527171899799</t>
  </si>
  <si>
    <t>-711.085179252422 9.35468939532893 -189.045713536642</t>
  </si>
  <si>
    <t>-675.040023619268 1.00564338812956 -280.466220538705</t>
  </si>
  <si>
    <t>-555.161308156288 3.54893491054918 -499.735480418587</t>
  </si>
  <si>
    <t>-585.768047068784 136.029663336376 -519.995181386785</t>
  </si>
  <si>
    <t>-684.141313320171 227.424708875347 -258.15403699318</t>
  </si>
  <si>
    <t>-465.372629399512 323.230225626 -226.336073714637</t>
  </si>
  <si>
    <t>-782.168252606176 99.7075025592362 -93.6209225070013</t>
  </si>
  <si>
    <t>-915.778777947017 127.261625252798 286.173375258104</t>
  </si>
  <si>
    <t>-1122.84864584366 120.617670832153 683.108722535005</t>
  </si>
  <si>
    <t>-1039.2229641687 205.452274803652 787.498019113937</t>
  </si>
  <si>
    <t>-639.589958235224 11.6867787928245 335.978173329662</t>
  </si>
  <si>
    <t>-670.584376168826 48.2151241849224 781.208021422613</t>
  </si>
  <si>
    <t>-538.451357968929 -7.82491243187769 848.197978309295</t>
  </si>
  <si>
    <t>9763-20170724T111138.181840400.bin</t>
  </si>
  <si>
    <t>-727.714618738274 21.2662838296528 -75.2960489292806</t>
  </si>
  <si>
    <t>-708.399880688506 9.81582153946056 -188.92721025107</t>
  </si>
  <si>
    <t>-673.169018045319 1.82000598342074 -280.696018804862</t>
  </si>
  <si>
    <t>-555.931182119582 5.88399604848928 -501.329868482516</t>
  </si>
  <si>
    <t>-586.880789570808 138.516783522195 -520.056602188993</t>
  </si>
  <si>
    <t>-682.249198891404 227.413026515951 -256.250551046279</t>
  </si>
  <si>
    <t>-463.590579454148 323.946169860201 -225.908158015311</t>
  </si>
  <si>
    <t>-778.727542453152 100.417464616202 -93.0401170570518</t>
  </si>
  <si>
    <t>-914.083072364677 126.722344993145 286.224483236643</t>
  </si>
  <si>
    <t>-1124.76075589337 119.182917792071 681.111199389989</t>
  </si>
  <si>
    <t>-1044.21885100081 206.982577644956 785.47345555506</t>
  </si>
  <si>
    <t>-637.121259958789 11.0688998292794 336.050679727388</t>
  </si>
  <si>
    <t>-670.609011499479 48.1422627583697 781.130533018825</t>
  </si>
  <si>
    <t>-538.211444252971 -7.34722308156006 848.056789151665</t>
  </si>
  <si>
    <t>9763-20170724T111138.213580900.bin</t>
  </si>
  <si>
    <t>-726.214226299735 21.7950922522236 -74.9728496513131</t>
  </si>
  <si>
    <t>-707.468084142628 10.4282303785812 -188.707631766645</t>
  </si>
  <si>
    <t>-672.825589567015 2.61688761010782 -280.716109835795</t>
  </si>
  <si>
    <t>-557.208394382398 7.47380043633621 -502.165511793404</t>
  </si>
  <si>
    <t>-588.215648005543 140.222874525684 -519.975245146604</t>
  </si>
  <si>
    <t>-681.451881216007 227.506420798938 -254.871942498666</t>
  </si>
  <si>
    <t>-462.621020344482 324.061925460293 -225.873142321215</t>
  </si>
  <si>
    <t>-776.900954077782 101.221287513808 -92.3347641059797</t>
  </si>
  <si>
    <t>-910.583315669542 127.595181453395 287.517979998342</t>
  </si>
  <si>
    <t>-1119.19783673112 121.475202962674 683.560648732475</t>
  </si>
  <si>
    <t>-1037.51611796481 208.853490271885 787.389511419686</t>
  </si>
  <si>
    <t>-636.335134742785 11.7339414661992 336.026402237147</t>
  </si>
  <si>
    <t>-670.593149348686 48.2387283528196 781.077185908523</t>
  </si>
  <si>
    <t>-538.234033971871 -7.34518778929396 848.00129110987</t>
  </si>
  <si>
    <t>9763-20170724T111138.283767600.bin</t>
  </si>
  <si>
    <t>-725.331381628131 24.7696818991685 -74.0688699749677</t>
  </si>
  <si>
    <t>-708.20178344102 13.5426624088432 -188.072099620424</t>
  </si>
  <si>
    <t>-675.161068552124 6.14530384338832 -280.701700753284</t>
  </si>
  <si>
    <t>-563.822111834268 12.8552472632414 -504.229491246248</t>
  </si>
  <si>
    <t>-594.718312453678 145.898703214939 -519.862027020249</t>
  </si>
  <si>
    <t>-682.602459934991 229.977468095395 -251.90986441251</t>
  </si>
  <si>
    <t>-462.825526177741 325.149449903829 -225.618737272528</t>
  </si>
  <si>
    <t>-775.350431806837 104.602153904915 -90.5746761937924</t>
  </si>
  <si>
    <t>-900.652068778805 133.076680473576 291.973871885554</t>
  </si>
  <si>
    <t>-1097.36008001599 132.165963832226 694.096890916918</t>
  </si>
  <si>
    <t>-1009.60038529362 216.002257226198 795.866264017658</t>
  </si>
  <si>
    <t>-634.170849631325 13.4118580261406 335.970050424113</t>
  </si>
  <si>
    <t>-670.562741058804 48.4450820009502 780.998334576332</t>
  </si>
  <si>
    <t>-538.320039454237 -7.42476988796898 847.914202352779</t>
  </si>
  <si>
    <t>9763-20170724T111138.316903100.bin</t>
  </si>
  <si>
    <t>-725.849220841723 27.5733408020842 -73.5158883211616</t>
  </si>
  <si>
    <t>-709.799197431952 16.4403745912387 -187.685412091098</t>
  </si>
  <si>
    <t>-677.758878612982 9.25065830094218 -280.682092498324</t>
  </si>
  <si>
    <t>-642.195171961977 2.77080296737176 -362.115851404242</t>
  </si>
  <si>
    <t>-568.979952100071 16.8526592274566 -505.410691076875</t>
  </si>
  <si>
    <t>-599.674349527373 150.09516854366 -519.750242908321</t>
  </si>
  <si>
    <t>-684.089374964998 232.475449510312 -250.160213549247</t>
  </si>
  <si>
    <t>-463.482294386873 326.04621824942 -225.10293103397</t>
  </si>
  <si>
    <t>-775.612346736065 107.807057482396 -89.4849968868606</t>
  </si>
  <si>
    <t>-894.6591443954 137.549387929222 294.959970511558</t>
  </si>
  <si>
    <t>-1081.41280311837 140.600592949953 701.813255556057</t>
  </si>
  <si>
    <t>-988.13394652429 220.723093783608 801.646689045364</t>
  </si>
  <si>
    <t>-633.155121396466 14.6060785238096 335.96001978702</t>
  </si>
  <si>
    <t>-670.547859191638 48.5649754598794 780.967572578083</t>
  </si>
  <si>
    <t>-538.414488226416 -7.55916829831585 847.886540409397</t>
  </si>
  <si>
    <t>9763-20170724T111138.382071000.bin</t>
  </si>
  <si>
    <t>-728.301177664984 35.4157673422342 -72.0268922179285</t>
  </si>
  <si>
    <t>-715.004478128627 24.7164926064656 -186.591028441903</t>
  </si>
  <si>
    <t>-685.386383638015 18.0365388181453 -280.424909123565</t>
  </si>
  <si>
    <t>-652.011011629806 12.0916596435136 -362.820117704994</t>
  </si>
  <si>
    <t>-611.943911524221 5.99017391372627 -442.165131156329</t>
  </si>
  <si>
    <t>-582.565693036584 27.4324997573772 -507.826519753081</t>
  </si>
  <si>
    <t>-612.404581691998 161.153334248725 -519.128432584677</t>
  </si>
  <si>
    <t>-688.425650498582 239.487188719111 -245.859661752525</t>
  </si>
  <si>
    <t>-465.593639714365 328.527441969131 -224.213444266918</t>
  </si>
  <si>
    <t>-777.216913906368 116.375140651348 -86.3631513479003</t>
  </si>
  <si>
    <t>-882.018803013887 149.988871940916 301.891069393437</t>
  </si>
  <si>
    <t>-1042.84000601369 163.641302757157 719.528102076761</t>
  </si>
  <si>
    <t>-936.538058264397 233.176303548942 814.143547083716</t>
  </si>
  <si>
    <t>-632.143073535957 18.6112742933633 335.800978265139</t>
  </si>
  <si>
    <t>-670.519018708045 48.8391154735536 780.942186735391</t>
  </si>
  <si>
    <t>-538.705518225838 -8.00248530980434 847.886585631439</t>
  </si>
  <si>
    <t>9763-20170724T111138.414161600.bin</t>
  </si>
  <si>
    <t>-729.997833681462 40.5801147058619 -71.1676689532829</t>
  </si>
  <si>
    <t>-718.371645443909 30.1865630616167 -185.941509161243</t>
  </si>
  <si>
    <t>-690.200708082427 23.8067039574321 -280.240666544445</t>
  </si>
  <si>
    <t>-658.127210523731 18.158837037206 -363.172253122175</t>
  </si>
  <si>
    <t>-619.340678751617 12.3799198066795 -443.175117021773</t>
  </si>
  <si>
    <t>-558.328892450821 3.80282371628346 -551.456210801079</t>
  </si>
  <si>
    <t>-500.283970208578 1.56044232387831 -610.876717809011</t>
  </si>
  <si>
    <t>-590.865533380101 34.1707516901015 -509.118666342599</t>
  </si>
  <si>
    <t>-619.917370967518 168.198393029274 -518.641791215168</t>
  </si>
  <si>
    <t>-691.004172460972 244.108494227344 -243.36825635498</t>
  </si>
  <si>
    <t>-466.879692539856 330.323795352085 -223.723145981035</t>
  </si>
  <si>
    <t>-778.337403526676 122.119193057335 -84.5173890593367</t>
  </si>
  <si>
    <t>-874.790921987172 158.707280394854 305.627056180843</t>
  </si>
  <si>
    <t>-1022.38164779396 177.33948189683 728.057744843272</t>
  </si>
  <si>
    <t>-909.112233849224 239.167439801359 819.897904995442</t>
  </si>
  <si>
    <t>-631.95975371759 21.572227408577 335.677326557931</t>
  </si>
  <si>
    <t>-670.50418042778 49.0053785321634 780.941542107433</t>
  </si>
  <si>
    <t>-538.882970774643 -8.25997692940336 847.903233996769</t>
  </si>
  <si>
    <t>9763-20170724T111138.484359300.bin</t>
  </si>
  <si>
    <t>-734.228335010554 51.9747549856738 -68.9537231475308</t>
  </si>
  <si>
    <t>-726.329017736374 42.243682802839 -184.101990110054</t>
  </si>
  <si>
    <t>-701.372776126542 36.5031965705502 -279.343332956532</t>
  </si>
  <si>
    <t>-672.18812148809 31.4843725367505 -363.374856315585</t>
  </si>
  <si>
    <t>-636.242296884272 26.3817325660489 -444.738905225209</t>
  </si>
  <si>
    <t>-579.126423956464 18.8036659415948 -555.197807389759</t>
  </si>
  <si>
    <t>-523.452281629672 17.0368784144152 -616.860461832821</t>
  </si>
  <si>
    <t>-609.644471496283 48.9235977132003 -511.211885783337</t>
  </si>
  <si>
    <t>-636.471060830559 183.642241848524 -516.878296563416</t>
  </si>
  <si>
    <t>-696.020610212834 254.069362698965 -237.441195606113</t>
  </si>
  <si>
    <t>-469.038155739718 333.343771821673 -221.774735807625</t>
  </si>
  <si>
    <t>-781.009871418915 135.014334123791 -80.1706960590899</t>
  </si>
  <si>
    <t>-858.326548088044 179.774774308129 313.368761468879</t>
  </si>
  <si>
    <t>-982.944489330934 205.909748644232 742.836361624593</t>
  </si>
  <si>
    <t>-861.20621546845 257.334569045121 830.143652583451</t>
  </si>
  <si>
    <t>-630.842445532675 28.4995361033557 335.366603084821</t>
  </si>
  <si>
    <t>-670.426682414345 49.5675163123747 780.899071253087</t>
  </si>
  <si>
    <t>-539.392319911742 -8.94055545969331 847.9373447046</t>
  </si>
  <si>
    <t>9763-20170724T111138.516430200.bin</t>
  </si>
  <si>
    <t>-736.832045478183 57.9669530828246 -67.3414973612946</t>
  </si>
  <si>
    <t>-731.097488261579 48.6090284693714 -182.648778019453</t>
  </si>
  <si>
    <t>-707.916972423623 43.1397941279993 -278.353597847596</t>
  </si>
  <si>
    <t>-680.29794788659 38.3581313001991 -362.926338838328</t>
  </si>
  <si>
    <t>-645.865385486082 33.4810687858908 -444.955944523564</t>
  </si>
  <si>
    <t>-590.801309258326 26.2075607833549 -556.472209815436</t>
  </si>
  <si>
    <t>-536.334741683972 24.5347608687234 -619.20656723425</t>
  </si>
  <si>
    <t>-620.138396676548 56.3050811509788 -511.67503754788</t>
  </si>
  <si>
    <t>-645.2729571343 191.405363651025 -515.380093048441</t>
  </si>
  <si>
    <t>-698.985141279946 259.046625251394 -234.077994286646</t>
  </si>
  <si>
    <t>-470.311374771747 333.767173997726 -220.809195586845</t>
  </si>
  <si>
    <t>-609.926216207937 2.51146425063689 -503.123752645919</t>
  </si>
  <si>
    <t>-782.532292723943 141.795828531202 -77.4543730133719</t>
  </si>
  <si>
    <t>-849.416207584474 190.823091292321 317.485502800608</t>
  </si>
  <si>
    <t>-964.573890396906 219.627115330873 749.284769627826</t>
  </si>
  <si>
    <t>-841.322237518003 270.374975490709 834.847368502842</t>
  </si>
  <si>
    <t>-629.441381765875 32.5949172339042 335.234652346931</t>
  </si>
  <si>
    <t>-670.32602993231 50.0912869158988 780.825693937242</t>
  </si>
  <si>
    <t>-539.841599700256 -9.52756120147069 847.957828354272</t>
  </si>
  <si>
    <t>9763-20170724T111138.580601200.bin</t>
  </si>
  <si>
    <t>-743.107433424206 72.105998248021 -62.8234624419084</t>
  </si>
  <si>
    <t>-741.711149865087 63.915964142871 -178.353619805898</t>
  </si>
  <si>
    <t>-722.106700082754 59.0186354310299 -274.885062718948</t>
  </si>
  <si>
    <t>-697.660824053621 54.6161123699012 -360.44945868857</t>
  </si>
  <si>
    <t>-666.321870756322 49.9716225226875 -443.723324354155</t>
  </si>
  <si>
    <t>-615.486438281459 42.8765654593667 -557.240954803722</t>
  </si>
  <si>
    <t>-563.395095409904 41.0289678782515 -621.956453631231</t>
  </si>
  <si>
    <t>-642.054538431689 73.1532641973486 -510.864554470216</t>
  </si>
  <si>
    <t>-662.183241351421 209.144093294475 -510.832156101568</t>
  </si>
  <si>
    <t>-704.83212649054 271.184512131912 -226.362133934228</t>
  </si>
  <si>
    <t>-472.473682946805 334.547027682399 -219.610527657059</t>
  </si>
  <si>
    <t>-633.65863497401 18.8441509450313 -503.710358181608</t>
  </si>
  <si>
    <t>-785.171351955257 157.913213962816 -70.4322021670953</t>
  </si>
  <si>
    <t>-832.90651500314 213.445527799619 326.420595040174</t>
  </si>
  <si>
    <t>-936.830301499939 239.4059883687 761.497463927983</t>
  </si>
  <si>
    <t>-813.93332794003 297.849267746258 842.540557470481</t>
  </si>
  <si>
    <t>-624.937601704674 42.964985753239 335.101229753711</t>
  </si>
  <si>
    <t>-669.9601762339 51.6012010520626 780.561988380101</t>
  </si>
  <si>
    <t>-541.204029055012 -11.3318288373239 848.005177126955</t>
  </si>
  <si>
    <t>9763-20170724T111138.618705000.bin</t>
  </si>
  <si>
    <t>-746.770504678456 80.6650183331103 -60.3280982883257</t>
  </si>
  <si>
    <t>-747.269485612503 73.2259547355079 -175.916294326642</t>
  </si>
  <si>
    <t>-729.291596882714 68.6484436466435 -272.779669474268</t>
  </si>
  <si>
    <t>-706.320002606 64.4255005641648 -358.760611828977</t>
  </si>
  <si>
    <t>-676.451036937091 59.8463540883458 -442.576431014145</t>
  </si>
  <si>
    <t>-627.660486281454 52.7279576204273 -556.986414348968</t>
  </si>
  <si>
    <t>-576.77838893147 50.5481858382973 -622.646837758886</t>
  </si>
  <si>
    <t>-652.726443847719 83.1447079950021 -509.871255309581</t>
  </si>
  <si>
    <t>-669.630959971666 219.567233038822 -508.148155177933</t>
  </si>
  <si>
    <t>-707.060691117798 278.792907383402 -222.346630313477</t>
  </si>
  <si>
    <t>-472.895672200659 335.448374986847 -219.551197450155</t>
  </si>
  <si>
    <t>-645.534988268364 28.5762517281064 -503.409303679516</t>
  </si>
  <si>
    <t>-786.318357920931 167.658959018171 -66.6261003877444</t>
  </si>
  <si>
    <t>-825.934146648525 224.975979192271 330.866053392705</t>
  </si>
  <si>
    <t>-933.970946000072 243.695199443476 765.627111571943</t>
  </si>
  <si>
    <t>-810.808095987924 305.511561210625 843.710390559594</t>
  </si>
  <si>
    <t>-623.116644666591 49.3571278741374 335.007951134299</t>
  </si>
  <si>
    <t>-669.740440791245 52.3331338189082 780.379523397592</t>
  </si>
  <si>
    <t>-541.913986048229 -12.2483775038777 848.032766861789</t>
  </si>
  <si>
    <t>9763-20170724T111138.681891900.bin</t>
  </si>
  <si>
    <t>-758.422511122915 101.181961047816 -56.2256834860453</t>
  </si>
  <si>
    <t>-761.561723490441 95.1184938665888 -171.852644113262</t>
  </si>
  <si>
    <t>-745.98152739597 91.1005220521838 -269.155148598694</t>
  </si>
  <si>
    <t>-725.240114776851 87.1759101537223 -355.71508302604</t>
  </si>
  <si>
    <t>-697.65186232862 82.6762344974104 -440.313426039938</t>
  </si>
  <si>
    <t>-652.095569588268 75.4480757970127 -556.042490203335</t>
  </si>
  <si>
    <t>-603.529156411632 72.2790476180789 -623.394399704046</t>
  </si>
  <si>
    <t>-674.405957799409 106.121858167316 -507.7240200736</t>
  </si>
  <si>
    <t>-684.262672684172 243.171623535807 -502.821267552067</t>
  </si>
  <si>
    <t>-712.654553002352 296.608583153251 -214.846154783408</t>
  </si>
  <si>
    <t>-475.707298363056 340.055370083805 -219.236629674348</t>
  </si>
  <si>
    <t>-669.879327636282 51.1357786921703 -502.507759915498</t>
  </si>
  <si>
    <t>-794.451170458196 188.997262884468 -60.9123680031993</t>
  </si>
  <si>
    <t>-822.29144129894 241.824055256337 338.197707832715</t>
  </si>
  <si>
    <t>-938.866453981569 244.227734837429 771.026759374538</t>
  </si>
  <si>
    <t>-811.723769937666 307.176048430305 841.450956181822</t>
  </si>
  <si>
    <t>-722.901536291952 13.2319016133956 -53.3618664447379</t>
  </si>
  <si>
    <t>-624.269560226459 63.9511475961622 334.650972890717</t>
  </si>
  <si>
    <t>-669.180117239093 53.7229916143851 779.870156908464</t>
  </si>
  <si>
    <t>-543.466051255675 -14.2757348010546 848.129961160174</t>
  </si>
  <si>
    <t>9763-20170724T111138.712889500.bin</t>
  </si>
  <si>
    <t>-767.79549508445 113.519620566301 -55.0670437836599</t>
  </si>
  <si>
    <t>-771.662520800837 108.277326112299 -170.712139319136</t>
  </si>
  <si>
    <t>-756.825444906444 104.559048943914 -268.142610941723</t>
  </si>
  <si>
    <t>-736.813790427498 100.767975000411 -354.88019414391</t>
  </si>
  <si>
    <t>-710.011446965408 96.2617424564291 -439.730465974716</t>
  </si>
  <si>
    <t>-665.611542727811 88.8844111124076 -555.89858572886</t>
  </si>
  <si>
    <t>-617.998354890315 85.1623279560995 -623.899751946467</t>
  </si>
  <si>
    <t>-686.723984243611 119.694951498084 -507.130968419503</t>
  </si>
  <si>
    <t>-693.094687035383 256.86746161076 -500.854103807239</t>
  </si>
  <si>
    <t>-717.894558908621 307.554426864383 -212.051435703435</t>
  </si>
  <si>
    <t>-479.876035480356 344.158080278431 -219.689130276701</t>
  </si>
  <si>
    <t>-683.57546848861 64.566818400453 -502.426463012222</t>
  </si>
  <si>
    <t>-802.957551239636 200.925914783701 -59.2223157617918</t>
  </si>
  <si>
    <t>-827.734500520887 247.289907917776 340.891626426874</t>
  </si>
  <si>
    <t>-940.937617025696 243.232163161143 774.546859477816</t>
  </si>
  <si>
    <t>-812.1343637902 307.153930636845 840.962873096938</t>
  </si>
  <si>
    <t>-733.456771713372 26.8511179676066 -53.0763269919029</t>
  </si>
  <si>
    <t>-629.311073248524 71.4622257858528 334.245463290362</t>
  </si>
  <si>
    <t>-668.827983628741 54.3736696082328 779.429805136826</t>
  </si>
  <si>
    <t>-544.489534620863 -15.636471209978 848.174292730392</t>
  </si>
  <si>
    <t>9763-20170724T111138.767066600.bin</t>
  </si>
  <si>
    <t>-783.938650627391 133.796087002584 -54.1870388312872</t>
  </si>
  <si>
    <t>-788.450703085111 130.135279225374 -169.869706994449</t>
  </si>
  <si>
    <t>-774.399391029854 127.050713515561 -267.438597382392</t>
  </si>
  <si>
    <t>-755.210973966137 123.591636040653 -354.375812025314</t>
  </si>
  <si>
    <t>-729.344062304762 119.17746754274 -439.520769102182</t>
  </si>
  <si>
    <t>-686.36954955595 111.6939582519 -556.216972795417</t>
  </si>
  <si>
    <t>-639.988362262111 107.15779074593 -625.015493809011</t>
  </si>
  <si>
    <t>-705.864266558447 142.618768240026 -506.851704268907</t>
  </si>
  <si>
    <t>-707.130246770138 279.839457154057 -498.642974851077</t>
  </si>
  <si>
    <t>-727.830727348249 326.809367679898 -208.890433906101</t>
  </si>
  <si>
    <t>-488.501441724042 352.695456650841 -219.002841685763</t>
  </si>
  <si>
    <t>-704.696666068766 87.3556563182442 -502.877782402623</t>
  </si>
  <si>
    <t>-815.366308032602 218.170127740452 -57.7284901225491</t>
  </si>
  <si>
    <t>-835.985654483187 254.943932658097 343.615770235742</t>
  </si>
  <si>
    <t>-943.131951757035 242.693247459405 778.790063951056</t>
  </si>
  <si>
    <t>-812.87228048604 308.152804757613 840.715670629145</t>
  </si>
  <si>
    <t>-753.314584986041 50.5780914876236 -53.3724465891898</t>
  </si>
  <si>
    <t>-642.185700577113 82.7775304896604 333.238772043779</t>
  </si>
  <si>
    <t>-668.26609086976 55.053327806886 778.364332810813</t>
  </si>
  <si>
    <t>-545.995554545507 -17.4795964767545 848.194032513019</t>
  </si>
  <si>
    <t>9763-20170724T111138.816233500.bin</t>
  </si>
  <si>
    <t>-801.356008585886 147.12647977561 -54.4726718586173</t>
  </si>
  <si>
    <t>-806.044075553183 143.532901693395 -170.150281048665</t>
  </si>
  <si>
    <t>-792.611107369752 140.693560843038 -267.813758854824</t>
  </si>
  <si>
    <t>-774.153838616461 137.582221051652 -354.922317755177</t>
  </si>
  <si>
    <t>-749.170907671826 133.649277121378 -440.354197911765</t>
  </si>
  <si>
    <t>-707.570421003085 126.992003231352 -557.597177948151</t>
  </si>
  <si>
    <t>-661.930413568934 122.167833016853 -626.87018787366</t>
  </si>
  <si>
    <t>-725.772856844011 157.58806832705 -507.538396208509</t>
  </si>
  <si>
    <t>-722.651918272146 294.652869396335 -497.304937310164</t>
  </si>
  <si>
    <t>-739.467542376733 339.03352955746 -206.893434965752</t>
  </si>
  <si>
    <t>-499.339322352224 355.447714294283 -217.837892572317</t>
  </si>
  <si>
    <t>-725.980491097694 102.255327137958 -504.47029927397</t>
  </si>
  <si>
    <t>-829.297585499543 231.275820587136 -57.0069942602858</t>
  </si>
  <si>
    <t>-845.947374404557 265.502479799549 344.746594744617</t>
  </si>
  <si>
    <t>-943.630635322326 244.20879759076 782.202918932095</t>
  </si>
  <si>
    <t>-812.415388192901 308.410380277593 843.423580508779</t>
  </si>
  <si>
    <t>-774.238349025546 61.2160993681177 -54.2873441873363</t>
  </si>
  <si>
    <t>-666.600616498217 84.6805695643698 333.93711870468</t>
  </si>
  <si>
    <t>-675.110304448472 35.9028313750555 777.759530401613</t>
  </si>
  <si>
    <t>-553.549519165978 -36.1350304564335 849.319489457424</t>
  </si>
  <si>
    <t>9763-20170724T111138.883412300.bin</t>
  </si>
  <si>
    <t>-830.261909311273 137.586660215205 -55.4995605451743</t>
  </si>
  <si>
    <t>-836.845369849096 134.836698374674 -171.108014647968</t>
  </si>
  <si>
    <t>-825.30725084218 132.925624349691 -269.035839290274</t>
  </si>
  <si>
    <t>-808.651348628445 130.758748189594 -356.535321187275</t>
  </si>
  <si>
    <t>-785.536649641087 127.873115487284 -442.533017690994</t>
  </si>
  <si>
    <t>-746.599191216344 122.792133661811 -560.765341510031</t>
  </si>
  <si>
    <t>-702.087453018634 118.533942620853 -630.805332890885</t>
  </si>
  <si>
    <t>-763.211414863614 152.713497623543 -509.754887763697</t>
  </si>
  <si>
    <t>-757.95077486982 289.48043036311 -496.969848387725</t>
  </si>
  <si>
    <t>-765.444629343623 329.77772723738 -205.574672210712</t>
  </si>
  <si>
    <t>-525.059322744076 338.650996516818 -219.254988802117</t>
  </si>
  <si>
    <t>-764.256057172553 97.3427675040252 -507.719470202451</t>
  </si>
  <si>
    <t>-853.111386904081 229.954585139094 -57.608617419339</t>
  </si>
  <si>
    <t>-854.808831157831 263.273909099361 344.562535637132</t>
  </si>
  <si>
    <t>-943.229661414948 245.156686559666 783.24820128369</t>
  </si>
  <si>
    <t>-811.376146313123 307.380598051619 845.136107322214</t>
  </si>
  <si>
    <t>-807.735616454489 45.9079202674034 -55.5084253768931</t>
  </si>
  <si>
    <t>-710.100786330726 60.0791560261519 335.79873415201</t>
  </si>
  <si>
    <t>-726.496800735953 8.7722579632873 781.350878301781</t>
  </si>
  <si>
    <t>-605.377509281188 -63.4190230124086 853.502245002807</t>
  </si>
  <si>
    <t>9763-20170724T111138.919517200.bin</t>
  </si>
  <si>
    <t>-838.846049833176 135.944981477837 -55.6661565916895</t>
  </si>
  <si>
    <t>-846.501249490113 133.610011362702 -171.217663406734</t>
  </si>
  <si>
    <t>-836.025175402931 132.190161540535 -269.273340245452</t>
  </si>
  <si>
    <t>-820.375168339539 130.528775689632 -356.969084624971</t>
  </si>
  <si>
    <t>-798.301242854967 128.208608309124 -443.257001946335</t>
  </si>
  <si>
    <t>-760.844888085183 123.982369379574 -562.000434114191</t>
  </si>
  <si>
    <t>-716.973153286377 120.20124336267 -632.470293658921</t>
  </si>
  <si>
    <t>-776.716735167222 153.533146294514 -510.540194266308</t>
  </si>
  <si>
    <t>-770.818912468741 290.143021934342 -496.437778911771</t>
  </si>
  <si>
    <t>-773.049864247483 327.543849154132 -204.568834094618</t>
  </si>
  <si>
    <t>-532.723872195563 334.758546527049 -220.132896844313</t>
  </si>
  <si>
    <t>-777.938383141289 98.1513001091093 -508.954422587289</t>
  </si>
  <si>
    <t>-859.818823438279 230.189211702272 -57.3904783040839</t>
  </si>
  <si>
    <t>-856.022441705844 263.847341993696 344.738110640727</t>
  </si>
  <si>
    <t>-943.136271688305 245.296209473029 783.54849684262</t>
  </si>
  <si>
    <t>-811.303296217254 307.364751345019 845.636023448855</t>
  </si>
  <si>
    <t>-817.064791659635 42.977280972375 -55.8372034215191</t>
  </si>
  <si>
    <t>-720.285144391271 56.1228786766337 335.718105903104</t>
  </si>
  <si>
    <t>-767.164467839003 19.241025818812 780.132419213441</t>
  </si>
  <si>
    <t>-647.006912951439 -51.5685143655146 855.202254831425</t>
  </si>
  <si>
    <t>9763-20170724T111138.983689300.bin</t>
  </si>
  <si>
    <t>-845.43306569858 139.068285629847 -55.3630534854444</t>
  </si>
  <si>
    <t>-855.524002682966 136.236961347652 -170.716410868488</t>
  </si>
  <si>
    <t>-847.578319885623 135.376798375497 -269.015859038896</t>
  </si>
  <si>
    <t>-834.344495800107 134.637515812636 -357.121183666494</t>
  </si>
  <si>
    <t>-814.777700834932 133.659192491548 -444.037490049422</t>
  </si>
  <si>
    <t>-780.885271579314 131.751595817073 -563.905969836188</t>
  </si>
  <si>
    <t>-738.199295277802 129.294410914176 -635.158328091516</t>
  </si>
  <si>
    <t>-795.125285335555 160.290712311675 -511.407868654842</t>
  </si>
  <si>
    <t>-787.864562421826 296.485680180729 -494.424528434308</t>
  </si>
  <si>
    <t>-777.787869592855 328.467199097774 -202.077373403725</t>
  </si>
  <si>
    <t>-537.600709042206 333.066171022367 -220.511797190979</t>
  </si>
  <si>
    <t>-796.474066734179 104.891300122534 -510.907692637613</t>
  </si>
  <si>
    <t>-864.679307610691 233.89423009638 -57.3137155085816</t>
  </si>
  <si>
    <t>-860.516674324155 263.891627863449 345.100860756195</t>
  </si>
  <si>
    <t>-943.411328621304 245.329457376516 784.303678149465</t>
  </si>
  <si>
    <t>-811.457048650229 307.165404846395 846.365731908719</t>
  </si>
  <si>
    <t>-824.891173053003 45.2303880572485 -56.0196710534117</t>
  </si>
  <si>
    <t>-735.150899233134 52.8737939807534 337.354187557514</t>
  </si>
  <si>
    <t>-814.26196948913 37.928655326843 777.711554740626</t>
  </si>
  <si>
    <t>-695.548965570769 -33.0522555280768 854.888170465245</t>
  </si>
  <si>
    <t>9763-20170724T111139.015200900.bin</t>
  </si>
  <si>
    <t>-843.243199384913 143.481327127312 -55.6325262673456</t>
  </si>
  <si>
    <t>-854.80254111099 139.842287824524 -170.825113786264</t>
  </si>
  <si>
    <t>-848.445251709439 139.025881078664 -269.240448278526</t>
  </si>
  <si>
    <t>-836.745624366837 138.634301320186 -357.564930310428</t>
  </si>
  <si>
    <t>-818.786775827503 138.316519447661 -444.832522587223</t>
  </si>
  <si>
    <t>-787.195382915407 137.662459022921 -565.341279233157</t>
  </si>
  <si>
    <t>-745.2567635844 135.88420476315 -637.056082995227</t>
  </si>
  <si>
    <t>-800.405445293194 165.650420475001 -512.280342262232</t>
  </si>
  <si>
    <t>-792.535537828981 301.606792321092 -493.684644223594</t>
  </si>
  <si>
    <t>-774.52772831685 332.045469756285 -201.553987835672</t>
  </si>
  <si>
    <t>-534.410127471701 335.481122507348 -221.116225779357</t>
  </si>
  <si>
    <t>-801.788834394389 110.249685253362 -512.342301991824</t>
  </si>
  <si>
    <t>-862.18938357078 238.838385238849 -58.1524830329466</t>
  </si>
  <si>
    <t>-864.159792411538 263.713920936867 344.627823988257</t>
  </si>
  <si>
    <t>-943.449609360269 245.399105083947 784.377441301102</t>
  </si>
  <si>
    <t>-811.709776929454 307.658895195358 846.471667357377</t>
  </si>
  <si>
    <t>-823.13399072784 49.9227390535161 -56.2064961103416</t>
  </si>
  <si>
    <t>-738.545076436677 51.408046351376 338.37831722653</t>
  </si>
  <si>
    <t>-809.805624767387 36.1045948157607 779.950614583458</t>
  </si>
  <si>
    <t>-693.323740108067 -39.3310174988919 856.29701784662</t>
  </si>
  <si>
    <t>9763-20170724T111139.048288800.bin</t>
  </si>
  <si>
    <t>-840.564083956994 148.636230034306 -56.4327718779982</t>
  </si>
  <si>
    <t>-853.682592969356 144.011607872171 -171.422987375322</t>
  </si>
  <si>
    <t>-849.022073298501 143.147061422404 -269.93278304361</t>
  </si>
  <si>
    <t>-838.96549752456 143.040154071172 -358.460083807345</t>
  </si>
  <si>
    <t>-822.733041273376 143.337813445644 -446.065291690896</t>
  </si>
  <si>
    <t>-793.617969964817 143.892024627447 -567.196709886617</t>
  </si>
  <si>
    <t>-752.536581130421 142.697287948105 -639.418007115418</t>
  </si>
  <si>
    <t>-805.723668978791 171.346598838615 -513.59625308878</t>
  </si>
  <si>
    <t>-797.32497751241 307.033444148797 -493.418110393277</t>
  </si>
  <si>
    <t>-771.039653648549 335.674409987023 -201.733304038938</t>
  </si>
  <si>
    <t>-531.041185669023 338.826095144922 -222.748910281222</t>
  </si>
  <si>
    <t>-807.136691327136 115.94982410064 -514.189250809417</t>
  </si>
  <si>
    <t>-860.472667763338 243.728634906975 -59.3075898443512</t>
  </si>
  <si>
    <t>-868.120768361255 263.129050839651 343.705741702859</t>
  </si>
  <si>
    <t>-943.52506818811 245.688979837177 784.331131581875</t>
  </si>
  <si>
    <t>-811.76112746787 307.83188456069 846.490937230857</t>
  </si>
  <si>
    <t>-819.812176398996 54.7558863894856 -56.7890780666925</t>
  </si>
  <si>
    <t>-740.923339132488 52.2536673236227 338.969576199913</t>
  </si>
  <si>
    <t>-802.614217966445 31.6930060260061 782.308188491682</t>
  </si>
  <si>
    <t>-688.233148769964 -47.9221342601008 857.579306326127</t>
  </si>
  <si>
    <t>9763-20170724T111139.114297700.bin</t>
  </si>
  <si>
    <t>-844.732439412001 154.74987635827 -58.9824999671636</t>
  </si>
  <si>
    <t>-860.829112833289 149.190358544654 -173.552104653623</t>
  </si>
  <si>
    <t>-859.357171567665 148.431898815851 -272.162125268099</t>
  </si>
  <si>
    <t>-852.391948742415 148.802805545238 -360.985394698911</t>
  </si>
  <si>
    <t>-839.424107802203 149.96447638519 -449.125754599603</t>
  </si>
  <si>
    <t>-815.01952757943 152.135962081417 -571.275306908959</t>
  </si>
  <si>
    <t>-775.860702034283 151.609926310035 -644.564928893243</t>
  </si>
  <si>
    <t>-824.909167410317 178.868555160211 -516.861430814344</t>
  </si>
  <si>
    <t>-814.969886847636 314.201643563337 -494.632955075218</t>
  </si>
  <si>
    <t>-776.19786488772 337.058193694655 -203.831434642731</t>
  </si>
  <si>
    <t>-536.419922808258 340.846748320142 -227.135271701553</t>
  </si>
  <si>
    <t>-826.608041633428 123.492295190445 -518.18535879624</t>
  </si>
  <si>
    <t>-867.422420811871 248.291987825515 -61.7650463385893</t>
  </si>
  <si>
    <t>-878.519097217523 261.028015320151 341.433795564424</t>
  </si>
  <si>
    <t>-943.438308828354 246.066963733917 784.217118578441</t>
  </si>
  <si>
    <t>-811.86964041321 308.523490243246 846.476167240918</t>
  </si>
  <si>
    <t>-824.085884264558 59.5858880223241 -58.8388278850142</t>
  </si>
  <si>
    <t>-750.495367531083 49.2574384369727 337.812722483674</t>
  </si>
  <si>
    <t>-804.821612018769 23.0143043772664 781.680507127178</t>
  </si>
  <si>
    <t>-688.71990283808 -56.2366595555688 854.66648646689</t>
  </si>
  <si>
    <t>9763-20170724T111139.184486800.bin</t>
  </si>
  <si>
    <t>-855.679638732258 163.290682673238 -60.9624703566564</t>
  </si>
  <si>
    <t>-874.553448934726 156.971500714146 -175.068090354194</t>
  </si>
  <si>
    <t>-876.154472139748 156.184661711991 -273.675727880335</t>
  </si>
  <si>
    <t>-872.210089003656 156.803007785815 -362.683064699614</t>
  </si>
  <si>
    <t>-862.478367517698 158.491736865793 -451.230631577286</t>
  </si>
  <si>
    <t>-842.794997554172 161.701806819742 -574.206653660623</t>
  </si>
  <si>
    <t>-805.755787798037 161.368681788422 -648.590818115372</t>
  </si>
  <si>
    <t>-850.357100336433 187.961991260679 -519.192655645139</t>
  </si>
  <si>
    <t>-838.422189408895 322.90258162393 -495.862143248021</t>
  </si>
  <si>
    <t>-791.761156338249 340.94069577717 -205.881732910723</t>
  </si>
  <si>
    <t>-552.159183449094 344.808533241884 -230.918894900124</t>
  </si>
  <si>
    <t>-852.556278663757 132.616590214162 -520.989312819401</t>
  </si>
  <si>
    <t>-879.037159406632 254.464645847752 -63.8239368507682</t>
  </si>
  <si>
    <t>-890.601076740806 259.53629601922 339.531051843704</t>
  </si>
  <si>
    <t>-943.520432804454 246.117101872723 784.63311870263</t>
  </si>
  <si>
    <t>-811.287495878539 307.395270796408 846.655210065285</t>
  </si>
  <si>
    <t>-833.058221281615 74.2500338667137 -60.5712290395199</t>
  </si>
  <si>
    <t>-767.486392223039 51.9262930173759 336.992153992394</t>
  </si>
  <si>
    <t>-804.488820352615 22.2130305202804 781.57581130354</t>
  </si>
  <si>
    <t>-688.731016196254 -58.1484197719635 853.890460244422</t>
  </si>
  <si>
    <t>9763-20170724T111139.214573600.bin</t>
  </si>
  <si>
    <t>-858.784342338501 168.824750511558 -61.3573371298049</t>
  </si>
  <si>
    <t>-878.779779720373 162.218449511696 -175.255354175872</t>
  </si>
  <si>
    <t>-881.742465551038 161.347386458583 -273.830827648092</t>
  </si>
  <si>
    <t>-879.179136309134 161.969969227233 -362.888488464658</t>
  </si>
  <si>
    <t>-870.968867183025 163.75053474228 -451.588443406575</t>
  </si>
  <si>
    <t>-853.548403875378 167.187128412791 -574.899131121451</t>
  </si>
  <si>
    <t>-817.44724992593 166.828338971267 -649.743136396558</t>
  </si>
  <si>
    <t>-859.982450461323 193.340528746065 -519.69114313895</t>
  </si>
  <si>
    <t>-847.145526794786 328.150952215829 -495.957672149376</t>
  </si>
  <si>
    <t>-796.91962660812 344.50951019732 -206.47379774799</t>
  </si>
  <si>
    <t>-557.46588501435 348.819265890304 -232.823662405009</t>
  </si>
  <si>
    <t>-862.445913210115 138.009311300671 -521.581177443895</t>
  </si>
  <si>
    <t>-878.859365837412 3.74011256004951 -497.163211350015</t>
  </si>
  <si>
    <t>-722.738949111862 3.42588533181561 -318.941580734385</t>
  </si>
  <si>
    <t>-882.169547007127 258.706990492306 -64.2574119006528</t>
  </si>
  <si>
    <t>-895.298021766972 258.440188832304 339.08139840387</t>
  </si>
  <si>
    <t>-943.46262694637 245.605430366984 785.156483448274</t>
  </si>
  <si>
    <t>-811.304481476478 307.364867590895 846.860267603276</t>
  </si>
  <si>
    <t>-835.012836976362 79.9756915448343 -60.8282990307134</t>
  </si>
  <si>
    <t>-774.371035997229 52.4649518240658 337.192385342131</t>
  </si>
  <si>
    <t>-804.9062797635 21.7550870140117 781.994275660901</t>
  </si>
  <si>
    <t>-688.950488090499 -58.6674858360379 853.922753436487</t>
  </si>
  <si>
    <t>9763-20170724T111139.281748600.bin</t>
  </si>
  <si>
    <t>-859.508787949502 172.828717213412 -62.6972762013385</t>
  </si>
  <si>
    <t>-880.741552442839 166.046382824154 -176.360823437118</t>
  </si>
  <si>
    <t>-885.615634681327 165.018567821424 -274.858594816585</t>
  </si>
  <si>
    <t>-885.115469480592 165.525910270136 -363.95265733675</t>
  </si>
  <si>
    <t>-879.294224515026 167.230435246776 -452.842796053224</t>
  </si>
  <si>
    <t>-865.542912787547 170.616814371552 -576.617726927053</t>
  </si>
  <si>
    <t>-831.224724018207 170.05879825762 -652.294431655723</t>
  </si>
  <si>
    <t>-870.139708927055 196.782121560492 -521.23230900385</t>
  </si>
  <si>
    <t>-855.914645578692 331.43456511241 -497.347996560812</t>
  </si>
  <si>
    <t>-800.219832654246 344.671275850478 -208.706108420976</t>
  </si>
  <si>
    <t>-560.949262267289 351.603452741666 -236.134537468205</t>
  </si>
  <si>
    <t>-873.048661062846 141.470890920629 -523.068655481915</t>
  </si>
  <si>
    <t>-889.681055060298 7.43920933426853 -497.56606792113</t>
  </si>
  <si>
    <t>-730.004619369328 10.9700583753379 -321.32477905864</t>
  </si>
  <si>
    <t>-880.399991852246 261.261475739173 -64.6727017675848</t>
  </si>
  <si>
    <t>-899.711597997006 257.290672741676 338.397967309573</t>
  </si>
  <si>
    <t>-943.453290296008 245.45610158789 785.229636815887</t>
  </si>
  <si>
    <t>-811.312721199558 307.624072706599 846.559366433284</t>
  </si>
  <si>
    <t>-836.687449001024 83.3992088802065 -61.4953604426279</t>
  </si>
  <si>
    <t>-782.151568645027 54.3212289463713 337.29651508737</t>
  </si>
  <si>
    <t>-805.729139982228 20.8605580046715 782.676007909082</t>
  </si>
  <si>
    <t>-688.854501492201 -58.7835866159749 853.980699296567</t>
  </si>
  <si>
    <t>9763-20170724T111139.314841700.bin</t>
  </si>
  <si>
    <t>-857.643713592917 171.571063822987 -63.3806485626845</t>
  </si>
  <si>
    <t>-879.211950503103 164.638104409661 -176.97186005236</t>
  </si>
  <si>
    <t>-884.648392553266 163.475032795009 -275.438859680862</t>
  </si>
  <si>
    <t>-884.765816861564 163.865165327854 -364.534749690606</t>
  </si>
  <si>
    <t>-879.668781956962 165.4612802208 -453.471344510397</t>
  </si>
  <si>
    <t>-867.037161703265 168.709924143842 -577.36934364118</t>
  </si>
  <si>
    <t>-833.579523974653 168.056408763377 -653.429674083488</t>
  </si>
  <si>
    <t>-871.078967611652 194.933730309418 -521.968214373783</t>
  </si>
  <si>
    <t>-856.496417169153 329.549714423988 -498.256904671003</t>
  </si>
  <si>
    <t>-799.018977802351 341.57787595668 -209.911836048946</t>
  </si>
  <si>
    <t>-559.799871256546 350.097310837459 -237.342882382658</t>
  </si>
  <si>
    <t>-874.11240554297 139.626638707417 -523.727492082125</t>
  </si>
  <si>
    <t>-890.898982086436 5.66106159747687 -497.839314635614</t>
  </si>
  <si>
    <t>-730.242317023617 11.5966236823438 -321.938642970465</t>
  </si>
  <si>
    <t>-878.386643199374 260.258878777413 -65.0659385895107</t>
  </si>
  <si>
    <t>-897.195858594549 257.848444315719 338.040902816006</t>
  </si>
  <si>
    <t>-943.474357881289 245.548396375601 784.864837083191</t>
  </si>
  <si>
    <t>-811.215465071228 307.520742389146 846.137691036411</t>
  </si>
  <si>
    <t>-834.961641475151 81.5402806613024 -61.9454320944927</t>
  </si>
  <si>
    <t>-781.621120087331 53.8485205314314 337.106736741487</t>
  </si>
  <si>
    <t>-805.763138459422 20.8557233250863 782.694625468229</t>
  </si>
  <si>
    <t>-688.917298135329 -58.8679692824303 853.957756771365</t>
  </si>
  <si>
    <t>9763-20170724T111139.382023000.bin</t>
  </si>
  <si>
    <t>-853.719874821874 166.035184623764 -63.026456116574</t>
  </si>
  <si>
    <t>-876.044842336599 159.147366311729 -176.474178377644</t>
  </si>
  <si>
    <t>-882.309518413042 157.81747247975 -274.889715604733</t>
  </si>
  <si>
    <t>-883.251613593428 157.981189434467 -363.981563195613</t>
  </si>
  <si>
    <t>-879.057365703649 159.27998274363 -452.9701347268</t>
  </si>
  <si>
    <t>-867.770690038021 162.043276453269 -577.009422432097</t>
  </si>
  <si>
    <t>-835.733131259722 161.13717608478 -653.676309704637</t>
  </si>
  <si>
    <t>-871.209656451336 188.483844207332 -521.670815121074</t>
  </si>
  <si>
    <t>-856.349707452059 323.202716321155 -498.629777855799</t>
  </si>
  <si>
    <t>-796.308055015366 334.375146746831 -210.773233369349</t>
  </si>
  <si>
    <t>-557.130299151319 344.825477814264 -237.896379965959</t>
  </si>
  <si>
    <t>-874.26480912021 133.170744311928 -523.181037453234</t>
  </si>
  <si>
    <t>-729.685648106597 8.41854333739002 -322.055473834377</t>
  </si>
  <si>
    <t>-875.524493799613 255.937601150578 -65.0764629987592</t>
  </si>
  <si>
    <t>-890.647662698459 256.797537397028 338.191706403576</t>
  </si>
  <si>
    <t>-943.399778285607 245.506650849565 784.274085003031</t>
  </si>
  <si>
    <t>-811.078469227112 307.409895241568 845.481467433244</t>
  </si>
  <si>
    <t>-832.315163480015 75.4823215707183 -61.9875190210665</t>
  </si>
  <si>
    <t>-775.505182743134 49.951581054494 336.729750473091</t>
  </si>
  <si>
    <t>-805.770564023613 20.8845479706588 782.460861067085</t>
  </si>
  <si>
    <t>-688.894312923066 -58.7400588129001 853.78543867048</t>
  </si>
  <si>
    <t>9763-20170724T111139.415666200.bin</t>
  </si>
  <si>
    <t>-852.135352598878 164.103566030486 -62.3364639475329</t>
  </si>
  <si>
    <t>-874.932387325892 157.201957440171 -175.689341689853</t>
  </si>
  <si>
    <t>-881.69764013616 155.771788397052 -274.07052221027</t>
  </si>
  <si>
    <t>-883.133276397049 155.813883728808 -363.15571731006</t>
  </si>
  <si>
    <t>-879.474115361197 156.964071808854 -452.169980995441</t>
  </si>
  <si>
    <t>-868.978391047398 159.495430866505 -576.283732647434</t>
  </si>
  <si>
    <t>-837.477101888707 158.304429123153 -653.1685554915</t>
  </si>
  <si>
    <t>-872.088528875322 186.040832391389 -520.975669101557</t>
  </si>
  <si>
    <t>-857.082083854531 320.779400691367 -498.170420900874</t>
  </si>
  <si>
    <t>-794.951708035404 332.224879480745 -210.768134728764</t>
  </si>
  <si>
    <t>-555.809116864919 343.236065348719 -237.978519155083</t>
  </si>
  <si>
    <t>-875.105742314746 130.722238781422 -522.35915933729</t>
  </si>
  <si>
    <t>-728.9151290445 5.82343474732443 -322.044947763712</t>
  </si>
  <si>
    <t>-873.514875112905 254.275408429039 -64.7393795166795</t>
  </si>
  <si>
    <t>-889.212203397258 255.714411322118 338.505148303045</t>
  </si>
  <si>
    <t>-943.230552510884 245.355461112405 784.098724371519</t>
  </si>
  <si>
    <t>-811.065924120315 307.60777664885 845.290650992335</t>
  </si>
  <si>
    <t>-831.178930571382 73.8098887247816 -61.5652355862561</t>
  </si>
  <si>
    <t>-773.129371051592 48.2532606447558 336.971837032973</t>
  </si>
  <si>
    <t>-805.728396693428 21.0465456105462 782.377618791059</t>
  </si>
  <si>
    <t>-689.143678945441 -58.978059126096 853.731347983084</t>
  </si>
  <si>
    <t>9763-20170724T111139.484850100.bin</t>
  </si>
  <si>
    <t>-849.335478201304 163.311794367821 -61.7374139857718</t>
  </si>
  <si>
    <t>-872.542405226126 156.033739115653 -174.98351272332</t>
  </si>
  <si>
    <t>-880.251529337162 154.350617265066 -273.291204001307</t>
  </si>
  <si>
    <t>-882.775682784114 154.20937337136 -362.352092892474</t>
  </si>
  <si>
    <t>-880.434303134383 155.233730005694 -451.412295150835</t>
  </si>
  <si>
    <t>-872.014799765758 157.660205462315 -575.686258972506</t>
  </si>
  <si>
    <t>-841.274517340802 155.771961615561 -652.864689138322</t>
  </si>
  <si>
    <t>-874.252614510267 184.255158266396 -520.359914117813</t>
  </si>
  <si>
    <t>-858.792074161682 318.928651002262 -497.628202356773</t>
  </si>
  <si>
    <t>-790.937263634042 331.078463965416 -211.552541385283</t>
  </si>
  <si>
    <t>-551.892920035653 343.602174263941 -238.97113591066</t>
  </si>
  <si>
    <t>-877.187090777343 128.92970474929 -521.638975053451</t>
  </si>
  <si>
    <t>-725.833996236842 2.30379400817901 -323.618877430254</t>
  </si>
  <si>
    <t>-869.900759851266 253.82844629067 -64.609353467198</t>
  </si>
  <si>
    <t>-889.171237062384 254.259036755026 338.482614771848</t>
  </si>
  <si>
    <t>-942.975757242411 245.318075311609 783.510739902104</t>
  </si>
  <si>
    <t>-811.007273344839 307.961053716535 844.727567661319</t>
  </si>
  <si>
    <t>-829.250488348604 73.2774468435637 -61.368295410317</t>
  </si>
  <si>
    <t>-773.626441306088 47.0421475683047 337.470414492635</t>
  </si>
  <si>
    <t>-805.859467077316 20.9889142401498 782.592619405023</t>
  </si>
  <si>
    <t>-689.412885251838 -59.3413050474326 853.82865065272</t>
  </si>
  <si>
    <t>9763-20170724T111139.515969300.bin</t>
  </si>
  <si>
    <t>-848.883514499632 163.569430184333 -62.0130220799451</t>
  </si>
  <si>
    <t>-872.082030380984 156.071242373067 -175.246465570834</t>
  </si>
  <si>
    <t>-880.179414517349 154.272299969581 -273.52090164691</t>
  </si>
  <si>
    <t>-883.210728867083 154.066751526523 -362.56579815542</t>
  </si>
  <si>
    <t>-881.53026151319 155.075489820493 -451.641012288062</t>
  </si>
  <si>
    <t>-874.191435475138 157.538125380759 -575.982928749213</t>
  </si>
  <si>
    <t>-843.702265547139 155.200803942152 -653.248529962559</t>
  </si>
  <si>
    <t>-875.996103690201 184.119619757617 -520.634247484953</t>
  </si>
  <si>
    <t>-860.490372790997 318.794637351172 -497.846115968334</t>
  </si>
  <si>
    <t>-789.595919663038 331.032337424276 -212.512200284301</t>
  </si>
  <si>
    <t>-550.573578912192 344.776213424108 -239.536088650836</t>
  </si>
  <si>
    <t>-878.845653637166 128.789141697559 -521.898192666044</t>
  </si>
  <si>
    <t>-725.221617368568 2.13540329883517 -325.095007713936</t>
  </si>
  <si>
    <t>-869.477553357232 254.049877700001 -64.9562593981207</t>
  </si>
  <si>
    <t>-889.770851881115 253.946201590246 338.085707908807</t>
  </si>
  <si>
    <t>-942.972363744839 245.444736137725 783.136029804899</t>
  </si>
  <si>
    <t>-810.89742059843 307.851728383455 844.364409596172</t>
  </si>
  <si>
    <t>-828.79880325205 73.5117133774988 -61.4750798177967</t>
  </si>
  <si>
    <t>-775.418490226292 46.8864706118029 337.644352958239</t>
  </si>
  <si>
    <t>-806.154302515565 20.373443084216 782.826166296869</t>
  </si>
  <si>
    <t>-689.003487751311 -59.0801286267226 853.890294680937</t>
  </si>
  <si>
    <t>9763-20170724T111139.581144200.bin</t>
  </si>
  <si>
    <t>-847.755986444042 162.475614874256 -62.9988911911381</t>
  </si>
  <si>
    <t>-871.003990995425 154.599957537532 -176.196709968062</t>
  </si>
  <si>
    <t>-879.679418575683 152.564879196352 -274.41708150913</t>
  </si>
  <si>
    <t>-883.444193953371 152.190356063431 -363.433568020683</t>
  </si>
  <si>
    <t>-882.704040839975 153.084223575182 -452.522848727336</t>
  </si>
  <si>
    <t>-876.890405485336 155.450323947628 -576.94705713989</t>
  </si>
  <si>
    <t>-847.208813591743 150.863907415792 -654.426190061483</t>
  </si>
  <si>
    <t>-878.109981240367 182.07959105247 -521.60544713511</t>
  </si>
  <si>
    <t>-862.94992172523 316.805877681767 -498.696281188941</t>
  </si>
  <si>
    <t>-787.335413533428 328.129436399088 -214.538876681541</t>
  </si>
  <si>
    <t>-548.379425788472 344.611965851477 -240.60122570446</t>
  </si>
  <si>
    <t>-880.787392050967 126.738690950241 -522.782783902835</t>
  </si>
  <si>
    <t>-723.853274212753 1.72953076327349 -327.428208021478</t>
  </si>
  <si>
    <t>-868.88469879131 252.883103762642 -65.8850713552152</t>
  </si>
  <si>
    <t>-889.207517426898 253.035334554913 337.155406731323</t>
  </si>
  <si>
    <t>-942.854680427385 245.393075904569 782.421565183578</t>
  </si>
  <si>
    <t>-810.914453414214 308.131340149855 843.60206072338</t>
  </si>
  <si>
    <t>-826.788178514386 71.7664786113423 -62.0227951017629</t>
  </si>
  <si>
    <t>-777.034326188996 46.0838081469565 337.626634989676</t>
  </si>
  <si>
    <t>-806.42800730469 19.8610089077356 783.106744654929</t>
  </si>
  <si>
    <t>-688.565065772868 -58.7587723241904 853.920166283746</t>
  </si>
  <si>
    <t>9763-20170724T111139.612259900.bin</t>
  </si>
  <si>
    <t>-846.552783694151 161.28536642897 -63.3018133774841</t>
  </si>
  <si>
    <t>-869.891774982623 153.306040630161 -176.473517823234</t>
  </si>
  <si>
    <t>-878.798583366902 151.233061997893 -274.672538819192</t>
  </si>
  <si>
    <t>-882.830979860014 150.844325918929 -363.677127755885</t>
  </si>
  <si>
    <t>-882.415284257336 151.746880685906 -452.768356572501</t>
  </si>
  <si>
    <t>-877.112269112467 154.149557496261 -577.214835713632</t>
  </si>
  <si>
    <t>-848.412365375226 147.636795425356 -654.925301264404</t>
  </si>
  <si>
    <t>-878.15563828327 180.765138256266 -521.862920776538</t>
  </si>
  <si>
    <t>-863.092717808061 315.428649168328 -498.706176276446</t>
  </si>
  <si>
    <t>-785.803961332923 325.832310557589 -214.96443429043</t>
  </si>
  <si>
    <t>-546.903667229497 343.242084697018 -240.932378674535</t>
  </si>
  <si>
    <t>-880.736077559473 125.41977764274 -523.041459999253</t>
  </si>
  <si>
    <t>-722.385112320368 1.67734443688505 -327.900248974238</t>
  </si>
  <si>
    <t>-867.798770819169 251.826388038287 -66.1802522629195</t>
  </si>
  <si>
    <t>-888.398786111615 252.228945957584 336.846023365837</t>
  </si>
  <si>
    <t>-942.804229521578 245.266324643736 782.111983713776</t>
  </si>
  <si>
    <t>-810.900255138539 308.134245734758 843.237023453489</t>
  </si>
  <si>
    <t>-825.368390639887 70.460834055335 -62.2640627755337</t>
  </si>
  <si>
    <t>-776.452239462832 45.0767546560837 337.507782315545</t>
  </si>
  <si>
    <t>-806.484412444492 19.7407472354512 783.122388112073</t>
  </si>
  <si>
    <t>-688.30270198347 -58.4594640096866 853.868893146051</t>
  </si>
  <si>
    <t>9763-20170724T111139.684451900.bin</t>
  </si>
  <si>
    <t>-843.128557472579 160.027426061179 -63.3994300884129</t>
  </si>
  <si>
    <t>-866.906203111949 152.058132248281 -176.480543811289</t>
  </si>
  <si>
    <t>-876.402922959487 149.964248661903 -274.623742054394</t>
  </si>
  <si>
    <t>-881.052834916948 149.544597273501 -363.598056985028</t>
  </si>
  <si>
    <t>-881.338343628849 150.406944209755 -452.690315735755</t>
  </si>
  <si>
    <t>-877.101650954075 152.744951897685 -577.178840139936</t>
  </si>
  <si>
    <t>-850.434359260915 142.222707723498 -655.173448632501</t>
  </si>
  <si>
    <t>-877.716558975446 179.391347996083 -521.835318097479</t>
  </si>
  <si>
    <t>-862.177577536232 313.965041965418 -498.514020319272</t>
  </si>
  <si>
    <t>-783.195562506886 323.612895590587 -215.21215989397</t>
  </si>
  <si>
    <t>-544.372737756618 342.076924004258 -241.167212716928</t>
  </si>
  <si>
    <t>-880.2154783574 124.040909443911 -522.959889805804</t>
  </si>
  <si>
    <t>-719.389519612503 3.67250471679563 -328.231402249873</t>
  </si>
  <si>
    <t>-864.449332825041 250.863216492782 -66.243048220874</t>
  </si>
  <si>
    <t>-887.148635514798 250.712177541242 336.67051330615</t>
  </si>
  <si>
    <t>-942.999679219003 245.3236748624 781.609903176182</t>
  </si>
  <si>
    <t>-810.985043715646 308.100763407398 842.589123615542</t>
  </si>
  <si>
    <t>-822.03517960956 69.30655812123 -62.5268297002309</t>
  </si>
  <si>
    <t>-774.251184683401 43.3337137338149 337.344094723915</t>
  </si>
  <si>
    <t>-806.491381031566 19.6145420656753 783.03836830216</t>
  </si>
  <si>
    <t>-688.267517326741 -58.5395595175341 853.765915847171</t>
  </si>
  <si>
    <t>9763-20170724T111139.716575400.bin</t>
  </si>
  <si>
    <t>-841.58665254323 160.098392622807 -63.3739733171179</t>
  </si>
  <si>
    <t>-865.612529689684 152.106044779441 -176.401071021832</t>
  </si>
  <si>
    <t>-875.501804264993 149.951934325933 -274.504035022249</t>
  </si>
  <si>
    <t>-880.580367208165 149.46754863215 -363.454827192551</t>
  </si>
  <si>
    <t>-881.368107237461 150.257858070986 -452.544516961718</t>
  </si>
  <si>
    <t>-877.910115655066 152.49070812415 -577.059101280898</t>
  </si>
  <si>
    <t>-852.140033052477 140.454397188633 -655.136413270916</t>
  </si>
  <si>
    <t>-878.170972385971 179.183551893101 -521.735071434306</t>
  </si>
  <si>
    <t>-862.28147768146 313.736943150464 -498.586560591307</t>
  </si>
  <si>
    <t>-782.378272058229 323.775334675374 -215.556612041489</t>
  </si>
  <si>
    <t>-543.543287330834 342.62616385634 -241.115768794704</t>
  </si>
  <si>
    <t>-880.692449806504 123.832894274848 -522.797758981538</t>
  </si>
  <si>
    <t>-718.715281062556 5.32013327438563 -328.36055097975</t>
  </si>
  <si>
    <t>-862.850306389594 251.011161597203 -66.2294694983078</t>
  </si>
  <si>
    <t>-886.640103082067 250.200615117567 336.620452894962</t>
  </si>
  <si>
    <t>-943.036406437738 245.32944912776 781.361017084533</t>
  </si>
  <si>
    <t>-811.059972604849 308.252953754638 842.27159067663</t>
  </si>
  <si>
    <t>-820.723699723415 69.30254807254 -62.5785450385854</t>
  </si>
  <si>
    <t>-773.546065779401 42.817127943611 337.330784218512</t>
  </si>
  <si>
    <t>-806.453184078101 19.598212727085 782.979724552517</t>
  </si>
  <si>
    <t>-688.290908789427 -58.6264263232722 853.731890194283</t>
  </si>
  <si>
    <t>9763-20170724T111139.782750700.bin</t>
  </si>
  <si>
    <t>-839.666224980064 160.493370046525 -63.6251336868872</t>
  </si>
  <si>
    <t>-864.197924828051 152.410391206753 -176.536981796575</t>
  </si>
  <si>
    <t>-874.764897489828 150.112268736284 -274.566076493743</t>
  </si>
  <si>
    <t>-880.556745072853 149.481173052034 -363.472235304728</t>
  </si>
  <si>
    <t>-882.157754525199 150.11330346616 -452.552371622727</t>
  </si>
  <si>
    <t>-879.941532344589 152.118952382213 -577.099147252169</t>
  </si>
  <si>
    <t>-855.279945398514 138.26792544308 -655.23344404867</t>
  </si>
  <si>
    <t>-879.586384249943 178.909616758654 -521.822977663795</t>
  </si>
  <si>
    <t>-863.325646632493 313.494781182012 -499.018714655638</t>
  </si>
  <si>
    <t>-781.909503622305 323.910236867823 -216.433996967295</t>
  </si>
  <si>
    <t>-543.173071591957 343.907573602044 -242.047144481019</t>
  </si>
  <si>
    <t>-882.246758345792 123.563256089587 -522.761545722881</t>
  </si>
  <si>
    <t>-719.234796295004 8.54176353512776 -328.997617815599</t>
  </si>
  <si>
    <t>-860.96241258568 251.464586656001 -66.4977808934811</t>
  </si>
  <si>
    <t>-885.339650834412 249.752890972662 336.314271998667</t>
  </si>
  <si>
    <t>-943.090731363536 245.403811190225 780.851268559234</t>
  </si>
  <si>
    <t>-811.078959447672 308.345731406968 841.667265741806</t>
  </si>
  <si>
    <t>-818.735357769645 69.3951459675022 -62.7656832548076</t>
  </si>
  <si>
    <t>-773.140294162209 42.3623793703528 337.290624986445</t>
  </si>
  <si>
    <t>-806.365286865795 19.6344110472073 782.899383392122</t>
  </si>
  <si>
    <t>-688.389364062959 -58.8178074197851 853.710448022929</t>
  </si>
  <si>
    <t>9763-20170724T111139.813839900.bin</t>
  </si>
  <si>
    <t>-839.032801305744 160.389655179226 -63.8329552458308</t>
  </si>
  <si>
    <t>-863.788806434918 152.273330640966 -176.693449216354</t>
  </si>
  <si>
    <t>-874.572586344177 149.937183143999 -274.698034124741</t>
  </si>
  <si>
    <t>-880.569505279989 149.268571953307 -363.590246702874</t>
  </si>
  <si>
    <t>-882.385324700432 149.859937767955 -452.666646939983</t>
  </si>
  <si>
    <t>-880.478513162315 151.804936485999 -577.219457564</t>
  </si>
  <si>
    <t>-856.055217583356 137.423378266716 -655.332842975407</t>
  </si>
  <si>
    <t>-879.942141161325 178.620271193148 -521.956698246371</t>
  </si>
  <si>
    <t>-863.520573055716 313.206591055981 -499.245320608138</t>
  </si>
  <si>
    <t>-781.874429553222 323.539147322351 -216.723918912673</t>
  </si>
  <si>
    <t>-543.177925820729 343.976889923498 -242.359984619383</t>
  </si>
  <si>
    <t>-882.69288320786 123.277847807155 -522.863003446198</t>
  </si>
  <si>
    <t>-719.687748424302 9.33483528046781 -329.362318681472</t>
  </si>
  <si>
    <t>-860.402590504192 251.444512469583 -66.7040950345767</t>
  </si>
  <si>
    <t>-884.430456351591 249.611005005674 336.128352545596</t>
  </si>
  <si>
    <t>-943.156128155837 245.489660357968 780.600009092654</t>
  </si>
  <si>
    <t>-811.089770879949 308.339147339417 841.392642736325</t>
  </si>
  <si>
    <t>-817.950059224149 69.1162854716567 -62.9295122500166</t>
  </si>
  <si>
    <t>-772.987338346114 42.1090128813948 337.200012968386</t>
  </si>
  <si>
    <t>-806.318427919577 19.6420425061615 782.837370230323</t>
  </si>
  <si>
    <t>-688.391538768252 -58.8419530678232 853.694955002742</t>
  </si>
  <si>
    <t>9763-20170724T111139.883025500.bin</t>
  </si>
  <si>
    <t>-837.624119522367 159.903343437704 -64.0744708515867</t>
  </si>
  <si>
    <t>-862.667071985077 151.786213968192 -176.871525354924</t>
  </si>
  <si>
    <t>-873.578028784625 149.405618775235 -274.861173372284</t>
  </si>
  <si>
    <t>-879.641932143483 148.674070891082 -363.748164932594</t>
  </si>
  <si>
    <t>-881.477154555515 149.174330531073 -452.824839788707</t>
  </si>
  <si>
    <t>-879.548658620022 150.958339710681 -577.37973179962</t>
  </si>
  <si>
    <t>-855.341196975134 135.75191490608 -655.403981504269</t>
  </si>
  <si>
    <t>-878.931840785802 177.840392982697 -522.150124778244</t>
  </si>
  <si>
    <t>-862.384007086475 312.418099911031 -499.485101411723</t>
  </si>
  <si>
    <t>-781.163345319377 322.472917017038 -216.831233794271</t>
  </si>
  <si>
    <t>-542.389936563171 342.822385597551 -241.813062958893</t>
  </si>
  <si>
    <t>-881.862434202671 122.506106694234 -522.988153960302</t>
  </si>
  <si>
    <t>-719.251271738574 9.03911411226454 -330.002882912208</t>
  </si>
  <si>
    <t>-858.577659619963 251.090728554264 -66.9318068817236</t>
  </si>
  <si>
    <t>-882.621737967479 249.611508081798 335.901049867511</t>
  </si>
  <si>
    <t>-943.132896069181 245.464701057043 780.130149878963</t>
  </si>
  <si>
    <t>-810.942473297605 308.069988178537 840.904568749006</t>
  </si>
  <si>
    <t>-816.720348604306 68.5540493142753 -63.1350022828542</t>
  </si>
  <si>
    <t>-771.987739524714 41.3256168089733 337.005335717861</t>
  </si>
  <si>
    <t>-806.283092616197 19.5160397268819 782.69482394832</t>
  </si>
  <si>
    <t>-688.523288179656 -59.1169266596 853.664632407851</t>
  </si>
  <si>
    <t>9763-20170724T111139.916122200.bin</t>
  </si>
  <si>
    <t>-836.867630610222 159.702571033473 -64.140721455193</t>
  </si>
  <si>
    <t>-862.005952581231 151.602294072778 -176.917749556322</t>
  </si>
  <si>
    <t>-872.920639019834 149.228461036922 -274.90694360538</t>
  </si>
  <si>
    <t>-878.956493988417 148.495799307172 -363.796109866084</t>
  </si>
  <si>
    <t>-880.731277921032 148.984654168195 -452.874007270783</t>
  </si>
  <si>
    <t>-878.685067694732 150.739897921463 -577.42730085561</t>
  </si>
  <si>
    <t>-854.553306619831 135.214409475151 -655.412159413384</t>
  </si>
  <si>
    <t>-878.082826779666 177.6325712739 -522.202941892297</t>
  </si>
  <si>
    <t>-861.44774658252 312.18920591498 -499.500377293407</t>
  </si>
  <si>
    <t>-780.681281548009 321.971292721025 -216.706564875581</t>
  </si>
  <si>
    <t>-541.882043921542 342.221034813438 -241.520573464212</t>
  </si>
  <si>
    <t>-881.08857025669 122.302402066734 -523.031970050717</t>
  </si>
  <si>
    <t>-718.405548677044 8.44277374778812 -330.279222086963</t>
  </si>
  <si>
    <t>-857.661451383831 250.941758722427 -66.9859650094709</t>
  </si>
  <si>
    <t>-881.833397878697 249.642355417959 335.839883528907</t>
  </si>
  <si>
    <t>-943.052803052097 245.385980681751 779.905467630576</t>
  </si>
  <si>
    <t>-810.952068434951 308.179567227742 840.681086790327</t>
  </si>
  <si>
    <t>-816.172189827972 68.3837552415225 -63.1940453623703</t>
  </si>
  <si>
    <t>-771.453046506881 40.9480597341226 336.933679009939</t>
  </si>
  <si>
    <t>-806.256521446868 19.4487593987742 782.616059103078</t>
  </si>
  <si>
    <t>-688.437926865047 -59.0506669874042 853.636844434365</t>
  </si>
  <si>
    <t>9763-20170724T111139.982300000.bin</t>
  </si>
  <si>
    <t>-835.781974358134 159.687200763077 -64.2250160448685</t>
  </si>
  <si>
    <t>-861.05845298546 151.672924675362 -176.977384563067</t>
  </si>
  <si>
    <t>-872.017343311122 149.354362498819 -274.962962229877</t>
  </si>
  <si>
    <t>-878.062775420302 148.660942957389 -363.851774380611</t>
  </si>
  <si>
    <t>-879.817375272146 149.175039449986 -452.929893640522</t>
  </si>
  <si>
    <t>-877.712058904028 150.949021056135 -577.481922356712</t>
  </si>
  <si>
    <t>-853.657382374081 135.010185894607 -655.407323482407</t>
  </si>
  <si>
    <t>-877.08275330477 177.830817042084 -522.252501045541</t>
  </si>
  <si>
    <t>-860.298953047894 312.343133234878 -499.415253386358</t>
  </si>
  <si>
    <t>-780.383907490944 321.506889170629 -216.35899079952</t>
  </si>
  <si>
    <t>-541.543369145043 341.638996897991 -240.870760810166</t>
  </si>
  <si>
    <t>-880.194091566244 122.506465909267 -523.093009775206</t>
  </si>
  <si>
    <t>-717.09963969639 7.84641683280415 -330.796087682503</t>
  </si>
  <si>
    <t>-856.482381718857 251.028780090269 -67.1159765397274</t>
  </si>
  <si>
    <t>-881.135474813868 249.613375819934 335.680338375439</t>
  </si>
  <si>
    <t>-942.923663909352 245.384637584464 779.487236754963</t>
  </si>
  <si>
    <t>-810.997676220999 308.482473339118 840.327516255406</t>
  </si>
  <si>
    <t>-815.382600070035 68.3060079954362 -63.3518765260168</t>
  </si>
  <si>
    <t>-770.700345560566 40.6444120689885 336.764385476651</t>
  </si>
  <si>
    <t>-806.164966085919 19.4381408805871 782.467135577473</t>
  </si>
  <si>
    <t>-688.512800534851 -59.2168237854598 853.591374240884</t>
  </si>
  <si>
    <t>9763-20170724T111140.014415300.bin</t>
  </si>
  <si>
    <t>-835.704457765352 159.722479491595 -64.3047047601622</t>
  </si>
  <si>
    <t>-861.065498147147 151.771203997723 -177.042460899405</t>
  </si>
  <si>
    <t>-872.076829109989 149.486429181244 -275.023121187307</t>
  </si>
  <si>
    <t>-878.162530706815 148.816692965936 -363.909393848367</t>
  </si>
  <si>
    <t>-879.950747062395 149.347879043308 -452.986633477645</t>
  </si>
  <si>
    <t>-877.886093213634 151.13764648817 -577.539092885716</t>
  </si>
  <si>
    <t>-853.861848619508 135.109788946835 -655.455514897208</t>
  </si>
  <si>
    <t>-877.220441416093 178.011042651065 -522.306093658505</t>
  </si>
  <si>
    <t>-860.387169717041 312.512143290601 -499.422894568011</t>
  </si>
  <si>
    <t>-780.829518281471 321.60069528393 -216.263604329941</t>
  </si>
  <si>
    <t>-541.976753700929 341.650868877506 -240.721874370157</t>
  </si>
  <si>
    <t>-880.3690758932 122.689082010929 -523.1534214797</t>
  </si>
  <si>
    <t>-717.059520086732 7.71735980794119 -331.00485713142</t>
  </si>
  <si>
    <t>-856.4776265911 251.26456840187 -67.2247142533263</t>
  </si>
  <si>
    <t>-881.216100705557 249.588198415098 335.56543782733</t>
  </si>
  <si>
    <t>-943.051709824273 245.645727287514 779.331205689252</t>
  </si>
  <si>
    <t>-811.007432444515 308.442097971214 840.226750910062</t>
  </si>
  <si>
    <t>-815.308046389788 68.1475935567337 -63.4572174318015</t>
  </si>
  <si>
    <t>-770.699368086039 40.5827701816265 336.673914813521</t>
  </si>
  <si>
    <t>-806.15995531229 19.3477908408486 782.400003959979</t>
  </si>
  <si>
    <t>-688.42786386615 -59.1603571581236 853.554130591415</t>
  </si>
  <si>
    <t>9763-20170724T111140.082595600.bin</t>
  </si>
  <si>
    <t>-835.835348142002 159.869466552984 -64.5229734940496</t>
  </si>
  <si>
    <t>-861.257400858326 152.038241986528 -177.255480451591</t>
  </si>
  <si>
    <t>-872.297908217376 149.779988959418 -275.233325076102</t>
  </si>
  <si>
    <t>-878.402929818383 149.103121593022 -364.11813765545</t>
  </si>
  <si>
    <t>-880.205474489949 149.594001819512 -453.19535883712</t>
  </si>
  <si>
    <t>-878.156504136545 151.293484491819 -577.74946469643</t>
  </si>
  <si>
    <t>-854.199916140232 135.073309014438 -655.646976141662</t>
  </si>
  <si>
    <t>-877.402247709974 178.202281430798 -522.534843122156</t>
  </si>
  <si>
    <t>-860.365852081611 312.696609596733 -499.702928114562</t>
  </si>
  <si>
    <t>-781.731272840284 321.920972512331 -216.290252102644</t>
  </si>
  <si>
    <t>-542.773374282235 341.388620818211 -240.186815850231</t>
  </si>
  <si>
    <t>-880.714233210789 122.888935837018 -523.343928815649</t>
  </si>
  <si>
    <t>-717.555751803893 7.43920119622726 -331.367308288082</t>
  </si>
  <si>
    <t>-856.408371361506 251.60719839694 -67.4364865624425</t>
  </si>
  <si>
    <t>-881.320619539474 249.506860541334 335.340886307645</t>
  </si>
  <si>
    <t>-942.922179437359 245.749312884673 779.139321275773</t>
  </si>
  <si>
    <t>-811.049402877627 308.799065800917 840.143960769721</t>
  </si>
  <si>
    <t>-815.52186486649 68.1244619275435 -63.6582944440537</t>
  </si>
  <si>
    <t>-770.826064850427 40.5600879463332 336.463184799567</t>
  </si>
  <si>
    <t>-806.129823078794 19.3045258410898 782.266509070344</t>
  </si>
  <si>
    <t>-688.629691970905 -59.4828088926033 853.495925481135</t>
  </si>
  <si>
    <t>9763-20170724T111140.114712000.bin</t>
  </si>
  <si>
    <t>-835.90871639343 159.990673880211 -64.5993043539155</t>
  </si>
  <si>
    <t>-861.384484033556 152.188599784625 -177.321665691038</t>
  </si>
  <si>
    <t>-872.456387924987 149.924470754118 -275.295826173566</t>
  </si>
  <si>
    <t>-878.584151355503 149.228295112605 -364.179128377186</t>
  </si>
  <si>
    <t>-880.404226040388 149.683610146911 -453.256090603624</t>
  </si>
  <si>
    <t>-878.374167822285 151.314487720551 -577.81152625917</t>
  </si>
  <si>
    <t>-854.456110421486 134.992850086497 -655.699594101754</t>
  </si>
  <si>
    <t>-877.546551921864 178.249523055506 -522.610616163369</t>
  </si>
  <si>
    <t>-860.264796545846 312.702850054707 -499.807655407058</t>
  </si>
  <si>
    <t>-782.020908744604 321.947456809948 -216.287498010557</t>
  </si>
  <si>
    <t>-543.002449293727 341.225779810894 -239.726431240733</t>
  </si>
  <si>
    <t>-880.988390379001 122.944045021135 -523.390798124451</t>
  </si>
  <si>
    <t>-718.050331864485 7.2051256853656 -331.410167781197</t>
  </si>
  <si>
    <t>-856.344019715754 251.756993451704 -67.4870492093996</t>
  </si>
  <si>
    <t>-881.314147789742 249.633799922518 335.286550664728</t>
  </si>
  <si>
    <t>-942.940114719212 245.87545197493 779.084223838859</t>
  </si>
  <si>
    <t>-810.98656420436 308.71401233816 840.132858432593</t>
  </si>
  <si>
    <t>-815.693196715518 68.1848518362012 -63.7147503339564</t>
  </si>
  <si>
    <t>-770.791727795594 40.5118142002921 336.376231551792</t>
  </si>
  <si>
    <t>-806.140452860013 19.2026700225583 782.206619364843</t>
  </si>
  <si>
    <t>-688.595212686493 -59.490251853807 853.465569365078</t>
  </si>
  <si>
    <t>9763-20170724T111140.183918100.bin</t>
  </si>
  <si>
    <t>-835.830082858064 160.107807454508 -64.6616035508936</t>
  </si>
  <si>
    <t>-861.444781268614 152.330597578871 -177.354181430972</t>
  </si>
  <si>
    <t>-872.65855831092 150.101034955926 -275.313109870935</t>
  </si>
  <si>
    <t>-878.922881158769 149.440456201493 -364.187011196589</t>
  </si>
  <si>
    <t>-880.885857935256 149.933785671537 -453.260763354266</t>
  </si>
  <si>
    <t>-879.063074774596 151.618698854601 -577.818583753035</t>
  </si>
  <si>
    <t>-855.155857080812 135.192136042123 -655.688072186179</t>
  </si>
  <si>
    <t>-878.030272692316 178.522497402323 -522.605998000314</t>
  </si>
  <si>
    <t>-860.068643522979 312.879877231203 -499.761161596114</t>
  </si>
  <si>
    <t>-781.84911354373 322.529930812902 -216.247851666855</t>
  </si>
  <si>
    <t>-542.705997890478 341.242272822498 -238.858465722827</t>
  </si>
  <si>
    <t>-881.700111550482 123.231949659229 -523.407778840941</t>
  </si>
  <si>
    <t>-719.239111439112 6.87820803273553 -331.371644402107</t>
  </si>
  <si>
    <t>-856.016523057174 251.915710987423 -67.5350508587552</t>
  </si>
  <si>
    <t>-881.075252282808 249.826403829936 335.233303576771</t>
  </si>
  <si>
    <t>-942.778400733878 245.890241712203 778.999351799802</t>
  </si>
  <si>
    <t>-811.066601333958 309.18218665352 840.101116540381</t>
  </si>
  <si>
    <t>-815.831612792947 68.1716210341847 -63.7863815987051</t>
  </si>
  <si>
    <t>-770.689884870807 40.545107349928 336.280713004012</t>
  </si>
  <si>
    <t>-806.10520250384 19.1703123992534 782.121597643727</t>
  </si>
  <si>
    <t>-688.711159320981 -59.6926065274531 853.441886836693</t>
  </si>
  <si>
    <t>9763-20170724T111140.216668800.bin</t>
  </si>
  <si>
    <t>-835.923636709329 160.203514053334 -64.6765545073001</t>
  </si>
  <si>
    <t>-861.570167335895 152.434788369746 -177.362484694264</t>
  </si>
  <si>
    <t>-872.85315085721 150.215222299204 -275.313740774156</t>
  </si>
  <si>
    <t>-879.196863152226 149.56657179575 -364.181982520649</t>
  </si>
  <si>
    <t>-881.25559022244 150.073839048576 -453.253584446007</t>
  </si>
  <si>
    <t>-879.582878663414 151.780647552958 -577.813171085774</t>
  </si>
  <si>
    <t>-855.65152330778 135.347041684728 -655.67367870054</t>
  </si>
  <si>
    <t>-878.428777580861 178.671104744853 -522.596434172182</t>
  </si>
  <si>
    <t>-860.145278969214 312.997963031502 -499.784947462147</t>
  </si>
  <si>
    <t>-781.507294917737 323.041393170234 -216.401060521352</t>
  </si>
  <si>
    <t>-542.281202361386 341.421988353412 -238.398013153113</t>
  </si>
  <si>
    <t>-882.208805221847 123.3879468434 -523.404808363478</t>
  </si>
  <si>
    <t>-719.974288235851 6.80325701578249 -331.374793255188</t>
  </si>
  <si>
    <t>-856.118437325641 252.052187807545 -67.5697652332381</t>
  </si>
  <si>
    <t>-881.123654803746 250.030587156994 335.202275192584</t>
  </si>
  <si>
    <t>-942.921154380796 246.151718485835 778.963600926792</t>
  </si>
  <si>
    <t>-810.986305398059 308.951634822996 840.09161787362</t>
  </si>
  <si>
    <t>-815.999932914378 68.2929180472552 -63.8086305229372</t>
  </si>
  <si>
    <t>-770.806220691409 40.6845768460953 336.253821456578</t>
  </si>
  <si>
    <t>-806.038306323471 19.3118716086451 782.083953252287</t>
  </si>
  <si>
    <t>-688.994909339155 -60.0305613525381 853.448433322796</t>
  </si>
  <si>
    <t>9763-20170724T111140.281840600.bin</t>
  </si>
  <si>
    <t>-836.42091539359 160.285262674122 -64.7214704242938</t>
  </si>
  <si>
    <t>-862.165529308138 152.535402396472 -177.386412163429</t>
  </si>
  <si>
    <t>-873.576020428855 150.317315247569 -275.322741336037</t>
  </si>
  <si>
    <t>-880.05178147192 149.66577666682 -364.181533402664</t>
  </si>
  <si>
    <t>-882.260431919939 150.165132415014 -453.249536213966</t>
  </si>
  <si>
    <t>-880.815053705763 151.855537263905 -577.812263843121</t>
  </si>
  <si>
    <t>-856.81740253211 135.346205257211 -655.636340646025</t>
  </si>
  <si>
    <t>-879.458586586656 178.745992843564 -522.600276618719</t>
  </si>
  <si>
    <t>-860.637156171048 313.026117833349 -499.937301736769</t>
  </si>
  <si>
    <t>-780.434972870252 323.919670392623 -217.02371466</t>
  </si>
  <si>
    <t>-541.102058796663 341.643723531459 -238.38769197434</t>
  </si>
  <si>
    <t>-883.44348380557 123.477157524058 -523.396465834314</t>
  </si>
  <si>
    <t>-721.658687287756 6.27416109896376 -331.444749926909</t>
  </si>
  <si>
    <t>-856.439906238842 252.23958180449 -67.6654337342754</t>
  </si>
  <si>
    <t>-881.297300804463 250.203139511425 335.11573236216</t>
  </si>
  <si>
    <t>-942.940153650854 246.370075606277 778.902532352237</t>
  </si>
  <si>
    <t>-810.924805000135 308.962613058244 840.06951254615</t>
  </si>
  <si>
    <t>-816.679274233364 68.3308216060773 -63.8222279493353</t>
  </si>
  <si>
    <t>-771.24819494587 40.747781698889 336.215123173085</t>
  </si>
  <si>
    <t>-806.045198806543 19.1933428271286 782.04669149587</t>
  </si>
  <si>
    <t>-688.848210394978 -59.9049375395471 853.4301338714</t>
  </si>
  <si>
    <t>9763-20170724T111140.315979200.bin</t>
  </si>
  <si>
    <t>-836.684163208266 160.344487097657 -64.7625290653112</t>
  </si>
  <si>
    <t>-862.425901731663 152.629355710901 -177.430435075636</t>
  </si>
  <si>
    <t>-873.866216815718 150.406458644288 -275.363283262379</t>
  </si>
  <si>
    <t>-880.38240639371 149.737405896856 -364.218891103694</t>
  </si>
  <si>
    <t>-882.645040728693 150.204579098438 -453.285688111276</t>
  </si>
  <si>
    <t>-881.290400168538 151.834933646526 -577.850254783261</t>
  </si>
  <si>
    <t>-857.28975920398 135.254335265418 -655.658278910825</t>
  </si>
  <si>
    <t>-879.825411107821 178.747181476856 -522.651632986937</t>
  </si>
  <si>
    <t>-860.671018049348 312.998137206275 -500.092682601622</t>
  </si>
  <si>
    <t>-779.724320141794 324.200881037068 -217.403261357735</t>
  </si>
  <si>
    <t>-540.361002034758 341.768518169567 -238.556652453486</t>
  </si>
  <si>
    <t>-883.947626474569 123.48791185826 -523.419676522488</t>
  </si>
  <si>
    <t>-722.364107464955 5.93671750094609 -331.452915925991</t>
  </si>
  <si>
    <t>-856.557756662482 252.295384472915 -67.7012872609231</t>
  </si>
  <si>
    <t>-881.389410472193 250.304796706351 335.081647595603</t>
  </si>
  <si>
    <t>-942.941197281955 246.474452763694 778.874996514195</t>
  </si>
  <si>
    <t>-810.902950335862 309.003556751187 840.057417420001</t>
  </si>
  <si>
    <t>-817.030703691022 68.3835913112111 -63.8527168618858</t>
  </si>
  <si>
    <t>-771.443812153616 40.8296307531846 336.168888682597</t>
  </si>
  <si>
    <t>-806.009697326698 19.2133102889215 782.012791710064</t>
  </si>
  <si>
    <t>-688.846257863915 -59.9130056042868 853.420551111318</t>
  </si>
  <si>
    <t>9763-20170724T111140.380148900.bin</t>
  </si>
  <si>
    <t>-836.997520046284 160.204560003953 -64.8355842916426</t>
  </si>
  <si>
    <t>-862.781987584315 152.551479150785 -177.497952791926</t>
  </si>
  <si>
    <t>-874.301912727197 150.319780764602 -275.421206563831</t>
  </si>
  <si>
    <t>-880.909661300947 149.618980856575 -364.269907741064</t>
  </si>
  <si>
    <t>-883.284124404683 150.029783698759 -453.334109035241</t>
  </si>
  <si>
    <t>-882.107805413651 151.55422396712 -577.901710681294</t>
  </si>
  <si>
    <t>-858.153619459644 134.797989722389 -655.686351991421</t>
  </si>
  <si>
    <t>-880.424209030721 178.502620959457 -522.72688269188</t>
  </si>
  <si>
    <t>-860.57896962166 312.682895757522 -500.387058377787</t>
  </si>
  <si>
    <t>-778.534743868173 324.39682339118 -218.034981416443</t>
  </si>
  <si>
    <t>-539.112132665075 341.557447126092 -238.849641687274</t>
  </si>
  <si>
    <t>-884.826722143794 123.264229433169 -523.444466559586</t>
  </si>
  <si>
    <t>-723.735612867287 5.0382318893403 -331.427287695354</t>
  </si>
  <si>
    <t>-856.52349834354 252.074538031828 -67.7899506638015</t>
  </si>
  <si>
    <t>-881.484187298356 250.392251767548 334.986423427458</t>
  </si>
  <si>
    <t>-942.791534529427 246.512318347259 778.809263956933</t>
  </si>
  <si>
    <t>-810.922923182447 309.375921713566 840.015077799843</t>
  </si>
  <si>
    <t>-817.676286986933 68.2361204636231 -63.9432415007717</t>
  </si>
  <si>
    <t>-771.842413336515 40.9660089905988 336.069524458824</t>
  </si>
  <si>
    <t>-805.918538887118 19.3174860816689 781.952646814004</t>
  </si>
  <si>
    <t>-689.092208462605 -60.2504316249012 853.421563905456</t>
  </si>
  <si>
    <t>9763-20170724T111140.415812600.bin</t>
  </si>
  <si>
    <t>-837.237509210777 160.102408786215 -64.8517678661049</t>
  </si>
  <si>
    <t>-863.040033457253 152.509521548951 -177.514180701582</t>
  </si>
  <si>
    <t>-874.591036381516 150.297428890461 -275.434139172359</t>
  </si>
  <si>
    <t>-881.234381610222 149.603162126783 -364.280289828844</t>
  </si>
  <si>
    <t>-883.652603952148 150.008013676922 -453.343305507328</t>
  </si>
  <si>
    <t>-882.545881287332 151.511815553393 -577.911881253804</t>
  </si>
  <si>
    <t>-858.609309036149 134.683974814174 -655.686461612146</t>
  </si>
  <si>
    <t>-880.770481051233 178.464255294744 -522.742070347053</t>
  </si>
  <si>
    <t>-860.62550874526 312.613049580144 -500.486847984519</t>
  </si>
  <si>
    <t>-778.31981161119 324.449817374033 -218.215938634739</t>
  </si>
  <si>
    <t>-538.887428998074 341.43790052656 -239.057884442429</t>
  </si>
  <si>
    <t>-885.295120677676 123.235897819998 -523.448911801455</t>
  </si>
  <si>
    <t>-724.522957016062 4.69615302148031 -331.355015056034</t>
  </si>
  <si>
    <t>-856.676790856216 252.098802503338 -67.8149987957228</t>
  </si>
  <si>
    <t>-881.594364156413 250.419692386574 334.96400644099</t>
  </si>
  <si>
    <t>-942.914227254962 246.738354882293 778.797044426628</t>
  </si>
  <si>
    <t>-810.916292918182 309.323800481525 840.008883100644</t>
  </si>
  <si>
    <t>-818.063825069334 68.1020047556012 -63.9826903238888</t>
  </si>
  <si>
    <t>-772.158080255446 40.9857295170873 336.032300388202</t>
  </si>
  <si>
    <t>-805.887608047366 19.3418033740909 781.930934665075</t>
  </si>
  <si>
    <t>-689.08827669944 -60.2520944916432 853.415463055642</t>
  </si>
  <si>
    <t>9763-20170724T111140.481526300.bin</t>
  </si>
  <si>
    <t>-837.895364938546 159.808167812643 -64.9376086971577</t>
  </si>
  <si>
    <t>-863.713491977786 152.315884311795 -177.603215193537</t>
  </si>
  <si>
    <t>-875.304889832066 150.140533728856 -275.519238048007</t>
  </si>
  <si>
    <t>-881.997558848863 149.462527945795 -364.361862914682</t>
  </si>
  <si>
    <t>-884.478482389925 149.865769418322 -453.423137077053</t>
  </si>
  <si>
    <t>-883.475465323077 151.3491080736 -577.99284333056</t>
  </si>
  <si>
    <t>-859.585743718341 134.455209448779 -655.767595065123</t>
  </si>
  <si>
    <t>-881.554101742292 178.302203570558 -522.828026571898</t>
  </si>
  <si>
    <t>-860.881201979533 312.383517177959 -500.655826138399</t>
  </si>
  <si>
    <t>-778.533673629503 324.22782889336 -218.397436761816</t>
  </si>
  <si>
    <t>-539.059167019161 341.142943841594 -238.810950390723</t>
  </si>
  <si>
    <t>-886.279977503075 123.090480407412 -523.523721714645</t>
  </si>
  <si>
    <t>-726.174981734765 4.18264539823849 -331.213155208268</t>
  </si>
  <si>
    <t>-857.131092864867 251.867083752772 -67.8946946829617</t>
  </si>
  <si>
    <t>-881.833387035858 250.289306718195 334.898017548674</t>
  </si>
  <si>
    <t>-942.812965798027 246.809179373772 778.764859081976</t>
  </si>
  <si>
    <t>-810.823601021639 309.393323129512 839.996476782683</t>
  </si>
  <si>
    <t>-818.962773913403 67.6807775900074 -64.0727070303486</t>
  </si>
  <si>
    <t>-772.917325477973 40.8830332432408 335.947769952081</t>
  </si>
  <si>
    <t>-805.918014194234 19.1145680868649 781.881341112298</t>
  </si>
  <si>
    <t>-689.048491040168 -60.3508595376029 853.394235493225</t>
  </si>
  <si>
    <t>9763-20170724T111140.515123700.bin</t>
  </si>
  <si>
    <t>-838.196321205008 159.648897520918 -65.0003007121447</t>
  </si>
  <si>
    <t>-864.018623271648 152.196496232939 -177.667468022406</t>
  </si>
  <si>
    <t>-875.62284790887 150.057278255088 -275.582947304571</t>
  </si>
  <si>
    <t>-882.331436594564 149.413761611671 -364.424513861756</t>
  </si>
  <si>
    <t>-884.832232642148 149.853834795119 -453.485137504662</t>
  </si>
  <si>
    <t>-883.860863151793 151.391362765694 -578.054327707137</t>
  </si>
  <si>
    <t>-859.987188452144 134.48231522024 -655.830714708881</t>
  </si>
  <si>
    <t>-881.88880170994 178.317431986037 -522.878160208122</t>
  </si>
  <si>
    <t>-860.97036945048 312.357574826068 -500.661118501869</t>
  </si>
  <si>
    <t>-778.632176008138 324.121010392957 -218.396518778347</t>
  </si>
  <si>
    <t>-539.136164403588 341.000693622831 -238.58730480711</t>
  </si>
  <si>
    <t>-886.687941490305 123.112176666797 -523.597111262254</t>
  </si>
  <si>
    <t>-726.857029739675 4.06839629621709 -331.156721486385</t>
  </si>
  <si>
    <t>-857.272142088551 251.750412242709 -67.9490469842954</t>
  </si>
  <si>
    <t>-881.985269745511 250.275794950419 334.843419247439</t>
  </si>
  <si>
    <t>-942.827708884275 246.924854151753 778.741886477118</t>
  </si>
  <si>
    <t>-810.837368203749 309.495015131577 839.986000907383</t>
  </si>
  <si>
    <t>-819.373450518957 67.4921755874607 -64.1282221982837</t>
  </si>
  <si>
    <t>-773.277914712795 40.8795005542811 335.898815679154</t>
  </si>
  <si>
    <t>-805.896626510939 19.1198001999178 781.858694890998</t>
  </si>
  <si>
    <t>-689.123542239097 -60.4715800459053 853.388951898461</t>
  </si>
  <si>
    <t>9763-20170724T111140.583303700.bin</t>
  </si>
  <si>
    <t>-838.731881915952 159.378542845631 -65.0900205019249</t>
  </si>
  <si>
    <t>-864.538106242331 151.983981098809 -177.764720841677</t>
  </si>
  <si>
    <t>-876.147962774564 149.911567814913 -275.680778913201</t>
  </si>
  <si>
    <t>-882.868641643953 149.336255985811 -364.521999684213</t>
  </si>
  <si>
    <t>-885.3879241521 149.851565425372 -453.581614786387</t>
  </si>
  <si>
    <t>-884.448055774722 151.501203150645 -578.14975312268</t>
  </si>
  <si>
    <t>-860.599287530404 134.588293193897 -655.932872954222</t>
  </si>
  <si>
    <t>-882.3972756633 178.371819037782 -522.94944664865</t>
  </si>
  <si>
    <t>-861.037263175449 312.313371694132 -500.582194017324</t>
  </si>
  <si>
    <t>-778.209964118336 323.963023896597 -218.456043210212</t>
  </si>
  <si>
    <t>-538.678113250617 340.681011484808 -238.351021604309</t>
  </si>
  <si>
    <t>-887.326166124982 123.178749775812 -523.717554547561</t>
  </si>
  <si>
    <t>-727.82649635188 3.96308980309504 -331.217164817044</t>
  </si>
  <si>
    <t>-857.596641474008 251.540523590008 -68.0445633594966</t>
  </si>
  <si>
    <t>-882.463609895937 250.33291480998 334.739246042013</t>
  </si>
  <si>
    <t>-942.876764930453 247.183265865104 778.690557924067</t>
  </si>
  <si>
    <t>-810.74742127662 309.428863531481 839.965477493275</t>
  </si>
  <si>
    <t>-820.144352096306 67.2264238330863 -64.2222323503402</t>
  </si>
  <si>
    <t>-773.901369093719 40.8304178656149 335.802122490942</t>
  </si>
  <si>
    <t>-805.915466144492 19.0401987765927 781.832912230181</t>
  </si>
  <si>
    <t>-689.190211132987 -60.6182781714501 853.366285671727</t>
  </si>
  <si>
    <t>9763-20170724T111140.616281800.bin</t>
  </si>
  <si>
    <t>-838.994166313021 159.18433113019 -65.1245593288766</t>
  </si>
  <si>
    <t>-864.818640925795 151.797565386928 -177.795574475337</t>
  </si>
  <si>
    <t>-876.45728992975 149.755559721419 -275.708925160394</t>
  </si>
  <si>
    <t>-883.20756756506 149.217586083556 -364.548190467375</t>
  </si>
  <si>
    <t>-885.760024870065 149.778911990247 -453.606547911779</t>
  </si>
  <si>
    <t>-884.869601374458 151.501187607904 -578.174120866701</t>
  </si>
  <si>
    <t>-861.045309020786 134.610233443138 -655.969506098646</t>
  </si>
  <si>
    <t>-882.7736281077 178.337573120107 -522.958674363895</t>
  </si>
  <si>
    <t>-861.252052155079 312.242453341469 -500.515532340349</t>
  </si>
  <si>
    <t>-777.821284759722 323.89428033632 -218.567279730115</t>
  </si>
  <si>
    <t>-538.27931713352 340.553635089532 -238.390315199892</t>
  </si>
  <si>
    <t>-887.748972665791 123.148976646421 -523.757401877031</t>
  </si>
  <si>
    <t>-728.267341203906 3.84460067795408 -331.320804821848</t>
  </si>
  <si>
    <t>-857.83850412839 251.334250774258 -68.0784217042469</t>
  </si>
  <si>
    <t>-882.659927120013 250.291823314567 334.708744102166</t>
  </si>
  <si>
    <t>-942.730463307338 247.119944206101 778.680760365141</t>
  </si>
  <si>
    <t>-810.733517194031 309.630602379648 839.970761429792</t>
  </si>
  <si>
    <t>-820.42893965506 67.0164079713472 -64.2600656478321</t>
  </si>
  <si>
    <t>-774.118951614252 40.7625542942446 335.765930671395</t>
  </si>
  <si>
    <t>-805.906814277573 19.064863055039 781.819522415939</t>
  </si>
  <si>
    <t>-689.086198993371 -60.4624389824448 853.342970937487</t>
  </si>
  <si>
    <t>9763-20170724T111140.680450800.bin</t>
  </si>
  <si>
    <t>-839.590860714684 158.862135466247 -65.2216904358396</t>
  </si>
  <si>
    <t>-865.501938218783 151.479320348237 -177.873037087463</t>
  </si>
  <si>
    <t>-877.232168848646 149.488112155536 -275.776608167778</t>
  </si>
  <si>
    <t>-884.06975011077 149.01293588831 -364.609468645672</t>
  </si>
  <si>
    <t>-886.712861817153 149.653743814672 -453.6646438335</t>
  </si>
  <si>
    <t>-885.950812514709 151.503834477388 -578.231217866598</t>
  </si>
  <si>
    <t>-862.191203267409 134.679428987979 -656.060789140738</t>
  </si>
  <si>
    <t>-883.756458252633 178.279668879247 -522.990362273781</t>
  </si>
  <si>
    <t>-861.959587637034 312.116426532304 -500.395241568566</t>
  </si>
  <si>
    <t>-777.049756822459 323.767610601737 -218.889024205312</t>
  </si>
  <si>
    <t>-537.510602036382 340.474743685511 -238.707263066222</t>
  </si>
  <si>
    <t>-888.815847766495 123.099651688877 -523.840855284085</t>
  </si>
  <si>
    <t>-729.237400437198 3.59998578140721 -331.670694857607</t>
  </si>
  <si>
    <t>-858.511684729847 251.140161656097 -68.1650723433729</t>
  </si>
  <si>
    <t>-883.174648687565 250.408288989489 334.632433967378</t>
  </si>
  <si>
    <t>-942.81374408101 247.423768519358 778.675757019509</t>
  </si>
  <si>
    <t>-810.639027448677 309.525116448277 839.999188438112</t>
  </si>
  <si>
    <t>-820.947495689327 66.5469911659452 -64.3563942009027</t>
  </si>
  <si>
    <t>-774.621359784201 40.7512633890692 335.697562885555</t>
  </si>
  <si>
    <t>-805.92153819253 19.0112797390962 781.795236406453</t>
  </si>
  <si>
    <t>-689.26900171909 -60.7490882808922 853.333554199952</t>
  </si>
  <si>
    <t>9763-20170724T111140.717584900.bin</t>
  </si>
  <si>
    <t>-839.750417644581 158.654821672133 -65.2653025693738</t>
  </si>
  <si>
    <t>-865.72583656354 151.264308924523 -177.901384034798</t>
  </si>
  <si>
    <t>-877.520520636186 149.291456020605 -275.797530711922</t>
  </si>
  <si>
    <t>-884.419129838278 148.842809439705 -364.625729660419</t>
  </si>
  <si>
    <t>-887.12467616723 149.519048509517 -453.678855093244</t>
  </si>
  <si>
    <t>-886.451717544449 151.428265761889 -578.244981299293</t>
  </si>
  <si>
    <t>-862.722639009795 134.645877011488 -656.092960830922</t>
  </si>
  <si>
    <t>-884.197434416412 178.176156893432 -522.992952953303</t>
  </si>
  <si>
    <t>-862.233432245305 311.972120652257 -500.326801870042</t>
  </si>
  <si>
    <t>-776.566603747832 323.648603521066 -219.051085109945</t>
  </si>
  <si>
    <t>-537.020427802583 340.406249927928 -238.740312971376</t>
  </si>
  <si>
    <t>-889.298395389086 123.000227575608 -523.866162836153</t>
  </si>
  <si>
    <t>-729.665075001451 3.41777630197021 -331.887356713021</t>
  </si>
  <si>
    <t>-858.630666634601 250.938383976496 -68.2008294683087</t>
  </si>
  <si>
    <t>-883.238148739957 250.35059594406 334.600384332496</t>
  </si>
  <si>
    <t>-942.695158728378 247.391057072737 778.670945738166</t>
  </si>
  <si>
    <t>-810.707614914852 309.879321003503 840.004699985751</t>
  </si>
  <si>
    <t>-821.138219284713 66.3305219175036 -64.394295267404</t>
  </si>
  <si>
    <t>-774.789200166092 40.7073869881842 335.66808877853</t>
  </si>
  <si>
    <t>-805.895056553797 19.0753362370333 781.779070658614</t>
  </si>
  <si>
    <t>-689.277102300075 -60.7272423184832 853.326967707681</t>
  </si>
  <si>
    <t>9763-20170724T111140.780742900.bin</t>
  </si>
  <si>
    <t>-839.951268623588 158.373670644882 -65.2955282207419</t>
  </si>
  <si>
    <t>-866.034905607918 150.947494902704 -177.904109789885</t>
  </si>
  <si>
    <t>-877.963101460203 149.019183029758 -275.784949188214</t>
  </si>
  <si>
    <t>-884.99529582369 148.643160045824 -364.603166735152</t>
  </si>
  <si>
    <t>-887.846264172051 149.424970640668 -453.650855648232</t>
  </si>
  <si>
    <t>-887.386834461952 151.516094216567 -578.214938808765</t>
  </si>
  <si>
    <t>-863.689270152726 134.947811125747 -656.118360033138</t>
  </si>
  <si>
    <t>-885.029087405196 178.182339172678 -522.927878237931</t>
  </si>
  <si>
    <t>-862.772469110604 311.902833691765 -500.135832422667</t>
  </si>
  <si>
    <t>-775.445258696492 323.787813969073 -219.38005875397</t>
  </si>
  <si>
    <t>-535.864835299335 340.607111102742 -238.593771280295</t>
  </si>
  <si>
    <t>-890.148774564214 123.009447814837 -523.87296137199</t>
  </si>
  <si>
    <t>-730.325516898649 3.51978425212474 -332.237344931187</t>
  </si>
  <si>
    <t>-858.786460165767 250.745326999671 -68.2479145830455</t>
  </si>
  <si>
    <t>-883.309118933283 250.405776314358 334.558692636168</t>
  </si>
  <si>
    <t>-942.755878236189 247.643099009546 778.657934213749</t>
  </si>
  <si>
    <t>-810.688368886484 309.945510678959 840.008606612546</t>
  </si>
  <si>
    <t>-821.385080073936 65.9816554113704 -64.4239481234348</t>
  </si>
  <si>
    <t>-775.009546088756 40.564545486307 335.648485634723</t>
  </si>
  <si>
    <t>-805.936027921499 18.9471684947171 781.772688306742</t>
  </si>
  <si>
    <t>-689.332219178174 -60.8620439245151 853.336220228668</t>
  </si>
  <si>
    <t>9763-20170724T111140.815873400.bin</t>
  </si>
  <si>
    <t>-839.916116732895 158.291243499454 -65.2753174822938</t>
  </si>
  <si>
    <t>-865.99551301393 150.853591361862 -177.8843779738</t>
  </si>
  <si>
    <t>-877.955221464424 148.950331025166 -275.761795459297</t>
  </si>
  <si>
    <t>-885.030044198597 148.613463106728 -364.576669160176</t>
  </si>
  <si>
    <t>-887.936587877932 149.45261517209 -453.621983247841</t>
  </si>
  <si>
    <t>-887.566985902243 151.644438261441 -578.184774996129</t>
  </si>
  <si>
    <t>-863.819326339819 135.319548527977 -656.124356651112</t>
  </si>
  <si>
    <t>-885.188311559607 178.267934427532 -522.877975280037</t>
  </si>
  <si>
    <t>-862.828653900245 311.96879401877 -500.072922670554</t>
  </si>
  <si>
    <t>-774.465088174782 324.162633666329 -219.654625267525</t>
  </si>
  <si>
    <t>-534.857906998505 340.917867686879 -238.5887692693</t>
  </si>
  <si>
    <t>-890.270835674986 123.092074763648 -523.86387121549</t>
  </si>
  <si>
    <t>-730.375971164382 3.76365246000387 -332.392795569419</t>
  </si>
  <si>
    <t>-858.685609965973 250.656557700027 -68.2487827599185</t>
  </si>
  <si>
    <t>-883.202561657454 250.374127765246 334.558185495036</t>
  </si>
  <si>
    <t>-942.688315631554 247.64225814873 778.647125254682</t>
  </si>
  <si>
    <t>-810.71296558212 310.141224105886 839.995830151843</t>
  </si>
  <si>
    <t>-821.395917533568 65.9029760387289 -64.4102858510568</t>
  </si>
  <si>
    <t>-775.042130545065 40.5270573435623 335.667278203307</t>
  </si>
  <si>
    <t>-805.953917482419 18.9057803975575 781.787297898806</t>
  </si>
  <si>
    <t>-689.433146625778 -61.0274699089682 853.347905092551</t>
  </si>
  <si>
    <t>9763-20170724T111140.882049100.bin</t>
  </si>
  <si>
    <t>-839.688925248633 158.153635726676 -65.242142828334</t>
  </si>
  <si>
    <t>-865.874201394191 150.719519370758 -177.826696953162</t>
  </si>
  <si>
    <t>-877.977768904788 148.8525392203 -275.687266485556</t>
  </si>
  <si>
    <t>-885.204083464974 148.570490393829 -364.489998804017</t>
  </si>
  <si>
    <t>-888.283815264131 149.490006171577 -453.528901683137</t>
  </si>
  <si>
    <t>-888.178792769205 151.826818725097 -578.089408953878</t>
  </si>
  <si>
    <t>-864.010756856827 136.765018487632 -656.154054332993</t>
  </si>
  <si>
    <t>-885.737724138442 178.390630267481 -522.75681910405</t>
  </si>
  <si>
    <t>-863.202775351853 312.057880908541 -499.893414748384</t>
  </si>
  <si>
    <t>-772.150469800947 324.921570513854 -220.366647418889</t>
  </si>
  <si>
    <t>-532.520066580585 342.104570918065 -238.61097008681</t>
  </si>
  <si>
    <t>-890.712386974513 123.206061571367 -523.796121285939</t>
  </si>
  <si>
    <t>-730.417704253548 4.61122230771116 -332.549604345094</t>
  </si>
  <si>
    <t>-858.328141418872 250.559910382382 -68.2302016499813</t>
  </si>
  <si>
    <t>-882.761046880127 250.431793874854 334.582036444183</t>
  </si>
  <si>
    <t>-942.65390877865 247.725174187377 778.635674511487</t>
  </si>
  <si>
    <t>-810.551322820426 309.972270720584 839.966393810345</t>
  </si>
  <si>
    <t>-821.326172909656 65.7303183310073 -64.3480282720772</t>
  </si>
  <si>
    <t>-775.036402749989 40.5238231625231 335.74767439718</t>
  </si>
  <si>
    <t>-805.935835670468 19.0421055592442 781.842328668613</t>
  </si>
  <si>
    <t>-689.490812516946 -61.0487225458039 853.34957409182</t>
  </si>
  <si>
    <t>9763-20170724T111140.913928200.bin</t>
  </si>
  <si>
    <t>-839.591540858555 158.052561810429 -65.2212689061847</t>
  </si>
  <si>
    <t>-865.851719877171 150.632441573918 -177.789313310208</t>
  </si>
  <si>
    <t>-878.073877020819 148.735635914508 -275.634625522157</t>
  </si>
  <si>
    <t>-885.431833126039 148.414871328553 -364.426314669785</t>
  </si>
  <si>
    <t>-888.669004889263 149.287503661214 -453.46003785226</t>
  </si>
  <si>
    <t>-888.811730775383 151.552793037822 -578.02199371492</t>
  </si>
  <si>
    <t>-864.096483332717 137.794157265832 -656.155778130089</t>
  </si>
  <si>
    <t>-886.256716635891 178.148225191165 -522.709552158242</t>
  </si>
  <si>
    <t>-863.518671383221 311.811170955385 -499.958703925941</t>
  </si>
  <si>
    <t>-771.231108427725 325.046610266347 -220.854628053441</t>
  </si>
  <si>
    <t>-531.562385875218 342.359644430905 -238.46250174473</t>
  </si>
  <si>
    <t>-891.241304500939 122.963830580375 -523.707336734282</t>
  </si>
  <si>
    <t>-730.600315455436 4.80362866797213 -332.497093158631</t>
  </si>
  <si>
    <t>-858.078130839364 250.531912718078 -68.2163837267465</t>
  </si>
  <si>
    <t>-882.416343605203 250.457920130059 334.601609684422</t>
  </si>
  <si>
    <t>-942.701334544685 247.820443883966 778.636487388484</t>
  </si>
  <si>
    <t>-810.562525282595 310.015416428282 839.942534731822</t>
  </si>
  <si>
    <t>-821.38236971819 65.5206326555635 -64.3084455385806</t>
  </si>
  <si>
    <t>-775.076649134978 40.4666582564291 335.795011259351</t>
  </si>
  <si>
    <t>-805.990967865104 18.969132949157 781.872908764956</t>
  </si>
  <si>
    <t>-689.461994885198 -61.0277868707747 853.34874140635</t>
  </si>
  <si>
    <t>9763-20170724T111140.985118800.bin</t>
  </si>
  <si>
    <t>-839.42108400386 157.840312938939 -65.1790358601584</t>
  </si>
  <si>
    <t>-865.880112174681 150.369322667323 -177.697104176225</t>
  </si>
  <si>
    <t>-878.441982762448 148.344640911286 -275.496634569544</t>
  </si>
  <si>
    <t>-886.180527704584 147.886668915745 -364.255547552226</t>
  </si>
  <si>
    <t>-889.873001205378 148.606925772222 -453.273062615433</t>
  </si>
  <si>
    <t>-890.731305104248 150.64838415465 -577.835828578615</t>
  </si>
  <si>
    <t>-864.711638541165 140.29018677416 -656.070836245756</t>
  </si>
  <si>
    <t>-887.822900477221 177.33990044719 -522.587075631263</t>
  </si>
  <si>
    <t>-865.042612445505 311.07152865657 -500.401169124918</t>
  </si>
  <si>
    <t>-771.0019373588 325.400960472195 -221.937194758306</t>
  </si>
  <si>
    <t>-531.242172202739 342.681207349503 -238.293870603134</t>
  </si>
  <si>
    <t>-892.884108852875 122.160147007331 -523.456571785555</t>
  </si>
  <si>
    <t>-731.644990412689 4.89103624374275 -332.21884984639</t>
  </si>
  <si>
    <t>-857.596608767917 250.377884008025 -68.2230346094576</t>
  </si>
  <si>
    <t>-881.536218735195 250.467893608189 334.618812934048</t>
  </si>
  <si>
    <t>-942.623565545052 247.72731050213 778.626162136918</t>
  </si>
  <si>
    <t>-810.489693400945 310.052881530165 839.810198895138</t>
  </si>
  <si>
    <t>-821.569154663349 65.2543784113968 -64.1857613668146</t>
  </si>
  <si>
    <t>-775.212328719875 40.3233918948727 335.919443969937</t>
  </si>
  <si>
    <t>-806.072978000462 18.862981220374 781.956233379753</t>
  </si>
  <si>
    <t>-689.573891064261 -61.2407008298164 853.361222380497</t>
  </si>
  <si>
    <t>9763-20170724T111141.017045500.bin</t>
  </si>
  <si>
    <t>-839.34319525414 157.789254315505 -65.1410465181235</t>
  </si>
  <si>
    <t>-865.8606519183 150.265857846195 -177.641987376148</t>
  </si>
  <si>
    <t>-878.582939025131 148.200934890324 -275.41990176001</t>
  </si>
  <si>
    <t>-886.511575294637 147.714360029365 -364.161821910319</t>
  </si>
  <si>
    <t>-890.438578875752 148.415609175238 -453.169333898739</t>
  </si>
  <si>
    <t>-891.671461110358 150.444087262342 -577.729324050263</t>
  </si>
  <si>
    <t>-865.21835759247 141.85556419453 -656.033186308635</t>
  </si>
  <si>
    <t>-888.5935392341 177.140856560285 -522.492487388555</t>
  </si>
  <si>
    <t>-865.89072722885 310.945859268709 -500.581549968052</t>
  </si>
  <si>
    <t>-771.405314471865 325.599975426714 -222.284971502929</t>
  </si>
  <si>
    <t>-531.613771268642 342.978134404833 -238.06258823588</t>
  </si>
  <si>
    <t>-893.66431284198 121.961657591844 -523.340769867633</t>
  </si>
  <si>
    <t>-732.246856246138 5.32403650808828 -332.06910313309</t>
  </si>
  <si>
    <t>-857.377924888975 250.315602111462 -68.2295220709547</t>
  </si>
  <si>
    <t>-881.262187225944 250.464781126645 334.615605906572</t>
  </si>
  <si>
    <t>-942.681248433145 247.764090045411 778.596566561358</t>
  </si>
  <si>
    <t>-810.453326199054 309.968201597323 839.701024679483</t>
  </si>
  <si>
    <t>-821.58317516897 65.2697805309454 -64.1054966150525</t>
  </si>
  <si>
    <t>-775.288189385787 40.2353438750124 336.000485218921</t>
  </si>
  <si>
    <t>-806.139351676297 18.7968053930176 782.027932863473</t>
  </si>
  <si>
    <t>-689.550191911567 -61.2359213082041 853.365760474249</t>
  </si>
  <si>
    <t>9763-20170724T111141.082222200.bin</t>
  </si>
  <si>
    <t>-838.987814598009 157.662594534708 -65.1852550749453</t>
  </si>
  <si>
    <t>-865.690504890626 149.979617729048 -177.631537033302</t>
  </si>
  <si>
    <t>-878.654175994719 147.841544597991 -275.376261047508</t>
  </si>
  <si>
    <t>-886.831885440572 147.316404746875 -364.095340942513</t>
  </si>
  <si>
    <t>-891.037720271026 148.008983504893 -453.090332408813</t>
  </si>
  <si>
    <t>-892.689465269553 150.05960489924 -577.645024068244</t>
  </si>
  <si>
    <t>-865.723155224473 144.248856703724 -656.029132489228</t>
  </si>
  <si>
    <t>-889.469158675879 176.750751224274 -522.413391955556</t>
  </si>
  <si>
    <t>-867.198003512152 310.64118472503 -500.578893538103</t>
  </si>
  <si>
    <t>-772.013290236512 325.290991582348 -222.520462193828</t>
  </si>
  <si>
    <t>-532.23086230432 343.318296560596 -237.696226105313</t>
  </si>
  <si>
    <t>-894.456298222829 121.563945424095 -523.255736254067</t>
  </si>
  <si>
    <t>-732.668021837609 5.45374944627565 -331.743425383257</t>
  </si>
  <si>
    <t>-857.070182397783 250.178084891583 -68.3390617062645</t>
  </si>
  <si>
    <t>-880.95919942616 250.422459846274 334.505802277202</t>
  </si>
  <si>
    <t>-942.737044110335 247.867821652486 778.404571825241</t>
  </si>
  <si>
    <t>-810.462050916241 310.050803567958 839.428483235129</t>
  </si>
  <si>
    <t>-821.119822320651 65.096326804005 -64.0677862823637</t>
  </si>
  <si>
    <t>-775.064333247147 40.1094736117025 336.068739143991</t>
  </si>
  <si>
    <t>-806.155834431151 18.8148157657797 782.06976345934</t>
  </si>
  <si>
    <t>-689.574515552613 -61.26045272648 853.372388604199</t>
  </si>
  <si>
    <t>9763-20170724T111141.119021700.bin</t>
  </si>
  <si>
    <t>-838.72849561823 157.489608130123 -65.2332843826604</t>
  </si>
  <si>
    <t>-865.482010045806 149.726977482191 -177.662100513607</t>
  </si>
  <si>
    <t>-878.494649526268 147.568170964823 -275.399720057433</t>
  </si>
  <si>
    <t>-886.716798062771 147.041643883366 -364.114769652008</t>
  </si>
  <si>
    <t>-890.966019385352 147.751335955152 -453.107441048927</t>
  </si>
  <si>
    <t>-892.675722703017 149.843066789972 -577.66062234855</t>
  </si>
  <si>
    <t>-865.60064474007 145.001983184466 -656.073180489284</t>
  </si>
  <si>
    <t>-889.471835043845 176.519611917521 -522.421095744148</t>
  </si>
  <si>
    <t>-867.452039496805 310.445046993264 -500.565228737197</t>
  </si>
  <si>
    <t>-772.076955516075 325.010050255216 -222.567582507313</t>
  </si>
  <si>
    <t>-532.32032955753 343.415404056619 -237.699258121832</t>
  </si>
  <si>
    <t>-894.374828204103 121.325605438845 -523.280744099315</t>
  </si>
  <si>
    <t>-732.377294481381 5.16839529005711 -331.69640153694</t>
  </si>
  <si>
    <t>-856.947211007648 250.013193667726 -68.4302971458166</t>
  </si>
  <si>
    <t>-880.860381206248 250.286662224335 334.412990034067</t>
  </si>
  <si>
    <t>-942.620104765633 247.801239253533 778.27933430593</t>
  </si>
  <si>
    <t>-810.445137455767 310.201121401311 839.298939232363</t>
  </si>
  <si>
    <t>-820.735851959859 64.8961580566997 -64.0944604996048</t>
  </si>
  <si>
    <t>-774.838904013015 39.9690197046521 336.063985424741</t>
  </si>
  <si>
    <t>-806.149775027999 18.8168839091472 782.068584882155</t>
  </si>
  <si>
    <t>-689.505502665646 -61.1698549509213 853.367379797303</t>
  </si>
  <si>
    <t>9763-20170724T111141.180183500.bin</t>
  </si>
  <si>
    <t>-838.272821108821 157.135510898027 -65.3685472487275</t>
  </si>
  <si>
    <t>-865.067777440332 149.269223184497 -177.780128143702</t>
  </si>
  <si>
    <t>-878.04165238776 147.054931965854 -275.521901871873</t>
  </si>
  <si>
    <t>-886.196831335662 146.488001481918 -364.242825916521</t>
  </si>
  <si>
    <t>-890.346941593094 147.166658160018 -453.240402118042</t>
  </si>
  <si>
    <t>-891.885120768745 149.224183500417 -577.796420422508</t>
  </si>
  <si>
    <t>-864.714273672914 145.670438439346 -656.244851375864</t>
  </si>
  <si>
    <t>-888.866371029049 175.925360721139 -522.558356833846</t>
  </si>
  <si>
    <t>-867.476473799805 309.943890143142 -500.678353735917</t>
  </si>
  <si>
    <t>-772.342371973639 324.905739904971 -222.619295955929</t>
  </si>
  <si>
    <t>-532.64582971016 343.993532952191 -237.852524928724</t>
  </si>
  <si>
    <t>-893.550164899584 120.712182305902 -523.412489685383</t>
  </si>
  <si>
    <t>-731.091207089908 4.2681352118625 -332.004167564534</t>
  </si>
  <si>
    <t>-856.7601722857 249.769210275102 -68.5961876776628</t>
  </si>
  <si>
    <t>-880.817591451086 250.041476196378 334.238546078177</t>
  </si>
  <si>
    <t>-942.602469164217 247.905838791911 778.070587132823</t>
  </si>
  <si>
    <t>-810.357003026423 310.152566283616 839.093178034556</t>
  </si>
  <si>
    <t>-820.081432785135 64.4664013939819 -64.1968837332394</t>
  </si>
  <si>
    <t>-774.602917616069 39.6481434762782 336.016105391284</t>
  </si>
  <si>
    <t>-806.203199949254 18.620471413361 782.039455099954</t>
  </si>
  <si>
    <t>-689.382703529888 -61.1018492899932 853.345631081215</t>
  </si>
  <si>
    <t>9763-20170724T111141.216421300.bin</t>
  </si>
  <si>
    <t>-838.069552578715 157.08584718771 -65.4348561371053</t>
  </si>
  <si>
    <t>-864.837972081263 149.196685131483 -177.851021131471</t>
  </si>
  <si>
    <t>-877.771373423724 146.964021242646 -275.597792568518</t>
  </si>
  <si>
    <t>-885.883368107813 146.380934407036 -364.322641332808</t>
  </si>
  <si>
    <t>-889.983239562673 147.044744434129 -453.322588012324</t>
  </si>
  <si>
    <t>-891.444546728494 149.08335050051 -577.87985310477</t>
  </si>
  <si>
    <t>-864.249956508178 145.963093459305 -656.338474288193</t>
  </si>
  <si>
    <t>-888.521204983679 175.798090855722 -522.643063171017</t>
  </si>
  <si>
    <t>-867.493536081737 309.879709617305 -500.787375604042</t>
  </si>
  <si>
    <t>-772.758315789669 325.064809509862 -222.604368747844</t>
  </si>
  <si>
    <t>-533.089041839293 344.299806409201 -238.085822598183</t>
  </si>
  <si>
    <t>-893.081955843433 120.574452698095 -523.493542691742</t>
  </si>
  <si>
    <t>-730.402001653056 4.19760028470682 -332.206256681359</t>
  </si>
  <si>
    <t>-856.623593513914 249.712921811266 -68.6699012097346</t>
  </si>
  <si>
    <t>-880.755136635319 249.915326215003 334.160453232081</t>
  </si>
  <si>
    <t>-942.524184950336 247.866780776045 777.985767810609</t>
  </si>
  <si>
    <t>-810.302762627525 310.169261655646 839.003889821003</t>
  </si>
  <si>
    <t>-819.800721967838 64.4452303520479 -64.256392089022</t>
  </si>
  <si>
    <t>-774.482928115855 39.5856138894642 335.972264095425</t>
  </si>
  <si>
    <t>-806.184399595918 18.6322137213369 782.007866951497</t>
  </si>
  <si>
    <t>-689.501839779766 -61.2657328735136 853.343701447218</t>
  </si>
  <si>
    <t>9763-20170724T111141.281595200.bin</t>
  </si>
  <si>
    <t>-837.667888211975 156.933696635971 -65.5251445231556</t>
  </si>
  <si>
    <t>-864.44887710655 149.027970845394 -177.937350335012</t>
  </si>
  <si>
    <t>-877.35895065424 146.774034997595 -275.686616868444</t>
  </si>
  <si>
    <t>-885.43727559241 146.170116578848 -364.414332853053</t>
  </si>
  <si>
    <t>-889.49258738273 146.813756639134 -453.416443794701</t>
  </si>
  <si>
    <t>-890.879649663563 148.826827976915 -577.975068922525</t>
  </si>
  <si>
    <t>-863.679551413537 146.382045078148 -656.455748353866</t>
  </si>
  <si>
    <t>-888.099212538305 175.561751016784 -522.740864758435</t>
  </si>
  <si>
    <t>-867.728852135933 309.747939685747 -500.916322435366</t>
  </si>
  <si>
    <t>-773.957336412248 324.993085519551 -222.410071687718</t>
  </si>
  <si>
    <t>-534.320429690265 344.478834170062 -238.070501920199</t>
  </si>
  <si>
    <t>-892.439137713029 120.320270713707 -523.585184981989</t>
  </si>
  <si>
    <t>-729.171577748417 4.17247308623519 -332.360799633881</t>
  </si>
  <si>
    <t>-856.246574798189 249.542975758131 -68.7463704194877</t>
  </si>
  <si>
    <t>-880.490849017178 249.818421854651 334.077220792783</t>
  </si>
  <si>
    <t>-942.502582370903 247.928543102726 777.856757528701</t>
  </si>
  <si>
    <t>-810.344377208831 310.376344335918 838.863172696341</t>
  </si>
  <si>
    <t>-819.386822610327 64.2716827819904 -64.3577652236157</t>
  </si>
  <si>
    <t>-774.2462773222 39.3186751839603 335.885106862631</t>
  </si>
  <si>
    <t>-806.238037157837 18.4181618317566 781.965888014939</t>
  </si>
  <si>
    <t>-689.463994960437 -61.331921744342 853.317657195652</t>
  </si>
  <si>
    <t>9763-20170724T111141.316695400.bin</t>
  </si>
  <si>
    <t>-837.523700330926 156.935243966851 -65.5572837053255</t>
  </si>
  <si>
    <t>-864.335255440966 149.020733678975 -177.961548135798</t>
  </si>
  <si>
    <t>-877.231844833351 146.759775035373 -275.71245838984</t>
  </si>
  <si>
    <t>-885.282976857002 146.148686441046 -364.442537877512</t>
  </si>
  <si>
    <t>-889.296062588449 146.785643285813 -453.446694237182</t>
  </si>
  <si>
    <t>-890.607922906055 148.790031003038 -578.006268947646</t>
  </si>
  <si>
    <t>-863.362658048015 146.608520290658 -656.478947934712</t>
  </si>
  <si>
    <t>-887.90625661161 175.532501550457 -522.771695847772</t>
  </si>
  <si>
    <t>-867.793930710978 309.757686049446 -500.947030909571</t>
  </si>
  <si>
    <t>-774.55132672965 325.015102164854 -222.26400707589</t>
  </si>
  <si>
    <t>-534.874862716358 344.1009497397 -237.814402347149</t>
  </si>
  <si>
    <t>-892.15458708776 120.28393572345 -523.615989114739</t>
  </si>
  <si>
    <t>-728.673158235188 4.24772706976637 -332.331913385234</t>
  </si>
  <si>
    <t>-856.150031017478 249.566640843646 -68.7790341875686</t>
  </si>
  <si>
    <t>-880.319731421528 249.795818881019 334.04894543183</t>
  </si>
  <si>
    <t>-942.468462423219 247.934867470053 777.799551202872</t>
  </si>
  <si>
    <t>-810.335200266236 310.442832914844 838.798065057464</t>
  </si>
  <si>
    <t>-819.202627458146 64.2498965880573 -64.3940316274528</t>
  </si>
  <si>
    <t>-774.114817177108 39.32919488571 335.856797727919</t>
  </si>
  <si>
    <t>-806.176583902422 18.5524470552114 781.934147720572</t>
  </si>
  <si>
    <t>-689.494108633305 -61.3145820745767 853.304701124805</t>
  </si>
  <si>
    <t>9763-20170724T111141.381869600.bin</t>
  </si>
  <si>
    <t>-837.28690285957 156.909031418218 -65.6231374116483</t>
  </si>
  <si>
    <t>-864.149106047137 148.99470819252 -178.01531233151</t>
  </si>
  <si>
    <t>-877.03259265792 146.745162441809 -275.768180854657</t>
  </si>
  <si>
    <t>-885.049376300993 146.149731473442 -364.501553333214</t>
  </si>
  <si>
    <t>-889.005381075649 146.808469111667 -453.50811377892</t>
  </si>
  <si>
    <t>-890.214394555965 148.849807261014 -578.068030094718</t>
  </si>
  <si>
    <t>-862.871073293292 147.07526420468 -656.516927320669</t>
  </si>
  <si>
    <t>-887.620367100157 175.580146538873 -522.822557531276</t>
  </si>
  <si>
    <t>-867.936854775972 309.870364003748 -500.977165513073</t>
  </si>
  <si>
    <t>-776.003796548192 324.803951594562 -221.841922598583</t>
  </si>
  <si>
    <t>-536.297427248768 343.575406915077 -237.312867855968</t>
  </si>
  <si>
    <t>-891.744110689195 120.322602923008 -523.688212548468</t>
  </si>
  <si>
    <t>-728.230953130176 4.41606932428249 -332.248720377766</t>
  </si>
  <si>
    <t>-855.900236965749 249.571050660472 -68.8184155535446</t>
  </si>
  <si>
    <t>-880.039037528783 249.841159308099 334.01145603012</t>
  </si>
  <si>
    <t>-942.566283014463 248.11732461681 777.711980309685</t>
  </si>
  <si>
    <t>-810.271077138509 310.293590288801 838.698645412938</t>
  </si>
  <si>
    <t>-818.943077129748 64.1826625473909 -64.4421459536104</t>
  </si>
  <si>
    <t>-773.995311501877 39.25573282192 335.824053256529</t>
  </si>
  <si>
    <t>-806.184462744705 18.4901269094098 781.898030058086</t>
  </si>
  <si>
    <t>-689.532161596584 -61.4092668406454 853.281620852171</t>
  </si>
  <si>
    <t>9763-20170724T111141.415652100.bin</t>
  </si>
  <si>
    <t>-837.089378759317 156.87854757954 -65.6380311681362</t>
  </si>
  <si>
    <t>-863.980524532171 148.944493473951 -178.021809852629</t>
  </si>
  <si>
    <t>-876.890876309094 146.7001503832 -275.771300844388</t>
  </si>
  <si>
    <t>-884.932190535991 146.118981841717 -364.502575985798</t>
  </si>
  <si>
    <t>-888.912535551913 146.801514335139 -453.507767177618</t>
  </si>
  <si>
    <t>-890.155099399231 148.887669907907 -578.066749984472</t>
  </si>
  <si>
    <t>-862.807577341419 147.279049958506 -656.517767465683</t>
  </si>
  <si>
    <t>-887.570395420855 175.600288779869 -522.812088541501</t>
  </si>
  <si>
    <t>-868.052573753371 309.911021129666 -500.923653716798</t>
  </si>
  <si>
    <t>-776.675898551178 324.617368696348 -221.59371234163</t>
  </si>
  <si>
    <t>-536.943863026246 343.107324480615 -237.008832503494</t>
  </si>
  <si>
    <t>-891.646265710983 120.339198739845 -523.696923881191</t>
  </si>
  <si>
    <t>-728.119928227468 4.51361113156599 -332.168232450554</t>
  </si>
  <si>
    <t>-855.640459916273 249.504782653863 -68.8398648016937</t>
  </si>
  <si>
    <t>-879.849692984951 249.810937871714 333.985784286892</t>
  </si>
  <si>
    <t>-942.501155726385 248.081189852981 777.658995735801</t>
  </si>
  <si>
    <t>-810.273987382634 310.41333058534 838.634531037494</t>
  </si>
  <si>
    <t>-818.775077354602 64.2116625426411 -64.4527562139331</t>
  </si>
  <si>
    <t>-773.904958653809 39.2329215838076 335.819009353643</t>
  </si>
  <si>
    <t>-806.157085324954 18.5585721442671 781.888407652826</t>
  </si>
  <si>
    <t>-689.562471717651 -61.4211349062809 853.276692631481</t>
  </si>
  <si>
    <t>9763-20170724T111141.481827100.bin</t>
  </si>
  <si>
    <t>-836.979652644046 156.675270235284 -65.6565128983524</t>
  </si>
  <si>
    <t>-863.928330433763 148.718119043375 -178.025071670935</t>
  </si>
  <si>
    <t>-876.873380559846 146.476349855967 -275.769991978632</t>
  </si>
  <si>
    <t>-884.939799851961 145.906070828041 -364.498945187683</t>
  </si>
  <si>
    <t>-888.938687354503 146.609115470526 -453.503133937752</t>
  </si>
  <si>
    <t>-890.199757168347 148.733444845885 -578.061302376533</t>
  </si>
  <si>
    <t>-862.843973779688 147.28156832969 -656.512403003566</t>
  </si>
  <si>
    <t>-887.644684055045 175.43179541302 -522.79841509207</t>
  </si>
  <si>
    <t>-868.42147680312 309.771704366874 -500.872296308605</t>
  </si>
  <si>
    <t>-778.289396980953 324.316291054569 -221.129717264409</t>
  </si>
  <si>
    <t>-538.510052374059 342.189821879852 -236.53278622353</t>
  </si>
  <si>
    <t>-891.645288175578 120.16549036785 -523.700414847457</t>
  </si>
  <si>
    <t>-728.027266257892 4.51998267780664 -331.950111391645</t>
  </si>
  <si>
    <t>-855.591528700724 249.340633321211 -68.8851568939324</t>
  </si>
  <si>
    <t>-879.713306984208 249.621113345121 333.945699418349</t>
  </si>
  <si>
    <t>-942.452045138363 248.086259446657 777.583488327744</t>
  </si>
  <si>
    <t>-810.234363874237 310.472369549724 838.524529437362</t>
  </si>
  <si>
    <t>-818.666162503058 63.9492897479013 -64.481068703579</t>
  </si>
  <si>
    <t>-773.840741216344 39.0701306088358 335.80180144421</t>
  </si>
  <si>
    <t>-806.174089851223 18.4769417725711 781.879990669773</t>
  </si>
  <si>
    <t>-689.505178505287 -61.3959112416999 853.266482485898</t>
  </si>
  <si>
    <t>9763-20170724T111141.518476400.bin</t>
  </si>
  <si>
    <t>-836.98188265487 156.565989860816 -65.6844346723201</t>
  </si>
  <si>
    <t>-863.939297230575 148.621761393586 -178.051781820565</t>
  </si>
  <si>
    <t>-876.876206542109 146.393139734873 -275.798040635595</t>
  </si>
  <si>
    <t>-884.928701331831 145.834944449999 -364.528386297848</t>
  </si>
  <si>
    <t>-888.907400569728 146.551185505459 -453.533480448259</t>
  </si>
  <si>
    <t>-890.134124106345 148.694950232762 -578.091490773438</t>
  </si>
  <si>
    <t>-862.771930186476 147.277332455282 -656.541085927299</t>
  </si>
  <si>
    <t>-887.615457314241 175.385992872974 -522.823609705722</t>
  </si>
  <si>
    <t>-868.584233940827 309.754925684503 -500.888925262011</t>
  </si>
  <si>
    <t>-779.085126584323 324.208317357532 -220.938486219992</t>
  </si>
  <si>
    <t>-539.287623118213 341.730115047968 -236.463603866604</t>
  </si>
  <si>
    <t>-891.573223101638 120.116888384169 -523.73583504143</t>
  </si>
  <si>
    <t>-727.858410097314 4.46154590601736 -331.885186175465</t>
  </si>
  <si>
    <t>-855.579114131787 249.239966723202 -68.9043316272443</t>
  </si>
  <si>
    <t>-879.779536913453 249.56784454462 333.921823304204</t>
  </si>
  <si>
    <t>-942.454650832408 248.127334502407 777.551030996528</t>
  </si>
  <si>
    <t>-810.21833602389 310.477847036675 838.487280591554</t>
  </si>
  <si>
    <t>-818.660120836545 63.8331895950068 -64.5130228217032</t>
  </si>
  <si>
    <t>-773.848909535279 39.033416545089 335.776408734663</t>
  </si>
  <si>
    <t>-806.172701742254 18.4729692903634 781.874464627479</t>
  </si>
  <si>
    <t>-689.615388696974 -61.5608440711328 853.262951211184</t>
  </si>
  <si>
    <t>9763-20170724T111141.579637200.bin</t>
  </si>
  <si>
    <t>-837.024729928835 156.349106223333 -65.7105096065336</t>
  </si>
  <si>
    <t>-863.982870504106 148.422588220506 -178.078996824983</t>
  </si>
  <si>
    <t>-876.893877622397 146.206276552797 -275.828904863997</t>
  </si>
  <si>
    <t>-884.912794736747 145.658420088746 -364.562386743028</t>
  </si>
  <si>
    <t>-888.84827137011 146.385308810756 -453.569373312472</t>
  </si>
  <si>
    <t>-890.00427795227 148.544163719082 -578.127779424604</t>
  </si>
  <si>
    <t>-862.498846411906 147.165803193943 -656.527867765628</t>
  </si>
  <si>
    <t>-887.569674663165 175.232370908638 -522.854570308252</t>
  </si>
  <si>
    <t>-868.913097312486 309.647289579498 -500.888612797606</t>
  </si>
  <si>
    <t>-781.440517010459 323.875081438572 -220.286869958051</t>
  </si>
  <si>
    <t>-541.594847626288 340.524778053129 -236.023914027728</t>
  </si>
  <si>
    <t>-891.421704975158 119.956092953762 -523.777035146995</t>
  </si>
  <si>
    <t>-727.500987713243 4.35212408658572 -331.809966084466</t>
  </si>
  <si>
    <t>-855.666937905244 249.06156720325 -68.9066211236817</t>
  </si>
  <si>
    <t>-879.993440135546 249.454455355186 333.91190580144</t>
  </si>
  <si>
    <t>-942.573071314618 248.317820393908 777.537628608743</t>
  </si>
  <si>
    <t>-810.217669283041 310.440391556736 838.448991603481</t>
  </si>
  <si>
    <t>-818.662396165155 63.6357613729297 -64.5513757882655</t>
  </si>
  <si>
    <t>-774.046766484587 38.9020515086959 335.76398683283</t>
  </si>
  <si>
    <t>-806.211933276964 18.4120878380941 781.888906026054</t>
  </si>
  <si>
    <t>-689.506909320829 -61.4545024991533 853.223043094509</t>
  </si>
  <si>
    <t>9763-20170724T111141.615485600.bin</t>
  </si>
  <si>
    <t>-837.08463218182 156.249383716588 -65.7144125272033</t>
  </si>
  <si>
    <t>-864.036988170294 148.33230025043 -178.084920546346</t>
  </si>
  <si>
    <t>-876.925079980595 146.115359323737 -275.837813202243</t>
  </si>
  <si>
    <t>-884.916687060253 145.563999858573 -364.573752200619</t>
  </si>
  <si>
    <t>-888.819004765445 146.284138600956 -453.582099186741</t>
  </si>
  <si>
    <t>-889.922848109084 148.432171975254 -578.141330747181</t>
  </si>
  <si>
    <t>-862.297650025989 147.091726976775 -656.499978607893</t>
  </si>
  <si>
    <t>-887.542806901946 175.127457933796 -522.869198071547</t>
  </si>
  <si>
    <t>-869.109898220289 309.572461515208 -500.89848090459</t>
  </si>
  <si>
    <t>-783.064456505796 323.709964201189 -219.851242818355</t>
  </si>
  <si>
    <t>-543.20394700305 339.971758227984 -235.769449764625</t>
  </si>
  <si>
    <t>-891.331642975533 119.846367473335 -523.788744162124</t>
  </si>
  <si>
    <t>-727.356043341331 4.42204741277055 -331.820891941764</t>
  </si>
  <si>
    <t>-855.771465713637 248.906320530218 -68.9123132242411</t>
  </si>
  <si>
    <t>-880.114481234432 249.365357714384 333.905175872468</t>
  </si>
  <si>
    <t>-942.523929532965 248.28951345166 777.550347888406</t>
  </si>
  <si>
    <t>-810.187622701678 310.470163842703 838.443757549397</t>
  </si>
  <si>
    <t>-818.685990920156 63.5917286724552 -64.5682312017007</t>
  </si>
  <si>
    <t>-774.146311343579 38.8181973140172 335.753017786043</t>
  </si>
  <si>
    <t>-806.222598671727 18.3984366946056 781.889642501157</t>
  </si>
  <si>
    <t>-689.521454077848 -61.4891132121318 853.206487162954</t>
  </si>
  <si>
    <t>9763-20170724T111141.677650600.bin</t>
  </si>
  <si>
    <t>-837.171166307822 155.897041678021 -65.7098738719097</t>
  </si>
  <si>
    <t>-864.197795493215 147.965000576453 -178.061415720911</t>
  </si>
  <si>
    <t>-877.018457118303 145.750227170168 -275.823315251033</t>
  </si>
  <si>
    <t>-884.896634384885 145.204804482618 -364.569349574654</t>
  </si>
  <si>
    <t>-888.63274566443 145.934828394719 -453.584845174186</t>
  </si>
  <si>
    <t>-889.449755463406 148.099382604632 -578.145950038037</t>
  </si>
  <si>
    <t>-861.513767420666 146.920942197814 -656.396987037687</t>
  </si>
  <si>
    <t>-887.291182181259 174.793505506432 -522.864095433218</t>
  </si>
  <si>
    <t>-869.491965590147 309.323010157166 -500.891625526193</t>
  </si>
  <si>
    <t>-786.940542863187 323.20032289687 -218.785414245524</t>
  </si>
  <si>
    <t>-547.043061232782 338.618728973242 -234.98171307144</t>
  </si>
  <si>
    <t>-890.889348698283 119.500319222455 -523.801493733605</t>
  </si>
  <si>
    <t>-726.965845436777 4.39902148460533 -331.708484259172</t>
  </si>
  <si>
    <t>-855.976727873903 248.466916476713 -68.8949027590743</t>
  </si>
  <si>
    <t>-880.291346442542 249.20787535256 333.923875334791</t>
  </si>
  <si>
    <t>-942.455994560102 248.254112983487 777.604132886378</t>
  </si>
  <si>
    <t>-810.216769246233 310.684599311222 838.452585907201</t>
  </si>
  <si>
    <t>-818.64495651384 63.2743367751668 -64.6054133022545</t>
  </si>
  <si>
    <t>-774.27079928857 38.6076804432055 335.740819728328</t>
  </si>
  <si>
    <t>-806.256660843492 18.3175217247203 781.890456043271</t>
  </si>
  <si>
    <t>-689.586761886913 -61.6368148554543 853.183459967359</t>
  </si>
  <si>
    <t>9763-20170724T111141.715642300.bin</t>
  </si>
  <si>
    <t>-837.268784489662 155.680469499121 -65.7075903574203</t>
  </si>
  <si>
    <t>-864.383814428651 147.708260360206 -178.034963874151</t>
  </si>
  <si>
    <t>-877.122546488195 145.47160773349 -275.807133881562</t>
  </si>
  <si>
    <t>-884.862828180369 144.90731641483 -364.565223406249</t>
  </si>
  <si>
    <t>-888.397275660733 145.619147455709 -453.589032046573</t>
  </si>
  <si>
    <t>-888.866000806938 147.756836772824 -578.152365239548</t>
  </si>
  <si>
    <t>-860.722484739407 146.653934217449 -656.330025545603</t>
  </si>
  <si>
    <t>-886.936495336854 174.467712447752 -522.870124098481</t>
  </si>
  <si>
    <t>-869.55953415134 309.046352226785 -500.860518074793</t>
  </si>
  <si>
    <t>-788.660792228842 322.85911602135 -218.272846347082</t>
  </si>
  <si>
    <t>-548.750878141796 337.966687213262 -234.579407522872</t>
  </si>
  <si>
    <t>-890.383151940752 119.164746871073 -523.80622437616</t>
  </si>
  <si>
    <t>-726.573629057302 4.29728386115676 -331.564413378335</t>
  </si>
  <si>
    <t>-856.171509406416 248.245691297267 -68.8844676424045</t>
  </si>
  <si>
    <t>-880.31007720942 249.20538726207 333.944322831121</t>
  </si>
  <si>
    <t>-942.501643713587 248.320616428773 777.627005816159</t>
  </si>
  <si>
    <t>-810.176951110152 310.591348189042 838.453201847973</t>
  </si>
  <si>
    <t>-818.674764261423 63.0469705896408 -64.613544065614</t>
  </si>
  <si>
    <t>-774.263790320842 38.5166915190371 335.737114633946</t>
  </si>
  <si>
    <t>-806.266946005586 18.3038293309578 781.895464215998</t>
  </si>
  <si>
    <t>-689.727454205466 -61.8451482077371 853.183359127224</t>
  </si>
  <si>
    <t>9763-20170724T111141.780815500.bin</t>
  </si>
  <si>
    <t>-837.628982875083 155.086431626002 -65.6852674249527</t>
  </si>
  <si>
    <t>-864.974662604396 147.010907442299 -177.949399239229</t>
  </si>
  <si>
    <t>-877.626014137256 144.713319972305 -275.731321122489</t>
  </si>
  <si>
    <t>-885.172203049581 144.099448712686 -364.50597867832</t>
  </si>
  <si>
    <t>-888.397817541092 144.766193999892 -453.541921688791</t>
  </si>
  <si>
    <t>-888.314970167157 146.842711424957 -578.107029119297</t>
  </si>
  <si>
    <t>-859.870393365453 145.873311889357 -656.177508988765</t>
  </si>
  <si>
    <t>-886.799737623668 173.590693625064 -522.829911825427</t>
  </si>
  <si>
    <t>-870.319420506515 308.27860741311 -500.782601050712</t>
  </si>
  <si>
    <t>-792.057797930857 322.511900438839 -217.474040425299</t>
  </si>
  <si>
    <t>-552.099457093543 336.729303649486 -233.864905498851</t>
  </si>
  <si>
    <t>-889.903149826379 118.267275236438 -523.754170013106</t>
  </si>
  <si>
    <t>-726.127010472842 4.38988263083047 -330.894155590933</t>
  </si>
  <si>
    <t>-856.613634656544 247.646983399878 -68.8534254622992</t>
  </si>
  <si>
    <t>-880.434115597438 248.989289895334 333.993274785862</t>
  </si>
  <si>
    <t>-942.506278819122 248.357270483022 777.666501118545</t>
  </si>
  <si>
    <t>-810.211682135642 310.749329775129 838.433189941911</t>
  </si>
  <si>
    <t>-818.921742145798 62.4444949119302 -64.5938717220553</t>
  </si>
  <si>
    <t>-774.299484654461 38.2759113228735 335.755175071425</t>
  </si>
  <si>
    <t>-806.30094272011 18.2190841333049 781.917590315217</t>
  </si>
  <si>
    <t>-689.70712881712 -61.8757849107403 853.177639030147</t>
  </si>
  <si>
    <t>9763-20170724T111141.818932700.bin</t>
  </si>
  <si>
    <t>-837.898090456323 154.692229125034 -65.7165183344301</t>
  </si>
  <si>
    <t>-865.310150652118 146.557323345092 -177.960203286938</t>
  </si>
  <si>
    <t>-877.96199835718 144.202637107693 -275.740836107098</t>
  </si>
  <si>
    <t>-885.485830191081 143.532771013549 -364.516862815834</t>
  </si>
  <si>
    <t>-888.667326510586 144.140374107584 -453.554736350598</t>
  </si>
  <si>
    <t>-888.500030072096 146.131201864374 -578.121191491548</t>
  </si>
  <si>
    <t>-859.978951217626 145.218563615446 -656.164574004829</t>
  </si>
  <si>
    <t>-887.097286488255 172.921224705238 -522.861574113048</t>
  </si>
  <si>
    <t>-871.087784822714 307.673452588253 -500.844955501368</t>
  </si>
  <si>
    <t>-793.546814118261 322.460271873346 -217.366623891</t>
  </si>
  <si>
    <t>-553.50661665841 335.687438789709 -233.38624854787</t>
  </si>
  <si>
    <t>-890.049932962065 117.588944823585 -523.749831230757</t>
  </si>
  <si>
    <t>-726.21486979637 4.34127590552725 -330.668873254742</t>
  </si>
  <si>
    <t>-856.967084585724 247.277109405394 -68.8655232443446</t>
  </si>
  <si>
    <t>-880.650693173364 248.827713678706 333.988475789701</t>
  </si>
  <si>
    <t>-942.54130233076 248.417403074645 777.665760596727</t>
  </si>
  <si>
    <t>-810.219798455883 310.773571048601 838.411221334744</t>
  </si>
  <si>
    <t>-819.124808323128 61.99300986453 -64.5926764321569</t>
  </si>
  <si>
    <t>-774.388910558731 38.0939379613874 335.759870947656</t>
  </si>
  <si>
    <t>-806.369829178969 18.0432687842058 781.93866861407</t>
  </si>
  <si>
    <t>-689.595159739224 -61.8128080000304 853.170423248454</t>
  </si>
  <si>
    <t>9763-20170724T111141.882091100.bin</t>
  </si>
  <si>
    <t>-838.476242110427 153.979356418252 -65.7817900252825</t>
  </si>
  <si>
    <t>-865.913507615598 145.707010304896 -178.009265266783</t>
  </si>
  <si>
    <t>-878.537740610512 143.193393280438 -275.78954896682</t>
  </si>
  <si>
    <t>-886.018606117548 142.361785015989 -364.567649245427</t>
  </si>
  <si>
    <t>-889.139687074068 142.791037491494 -453.608900244204</t>
  </si>
  <si>
    <t>-888.871395662948 144.515801963373 -578.179231353305</t>
  </si>
  <si>
    <t>-860.13163119803 143.712367614956 -656.143362401919</t>
  </si>
  <si>
    <t>-887.645089781791 171.430657430392 -522.975876287249</t>
  </si>
  <si>
    <t>-872.424177155792 306.323378019792 -501.302897446241</t>
  </si>
  <si>
    <t>-797.846696775641 322.001268565237 -217.078346014878</t>
  </si>
  <si>
    <t>-557.736447936555 334.277822713864 -232.799860656651</t>
  </si>
  <si>
    <t>-890.333798385336 116.083144514619 -523.747992850385</t>
  </si>
  <si>
    <t>-726.6521391692 5.33019469588226 -330.317423429574</t>
  </si>
  <si>
    <t>-857.663279452308 246.546679171902 -68.9665613774832</t>
  </si>
  <si>
    <t>-881.390037349008 248.539994043044 333.882964014544</t>
  </si>
  <si>
    <t>-942.482382385186 248.449156912729 777.613825053462</t>
  </si>
  <si>
    <t>-810.147536935938 310.783699488176 838.352736381324</t>
  </si>
  <si>
    <t>-819.536748675413 61.3589393668208 -64.6271315375735</t>
  </si>
  <si>
    <t>-774.760951395092 37.8587088640966 335.744585984011</t>
  </si>
  <si>
    <t>-806.392054649636 17.9671491900749 781.964181896154</t>
  </si>
  <si>
    <t>-689.522201210139 -61.7854445772359 853.156030137386</t>
  </si>
  <si>
    <t>9763-20170724T111141.914702200.bin</t>
  </si>
  <si>
    <t>-838.84272122416 153.666307420208 -65.8177287260646</t>
  </si>
  <si>
    <t>-866.311055053229 145.311762102819 -178.03142084821</t>
  </si>
  <si>
    <t>-878.943197798784 142.715324978764 -275.808551072669</t>
  </si>
  <si>
    <t>-886.423283238836 141.802670166323 -364.585921895455</t>
  </si>
  <si>
    <t>-889.536870369193 142.144777013019 -453.627750953369</t>
  </si>
  <si>
    <t>-889.250172687641 143.742019088124 -578.199766279759</t>
  </si>
  <si>
    <t>-860.442935777109 142.981932989002 -656.13933372367</t>
  </si>
  <si>
    <t>-888.098136608215 170.716210470171 -523.023977135692</t>
  </si>
  <si>
    <t>-873.274008731692 305.678116578317 -501.490449441962</t>
  </si>
  <si>
    <t>-799.982578572763 321.385581253459 -216.933212483855</t>
  </si>
  <si>
    <t>-559.870576653498 333.745113298813 -232.56835489689</t>
  </si>
  <si>
    <t>-890.654359944692 115.361845426636 -523.739587388373</t>
  </si>
  <si>
    <t>-727.130121327723 6.3527732321877 -330.24553410484</t>
  </si>
  <si>
    <t>-858.215520153487 246.217967436343 -69.0430330359937</t>
  </si>
  <si>
    <t>-881.831441163013 248.341122178761 333.812339875469</t>
  </si>
  <si>
    <t>-942.465100760701 248.474309231023 777.600106507343</t>
  </si>
  <si>
    <t>-810.190833275858 310.94538865725 838.329718366547</t>
  </si>
  <si>
    <t>-819.762560871095 61.1017954029726 -64.6681895330005</t>
  </si>
  <si>
    <t>-774.998674242012 37.790715709652 335.716004316242</t>
  </si>
  <si>
    <t>-806.404857774196 17.9083183336761 781.969769076301</t>
  </si>
  <si>
    <t>-689.514360968339 -61.823412810171 853.151198279588</t>
  </si>
  <si>
    <t>9763-20170724T111141.983885300.bin</t>
  </si>
  <si>
    <t>-839.664365252873 152.881395408113 -65.9407273669372</t>
  </si>
  <si>
    <t>-867.212263437957 144.330737160351 -178.120155181271</t>
  </si>
  <si>
    <t>-879.786654425933 141.603202090535 -275.900990251717</t>
  </si>
  <si>
    <t>-887.162949733854 140.581786199678 -364.686052624884</t>
  </si>
  <si>
    <t>-890.119865165769 140.825306933079 -453.733393098856</t>
  </si>
  <si>
    <t>-889.559009484325 142.294327630907 -578.306115503919</t>
  </si>
  <si>
    <t>-860.599922623711 141.61110426966 -656.190064234377</t>
  </si>
  <si>
    <t>-888.694275310774 169.332745466829 -523.156432496913</t>
  </si>
  <si>
    <t>-874.827944776553 304.409080751879 -501.722719937796</t>
  </si>
  <si>
    <t>-803.385630205814 320.299784407665 -216.70556681628</t>
  </si>
  <si>
    <t>-563.207637014779 331.985689507938 -231.831492353274</t>
  </si>
  <si>
    <t>-890.917675654206 113.963165344947 -523.81927804848</t>
  </si>
  <si>
    <t>-727.138827214825 8.15887346596446 -329.857043847085</t>
  </si>
  <si>
    <t>-859.38572431404 245.385597631051 -69.2161666852149</t>
  </si>
  <si>
    <t>-882.738047371927 247.838704286041 333.652730259468</t>
  </si>
  <si>
    <t>-942.356019818554 248.439061280014 777.567450134951</t>
  </si>
  <si>
    <t>-810.295047881751 311.368574196018 838.288781994176</t>
  </si>
  <si>
    <t>-820.201716399194 60.2966604743979 -64.7508496888103</t>
  </si>
  <si>
    <t>-775.36092984527 37.6415544992747 335.662232883598</t>
  </si>
  <si>
    <t>-806.391446180741 17.8481103256104 781.97044189033</t>
  </si>
  <si>
    <t>-689.449439488757 -61.8158267932608 853.142792057553</t>
  </si>
  <si>
    <t>9763-20170724T111142.014025300.bin</t>
  </si>
  <si>
    <t>-840.098826543582 152.576743141041 -65.9868358818301</t>
  </si>
  <si>
    <t>-867.694557927169 143.911374410663 -178.145602946439</t>
  </si>
  <si>
    <t>-880.215808543784 141.117707126217 -275.931445505155</t>
  </si>
  <si>
    <t>-887.504098076575 140.045564067775 -364.723231902473</t>
  </si>
  <si>
    <t>-890.333291512402 140.246895389794 -453.774860630934</t>
  </si>
  <si>
    <t>-889.551484701514 141.664165110207 -578.346831571938</t>
  </si>
  <si>
    <t>-860.538878086152 141.009085666916 -656.211222680501</t>
  </si>
  <si>
    <t>-888.87618332391 168.728866448125 -523.207421046182</t>
  </si>
  <si>
    <t>-875.490047940391 303.853306590909 -501.794024885416</t>
  </si>
  <si>
    <t>-804.924155454763 319.796348318373 -216.561687550358</t>
  </si>
  <si>
    <t>-564.719238759057 331.306578232481 -231.396650794656</t>
  </si>
  <si>
    <t>-890.91456961825 113.351994017971 -523.850284476407</t>
  </si>
  <si>
    <t>-727.200095952102 8.80749044354661 -329.868660056073</t>
  </si>
  <si>
    <t>-860.077313008024 245.162533132555 -69.2893708123557</t>
  </si>
  <si>
    <t>-883.317805307107 247.735805340578 333.585208551382</t>
  </si>
  <si>
    <t>-942.573039723819 248.726445541592 777.54636105428</t>
  </si>
  <si>
    <t>-810.210032293246 311.012245519147 838.274098217508</t>
  </si>
  <si>
    <t>-820.387338738775 59.9265794038188 -64.7874393540894</t>
  </si>
  <si>
    <t>-775.557458687711 37.5939843516799 335.645092061566</t>
  </si>
  <si>
    <t>-806.417638977166 17.7461730605646 781.975754725458</t>
  </si>
  <si>
    <t>-689.427674357329 -61.8576675270451 853.1364360811</t>
  </si>
  <si>
    <t>9763-20170724T111142.083210200.bin</t>
  </si>
  <si>
    <t>-840.679658774854 151.886416823253 -66.1508590560859</t>
  </si>
  <si>
    <t>-868.347504040165 143.003474901838 -178.274853896325</t>
  </si>
  <si>
    <t>-880.802227042336 140.105770118189 -276.066223824466</t>
  </si>
  <si>
    <t>-887.975122852658 138.965174434184 -364.866480342741</t>
  </si>
  <si>
    <t>-890.631799522748 139.123416422598 -453.923574053336</t>
  </si>
  <si>
    <t>-889.548404371343 140.504558801499 -578.493716260999</t>
  </si>
  <si>
    <t>-860.473791899042 139.907549928837 -656.33542268925</t>
  </si>
  <si>
    <t>-889.177789773192 167.591045948006 -523.362151694446</t>
  </si>
  <si>
    <t>-876.714782870995 302.797120730033 -501.878294418197</t>
  </si>
  <si>
    <t>-806.705310419416 318.951280379814 -216.520727750457</t>
  </si>
  <si>
    <t>-566.450419121489 330.060069734746 -230.84119627847</t>
  </si>
  <si>
    <t>-890.872711031962 112.202595996522 -523.990953786411</t>
  </si>
  <si>
    <t>-726.58721429653 9.22034054878668 -329.495001517287</t>
  </si>
  <si>
    <t>-860.941627440075 244.338772890558 -69.4429189856305</t>
  </si>
  <si>
    <t>-884.265423784904 247.272992966436 333.424415701987</t>
  </si>
  <si>
    <t>-942.482359004731 248.74104089172 777.466877641435</t>
  </si>
  <si>
    <t>-810.390909921814 311.573524070844 838.222675902684</t>
  </si>
  <si>
    <t>-820.679123552365 59.3794211251925 -64.8659075980195</t>
  </si>
  <si>
    <t>-775.725877977691 37.4830671592708 335.576893923494</t>
  </si>
  <si>
    <t>-806.365685364403 17.7818794472119 781.961697181835</t>
  </si>
  <si>
    <t>-689.379987304665 -61.8306907199949 853.119850381895</t>
  </si>
  <si>
    <t>9763-20170724T111142.113896400.bin</t>
  </si>
  <si>
    <t>-841.051666264678 151.661014129882 -66.1877056813535</t>
  </si>
  <si>
    <t>-868.678688100472 142.711444477201 -178.31650989107</t>
  </si>
  <si>
    <t>-881.06254793446 139.783565712027 -276.115972760696</t>
  </si>
  <si>
    <t>-888.155585680273 138.623616935007 -364.922457062976</t>
  </si>
  <si>
    <t>-890.716543956782 138.770240652173 -453.982245240246</t>
  </si>
  <si>
    <t>-889.483040019829 140.142353180435 -578.551180943024</t>
  </si>
  <si>
    <t>-860.397731999948 139.572615106189 -656.389161775303</t>
  </si>
  <si>
    <t>-889.255483727051 167.235058696905 -523.421855876268</t>
  </si>
  <si>
    <t>-877.23184898107 302.472563447909 -501.927567282802</t>
  </si>
  <si>
    <t>-807.358636389747 318.813599365231 -216.547197905246</t>
  </si>
  <si>
    <t>-567.079971812145 329.787828423987 -230.565624015416</t>
  </si>
  <si>
    <t>-890.796359993638 111.84191094879 -524.047373317126</t>
  </si>
  <si>
    <t>-726.412592903491 9.24910455670806 -329.459775095454</t>
  </si>
  <si>
    <t>-861.487539446146 244.094167324953 -69.4996113022363</t>
  </si>
  <si>
    <t>-884.922859235739 247.101303578844 333.36073774981</t>
  </si>
  <si>
    <t>-942.545620625693 248.872311648594 777.44403603216</t>
  </si>
  <si>
    <t>-810.376719535772 311.515281268678 838.226175331289</t>
  </si>
  <si>
    <t>-820.921567230546 59.2186416925761 -64.8985958826796</t>
  </si>
  <si>
    <t>-775.839831127508 37.4029414283746 335.53414258268</t>
  </si>
  <si>
    <t>-806.359577981553 17.7287631498884 781.95757248875</t>
  </si>
  <si>
    <t>-689.296401729974 -61.7792213789114 853.105455815396</t>
  </si>
  <si>
    <t>9763-20170724T111142.184076700.bin</t>
  </si>
  <si>
    <t>-841.671304220085 151.075047495619 -66.249555276945</t>
  </si>
  <si>
    <t>-869.207292753045 142.107308565533 -178.399362946896</t>
  </si>
  <si>
    <t>-881.441331968407 139.17895202595 -276.21761136515</t>
  </si>
  <si>
    <t>-888.369820390992 138.021529230738 -365.036993600366</t>
  </si>
  <si>
    <t>-890.73754720524 138.175288947782 -454.10236397629</t>
  </si>
  <si>
    <t>-889.203527838748 139.561495153837 -578.667727113527</t>
  </si>
  <si>
    <t>-860.110427380021 139.069101068794 -656.503225486142</t>
  </si>
  <si>
    <t>-889.238135923396 166.651195860586 -523.536498889561</t>
  </si>
  <si>
    <t>-878.001429796363 301.968822468011 -502.036340178675</t>
  </si>
  <si>
    <t>-808.84067953019 318.617741147386 -216.500282627708</t>
  </si>
  <si>
    <t>-568.495767364566 329.295150266763 -229.582879313853</t>
  </si>
  <si>
    <t>-890.518436234839 111.251626018966 -524.168765461408</t>
  </si>
  <si>
    <t>-725.786862006693 8.87345833629843 -329.20611440418</t>
  </si>
  <si>
    <t>-862.347109618421 243.443073575822 -69.561078396416</t>
  </si>
  <si>
    <t>-886.096239074171 246.504739605178 333.280375450032</t>
  </si>
  <si>
    <t>-942.402559659406 248.825590299037 777.472418252082</t>
  </si>
  <si>
    <t>-810.556960433544 312.115216885746 838.287209360435</t>
  </si>
  <si>
    <t>-821.287920617292 58.6576111904492 -65.0082694983274</t>
  </si>
  <si>
    <t>-776.293729135656 37.1856202269983 335.452920381742</t>
  </si>
  <si>
    <t>-806.353929539701 17.6258255913572 781.956214979814</t>
  </si>
  <si>
    <t>-689.216522486237 -61.7999003091668 853.073740977456</t>
  </si>
  <si>
    <t>9763-20170724T111142.215706500.bin</t>
  </si>
  <si>
    <t>-841.977601885108 150.769730070145 -66.2702526150342</t>
  </si>
  <si>
    <t>-869.492733139756 141.803590524177 -178.425226656165</t>
  </si>
  <si>
    <t>-881.679307776557 138.878104543297 -276.249602202748</t>
  </si>
  <si>
    <t>-888.553599612767 137.724039169422 -365.073403786168</t>
  </si>
  <si>
    <t>-890.855370536897 137.88240902436 -454.140213918619</t>
  </si>
  <si>
    <t>-889.218109173288 139.276981061492 -578.704257206662</t>
  </si>
  <si>
    <t>-860.114471510911 138.837393880084 -656.536159118357</t>
  </si>
  <si>
    <t>-889.359927767804 166.364539802771 -523.572040658484</t>
  </si>
  <si>
    <t>-878.46977590968 301.704458055504 -502.077910758128</t>
  </si>
  <si>
    <t>-809.879758106112 318.531112250517 -216.414697918848</t>
  </si>
  <si>
    <t>-569.488592516657 328.898121839949 -228.881893656744</t>
  </si>
  <si>
    <t>-890.517137223874 110.962166544722 -524.207562442861</t>
  </si>
  <si>
    <t>-725.700380730379 8.72371566228685 -329.050432834765</t>
  </si>
  <si>
    <t>-862.75074722883 243.156559347551 -69.5603841081996</t>
  </si>
  <si>
    <t>-886.582909426011 246.253772355891 333.275894639414</t>
  </si>
  <si>
    <t>-942.428634194175 248.887451720117 777.530221781233</t>
  </si>
  <si>
    <t>-810.545087651653 312.089400565106 838.354049733466</t>
  </si>
  <si>
    <t>-821.532098178548 58.3247987822028 -65.0423789165712</t>
  </si>
  <si>
    <t>-776.55805469843 37.0067630705139 335.429318706168</t>
  </si>
  <si>
    <t>-806.401925781841 17.422885013169 781.963075403915</t>
  </si>
  <si>
    <t>-689.040261320125 -61.6956837040598 853.052582976784</t>
  </si>
  <si>
    <t>9763-20170724T111142.281882900.bin</t>
  </si>
  <si>
    <t>-842.640811038981 150.281015212327 -66.264104772202</t>
  </si>
  <si>
    <t>-870.195728996713 141.329109145922 -178.410460806134</t>
  </si>
  <si>
    <t>-882.417386426954 138.437130953985 -276.231251761871</t>
  </si>
  <si>
    <t>-889.323489161909 137.322831647804 -365.053079853677</t>
  </si>
  <si>
    <t>-891.657843524022 137.53328362311 -454.119045430186</t>
  </si>
  <si>
    <t>-890.066074464454 139.015560838657 -578.682662731901</t>
  </si>
  <si>
    <t>-860.977037546356 138.714681408504 -656.520739510669</t>
  </si>
  <si>
    <t>-890.292968579876 166.066372290941 -523.532647699852</t>
  </si>
  <si>
    <t>-879.963546330898 301.444335105919 -501.983198921998</t>
  </si>
  <si>
    <t>-812.500329098337 318.161237678608 -216.045300674121</t>
  </si>
  <si>
    <t>-572.020061732196 328.189607995019 -226.979467525324</t>
  </si>
  <si>
    <t>-891.240086206751 110.660526919694 -524.204016242381</t>
  </si>
  <si>
    <t>-726.268314423938 8.96825113523801 -328.66072822982</t>
  </si>
  <si>
    <t>-863.60032735081 242.681150324564 -69.4909291350692</t>
  </si>
  <si>
    <t>-887.335513719252 245.850652167759 333.350520615012</t>
  </si>
  <si>
    <t>-942.484174080379 248.962616641723 777.705558231876</t>
  </si>
  <si>
    <t>-810.589641122874 312.15308478625 838.517440533749</t>
  </si>
  <si>
    <t>-822.009733957367 57.8256126823148 -65.0799083662305</t>
  </si>
  <si>
    <t>-777.025590609119 36.7721159823473 335.404588437723</t>
  </si>
  <si>
    <t>-806.431935243566 17.2139024746366 781.975418790746</t>
  </si>
  <si>
    <t>-688.903223638661 -61.685095848143 853.033284781116</t>
  </si>
  <si>
    <t>9763-20170724T111142.314138200.bin</t>
  </si>
  <si>
    <t>-842.927316686678 150.066300686263 -66.2483631757113</t>
  </si>
  <si>
    <t>-870.520161214249 141.087290519944 -178.383324341291</t>
  </si>
  <si>
    <t>-882.805004339079 138.2091265908 -276.196624335645</t>
  </si>
  <si>
    <t>-889.779533594539 137.123327749779 -365.013336122062</t>
  </si>
  <si>
    <t>-892.19300951097 137.379083971392 -454.077154247361</t>
  </si>
  <si>
    <t>-890.72243965312 138.943394970378 -578.641104978576</t>
  </si>
  <si>
    <t>-861.6786448294 138.731170589162 -656.496626151598</t>
  </si>
  <si>
    <t>-890.938336882104 165.958507736962 -523.47374172144</t>
  </si>
  <si>
    <t>-880.870577331342 301.345250904159 -501.867591315396</t>
  </si>
  <si>
    <t>-814.014580198269 317.870208179192 -215.775987993141</t>
  </si>
  <si>
    <t>-573.497399215038 327.643091119198 -226.112506885593</t>
  </si>
  <si>
    <t>-891.801002062746 110.551699423823 -524.179682654253</t>
  </si>
  <si>
    <t>-726.70059240678 8.93026556136965 -328.381517838452</t>
  </si>
  <si>
    <t>-863.98835555548 242.422593815645 -69.4356259980788</t>
  </si>
  <si>
    <t>-887.587200967465 245.696627940861 333.412986265189</t>
  </si>
  <si>
    <t>-942.540405568767 249.014138435614 777.796213580745</t>
  </si>
  <si>
    <t>-810.574357155162 312.066406497088 838.596487245997</t>
  </si>
  <si>
    <t>-822.161491171462 57.6265570888449 -65.0901504610124</t>
  </si>
  <si>
    <t>-777.221140550505 36.6746145735592 335.404576983849</t>
  </si>
  <si>
    <t>-806.443668761114 17.1038308394977 781.982288223432</t>
  </si>
  <si>
    <t>-688.814582280263 -61.6560810143199 853.028072124036</t>
  </si>
  <si>
    <t>9763-20170724T111142.383322100.bin</t>
  </si>
  <si>
    <t>-843.377346026189 149.740697085245 -66.256028801543</t>
  </si>
  <si>
    <t>-871.031696338399 140.638880141888 -178.365866199053</t>
  </si>
  <si>
    <t>-883.455306086058 137.756753641632 -276.161635949422</t>
  </si>
  <si>
    <t>-890.586106345896 136.707464448632 -364.966447651319</t>
  </si>
  <si>
    <t>-893.18422216625 137.042239615585 -454.024643397233</t>
  </si>
  <si>
    <t>-891.999246307427 138.761006835577 -578.589716253069</t>
  </si>
  <si>
    <t>-863.089190311644 138.735351901149 -656.494968744459</t>
  </si>
  <si>
    <t>-892.15279551874 165.708553651992 -523.388915794146</t>
  </si>
  <si>
    <t>-882.45579368805 301.106723956128 -501.69201539606</t>
  </si>
  <si>
    <t>-816.794641168911 317.501180374476 -215.316366901836</t>
  </si>
  <si>
    <t>-576.223931893268 326.621352040119 -224.983320166833</t>
  </si>
  <si>
    <t>-892.888586709726 110.300631070785 -524.16059775846</t>
  </si>
  <si>
    <t>-727.451258539031 8.66301664507728 -328.052352077745</t>
  </si>
  <si>
    <t>-864.733652318828 241.867208712093 -69.4092208736871</t>
  </si>
  <si>
    <t>-888.152794603061 245.510726276936 333.44675681697</t>
  </si>
  <si>
    <t>-942.608946013362 249.084486215366 777.911115320235</t>
  </si>
  <si>
    <t>-810.712914094435 312.303101370268 838.690328740944</t>
  </si>
  <si>
    <t>-822.308757503595 57.4958855340092 -65.0964763689821</t>
  </si>
  <si>
    <t>-777.485306826528 36.7280458779651 335.42099482249</t>
  </si>
  <si>
    <t>-806.312119278713 17.318117148885 781.996262774548</t>
  </si>
  <si>
    <t>-688.995954561272 -61.901290617471 853.048826327665</t>
  </si>
  <si>
    <t>9763-20170724T111142.412918300.bin</t>
  </si>
  <si>
    <t>-843.593246359605 149.553688931884 -66.2375049170406</t>
  </si>
  <si>
    <t>-871.283859270597 140.38382625862 -178.332867943754</t>
  </si>
  <si>
    <t>-883.772410461097 137.495101118257 -276.120098333957</t>
  </si>
  <si>
    <t>-890.973288035957 136.460126060531 -364.919511909192</t>
  </si>
  <si>
    <t>-893.652018830482 136.830053592145 -453.975260190298</t>
  </si>
  <si>
    <t>-892.589735593228 138.62070271393 -578.540366462038</t>
  </si>
  <si>
    <t>-863.736621176161 138.685738103368 -656.466736202512</t>
  </si>
  <si>
    <t>-892.726287328232 165.536806646836 -523.324364064398</t>
  </si>
  <si>
    <t>-883.237646146486 300.948686259 -501.592416037013</t>
  </si>
  <si>
    <t>-818.138372834996 317.190424742312 -215.079899613462</t>
  </si>
  <si>
    <t>-577.553049450495 326.119798171463 -224.557845632647</t>
  </si>
  <si>
    <t>-893.387739934358 110.128544501523 -524.126492617726</t>
  </si>
  <si>
    <t>-727.8082942001 8.40648499364124 -327.959816444326</t>
  </si>
  <si>
    <t>-865.050906914182 241.625816548689 -69.4117912829344</t>
  </si>
  <si>
    <t>-888.521962558271 245.474101652997 333.439291025883</t>
  </si>
  <si>
    <t>-942.634238994926 249.126350153423 777.941026057427</t>
  </si>
  <si>
    <t>-810.756885839376 312.384116634999 838.720291479205</t>
  </si>
  <si>
    <t>-822.399477878984 57.3983140239084 -65.0884197249654</t>
  </si>
  <si>
    <t>-777.596155167575 36.6660778992755 335.433161967365</t>
  </si>
  <si>
    <t>-806.311955605376 17.2450867880912 782.013854711238</t>
  </si>
  <si>
    <t>-689.031606199841 -62.03443147552 853.058986588208</t>
  </si>
  <si>
    <t>9763-20170724T111142.480110600.bin</t>
  </si>
  <si>
    <t>-844.198387565373 149.082276367462 -66.1972152421683</t>
  </si>
  <si>
    <t>-872.028588864442 139.787928904358 -178.247824137317</t>
  </si>
  <si>
    <t>-884.670414465378 136.871848590042 -276.014491381961</t>
  </si>
  <si>
    <t>-892.020137925394 135.841859711853 -364.801616948541</t>
  </si>
  <si>
    <t>-894.855904244738 136.247811308339 -453.852390902793</t>
  </si>
  <si>
    <t>-894.019174480216 138.120363378658 -578.4182129916</t>
  </si>
  <si>
    <t>-865.280208223012 138.329513194265 -656.386386944423</t>
  </si>
  <si>
    <t>-894.137579100941 165.001046931891 -523.184752466131</t>
  </si>
  <si>
    <t>-885.053780181282 300.428938797066 -501.397629728849</t>
  </si>
  <si>
    <t>-820.890960219262 316.540803860475 -214.666437795511</t>
  </si>
  <si>
    <t>-580.285836035589 325.282130534707 -223.811817750365</t>
  </si>
  <si>
    <t>-894.637268017215 109.591556131212 -524.021093840467</t>
  </si>
  <si>
    <t>-728.674345890419 7.93198973921335 -328.052492434014</t>
  </si>
  <si>
    <t>-865.931746970565 241.148534849179 -69.4146902611989</t>
  </si>
  <si>
    <t>-889.199760455484 245.218033215343 333.446011738088</t>
  </si>
  <si>
    <t>-942.594310270885 249.119548505181 777.997046401413</t>
  </si>
  <si>
    <t>-810.835751400846 312.619866923531 838.780499802934</t>
  </si>
  <si>
    <t>-822.777516816319 56.9205815531172 -65.0730166452782</t>
  </si>
  <si>
    <t>-777.766414350713 36.5479650615221 335.443705175891</t>
  </si>
  <si>
    <t>-806.289183072882 17.1378789316691 782.038867673863</t>
  </si>
  <si>
    <t>-688.790973403647 -61.845071324962 853.054027176414</t>
  </si>
  <si>
    <t>9763-20170724T111142.516214400.bin</t>
  </si>
  <si>
    <t>-844.602194985256 148.886795757002 -66.2242121232954</t>
  </si>
  <si>
    <t>-872.552482773039 139.533863453855 -178.240054507596</t>
  </si>
  <si>
    <t>-885.317669339478 136.601227546601 -275.990155483613</t>
  </si>
  <si>
    <t>-892.785355644046 135.569177254548 -364.76748847925</t>
  </si>
  <si>
    <t>-895.744588929486 135.986213089202 -453.814218782571</t>
  </si>
  <si>
    <t>-895.086304094574 137.88865350246 -578.380522080657</t>
  </si>
  <si>
    <t>-866.413025204794 138.155898459111 -656.372743941028</t>
  </si>
  <si>
    <t>-895.163063817607 164.756563057008 -523.140751838906</t>
  </si>
  <si>
    <t>-886.243968390447 300.196840930984 -501.361005345097</t>
  </si>
  <si>
    <t>-822.451500669565 316.349745258618 -214.549452797012</t>
  </si>
  <si>
    <t>-581.833676837913 324.973325077052 -223.47162069455</t>
  </si>
  <si>
    <t>-895.588818135602 109.346547533613 -523.989193991997</t>
  </si>
  <si>
    <t>-729.329558939265 7.85683236191744 -328.162650909366</t>
  </si>
  <si>
    <t>-866.496474322131 240.910814124125 -69.4143233205791</t>
  </si>
  <si>
    <t>-889.578860375058 245.187262592241 333.454877998351</t>
  </si>
  <si>
    <t>-942.641662636633 249.200237474362 778.029735400321</t>
  </si>
  <si>
    <t>-810.805673438136 312.538579484147 838.814813484422</t>
  </si>
  <si>
    <t>-823.035717525858 56.7718267948671 -65.0911526934456</t>
  </si>
  <si>
    <t>-777.872534076517 36.5997193597022 335.418659064708</t>
  </si>
  <si>
    <t>-806.218897046472 17.2371180906807 782.031415618726</t>
  </si>
  <si>
    <t>-688.851975928537 -61.9319960313219 853.056314426393</t>
  </si>
  <si>
    <t>9763-20170724T111142.582390700.bin</t>
  </si>
  <si>
    <t>-845.372401383926 148.373961720204 -66.2563779538447</t>
  </si>
  <si>
    <t>-873.589286696936 138.904831938512 -178.195434290614</t>
  </si>
  <si>
    <t>-886.62392803991 135.919104546055 -275.908554819964</t>
  </si>
  <si>
    <t>-894.349442263405 134.856828896971 -364.663433961368</t>
  </si>
  <si>
    <t>-897.578745117962 135.263012805716 -453.70082898904</t>
  </si>
  <si>
    <t>-897.30977204784 137.17099425148 -578.268447958805</t>
  </si>
  <si>
    <t>-868.754965008626 137.509855006145 -656.303729809876</t>
  </si>
  <si>
    <t>-897.277232905317 164.036722617364 -523.027678577323</t>
  </si>
  <si>
    <t>-888.663115062013 299.50707785966 -501.320359767294</t>
  </si>
  <si>
    <t>-825.101008639814 316.085985122817 -214.481956198524</t>
  </si>
  <si>
    <t>-584.444898917522 324.266788188528 -222.767496854624</t>
  </si>
  <si>
    <t>-897.579121558596 108.625979150715 -523.877010060399</t>
  </si>
  <si>
    <t>-730.702002805097 7.84350223796537 -328.40772586609</t>
  </si>
  <si>
    <t>-867.382216793544 240.387503790979 -69.4041979446574</t>
  </si>
  <si>
    <t>-890.343871040265 245.150519252486 333.466439529404</t>
  </si>
  <si>
    <t>-942.782227404505 249.405199590691 778.113833959261</t>
  </si>
  <si>
    <t>-810.957481916156 312.761980989171 838.904253660281</t>
  </si>
  <si>
    <t>-823.698273642443 56.2748144546154 -65.1074286239191</t>
  </si>
  <si>
    <t>-778.061808760622 36.4614928600686 335.366579175801</t>
  </si>
  <si>
    <t>-806.234668835845 16.99189008453 782.026552250892</t>
  </si>
  <si>
    <t>-688.682979555737 -61.9140897198058 853.03864938491</t>
  </si>
  <si>
    <t>9763-20170724T111142.616505400.bin</t>
  </si>
  <si>
    <t>-845.785575750133 148.134825568612 -66.218630871776</t>
  </si>
  <si>
    <t>-874.137799144942 138.605308614119 -178.118372882676</t>
  </si>
  <si>
    <t>-887.298023177128 135.597630058966 -275.813862525007</t>
  </si>
  <si>
    <t>-895.138858839187 134.527644186102 -364.558536949357</t>
  </si>
  <si>
    <t>-898.485623920284 134.938560289941 -453.591576535722</t>
  </si>
  <si>
    <t>-898.38116294382 136.865860757835 -578.159294636353</t>
  </si>
  <si>
    <t>-869.905199551624 137.230855451245 -656.223249134205</t>
  </si>
  <si>
    <t>-898.303653474687 163.723334257317 -522.914396957836</t>
  </si>
  <si>
    <t>-889.844764689533 299.203196599424 -501.231331808584</t>
  </si>
  <si>
    <t>-826.323187967884 316.085038162306 -214.401595311179</t>
  </si>
  <si>
    <t>-585.652197998602 324.05187577178 -222.456641769853</t>
  </si>
  <si>
    <t>-898.550834611958 108.312477431059 -523.771990709935</t>
  </si>
  <si>
    <t>-731.443707315991 7.8473273251202 -328.434195788142</t>
  </si>
  <si>
    <t>-867.856012043087 240.121594674334 -69.3972177598042</t>
  </si>
  <si>
    <t>-890.729122138144 245.035475870585 333.476600561601</t>
  </si>
  <si>
    <t>-942.73932403955 249.389525611823 778.152647775794</t>
  </si>
  <si>
    <t>-811.021911238631 312.966566487833 838.9453316337</t>
  </si>
  <si>
    <t>-824.054330141658 56.0898660804501 -65.102384793413</t>
  </si>
  <si>
    <t>-778.208730308098 36.4658042046385 335.357068171251</t>
  </si>
  <si>
    <t>-806.181744797756 17.0397087986462 782.02785011587</t>
  </si>
  <si>
    <t>-688.674062127913 -61.9311176368963 853.040483103915</t>
  </si>
  <si>
    <t>9763-20170724T111142.680676500.bin</t>
  </si>
  <si>
    <t>-846.673435559115 147.642692456058 -66.1804800431639</t>
  </si>
  <si>
    <t>-875.252353063796 138.031842255105 -178.015578117332</t>
  </si>
  <si>
    <t>-888.524493068951 135.011968228214 -275.695618753389</t>
  </si>
  <si>
    <t>-896.431043837749 133.953173929577 -364.434604705364</t>
  </si>
  <si>
    <t>-899.807136742128 134.396966173909 -453.466322453566</t>
  </si>
  <si>
    <t>-899.705073816703 136.393378530721 -578.032833767246</t>
  </si>
  <si>
    <t>-871.292804740138 136.779600348431 -656.120127966416</t>
  </si>
  <si>
    <t>-899.680457608223 163.220287298295 -522.773245779976</t>
  </si>
  <si>
    <t>-891.569904737919 298.72229512298 -501.09015674119</t>
  </si>
  <si>
    <t>-828.317326708237 316.077024255327 -214.229331715891</t>
  </si>
  <si>
    <t>-587.617932358434 323.667892413664 -221.786612547129</t>
  </si>
  <si>
    <t>-899.819377971288 107.80954413048 -523.661260698982</t>
  </si>
  <si>
    <t>-732.594044597374 7.84337609138947 -328.44912957971</t>
  </si>
  <si>
    <t>-868.833354902077 239.672098997193 -69.3880761505081</t>
  </si>
  <si>
    <t>-891.505691958728 244.83658484984 333.493990554387</t>
  </si>
  <si>
    <t>-942.831529024466 249.54325020599 778.242882218603</t>
  </si>
  <si>
    <t>-811.090808898479 313.074230238083 839.032959032399</t>
  </si>
  <si>
    <t>-824.839992426599 55.5287843339561 -65.0844489851345</t>
  </si>
  <si>
    <t>-778.678483740777 36.3790796150934 335.36167100602</t>
  </si>
  <si>
    <t>-806.185726239903 16.8356143087044 782.048076279466</t>
  </si>
  <si>
    <t>-688.544380330282 -61.953090736017 853.042026355318</t>
  </si>
  <si>
    <t>9763-20170724T111142.717277400.bin</t>
  </si>
  <si>
    <t>-847.032970842334 147.422771514919 -66.1525293798528</t>
  </si>
  <si>
    <t>-875.647866542536 137.80237684861 -177.97770678535</t>
  </si>
  <si>
    <t>-888.872851265892 134.789808635452 -275.664338559969</t>
  </si>
  <si>
    <t>-896.705078869252 133.742502328247 -364.410111791718</t>
  </si>
  <si>
    <t>-899.975361661184 134.202365133128 -453.445552581665</t>
  </si>
  <si>
    <t>-899.692424011037 136.225222803138 -578.011454462779</t>
  </si>
  <si>
    <t>-871.223041133245 136.601351618658 -656.077894452799</t>
  </si>
  <si>
    <t>-899.772380864604 163.040413529951 -522.74609365311</t>
  </si>
  <si>
    <t>-891.809244684397 298.556933008387 -501.073724778667</t>
  </si>
  <si>
    <t>-828.845474595738 315.979649990277 -214.153396097383</t>
  </si>
  <si>
    <t>-588.131703871157 323.429168455993 -221.386147806906</t>
  </si>
  <si>
    <t>-899.861626517066 107.629578650361 -523.646227489169</t>
  </si>
  <si>
    <t>-732.599303289368 7.74885791950692 -328.38518130813</t>
  </si>
  <si>
    <t>-869.155201067741 239.490906049279 -69.3691689283194</t>
  </si>
  <si>
    <t>-891.857726200079 244.732661944317 333.510172482695</t>
  </si>
  <si>
    <t>-942.875017849421 249.606288417926 778.289979033572</t>
  </si>
  <si>
    <t>-811.055281952428 312.974816673734 839.079049931209</t>
  </si>
  <si>
    <t>-825.186361098341 55.3149104412942 -65.0702404922085</t>
  </si>
  <si>
    <t>-778.860093677522 36.3341616508073 335.364898203585</t>
  </si>
  <si>
    <t>-806.133920632424 16.896654210102 782.057482785209</t>
  </si>
  <si>
    <t>-688.564898512179 -61.9986243574197 853.052676748972</t>
  </si>
  <si>
    <t>9763-20170724T111142.782452000.bin</t>
  </si>
  <si>
    <t>-847.606348844005 146.838721747869 -66.0960603096999</t>
  </si>
  <si>
    <t>-876.524885640066 137.199870439528 -177.841450273992</t>
  </si>
  <si>
    <t>-889.6698801011 134.190506532209 -275.539019287167</t>
  </si>
  <si>
    <t>-897.29187587526 133.147691208259 -364.303000116548</t>
  </si>
  <si>
    <t>-900.213710557454 133.61021295714 -453.350681457223</t>
  </si>
  <si>
    <t>-899.299762674886 135.630936452226 -577.913655342504</t>
  </si>
  <si>
    <t>-870.566175522248 135.954081095202 -655.883446751826</t>
  </si>
  <si>
    <t>-899.702456809598 162.447407839381 -522.650121940574</t>
  </si>
  <si>
    <t>-891.952969383294 297.975170367454 -500.961887254812</t>
  </si>
  <si>
    <t>-829.532418352872 315.197994491725 -213.910910995938</t>
  </si>
  <si>
    <t>-588.816862158226 322.661260859555 -221.066720037201</t>
  </si>
  <si>
    <t>-899.701335752217 107.036511087766 -523.549135562314</t>
  </si>
  <si>
    <t>-732.455591237639 7.08366451302072 -328.05959200397</t>
  </si>
  <si>
    <t>-869.76263976987 239.026900756627 -69.3090031815804</t>
  </si>
  <si>
    <t>-892.283030328191 244.423424128583 333.578584045441</t>
  </si>
  <si>
    <t>-942.953257569851 249.704843162681 778.405119092421</t>
  </si>
  <si>
    <t>-811.238167690168 313.303711709587 839.18021916801</t>
  </si>
  <si>
    <t>-825.803973308836 54.5536748180361 -65.0381401087573</t>
  </si>
  <si>
    <t>-779.163214997986 36.2106869042782 335.390111514167</t>
  </si>
  <si>
    <t>-806.09232778061 16.8501383059697 782.09016916925</t>
  </si>
  <si>
    <t>-688.601802335859 -62.1662323762175 853.080949726741</t>
  </si>
  <si>
    <t>9763-20170724T111142.817055400.bin</t>
  </si>
  <si>
    <t>-848.058904089123 146.513679598478 -66.0925328949426</t>
  </si>
  <si>
    <t>-877.162987294907 136.856506237085 -177.788167630184</t>
  </si>
  <si>
    <t>-890.283574746267 133.826866421162 -275.488293765971</t>
  </si>
  <si>
    <t>-897.80860101896 132.759643482689 -364.260320896086</t>
  </si>
  <si>
    <t>-900.558610796877 133.18944566748 -453.313696192472</t>
  </si>
  <si>
    <t>-899.327981304588 135.153042401994 -577.874733917357</t>
  </si>
  <si>
    <t>-870.411963614996 135.444819236272 -655.77731417344</t>
  </si>
  <si>
    <t>-899.885713178348 161.994755788927 -522.624970861815</t>
  </si>
  <si>
    <t>-892.204167425891 297.536143650963 -500.961696786239</t>
  </si>
  <si>
    <t>-830.029732901008 314.697015228978 -213.853568462643</t>
  </si>
  <si>
    <t>-589.310849036932 322.13918845656 -220.917831706312</t>
  </si>
  <si>
    <t>-899.853350031579 106.583457924886 -523.498064331381</t>
  </si>
  <si>
    <t>-732.666093991233 6.54008180060737 -327.827226515738</t>
  </si>
  <si>
    <t>-870.300952545319 238.780561995952 -69.2776428356908</t>
  </si>
  <si>
    <t>-892.467201037083 244.303346935571 333.627842923542</t>
  </si>
  <si>
    <t>-943.040432144972 249.79670473866 778.477375713453</t>
  </si>
  <si>
    <t>-811.171230520838 313.08220873455 839.245519803047</t>
  </si>
  <si>
    <t>-826.219139727197 54.1855919065551 -65.028637193237</t>
  </si>
  <si>
    <t>-779.434169215362 36.1159944702113 335.395293194122</t>
  </si>
  <si>
    <t>-806.087999421781 16.797491469576 782.105392165883</t>
  </si>
  <si>
    <t>-688.471222344947 -62.0427420672345 853.083064670021</t>
  </si>
  <si>
    <t>9763-20170724T111142.884234300.bin</t>
  </si>
  <si>
    <t>-848.744558392535 145.723701160257 -66.1397644684542</t>
  </si>
  <si>
    <t>-878.171278995267 135.991730039716 -177.744286805742</t>
  </si>
  <si>
    <t>-891.374812534055 132.898987098309 -275.431299251109</t>
  </si>
  <si>
    <t>-898.895168388193 131.770198920443 -364.203086264449</t>
  </si>
  <si>
    <t>-901.56093142097 132.129997425658 -453.259284761728</t>
  </si>
  <si>
    <t>-900.128394043816 133.983838026014 -577.819688831547</t>
  </si>
  <si>
    <t>-871.070650060644 134.23472841449 -655.669775531687</t>
  </si>
  <si>
    <t>-900.781020532351 160.874115414796 -522.59479751357</t>
  </si>
  <si>
    <t>-893.250621109558 296.436518094322 -501.039161695081</t>
  </si>
  <si>
    <t>-831.480940902604 313.847513854402 -213.858729046083</t>
  </si>
  <si>
    <t>-590.750528415102 321.081875413771 -220.738960046219</t>
  </si>
  <si>
    <t>-900.736348095156 105.461983693864 -523.418939555742</t>
  </si>
  <si>
    <t>-733.725460518813 5.12411523026321 -327.478902435183</t>
  </si>
  <si>
    <t>-870.869630162681 237.940873311778 -69.2364179113843</t>
  </si>
  <si>
    <t>-892.674944537529 243.992316921302 333.681120898733</t>
  </si>
  <si>
    <t>-943.032947275336 249.775866651338 778.57519980526</t>
  </si>
  <si>
    <t>-811.19793160416 313.143212796972 839.331987091849</t>
  </si>
  <si>
    <t>-826.873178209925 53.3820687163006 -65.0358954280794</t>
  </si>
  <si>
    <t>-779.860352501047 35.9258644406127 335.388496547125</t>
  </si>
  <si>
    <t>-806.06299505079 16.7295696717974 782.138974576875</t>
  </si>
  <si>
    <t>-688.469280816018 -62.1522900476441 853.108772920303</t>
  </si>
  <si>
    <t>9763-20170724T111142.915827700.bin</t>
  </si>
  <si>
    <t>-849.042706335634 145.291595161501 -66.1325431613084</t>
  </si>
  <si>
    <t>-878.603143401504 135.551016891155 -177.70096570856</t>
  </si>
  <si>
    <t>-891.849772101671 132.435101927797 -275.38150810039</t>
  </si>
  <si>
    <t>-899.379694420389 131.276375441927 -364.151863434195</t>
  </si>
  <si>
    <t>-902.025893410789 131.596300477696 -453.208871778725</t>
  </si>
  <si>
    <t>-900.53604594545 133.38249611335 -577.769749223444</t>
  </si>
  <si>
    <t>-871.437702490442 133.607220512708 -655.604610068403</t>
  </si>
  <si>
    <t>-901.212190379586 160.302666015267 -522.559549792561</t>
  </si>
  <si>
    <t>-893.734738748574 295.870076974778 -501.047148776717</t>
  </si>
  <si>
    <t>-832.167937602628 313.438763198428 -213.832809131719</t>
  </si>
  <si>
    <t>-591.430982914232 320.565547119254 -220.604711460485</t>
  </si>
  <si>
    <t>-901.170980656141 104.890360778 -523.353754400243</t>
  </si>
  <si>
    <t>-734.139970030168 4.28667920334692 -327.338654627814</t>
  </si>
  <si>
    <t>-871.155331548533 237.531075614682 -69.216797275692</t>
  </si>
  <si>
    <t>-892.904730516806 243.843253540134 333.699814572362</t>
  </si>
  <si>
    <t>-943.10998788953 249.853197120169 778.611092889525</t>
  </si>
  <si>
    <t>-811.242293616415 313.154929041791 839.366159922603</t>
  </si>
  <si>
    <t>-827.201389129165 52.9629125642655 -65.0492603926183</t>
  </si>
  <si>
    <t>-780.062907526232 35.8121972007416 335.373607504617</t>
  </si>
  <si>
    <t>-806.043404198149 16.7167668064367 782.154127213628</t>
  </si>
  <si>
    <t>-688.516904318479 -62.2644638483525 853.124328262087</t>
  </si>
  <si>
    <t>9763-20170724T111142.982003100.bin</t>
  </si>
  <si>
    <t>-849.886335084688 144.485029983878 -66.0800757580483</t>
  </si>
  <si>
    <t>-879.711404247805 134.697942850427 -177.57397091204</t>
  </si>
  <si>
    <t>-892.999035693036 131.537803809785 -275.247480256308</t>
  </si>
  <si>
    <t>-900.489553050175 130.332034356148 -364.020629878875</t>
  </si>
  <si>
    <t>-903.019657148481 130.593880533731 -453.081254482819</t>
  </si>
  <si>
    <t>-901.287465223878 132.284028368695 -577.640313529363</t>
  </si>
  <si>
    <t>-872.102426619885 132.451764653599 -655.442601787579</t>
  </si>
  <si>
    <t>-902.077916491548 159.246777993566 -522.452328718216</t>
  </si>
  <si>
    <t>-894.707477330771 294.831888322707 -501.001254335296</t>
  </si>
  <si>
    <t>-833.626637787789 312.6081905126 -213.696073322891</t>
  </si>
  <si>
    <t>-592.881170369695 319.627320119815 -220.276142050933</t>
  </si>
  <si>
    <t>-902.021854886211 103.833961251767 -523.20342112675</t>
  </si>
  <si>
    <t>-734.991902742864 2.8376515958139 -327.406078588166</t>
  </si>
  <si>
    <t>-872.106114347262 236.846313091402 -69.1717452534436</t>
  </si>
  <si>
    <t>-893.628589725847 243.492123733609 333.751640489005</t>
  </si>
  <si>
    <t>-943.306731348176 250.066789846054 778.700036489454</t>
  </si>
  <si>
    <t>-811.269606102783 313.011204574754 839.457644540937</t>
  </si>
  <si>
    <t>-828.030814196376 52.0747763675149 -65.0421544472529</t>
  </si>
  <si>
    <t>-780.676319390171 35.5271964306294 335.380617428731</t>
  </si>
  <si>
    <t>-806.074039102185 16.5352231068873 782.206547119956</t>
  </si>
  <si>
    <t>-688.28693053616 -62.0991672819255 853.129583970559</t>
  </si>
  <si>
    <t>9763-20170724T111143.020109400.bin</t>
  </si>
  <si>
    <t>-850.342320968272 144.124951821418 -66.0821709445606</t>
  </si>
  <si>
    <t>-880.274563158864 134.296342317414 -177.543755703581</t>
  </si>
  <si>
    <t>-893.586140662186 131.10886701271 -275.213072989308</t>
  </si>
  <si>
    <t>-901.070484557883 129.878920356742 -363.986459014904</t>
  </si>
  <si>
    <t>-903.565527250335 130.116045745512 -453.048071805745</t>
  </si>
  <si>
    <t>-901.754024081316 131.769290805366 -577.606557682357</t>
  </si>
  <si>
    <t>-872.556189380811 131.903860890993 -655.404329248446</t>
  </si>
  <si>
    <t>-902.586569714391 158.748473454181 -522.427277648868</t>
  </si>
  <si>
    <t>-895.291451671987 294.339503208723 -500.97799220629</t>
  </si>
  <si>
    <t>-834.440211090438 312.103795220712 -213.623198010834</t>
  </si>
  <si>
    <t>-593.689317659124 319.090603645746 -220.03161368342</t>
  </si>
  <si>
    <t>-902.515525768089 103.335252319393 -523.161778343132</t>
  </si>
  <si>
    <t>-735.410400268403 2.07451424159717 -327.480466984085</t>
  </si>
  <si>
    <t>-872.609315731266 236.47866094383 -69.1682791904021</t>
  </si>
  <si>
    <t>-893.990819118493 243.325651910963 333.759320219583</t>
  </si>
  <si>
    <t>-943.305869825542 250.067327231146 778.739992323868</t>
  </si>
  <si>
    <t>-811.280371528493 313.027620346088 839.506559247806</t>
  </si>
  <si>
    <t>-828.434202323407 51.7016445985464 -65.0399652573042</t>
  </si>
  <si>
    <t>-780.997056403978 35.4528695374911 335.385269848353</t>
  </si>
  <si>
    <t>-806.074482776174 16.494262995408 782.227913348915</t>
  </si>
  <si>
    <t>-688.37503193092 -62.2800862706108 853.141584513053</t>
  </si>
  <si>
    <t>9763-20170724T111143.083277200.bin</t>
  </si>
  <si>
    <t>-851.227526477702 143.36746540175 -66.0848580225455</t>
  </si>
  <si>
    <t>-881.374935426551 133.454688816822 -177.480971737896</t>
  </si>
  <si>
    <t>-894.75330479523 130.204298296989 -275.139210562949</t>
  </si>
  <si>
    <t>-902.248482552706 128.916815475092 -363.910813441945</t>
  </si>
  <si>
    <t>-904.70460473144 129.09410764066 -452.973547362664</t>
  </si>
  <si>
    <t>-902.787255798047 130.658987935628 -577.531497494069</t>
  </si>
  <si>
    <t>-873.571153272618 130.730830951088 -655.322511381533</t>
  </si>
  <si>
    <t>-903.697839438442 157.67709307576 -522.37267777404</t>
  </si>
  <si>
    <t>-896.620953156999 293.283625955678 -500.955854115298</t>
  </si>
  <si>
    <t>-836.188162961812 311.034560709752 -213.511948183285</t>
  </si>
  <si>
    <t>-595.429218610139 317.944304206899 -219.689307633746</t>
  </si>
  <si>
    <t>-903.56415429697 102.263470023159 -523.066838451816</t>
  </si>
  <si>
    <t>-736.281112585815 0.759466863033595 -327.535965933334</t>
  </si>
  <si>
    <t>-873.530704611752 235.746112946966 -69.1749536176879</t>
  </si>
  <si>
    <t>-894.652126798713 243.018179665708 333.758900008839</t>
  </si>
  <si>
    <t>-943.361244149389 250.136825339565 778.809430991773</t>
  </si>
  <si>
    <t>-811.355482066389 313.126648585203 839.58813322305</t>
  </si>
  <si>
    <t>-829.295254379889 50.9021444862824 -65.0467470104799</t>
  </si>
  <si>
    <t>-781.648627341607 35.1847732149781 335.374812205774</t>
  </si>
  <si>
    <t>-806.107441714554 16.2694765799311 782.265960741911</t>
  </si>
  <si>
    <t>-688.164518628684 -62.1723433890115 853.143829895067</t>
  </si>
  <si>
    <t>9763-20170724T111143.114362500.bin</t>
  </si>
  <si>
    <t>-851.657638818247 143.136427976087 -66.0719472027686</t>
  </si>
  <si>
    <t>-881.929114259816 133.163126492454 -177.428953815561</t>
  </si>
  <si>
    <t>-895.366173528454 129.865056842616 -275.077502316055</t>
  </si>
  <si>
    <t>-902.894192447132 128.535142141548 -363.845699976242</t>
  </si>
  <si>
    <t>-905.363405519668 128.669681941279 -452.908154600809</t>
  </si>
  <si>
    <t>-903.442514329046 130.174308548823 -577.466834661833</t>
  </si>
  <si>
    <t>-874.231990404876 130.222955452395 -655.260141879903</t>
  </si>
  <si>
    <t>-904.377641921951 157.219005526706 -522.321490770483</t>
  </si>
  <si>
    <t>-897.433243731764 292.837912049927 -500.947990369555</t>
  </si>
  <si>
    <t>-837.198922002196 310.704397037938 -213.469547185094</t>
  </si>
  <si>
    <t>-596.43823851924 317.631053880687 -219.562220029387</t>
  </si>
  <si>
    <t>-904.197646667114 101.805379639905 -522.988068272156</t>
  </si>
  <si>
    <t>-736.813194777222 0.251548816538161 -327.507417887715</t>
  </si>
  <si>
    <t>-873.995090148394 235.524309515105 -69.1723723868897</t>
  </si>
  <si>
    <t>-894.991849157484 242.994466645945 333.764324219974</t>
  </si>
  <si>
    <t>-943.463185464373 250.245763541541 778.843246201872</t>
  </si>
  <si>
    <t>-811.357346279442 313.021855486741 839.625662223635</t>
  </si>
  <si>
    <t>-829.692735881996 50.6943992592678 -65.0378664489533</t>
  </si>
  <si>
    <t>-781.883212530182 35.1840736979061 335.372274328088</t>
  </si>
  <si>
    <t>-806.047617692057 16.3630719792714 782.278698470951</t>
  </si>
  <si>
    <t>-688.252235611184 -62.2975013688647 853.158982186231</t>
  </si>
  <si>
    <t>9763-20170724T111143.183546800.bin</t>
  </si>
  <si>
    <t>-852.38557163016 142.630881987146 -66.0493814896173</t>
  </si>
  <si>
    <t>-882.940958579873 132.488074266379 -177.313583753271</t>
  </si>
  <si>
    <t>-896.520350981127 129.074407148352 -274.938453241895</t>
  </si>
  <si>
    <t>-904.13378709516 127.648137889416 -363.697770732948</t>
  </si>
  <si>
    <t>-906.643857025265 127.692623970756 -452.759165112281</t>
  </si>
  <si>
    <t>-904.732892929738 129.076085625027 -577.319549819945</t>
  </si>
  <si>
    <t>-875.499422798951 129.115597555774 -655.103905700092</t>
  </si>
  <si>
    <t>-905.710201008857 156.1742687942 -522.201039789876</t>
  </si>
  <si>
    <t>-899.01744367232 291.823199091801 -500.950579764259</t>
  </si>
  <si>
    <t>-839.347225530126 310.387276745207 -213.398956649121</t>
  </si>
  <si>
    <t>-598.582394558739 317.330623942275 -219.309521032676</t>
  </si>
  <si>
    <t>-905.437617258641 100.760275919831 -522.812318828813</t>
  </si>
  <si>
    <t>-874.850089366907 234.996793230637 -69.1777581377434</t>
  </si>
  <si>
    <t>-895.43334623168 242.904544757544 333.771988648366</t>
  </si>
  <si>
    <t>-943.476763185244 250.248974346844 778.883908586424</t>
  </si>
  <si>
    <t>-811.38924359852 313.059138902974 839.670348202771</t>
  </si>
  <si>
    <t>-830.274347220069 50.17666138199 -65.000078229597</t>
  </si>
  <si>
    <t>-782.225449139958 35.0770940225598 335.39716884055</t>
  </si>
  <si>
    <t>-806.021985773355 16.2740116853101 782.313355351663</t>
  </si>
  <si>
    <t>-688.118474573835 -62.2459837077122 853.170096765351</t>
  </si>
  <si>
    <t>9763-20170724T111143.213440200.bin</t>
  </si>
  <si>
    <t>-852.713617370448 142.405855053009 -66.0489809024568</t>
  </si>
  <si>
    <t>-883.435592291404 132.172418918568 -177.258904161767</t>
  </si>
  <si>
    <t>-897.104394612433 128.699273670513 -274.86917859904</t>
  </si>
  <si>
    <t>-904.775268653773 127.224471633944 -363.622982832541</t>
  </si>
  <si>
    <t>-907.319344191369 127.225470239718 -452.683349158173</t>
  </si>
  <si>
    <t>-905.430453719536 128.552799241094 -577.244646765936</t>
  </si>
  <si>
    <t>-876.172561458033 128.5880670103 -655.019855732611</t>
  </si>
  <si>
    <t>-906.426571954248 155.675684255691 -522.138667148303</t>
  </si>
  <si>
    <t>-899.86420531003 291.346883422131 -500.965322870627</t>
  </si>
  <si>
    <t>-840.441864153143 310.281770041077 -213.386355460768</t>
  </si>
  <si>
    <t>-599.67273727782 317.22198172572 -219.121174721382</t>
  </si>
  <si>
    <t>-906.096678584959 100.261780679024 -522.724093603002</t>
  </si>
  <si>
    <t>-875.273334376799 234.759214732303 -69.1902801879849</t>
  </si>
  <si>
    <t>-895.508308899901 242.841558909907 333.773579848712</t>
  </si>
  <si>
    <t>-943.382955079045 250.129801297903 778.903142415331</t>
  </si>
  <si>
    <t>-811.40732200736 313.177717009721 839.686897234508</t>
  </si>
  <si>
    <t>-830.499405895311 49.9597254099162 -64.9827029867841</t>
  </si>
  <si>
    <t>-782.341390595504 35.0869422065748 335.40996002149</t>
  </si>
  <si>
    <t>-805.980005790415 16.3137019071523 782.32763545108</t>
  </si>
  <si>
    <t>-688.112703517159 -62.2667273594363 853.17715583579</t>
  </si>
  <si>
    <t>9763-20170724T111143.281621600.bin</t>
  </si>
  <si>
    <t>-853.403327428422 141.992285720714 -66.0690941107877</t>
  </si>
  <si>
    <t>-884.47427353394 131.562280509696 -177.163852206882</t>
  </si>
  <si>
    <t>-898.276701884573 127.932573547787 -274.749629671341</t>
  </si>
  <si>
    <t>-905.999727391926 126.316481466423 -363.496329684629</t>
  </si>
  <si>
    <t>-908.526106374681 126.175088186814 -452.557259344383</t>
  </si>
  <si>
    <t>-906.54001741004 127.300516072098 -577.118857174341</t>
  </si>
  <si>
    <t>-877.147157714279 127.296620521454 -654.843333377633</t>
  </si>
  <si>
    <t>-907.650763525984 154.512350090843 -522.058816449007</t>
  </si>
  <si>
    <t>-901.519527320089 290.228293055917 -501.055015801384</t>
  </si>
  <si>
    <t>-842.758206136616 309.750248943946 -213.379556299131</t>
  </si>
  <si>
    <t>-601.983824827558 316.724042604307 -218.859409444774</t>
  </si>
  <si>
    <t>-907.177475399029 99.0982616524475 -522.551992756334</t>
  </si>
  <si>
    <t>-876.19416261065 234.421158193427 -69.2267645029191</t>
  </si>
  <si>
    <t>-895.71430919177 242.888409701776 333.764483814356</t>
  </si>
  <si>
    <t>-943.547991218159 250.277940796239 778.922237774608</t>
  </si>
  <si>
    <t>-811.509559358945 313.198784402462 839.701719114023</t>
  </si>
  <si>
    <t>-830.974625446719 49.4345457497097 -64.9492448671896</t>
  </si>
  <si>
    <t>-782.469472254256 35.0865181614104 335.420616012302</t>
  </si>
  <si>
    <t>-805.980213677592 16.1407969139782 782.353176683091</t>
  </si>
  <si>
    <t>-687.987176183571 -62.2699123179739 853.182058665623</t>
  </si>
  <si>
    <t>9763-20170724T111143.313714700.bin</t>
  </si>
  <si>
    <t>-853.696710756975 141.829212675681 -66.0608484748977</t>
  </si>
  <si>
    <t>-884.926674469428 131.318695633064 -177.103366326483</t>
  </si>
  <si>
    <t>-898.76881053673 127.617922891285 -274.680767642801</t>
  </si>
  <si>
    <t>-906.487919284457 125.934958674599 -363.426582926941</t>
  </si>
  <si>
    <t>-908.970522145519 125.723315132767 -452.488549080658</t>
  </si>
  <si>
    <t>-906.881727583647 126.746088362941 -577.049519135949</t>
  </si>
  <si>
    <t>-877.434630305716 126.720481427334 -654.753123541017</t>
  </si>
  <si>
    <t>-908.073211661573 154.002904979001 -522.013413393967</t>
  </si>
  <si>
    <t>-902.137273922677 289.745620607279 -501.111205896057</t>
  </si>
  <si>
    <t>-843.805284413718 309.490424104826 -213.363750110808</t>
  </si>
  <si>
    <t>-603.026135111913 316.40081576793 -218.706356630696</t>
  </si>
  <si>
    <t>-907.528881973095 98.5891300924409 -522.459229811068</t>
  </si>
  <si>
    <t>-876.579253320723 234.269953103044 -69.2366803568115</t>
  </si>
  <si>
    <t>-895.769866057723 242.921441689198 333.766473993353</t>
  </si>
  <si>
    <t>-943.56205716602 250.280455069566 778.927364233009</t>
  </si>
  <si>
    <t>-811.511196232424 313.176225802088 839.705454089633</t>
  </si>
  <si>
    <t>-831.142892880317 49.3137865580861 -64.9297263368135</t>
  </si>
  <si>
    <t>-782.433178694595 35.2057336784228 335.423829471995</t>
  </si>
  <si>
    <t>-805.87116877693 16.3591808032775 782.341927527063</t>
  </si>
  <si>
    <t>-688.097160057012 -62.3616229590891 853.191221889589</t>
  </si>
  <si>
    <t>9763-20170724T111143.382899300.bin</t>
  </si>
  <si>
    <t>-854.402232069532 141.442262143018 -66.0977367505965</t>
  </si>
  <si>
    <t>-885.937321981786 130.707077699285 -177.032472241301</t>
  </si>
  <si>
    <t>-899.848245689222 126.8504557888 -274.594135194956</t>
  </si>
  <si>
    <t>-907.547614920647 125.035247808377 -363.339000219985</t>
  </si>
  <si>
    <t>-909.927794290098 124.696963133932 -452.403408613545</t>
  </si>
  <si>
    <t>-907.60912172013 125.545066441814 -576.961427134277</t>
  </si>
  <si>
    <t>-878.144443598896 125.469673513309 -654.658687957261</t>
  </si>
  <si>
    <t>-908.96936816275 152.878376935517 -521.967231917177</t>
  </si>
  <si>
    <t>-903.43404836806 288.657496471716 -501.214293295834</t>
  </si>
  <si>
    <t>-846.018888318091 308.829752487692 -213.311814450981</t>
  </si>
  <si>
    <t>-605.224874594154 315.649848946966 -218.063700698454</t>
  </si>
  <si>
    <t>-908.289256589328 97.4655922066945 -522.332045888031</t>
  </si>
  <si>
    <t>-877.574492358565 233.903405474233 -69.2999866993111</t>
  </si>
  <si>
    <t>-896.003884749192 242.984511487624 333.729248477231</t>
  </si>
  <si>
    <t>-943.617942992329 250.316584227155 778.924838321967</t>
  </si>
  <si>
    <t>-811.577525902041 313.232580431773 839.704742808048</t>
  </si>
  <si>
    <t>-831.587738538295 48.8536540350933 -64.8939080727729</t>
  </si>
  <si>
    <t>-782.388848429356 35.1829485957646 335.415078193223</t>
  </si>
  <si>
    <t>-805.864309538106 16.1434875104978 782.323433523892</t>
  </si>
  <si>
    <t>-687.862318630492 -62.2210927081173 853.188084522135</t>
  </si>
  <si>
    <t>9763-20170724T111143.412981800.bin</t>
  </si>
  <si>
    <t>-854.799016610852 141.297682791051 -66.1403335642702</t>
  </si>
  <si>
    <t>-886.365810224242 130.508231463933 -177.060784902471</t>
  </si>
  <si>
    <t>-900.2411081283 126.603703501354 -274.625577746585</t>
  </si>
  <si>
    <t>-907.881950641392 124.741613651787 -363.374520060489</t>
  </si>
  <si>
    <t>-910.178102047311 124.353005081045 -452.440880444311</t>
  </si>
  <si>
    <t>-907.715165071191 125.125801565119 -576.996847725332</t>
  </si>
  <si>
    <t>-878.2540367798 125.034895884266 -654.695316344215</t>
  </si>
  <si>
    <t>-909.172924089294 152.491780611215 -522.021546572655</t>
  </si>
  <si>
    <t>-903.809712139777 288.291357290171 -501.347276299346</t>
  </si>
  <si>
    <t>-846.942998424016 308.605718269848 -213.345897107269</t>
  </si>
  <si>
    <t>-606.14287985096 315.414285534774 -217.802892083756</t>
  </si>
  <si>
    <t>-908.42480644833 97.0796601717207 -522.35038817682</t>
  </si>
  <si>
    <t>-878.080160039288 233.725185583343 -69.3417452426156</t>
  </si>
  <si>
    <t>-896.315431750392 243.060841736959 333.690437387784</t>
  </si>
  <si>
    <t>-943.685098558934 250.388156934999 778.912455908107</t>
  </si>
  <si>
    <t>-811.606062572642 313.220174502414 839.69560777148</t>
  </si>
  <si>
    <t>-831.845808831333 48.7571559987564 -64.8946306624683</t>
  </si>
  <si>
    <t>-782.362675101011 35.282627224718 335.385888942139</t>
  </si>
  <si>
    <t>-805.805073825304 16.2075043219274 782.303077343759</t>
  </si>
  <si>
    <t>-687.855710432518 -62.2141352769549 853.192567197295</t>
  </si>
  <si>
    <t>9763-20170724T111143.483169200.bin</t>
  </si>
  <si>
    <t>-855.372612587161 140.918444131191 -66.137301597637</t>
  </si>
  <si>
    <t>-886.921285563853 130.084477342265 -177.058521206812</t>
  </si>
  <si>
    <t>-900.671073443127 126.101733988942 -274.638008387873</t>
  </si>
  <si>
    <t>-908.154931509235 124.148592528536 -363.398399494325</t>
  </si>
  <si>
    <t>-910.251122809059 123.647090799461 -452.469113189867</t>
  </si>
  <si>
    <t>-907.465432796352 124.237717947271 -577.019204265859</t>
  </si>
  <si>
    <t>-877.971265306808 124.131871283859 -654.70514486752</t>
  </si>
  <si>
    <t>-909.116546537614 151.68326639908 -522.089061378808</t>
  </si>
  <si>
    <t>-904.030195359799 287.522383713413 -501.602793844303</t>
  </si>
  <si>
    <t>-848.216816742582 308.012711492499 -213.408113847122</t>
  </si>
  <si>
    <t>-607.406321374954 314.792514747102 -217.31043330357</t>
  </si>
  <si>
    <t>-908.265874439856 96.2723458415953 -522.332690078941</t>
  </si>
  <si>
    <t>-878.747418458289 233.334452441744 -69.3831159774802</t>
  </si>
  <si>
    <t>-897.007454762361 242.975914544711 333.640817146199</t>
  </si>
  <si>
    <t>-943.63452090602 250.352196192598 778.902204349321</t>
  </si>
  <si>
    <t>-811.812186144623 313.707196917164 839.699441175739</t>
  </si>
  <si>
    <t>-832.331577253238 48.4288286570832 -64.9285939256412</t>
  </si>
  <si>
    <t>-782.456352836784 35.3895037444677 335.317765190358</t>
  </si>
  <si>
    <t>-805.738744309631 16.1974685210789 782.274987671677</t>
  </si>
  <si>
    <t>-687.764571561807 -62.164334778503 853.189102288964</t>
  </si>
  <si>
    <t>9763-20170724T111143.514258000.bin</t>
  </si>
  <si>
    <t>-855.793670217995 140.780409879705 -66.1235565118787</t>
  </si>
  <si>
    <t>-887.354075843257 129.925537955141 -177.039518381669</t>
  </si>
  <si>
    <t>-901.080086920881 125.918541596408 -274.621199212295</t>
  </si>
  <si>
    <t>-908.529261512484 123.939817804231 -363.384010441531</t>
  </si>
  <si>
    <t>-910.576970421809 123.407852704098 -452.455674553849</t>
  </si>
  <si>
    <t>-907.709388983443 123.950184445193 -577.004149230471</t>
  </si>
  <si>
    <t>-878.223799757737 123.860310559671 -654.693356727194</t>
  </si>
  <si>
    <t>-909.418216106586 151.416680085819 -522.086185351755</t>
  </si>
  <si>
    <t>-904.432157265695 287.262201836294 -501.646419613824</t>
  </si>
  <si>
    <t>-848.983544578881 307.903125984482 -213.392087181052</t>
  </si>
  <si>
    <t>-608.169098001716 314.657427179199 -217.094644670845</t>
  </si>
  <si>
    <t>-908.52404700077 96.0061497510715 -522.306907239502</t>
  </si>
  <si>
    <t>-879.340754202679 233.23066218081 -69.3898450823754</t>
  </si>
  <si>
    <t>-897.46481636484 242.954274404748 333.638205425597</t>
  </si>
  <si>
    <t>-943.607379238636 250.333911301174 778.932354524984</t>
  </si>
  <si>
    <t>-811.709862853186 313.516999192508 839.745378013722</t>
  </si>
  <si>
    <t>-832.650416945799 48.2843294900654 -64.9297477939358</t>
  </si>
  <si>
    <t>-782.598597321413 35.4309328815698 335.300525757354</t>
  </si>
  <si>
    <t>-805.73997040395 16.1258252983662 782.275779125197</t>
  </si>
  <si>
    <t>-687.653962386184 -62.0762411133778 853.180062786165</t>
  </si>
  <si>
    <t>9763-20170724T111143.581434400.bin</t>
  </si>
  <si>
    <t>-856.600087991485 140.489270262796 -66.1448407942073</t>
  </si>
  <si>
    <t>-888.190446337586 129.608583872558 -177.049717904494</t>
  </si>
  <si>
    <t>-901.8448678683 125.599021104827 -274.641412831366</t>
  </si>
  <si>
    <t>-909.188171907735 123.621374112601 -363.412959154508</t>
  </si>
  <si>
    <t>-911.089168232449 123.092122377441 -452.487983289768</t>
  </si>
  <si>
    <t>-907.973337104501 123.638076229986 -577.030314747782</t>
  </si>
  <si>
    <t>-878.557459079632 123.603680759553 -654.746053654794</t>
  </si>
  <si>
    <t>-909.828578377005 151.10224456339 -522.116097205929</t>
  </si>
  <si>
    <t>-905.133978766884 286.962285542171 -501.677864454691</t>
  </si>
  <si>
    <t>-850.489289459748 307.71099808949 -213.277723858626</t>
  </si>
  <si>
    <t>-609.6667661866 314.388317990115 -216.578785351942</t>
  </si>
  <si>
    <t>-908.860297981971 95.6932833426617 -522.334804147184</t>
  </si>
  <si>
    <t>-880.414582511192 232.915201430489 -69.3693023632914</t>
  </si>
  <si>
    <t>-898.140041178666 243.059315570124 333.666138402188</t>
  </si>
  <si>
    <t>-943.659699490055 250.409741928454 779.046112735653</t>
  </si>
  <si>
    <t>-811.834862440775 313.727148448825 839.877052342318</t>
  </si>
  <si>
    <t>-833.164874437208 47.9646630138027 -64.9439819411406</t>
  </si>
  <si>
    <t>-782.688307403339 35.63360660736 335.249412639809</t>
  </si>
  <si>
    <t>-805.632418684434 16.3179554942049 782.246262066542</t>
  </si>
  <si>
    <t>-687.658830814024 -62.0484392787419 853.156467685232</t>
  </si>
  <si>
    <t>9763-20170724T111143.618113300.bin</t>
  </si>
  <si>
    <t>-856.860093377489 140.286879902873 -66.0992920281936</t>
  </si>
  <si>
    <t>-888.456745734156 129.419223549644 -177.003656396292</t>
  </si>
  <si>
    <t>-902.037623722282 125.434477328281 -274.606590899793</t>
  </si>
  <si>
    <t>-909.281474267091 123.482221048352 -363.386997282831</t>
  </si>
  <si>
    <t>-911.05009873077 122.981536014845 -452.464778390612</t>
  </si>
  <si>
    <t>-907.715454839942 123.568369391581 -577.00133629109</t>
  </si>
  <si>
    <t>-878.302167152545 123.57972733446 -654.718101626966</t>
  </si>
  <si>
    <t>-909.689924015718 151.014395232375 -522.082021008105</t>
  </si>
  <si>
    <t>-905.164350269431 286.871787509699 -501.624744029869</t>
  </si>
  <si>
    <t>-851.072353800741 307.604660571043 -213.119255307861</t>
  </si>
  <si>
    <t>-610.24314250355 314.081575750331 -216.313514727453</t>
  </si>
  <si>
    <t>-908.675952657801 95.6057736783914 -522.315894905432</t>
  </si>
  <si>
    <t>-880.691857441017 232.721502073357 -69.3152983666869</t>
  </si>
  <si>
    <t>-898.315306513035 243.024401269832 333.720582322367</t>
  </si>
  <si>
    <t>-943.745371595942 250.494351669454 779.118868069764</t>
  </si>
  <si>
    <t>-811.926730312455 313.822741166549 839.952069858859</t>
  </si>
  <si>
    <t>-833.388920357736 47.7732573985504 -64.9360012916343</t>
  </si>
  <si>
    <t>-782.704364504076 35.5976327341177 335.235823633674</t>
  </si>
  <si>
    <t>-805.617704923579 16.2988066335079 782.236570721958</t>
  </si>
  <si>
    <t>-687.609327336622 -62.0153163219663 853.146701527545</t>
  </si>
  <si>
    <t>9763-20170724T111143.683284800.bin</t>
  </si>
  <si>
    <t>-857.229070388216 139.953691815653 -65.9992750826191</t>
  </si>
  <si>
    <t>-888.847098909893 129.119394382936 -176.90083562211</t>
  </si>
  <si>
    <t>-902.325344747413 125.189456149004 -274.52017935989</t>
  </si>
  <si>
    <t>-909.427336462706 123.295229393526 -363.313312690676</t>
  </si>
  <si>
    <t>-911.004272566579 122.859551221741 -452.395102484775</t>
  </si>
  <si>
    <t>-907.350031526306 123.544043993867 -576.92211974335</t>
  </si>
  <si>
    <t>-877.9762630549 123.643935912841 -654.653594141556</t>
  </si>
  <si>
    <t>-909.500455648903 150.946275460604 -521.987645266157</t>
  </si>
  <si>
    <t>-905.25658871568 286.812950974922 -501.465036769906</t>
  </si>
  <si>
    <t>-852.322740440121 307.716446038417 -212.757200545535</t>
  </si>
  <si>
    <t>-611.470819167376 313.458106301132 -215.640702989832</t>
  </si>
  <si>
    <t>-908.415635121016 95.5395121920387 -522.260327978017</t>
  </si>
  <si>
    <t>-881.081589137213 232.401580195749 -69.1694897578709</t>
  </si>
  <si>
    <t>-898.686873764485 242.803506243494 333.864682749521</t>
  </si>
  <si>
    <t>-943.889113674449 250.63507769195 779.264491655355</t>
  </si>
  <si>
    <t>-811.955611739196 313.72101023758 840.100582013905</t>
  </si>
  <si>
    <t>-833.780695723128 47.4505830661087 -64.9050265490147</t>
  </si>
  <si>
    <t>-782.982851662841 35.4465954356147 335.257611227566</t>
  </si>
  <si>
    <t>-805.626994754882 16.1831096449446 782.252800770517</t>
  </si>
  <si>
    <t>-687.445782424938 -61.8897804141984 853.14094051146</t>
  </si>
  <si>
    <t>9763-20170724T111143.716906800.bin</t>
  </si>
  <si>
    <t>-857.388780116922 139.876314044355 -65.97793790561</t>
  </si>
  <si>
    <t>-889.010657742959 129.055155449626 -176.879623605277</t>
  </si>
  <si>
    <t>-902.453946019042 125.152767043814 -274.504893377118</t>
  </si>
  <si>
    <t>-909.508056557473 123.289641886775 -363.302413951939</t>
  </si>
  <si>
    <t>-911.021448166293 122.890966743637 -452.3854947562</t>
  </si>
  <si>
    <t>-907.260941230573 123.633160980751 -576.909081147202</t>
  </si>
  <si>
    <t>-877.876362297224 123.788424765163 -654.636420343385</t>
  </si>
  <si>
    <t>-909.476467880306 151.009349376427 -521.96424300699</t>
  </si>
  <si>
    <t>-905.38824859234 286.867442456751 -501.385525461714</t>
  </si>
  <si>
    <t>-853.08883745957 307.935411991717 -212.574130986404</t>
  </si>
  <si>
    <t>-612.223394567048 313.15830537252 -215.293081761333</t>
  </si>
  <si>
    <t>-908.354992350144 95.6037043925071 -522.260592987299</t>
  </si>
  <si>
    <t>-881.267367059744 232.279476057488 -69.1105951071471</t>
  </si>
  <si>
    <t>-898.879522074629 242.706352245427 333.922658565472</t>
  </si>
  <si>
    <t>-943.945309944599 250.680906756259 779.335934304644</t>
  </si>
  <si>
    <t>-811.901583475079 313.538909488705 840.16897425798</t>
  </si>
  <si>
    <t>-833.916118839766 47.4402668708872 -64.9010812286689</t>
  </si>
  <si>
    <t>-783.179066861457 35.4834038443896 335.270716496026</t>
  </si>
  <si>
    <t>-805.579854997819 16.2766797427876 782.268097598189</t>
  </si>
  <si>
    <t>-687.592498365252 -62.0876080281739 853.157412230056</t>
  </si>
  <si>
    <t>9763-20170724T111143.779071800.bin</t>
  </si>
  <si>
    <t>-857.480733194395 139.543136882518 -65.9345797847582</t>
  </si>
  <si>
    <t>-889.131448246327 128.74083935398 -176.829731396748</t>
  </si>
  <si>
    <t>-902.504257724789 124.909303259782 -274.467624033418</t>
  </si>
  <si>
    <t>-909.454523723357 123.130742011037 -363.275113925643</t>
  </si>
  <si>
    <t>-910.822764743733 122.837051265826 -452.360820124044</t>
  </si>
  <si>
    <t>-906.81701156902 123.746439773945 -576.875798085137</t>
  </si>
  <si>
    <t>-877.383345239657 124.04561795246 -654.584173914639</t>
  </si>
  <si>
    <t>-909.184025617911 151.048264078311 -521.900025882597</t>
  </si>
  <si>
    <t>-905.452621242184 286.906818282243 -501.213550293554</t>
  </si>
  <si>
    <t>-854.91160641989 308.530862465211 -212.130085676943</t>
  </si>
  <si>
    <t>-614.017611675628 312.518046286971 -214.386735521763</t>
  </si>
  <si>
    <t>-907.975512678594 95.644478923261 -522.265806937388</t>
  </si>
  <si>
    <t>-881.273778393689 231.784804148584 -69.0063537254945</t>
  </si>
  <si>
    <t>-899.02513322226 242.384907013706 334.016233331182</t>
  </si>
  <si>
    <t>-943.865823897661 250.533481007555 779.461884632154</t>
  </si>
  <si>
    <t>-811.942354107271 313.657691811103 840.27973781366</t>
  </si>
  <si>
    <t>-834.013740968411 47.2138402866481 -64.8913483201359</t>
  </si>
  <si>
    <t>-783.483706143076 35.2697030165737 335.306982508898</t>
  </si>
  <si>
    <t>-805.559830312776 16.2413435249669 782.312849007746</t>
  </si>
  <si>
    <t>-687.511302442854 -62.0647463781665 853.164803245576</t>
  </si>
  <si>
    <t>9763-20170724T111143.814431600.bin</t>
  </si>
  <si>
    <t>-857.460260850419 139.376181364309 -65.8952370356524</t>
  </si>
  <si>
    <t>-889.144701030661 128.567188939484 -176.780310818085</t>
  </si>
  <si>
    <t>-902.489690267573 124.767616981884 -274.423132588067</t>
  </si>
  <si>
    <t>-909.391094139007 123.032567621338 -363.235346963688</t>
  </si>
  <si>
    <t>-910.686405232103 122.796179238815 -452.322434587036</t>
  </si>
  <si>
    <t>-906.552293162914 123.799663564067 -576.832343239731</t>
  </si>
  <si>
    <t>-877.073381244567 124.187503468761 -654.523327149856</t>
  </si>
  <si>
    <t>-909.005490327709 151.058815004865 -521.839566644142</t>
  </si>
  <si>
    <t>-905.474248009222 286.912643991209 -501.134007790477</t>
  </si>
  <si>
    <t>-855.957466342531 308.797130563364 -211.893188229834</t>
  </si>
  <si>
    <t>-615.052733230465 312.196902958364 -213.939650350864</t>
  </si>
  <si>
    <t>-907.737154867681 95.6570031400233 -522.243896203708</t>
  </si>
  <si>
    <t>-881.273599309665 231.547745946046 -68.9609250838049</t>
  </si>
  <si>
    <t>-899.04729088473 242.254989720197 334.057810939245</t>
  </si>
  <si>
    <t>-943.929779442005 250.569917369612 779.512232186428</t>
  </si>
  <si>
    <t>-812.055582979363 313.806228002893 840.320611359939</t>
  </si>
  <si>
    <t>-833.995328556202 47.1186551557089 -64.8863080346975</t>
  </si>
  <si>
    <t>-783.566278289469 35.1841214594701 335.325030402677</t>
  </si>
  <si>
    <t>-805.541504348619 16.2341819303392 782.332199740189</t>
  </si>
  <si>
    <t>-687.604960383362 -62.2472046350213 853.176726253412</t>
  </si>
  <si>
    <t>9763-20170724T111143.884618300.bin</t>
  </si>
  <si>
    <t>-857.575113812064 138.998407260801 -65.8380773634816</t>
  </si>
  <si>
    <t>-889.374903334268 128.15311537065 -176.686528393489</t>
  </si>
  <si>
    <t>-902.779959093645 124.408975380622 -274.323350717074</t>
  </si>
  <si>
    <t>-909.716640074584 122.757945466937 -363.134306443304</t>
  </si>
  <si>
    <t>-911.026814386433 122.640830365187 -452.221342809485</t>
  </si>
  <si>
    <t>-906.891430964602 123.848551344669 -576.729561789567</t>
  </si>
  <si>
    <t>-877.3764938551 124.427869714546 -654.405585942326</t>
  </si>
  <si>
    <t>-909.416944682946 151.016138209226 -521.694513365545</t>
  </si>
  <si>
    <t>-906.343799036568 286.864642965624 -500.875439119619</t>
  </si>
  <si>
    <t>-858.749336751106 309.113672457915 -211.339683349684</t>
  </si>
  <si>
    <t>-617.828626897404 311.546253637615 -212.809000912422</t>
  </si>
  <si>
    <t>-908.005465013526 95.6180352868214 -522.184819209018</t>
  </si>
  <si>
    <t>-881.491526057332 231.144491369708 -68.8625208325803</t>
  </si>
  <si>
    <t>-899.204756551627 242.057729413635 334.153411187505</t>
  </si>
  <si>
    <t>-943.992669217938 250.570921640569 779.598320741721</t>
  </si>
  <si>
    <t>-812.026657403752 313.633694080947 840.3879042162</t>
  </si>
  <si>
    <t>-834.070699614613 46.7790684032539 -64.8644491083439</t>
  </si>
  <si>
    <t>-783.685186926191 34.9564579472503 335.355819383048</t>
  </si>
  <si>
    <t>-805.513669295088 16.1641028081713 782.368859161041</t>
  </si>
  <si>
    <t>-687.479757271333 -62.1967708751783 853.184655528822</t>
  </si>
  <si>
    <t>9763-20170724T111143.918716000.bin</t>
  </si>
  <si>
    <t>-857.714069437766 138.817531307317 -65.8198871044128</t>
  </si>
  <si>
    <t>-889.566408201674 127.933904439129 -176.649438179461</t>
  </si>
  <si>
    <t>-903.034120758054 124.198763882538 -274.277937395105</t>
  </si>
  <si>
    <t>-910.032520043983 122.572360228291 -363.084527545504</t>
  </si>
  <si>
    <t>-911.408894284147 122.497639609179 -452.170774389621</t>
  </si>
  <si>
    <t>-907.369695976852 123.782788391639 -576.681065860504</t>
  </si>
  <si>
    <t>-877.849517442584 124.455660406289 -654.354425403636</t>
  </si>
  <si>
    <t>-909.888069496464 150.915309768326 -521.628427725769</t>
  </si>
  <si>
    <t>-907.03523625094 286.758678403282 -500.744349052431</t>
  </si>
  <si>
    <t>-860.300906866298 309.06212036368 -211.072591379181</t>
  </si>
  <si>
    <t>-619.375920702966 311.223231856938 -212.219592897514</t>
  </si>
  <si>
    <t>-908.406524384163 95.5192929716732 -522.152144589502</t>
  </si>
  <si>
    <t>-881.71908011594 230.92712072216 -68.8299584103779</t>
  </si>
  <si>
    <t>-899.27218381789 241.928234999757 334.190573427444</t>
  </si>
  <si>
    <t>-943.984890417535 250.530068261383 779.630652990754</t>
  </si>
  <si>
    <t>-812.071446707825 313.703543708751 840.419412820368</t>
  </si>
  <si>
    <t>-834.111391832337 46.605244917987 -64.8656870425193</t>
  </si>
  <si>
    <t>-783.714049753335 34.9152866592794 335.356916644919</t>
  </si>
  <si>
    <t>-805.474222643877 16.1827723674819 782.377234795338</t>
  </si>
  <si>
    <t>-687.496426561785 -62.2594649062671 853.19643226065</t>
  </si>
  <si>
    <t>9763-20170724T111143.983888500.bin</t>
  </si>
  <si>
    <t>-858.016047045596 138.417651264205 -65.8103252475128</t>
  </si>
  <si>
    <t>-889.898152174119 127.436358172441 -176.621668044024</t>
  </si>
  <si>
    <t>-903.335718145113 123.692121344987 -274.253930943825</t>
  </si>
  <si>
    <t>-910.281318588842 122.084669058297 -363.065150103226</t>
  </si>
  <si>
    <t>-911.578343079054 122.055213063233 -452.152464466743</t>
  </si>
  <si>
    <t>-907.398676988096 123.430205024791 -576.657272840587</t>
  </si>
  <si>
    <t>-877.827543103419 124.269937576493 -654.309484287265</t>
  </si>
  <si>
    <t>-910.059989138252 150.520545205418 -521.590668564746</t>
  </si>
  <si>
    <t>-907.697445294147 286.359425133985 -500.589159835762</t>
  </si>
  <si>
    <t>-862.501120307322 308.524954146712 -210.662848967418</t>
  </si>
  <si>
    <t>-621.572192390507 310.551320369993 -210.924184280406</t>
  </si>
  <si>
    <t>-908.416001058403 95.1296529304786 -522.147188725122</t>
  </si>
  <si>
    <t>-882.245021892179 230.529340745752 -68.7993042116194</t>
  </si>
  <si>
    <t>-899.593125476402 241.798612000511 334.222607484546</t>
  </si>
  <si>
    <t>-944.081896363133 250.57801402078 779.686204232972</t>
  </si>
  <si>
    <t>-812.08957470414 313.587810902844 840.473481277281</t>
  </si>
  <si>
    <t>-834.091435535264 46.2272478223467 -64.8669922059624</t>
  </si>
  <si>
    <t>-783.682671024929 34.8878483392541 335.364248527889</t>
  </si>
  <si>
    <t>-805.397248006791 16.2612628681641 782.397531032175</t>
  </si>
  <si>
    <t>-687.383947442702 -62.1403323214172 853.202573511686</t>
  </si>
  <si>
    <t>9763-20170724T111144.013528500.bin</t>
  </si>
  <si>
    <t>-858.257336269325 138.28227540438 -65.7948015653079</t>
  </si>
  <si>
    <t>-890.126963593435 127.27885053254 -176.607506255584</t>
  </si>
  <si>
    <t>-903.48890679416 123.525755589758 -274.249892769184</t>
  </si>
  <si>
    <t>-910.33983522592 121.912430418903 -363.068308611378</t>
  </si>
  <si>
    <t>-911.515465375731 121.879890474747 -452.157345884663</t>
  </si>
  <si>
    <t>-907.139220793812 123.252211260307 -576.655518061121</t>
  </si>
  <si>
    <t>-877.522577684892 124.155934344574 -654.289622341115</t>
  </si>
  <si>
    <t>-909.936542140317 150.342065126683 -521.595390081689</t>
  </si>
  <si>
    <t>-907.84544914731 286.18169328098 -500.587102438934</t>
  </si>
  <si>
    <t>-863.444801575486 308.282632117003 -210.533056009333</t>
  </si>
  <si>
    <t>-622.516091146312 310.342668180541 -210.30024980297</t>
  </si>
  <si>
    <t>-908.193337527918 94.9540945640751 -522.144452134602</t>
  </si>
  <si>
    <t>-882.71109362558 230.484626864828 -68.7800942290396</t>
  </si>
  <si>
    <t>-899.674008918398 241.778617515505 334.257566781967</t>
  </si>
  <si>
    <t>-944.106494124821 250.573075501642 779.73002406868</t>
  </si>
  <si>
    <t>-812.163889988124 313.691464223432 840.512473784948</t>
  </si>
  <si>
    <t>-834.185561258447 46.0495340420275 -64.8538055922169</t>
  </si>
  <si>
    <t>-783.619552007022 34.9131197629076 335.36319768871</t>
  </si>
  <si>
    <t>-805.399281243795 16.2066436605169 782.411894292934</t>
  </si>
  <si>
    <t>-687.334307755795 -62.1272374452201 853.205566912406</t>
  </si>
  <si>
    <t>9763-20170724T111144.080708400.bin</t>
  </si>
  <si>
    <t>-858.547536589907 137.851020770932 -65.7949041681208</t>
  </si>
  <si>
    <t>-890.405316787892 126.790898011883 -176.605416894337</t>
  </si>
  <si>
    <t>-903.566646559213 122.997509574408 -274.273500851634</t>
  </si>
  <si>
    <t>-910.157846997138 121.346096753815 -363.110692190609</t>
  </si>
  <si>
    <t>-910.996975410059 121.272470161279 -452.203642507528</t>
  </si>
  <si>
    <t>-906.070805249064 122.582178146262 -576.681870132434</t>
  </si>
  <si>
    <t>-876.261319654372 123.5639081759 -654.241289577637</t>
  </si>
  <si>
    <t>-909.208604620491 149.696726430578 -521.652111627831</t>
  </si>
  <si>
    <t>-907.739521394937 285.547068503866 -500.66804672693</t>
  </si>
  <si>
    <t>-864.874271640058 307.712986281486 -210.38807218454</t>
  </si>
  <si>
    <t>-623.952188917535 310.003581731266 -208.880204306968</t>
  </si>
  <si>
    <t>-907.268220053918 94.3150162313 -522.158122190856</t>
  </si>
  <si>
    <t>-883.204551041086 230.214513272003 -68.7382969061133</t>
  </si>
  <si>
    <t>-900.11679102309 241.797103593991 334.293419287128</t>
  </si>
  <si>
    <t>-944.098415818263 250.474581319913 779.835091515438</t>
  </si>
  <si>
    <t>-812.277497327736 313.866513553781 840.596309076436</t>
  </si>
  <si>
    <t>-834.240480114126 45.4280194531789 -64.8408071191109</t>
  </si>
  <si>
    <t>-783.405361991559 34.8010730805499 335.356005042347</t>
  </si>
  <si>
    <t>-805.381597569973 16.1249356845501 782.413591778908</t>
  </si>
  <si>
    <t>-687.120929829834 -61.9166996143258 853.203410119384</t>
  </si>
  <si>
    <t>9763-20170724T111144.117311500.bin</t>
  </si>
  <si>
    <t>-858.588058111875 137.697116918879 -65.7764744577601</t>
  </si>
  <si>
    <t>-890.413872920115 126.59993617864 -176.592514347278</t>
  </si>
  <si>
    <t>-903.455158572762 122.784448420618 -274.275738479238</t>
  </si>
  <si>
    <t>-909.900230845266 121.114991324292 -363.12346009335</t>
  </si>
  <si>
    <t>-910.555553966309 121.024022335998 -452.217888953456</t>
  </si>
  <si>
    <t>-905.334290681586 122.310427936922 -576.684232935347</t>
  </si>
  <si>
    <t>-875.394198247254 123.32742198813 -654.192873646424</t>
  </si>
  <si>
    <t>-908.647222560032 149.433647083449 -521.669215157873</t>
  </si>
  <si>
    <t>-907.430120616096 285.291068305644 -500.725635050362</t>
  </si>
  <si>
    <t>-865.339180425758 307.686107229338 -210.350033602606</t>
  </si>
  <si>
    <t>-624.424126279692 310.086755908335 -208.097102440761</t>
  </si>
  <si>
    <t>-906.616818925291 94.0548623674708 -522.156205656683</t>
  </si>
  <si>
    <t>-883.26028995107 230.126775387817 -68.7112984080887</t>
  </si>
  <si>
    <t>-900.330980317246 241.722856945276 334.313223695623</t>
  </si>
  <si>
    <t>-944.049275483733 250.360450756003 779.876908025569</t>
  </si>
  <si>
    <t>-812.370676893997 314.063679709369 840.621490323821</t>
  </si>
  <si>
    <t>-834.27028862564 45.2135570544947 -64.8130261520348</t>
  </si>
  <si>
    <t>-783.294583148765 34.7185926837346 335.369420328344</t>
  </si>
  <si>
    <t>-805.401258523682 15.9943880000933 782.428187134762</t>
  </si>
  <si>
    <t>-686.990452445536 -61.8256784742364 853.211340264895</t>
  </si>
  <si>
    <t>9763-20170724T111144.186497800.bin</t>
  </si>
  <si>
    <t>-858.843879109384 137.52034044135 -65.7260768626628</t>
  </si>
  <si>
    <t>-890.542529927119 126.379514452441 -176.574207272611</t>
  </si>
  <si>
    <t>-903.309133588616 122.531005764723 -274.292370128047</t>
  </si>
  <si>
    <t>-909.439040092184 120.826490254487 -363.161855771712</t>
  </si>
  <si>
    <t>-909.71205239402 120.692789650747 -452.258092766216</t>
  </si>
  <si>
    <t>-903.887856049343 121.907093548009 -576.698537532339</t>
  </si>
  <si>
    <t>-873.684367700232 122.974191588925 -654.104220982444</t>
  </si>
  <si>
    <t>-907.537063829245 149.059476405318 -521.719154595103</t>
  </si>
  <si>
    <t>-906.877502824939 284.947639221843 -500.962229624395</t>
  </si>
  <si>
    <t>-866.725602708031 307.872323215694 -210.353418625158</t>
  </si>
  <si>
    <t>-625.83616057354 310.498478751133 -206.325406874705</t>
  </si>
  <si>
    <t>-905.364664817079 93.6856824130732 -522.157713251074</t>
  </si>
  <si>
    <t>-883.666860158481 229.925230908903 -68.6838633741971</t>
  </si>
  <si>
    <t>-901.369720028654 241.370597720171 334.317799475751</t>
  </si>
  <si>
    <t>-944.162092622604 250.408690326508 779.91336395617</t>
  </si>
  <si>
    <t>-812.434066868523 314.012943978037 840.654551828734</t>
  </si>
  <si>
    <t>-834.361624025708 44.9785205875546 -64.7949333217687</t>
  </si>
  <si>
    <t>-783.355981919824 34.5847491844906 335.386379287845</t>
  </si>
  <si>
    <t>-805.407860560424 15.8249628397234 782.450247226974</t>
  </si>
  <si>
    <t>-686.874635855136 -61.8167662983285 853.22400741641</t>
  </si>
  <si>
    <t>9763-20170724T111144.216585900.bin</t>
  </si>
  <si>
    <t>-859.068577765733 137.370502149561 -65.699539169512</t>
  </si>
  <si>
    <t>-890.674915755794 126.238693267955 -176.57494067177</t>
  </si>
  <si>
    <t>-903.270961822988 122.38952638982 -274.315297258271</t>
  </si>
  <si>
    <t>-909.208898909348 120.676859257077 -363.197400847746</t>
  </si>
  <si>
    <t>-909.254535326294 120.526693803406 -452.29409446837</t>
  </si>
  <si>
    <t>-903.074777120838 121.70707077328 -576.717789186667</t>
  </si>
  <si>
    <t>-872.729810779955 122.801134094162 -654.06773956838</t>
  </si>
  <si>
    <t>-906.914970383901 148.873234300598 -521.758093746969</t>
  </si>
  <si>
    <t>-906.552722947601 284.781323121646 -501.093654152636</t>
  </si>
  <si>
    <t>-867.569694549086 307.959612784825 -210.345848243992</t>
  </si>
  <si>
    <t>-626.695190489969 310.678991922733 -205.553025722704</t>
  </si>
  <si>
    <t>-904.673017752524 93.5020898607049 -522.172023242808</t>
  </si>
  <si>
    <t>-884.090989840981 229.661161831404 -68.6725544887408</t>
  </si>
  <si>
    <t>-901.905886211675 240.973008452948 334.32785221622</t>
  </si>
  <si>
    <t>-944.037608742116 250.255224784219 779.946879701838</t>
  </si>
  <si>
    <t>-812.549838105712 314.351117955966 840.692537998987</t>
  </si>
  <si>
    <t>-834.491268790362 44.9972248188737 -64.8079651863327</t>
  </si>
  <si>
    <t>-783.548695469886 34.5156023257919 335.379100924942</t>
  </si>
  <si>
    <t>-805.357826370381 15.8971850240409 782.453929221459</t>
  </si>
  <si>
    <t>-686.92695467822 -61.8989338812673 853.229634084188</t>
  </si>
  <si>
    <t>9763-20170724T111144.282761600.bin</t>
  </si>
  <si>
    <t>-859.87032180256 137.096645687719 -65.682921618626</t>
  </si>
  <si>
    <t>-891.381663235306 125.966232024623 -176.585379741089</t>
  </si>
  <si>
    <t>-903.615664669582 122.109468772041 -274.371557075974</t>
  </si>
  <si>
    <t>-909.113025122506 120.378260988484 -363.281676270159</t>
  </si>
  <si>
    <t>-908.605344392574 120.19322366919 -452.376937334424</t>
  </si>
  <si>
    <t>-901.537924288712 121.304259449176 -576.753837524847</t>
  </si>
  <si>
    <t>-870.854816153247 122.44682161991 -653.969559085745</t>
  </si>
  <si>
    <t>-905.839648279923 148.498116842106 -521.842225329263</t>
  </si>
  <si>
    <t>-905.961056754478 284.444914885238 -501.441869793107</t>
  </si>
  <si>
    <t>-869.750679941448 308.21160607008 -210.38318816243</t>
  </si>
  <si>
    <t>-628.912554367196 310.948157704458 -204.028527218821</t>
  </si>
  <si>
    <t>-903.4566524602 93.132606268231 -522.201229809515</t>
  </si>
  <si>
    <t>-885.142737716743 229.330340992237 -68.6581508555126</t>
  </si>
  <si>
    <t>-903.186177002174 240.558528980756 334.334506637991</t>
  </si>
  <si>
    <t>-944.243724172275 250.456166766874 780.050624992306</t>
  </si>
  <si>
    <t>-812.593799119398 314.200545716891 840.813932733603</t>
  </si>
  <si>
    <t>-835.025646347281 44.7629853071217 -64.8436875382561</t>
  </si>
  <si>
    <t>-784.194425641207 34.3729551679012 335.359878548741</t>
  </si>
  <si>
    <t>-805.343617752502 15.813437565701 782.47580508753</t>
  </si>
  <si>
    <t>-686.733115954525 -61.7377357874991 853.21950603877</t>
  </si>
  <si>
    <t>9763-20170724T111144.317394600.bin</t>
  </si>
  <si>
    <t>-860.260151051844 136.852932556828 -65.7134447195001</t>
  </si>
  <si>
    <t>-891.733305708445 125.717471809179 -176.626399740128</t>
  </si>
  <si>
    <t>-903.857055120755 121.865507801288 -274.426321206605</t>
  </si>
  <si>
    <t>-909.223322297588 120.139524695682 -363.344691924083</t>
  </si>
  <si>
    <t>-908.55304510817 119.959929266284 -452.438803033855</t>
  </si>
  <si>
    <t>-901.226772328739 121.077099500602 -576.800706064011</t>
  </si>
  <si>
    <t>-870.421144567625 122.258014353611 -653.967152240737</t>
  </si>
  <si>
    <t>-905.679224449861 148.266682298607 -521.898750984486</t>
  </si>
  <si>
    <t>-905.989314498696 284.228595015179 -501.624982349017</t>
  </si>
  <si>
    <t>-871.219482134145 308.335372520274 -210.41845790023</t>
  </si>
  <si>
    <t>-630.402937464789 310.932821141383 -203.240055841101</t>
  </si>
  <si>
    <t>-903.222086757056 92.9040865529496 -522.25137591705</t>
  </si>
  <si>
    <t>-885.590432898131 229.016833247599 -68.6462167096427</t>
  </si>
  <si>
    <t>-903.47300823532 240.365196168167 334.350165270544</t>
  </si>
  <si>
    <t>-944.191092698344 250.370702881532 780.111909405271</t>
  </si>
  <si>
    <t>-812.633491923297 314.30748330924 840.873360607066</t>
  </si>
  <si>
    <t>-835.293715317116 44.5898954921518 -64.8717588157349</t>
  </si>
  <si>
    <t>-784.522247232243 34.3184705355807 335.342484790847</t>
  </si>
  <si>
    <t>-805.280531185436 15.91980936441 782.474203535639</t>
  </si>
  <si>
    <t>-686.717511713858 -61.7038548479213 853.218032498261</t>
  </si>
  <si>
    <t>9763-20170724T111144.384572100.bin</t>
  </si>
  <si>
    <t>-860.640322939145 136.326115180112 -65.7188225376956</t>
  </si>
  <si>
    <t>-892.058141760612 125.204594598201 -176.648713178712</t>
  </si>
  <si>
    <t>-904.345396548099 121.405615680485 -274.43040837427</t>
  </si>
  <si>
    <t>-909.943132567614 119.746922360665 -363.3356137253</t>
  </si>
  <si>
    <t>-909.587616669507 119.658499363282 -452.431703957921</t>
  </si>
  <si>
    <t>-902.78521790119 120.929962451514 -576.821953747965</t>
  </si>
  <si>
    <t>-871.95129015852 122.227852748289 -653.975016881159</t>
  </si>
  <si>
    <t>-907.075304126111 148.048273877747 -521.871883070038</t>
  </si>
  <si>
    <t>-907.741768650318 284.046936343219 -501.807095961915</t>
  </si>
  <si>
    <t>-875.635611684122 308.84885225596 -210.353290154041</t>
  </si>
  <si>
    <t>-634.859529017131 311.209288478189 -201.853874255302</t>
  </si>
  <si>
    <t>-904.481858738138 92.6924288360133 -522.296024462277</t>
  </si>
  <si>
    <t>-885.982471978634 228.235823066486 -68.5239540141393</t>
  </si>
  <si>
    <t>-903.92045906046 240.047918991988 334.456690024564</t>
  </si>
  <si>
    <t>-944.304397183579 250.41776271865 780.227607464805</t>
  </si>
  <si>
    <t>-812.757407182636 314.37216489114 840.993724222202</t>
  </si>
  <si>
    <t>-835.628592616961 44.3540887726508 -64.9125201338342</t>
  </si>
  <si>
    <t>-784.825008850662 34.1079864450367 335.298272553875</t>
  </si>
  <si>
    <t>-805.207284699368 15.9612794503159 782.478260431891</t>
  </si>
  <si>
    <t>-686.677017605054 -61.7198713950725 853.213990276576</t>
  </si>
  <si>
    <t>9763-20170724T111144.414152100.bin</t>
  </si>
  <si>
    <t>-860.796970964034 135.972589817969 -65.6926836901973</t>
  </si>
  <si>
    <t>-892.23271023357 124.879897220519 -176.620391549574</t>
  </si>
  <si>
    <t>-904.65201480675 121.110475525642 -274.386464764243</t>
  </si>
  <si>
    <t>-910.416491291277 119.482400497555 -363.281704004051</t>
  </si>
  <si>
    <t>-910.274366045946 119.430385266987 -452.378313139764</t>
  </si>
  <si>
    <t>-903.817940702161 120.760932294271 -576.786506521771</t>
  </si>
  <si>
    <t>-872.942985769883 122.075850600676 -653.922847401685</t>
  </si>
  <si>
    <t>-907.977649980249 147.852168282747 -521.812961986588</t>
  </si>
  <si>
    <t>-908.74223277985 283.858204468072 -501.813836565278</t>
  </si>
  <si>
    <t>-877.854226602243 308.827915805065 -210.242877141368</t>
  </si>
  <si>
    <t>-637.098790813337 311.125677243008 -201.159383081126</t>
  </si>
  <si>
    <t>-905.340798409731 92.4986523381444 -522.268244797215</t>
  </si>
  <si>
    <t>-886.160524323975 227.772044770779 -68.4480690703016</t>
  </si>
  <si>
    <t>-904.143815282989 239.745009176559 334.525832322168</t>
  </si>
  <si>
    <t>-944.244577275498 250.321653937 780.293474718596</t>
  </si>
  <si>
    <t>-812.796511410397 314.473731842858 841.065076029337</t>
  </si>
  <si>
    <t>-835.769747473809 44.0417309763056 -64.9438255272362</t>
  </si>
  <si>
    <t>-784.977279289779 33.8897248560488 335.270739894508</t>
  </si>
  <si>
    <t>-805.221876857314 15.8109348839512 782.48295983022</t>
  </si>
  <si>
    <t>-686.560697610369 -61.6810041954125 853.206901763205</t>
  </si>
  <si>
    <t>9763-20170724T111144.480331700.bin</t>
  </si>
  <si>
    <t>-861.338543476441 135.284379214707 -65.5843223683759</t>
  </si>
  <si>
    <t>-892.927540802179 124.300877722555 -176.479345132703</t>
  </si>
  <si>
    <t>-905.580057767819 120.578842174657 -274.217288788528</t>
  </si>
  <si>
    <t>-911.597577654166 118.977938691531 -363.096285425916</t>
  </si>
  <si>
    <t>-911.751415289574 118.939089732976 -452.192893158243</t>
  </si>
  <si>
    <t>-905.752505083193 120.275183295961 -576.623844477489</t>
  </si>
  <si>
    <t>-874.809997080456 121.586751010129 -653.733384917844</t>
  </si>
  <si>
    <t>-909.717582042911 147.363454746403 -521.634669354614</t>
  </si>
  <si>
    <t>-910.592726761898 283.39588651004 -501.802523354618</t>
  </si>
  <si>
    <t>-882.362869744977 309.13820902432 -210.029252539911</t>
  </si>
  <si>
    <t>-641.629255455054 311.159517343504 -200.33112897374</t>
  </si>
  <si>
    <t>-907.06675861839 92.0109441404188 -522.101216860945</t>
  </si>
  <si>
    <t>-886.851406768366 227.157248505934 -68.2646234457364</t>
  </si>
  <si>
    <t>-904.627543447491 239.253714151871 334.714663713927</t>
  </si>
  <si>
    <t>-944.365595261028 250.390426826374 780.482862389911</t>
  </si>
  <si>
    <t>-812.814604010779 314.335381805044 841.250013046392</t>
  </si>
  <si>
    <t>-836.310615906099 43.3931272965929 -64.988143608832</t>
  </si>
  <si>
    <t>-785.547005651365 33.6097676842587 335.239323684774</t>
  </si>
  <si>
    <t>-805.191323855275 15.7168489051264 782.495628289786</t>
  </si>
  <si>
    <t>-686.418985633897 -61.6261134945764 853.195508929348</t>
  </si>
  <si>
    <t>9763-20170724T111144.518437300.bin</t>
  </si>
  <si>
    <t>-861.679985422695 135.13157095848 -65.5454467344817</t>
  </si>
  <si>
    <t>-893.363274020521 124.164221589829 -176.415332066221</t>
  </si>
  <si>
    <t>-906.16958388408 120.4467693525 -274.133351966897</t>
  </si>
  <si>
    <t>-912.356140495776 118.848038480696 -363.000874747326</t>
  </si>
  <si>
    <t>-912.70811709313 118.811109960578 -452.096959315942</t>
  </si>
  <si>
    <t>-907.016959709964 120.150212935548 -576.542277593216</t>
  </si>
  <si>
    <t>-876.098153842877 121.451217200761 -653.661361705995</t>
  </si>
  <si>
    <t>-910.839887814446 147.237622613929 -521.54240927734</t>
  </si>
  <si>
    <t>-911.705060517968 283.284770907743 -501.833763051926</t>
  </si>
  <si>
    <t>-884.961025135619 309.47780682764 -209.960807719266</t>
  </si>
  <si>
    <t>-644.235969247895 311.413453129721 -200.029127149978</t>
  </si>
  <si>
    <t>-908.202695393823 91.8841346681579 -522.017498029374</t>
  </si>
  <si>
    <t>-887.198766539129 226.993055603732 -68.1840880535349</t>
  </si>
  <si>
    <t>-904.751013837262 239.064015779074 334.805836950554</t>
  </si>
  <si>
    <t>-944.397596851193 250.387197384103 780.588188335237</t>
  </si>
  <si>
    <t>-812.854048771393 314.349273280084 841.353262489188</t>
  </si>
  <si>
    <t>-836.602046288607 43.2384759873776 -64.9834096075605</t>
  </si>
  <si>
    <t>-785.868573595753 33.5350704025768 335.249756695639</t>
  </si>
  <si>
    <t>-805.201635920188 15.5947529826549 782.507590657499</t>
  </si>
  <si>
    <t>-686.374106631728 -61.6735966877368 853.196325545009</t>
  </si>
  <si>
    <t>9763-20170724T111144.580602600.bin</t>
  </si>
  <si>
    <t>-862.056615485076 134.856475468553 -65.5192172396578</t>
  </si>
  <si>
    <t>-894.043423874088 123.919625073385 -176.304710878314</t>
  </si>
  <si>
    <t>-907.174705243553 120.250764083663 -273.981649855887</t>
  </si>
  <si>
    <t>-913.679227159759 118.7082311969 -362.827338122947</t>
  </si>
  <si>
    <t>-914.37292589024 118.741931940891 -451.921514608629</t>
  </si>
  <si>
    <t>-909.182800802428 120.19843816259 -576.387379822279</t>
  </si>
  <si>
    <t>-878.315162534325 121.497667543035 -653.526991835644</t>
  </si>
  <si>
    <t>-912.826233651244 147.231886459142 -521.348847525227</t>
  </si>
  <si>
    <t>-913.946465429444 283.304506502085 -501.824223869666</t>
  </si>
  <si>
    <t>-889.71074509078 310.248511988659 -209.800581966999</t>
  </si>
  <si>
    <t>-649.010690270482 311.878222750478 -199.231448450284</t>
  </si>
  <si>
    <t>-910.107520638765 91.8831720717403 -521.883226856009</t>
  </si>
  <si>
    <t>-887.493039052297 226.561509501189 -68.006512024529</t>
  </si>
  <si>
    <t>-905.013273621171 238.951316987304 334.975121515628</t>
  </si>
  <si>
    <t>-944.456354607973 250.391605157392 780.775841598582</t>
  </si>
  <si>
    <t>-812.964245309611 314.453673872582 841.547270795353</t>
  </si>
  <si>
    <t>-836.975018014784 43.062659682515 -65.0056716835638</t>
  </si>
  <si>
    <t>-786.116893692117 33.5788162853733 335.216984808432</t>
  </si>
  <si>
    <t>-805.091507090322 15.7389566041084 782.515563526909</t>
  </si>
  <si>
    <t>-686.404122482959 -61.7446438534957 853.204503852919</t>
  </si>
  <si>
    <t>9763-20170724T111144.615264200.bin</t>
  </si>
  <si>
    <t>-862.239915675078 134.713750063562 -65.4341255319372</t>
  </si>
  <si>
    <t>-894.437164497579 123.791369055843 -176.160264463638</t>
  </si>
  <si>
    <t>-907.692195056771 120.161545251838 -273.821858568177</t>
  </si>
  <si>
    <t>-914.284512580737 118.664782821382 -362.661808781037</t>
  </si>
  <si>
    <t>-915.041530140634 118.755067738539 -451.755398456692</t>
  </si>
  <si>
    <t>-909.912931737138 120.301549007233 -576.222654257565</t>
  </si>
  <si>
    <t>-879.036173210076 121.607342413398 -653.358591038302</t>
  </si>
  <si>
    <t>-913.56107005848 147.293676808381 -521.164377279118</t>
  </si>
  <si>
    <t>-914.773127750574 283.360914342716 -501.638857222956</t>
  </si>
  <si>
    <t>-891.978210232029 310.757586755572 -209.541221249277</t>
  </si>
  <si>
    <t>-651.285790954055 312.076272445453 -198.755176157297</t>
  </si>
  <si>
    <t>-910.778449095348 91.948497224088 -521.737241627371</t>
  </si>
  <si>
    <t>-887.73339709355 226.385326740752 -67.8975946470264</t>
  </si>
  <si>
    <t>-905.098798695668 238.948850238101 335.085384159315</t>
  </si>
  <si>
    <t>-944.506409619414 250.417498490837 780.893458266358</t>
  </si>
  <si>
    <t>-813.032011427047 314.516390445267 841.66409003576</t>
  </si>
  <si>
    <t>-837.136224955171 42.9647264495111 -65.0051009983733</t>
  </si>
  <si>
    <t>-786.082214111273 33.6208201997592 335.195931711366</t>
  </si>
  <si>
    <t>-805.0164419095 15.8562790900755 782.50904555954</t>
  </si>
  <si>
    <t>-686.562653828354 -61.968860985824 853.214079427532</t>
  </si>
  <si>
    <t>9763-20170724T111144.681440600.bin</t>
  </si>
  <si>
    <t>-862.597551108009 134.273542098031 -65.2988422945667</t>
  </si>
  <si>
    <t>-895.144723982578 123.297680396683 -175.917368939154</t>
  </si>
  <si>
    <t>-908.540979450331 119.723031384502 -273.561690944068</t>
  </si>
  <si>
    <t>-915.193030567074 118.315574554781 -362.398679534831</t>
  </si>
  <si>
    <t>-915.938520543574 118.533698013922 -451.492005217473</t>
  </si>
  <si>
    <t>-910.718960996128 120.298513469529 -575.952741162238</t>
  </si>
  <si>
    <t>-879.716590205999 121.655785740757 -653.03738743909</t>
  </si>
  <si>
    <t>-914.475636323529 147.190493479992 -520.852672086389</t>
  </si>
  <si>
    <t>-915.876592240225 283.252055333334 -501.275816779477</t>
  </si>
  <si>
    <t>-896.14937285178 311.402473037402 -209.026465121738</t>
  </si>
  <si>
    <t>-655.491705484203 311.920641715668 -197.428051598461</t>
  </si>
  <si>
    <t>-911.555935844576 91.8533303470872 -521.514949212531</t>
  </si>
  <si>
    <t>-888.177800988548 225.994885609231 -67.6843755607749</t>
  </si>
  <si>
    <t>-905.326485421798 238.863400709611 335.298246832655</t>
  </si>
  <si>
    <t>-944.627647231867 250.490930873525 781.099555045476</t>
  </si>
  <si>
    <t>-813.063924472468 314.407471176241 841.86976466302</t>
  </si>
  <si>
    <t>-837.355892014701 42.4197644140645 -64.9560198961431</t>
  </si>
  <si>
    <t>-786.164012383616 33.5327592028325 335.237838418651</t>
  </si>
  <si>
    <t>-804.964931252361 15.7738273206573 782.511511194143</t>
  </si>
  <si>
    <t>-686.373508863036 -61.8461328230653 853.211537767216</t>
  </si>
  <si>
    <t>9763-20170724T111144.714031200.bin</t>
  </si>
  <si>
    <t>-862.734552509657 134.140560193046 -65.2768190021253</t>
  </si>
  <si>
    <t>-895.40269158513 123.163414246376 -175.859503607184</t>
  </si>
  <si>
    <t>-908.842202177879 119.598718831269 -273.498158638413</t>
  </si>
  <si>
    <t>-915.506900594584 118.204554218628 -362.334541068871</t>
  </si>
  <si>
    <t>-916.239988331518 118.441208076309 -451.427897216245</t>
  </si>
  <si>
    <t>-910.976812283063 120.236504381524 -575.886380631437</t>
  </si>
  <si>
    <t>-879.884621351565 121.62581152492 -652.934138981269</t>
  </si>
  <si>
    <t>-914.777527044589 147.113810043067 -520.782093033454</t>
  </si>
  <si>
    <t>-916.26265121493 283.178535715258 -501.213981125168</t>
  </si>
  <si>
    <t>-898.028136830648 311.721530423133 -208.905926414244</t>
  </si>
  <si>
    <t>-657.408096241058 311.754366061869 -196.538415238581</t>
  </si>
  <si>
    <t>-911.808309601478 91.7793197848905 -521.454718336863</t>
  </si>
  <si>
    <t>-888.334177701433 225.811112212491 -67.6117461228647</t>
  </si>
  <si>
    <t>-905.453949324152 238.837907146773 335.367040565568</t>
  </si>
  <si>
    <t>-944.641757645222 250.489280087143 781.184049762753</t>
  </si>
  <si>
    <t>-813.092972345748 314.435310659756 841.955556219771</t>
  </si>
  <si>
    <t>-837.520322484251 42.3867327863827 -64.9365167105631</t>
  </si>
  <si>
    <t>-786.155498403004 33.5912913664001 335.237150559799</t>
  </si>
  <si>
    <t>-804.881113519012 15.8882835908325 782.503627185834</t>
  </si>
  <si>
    <t>-686.494826019192 -62.0219242398703 853.228126574367</t>
  </si>
  <si>
    <t>9763-20170724T111144.782271800.bin</t>
  </si>
  <si>
    <t>-863.315197798772 133.866931203548 -65.1726925288534</t>
  </si>
  <si>
    <t>-896.065813287424 122.873991534017 -175.729445039176</t>
  </si>
  <si>
    <t>-909.52275227965 119.27859856482 -273.364542423138</t>
  </si>
  <si>
    <t>-916.182802386118 117.849743549034 -362.200729132498</t>
  </si>
  <si>
    <t>-916.890426509202 118.043990665188 -451.294428524212</t>
  </si>
  <si>
    <t>-911.570050746715 119.772323990379 -575.751321026605</t>
  </si>
  <si>
    <t>-880.307977194958 121.205561435278 -652.729602525986</t>
  </si>
  <si>
    <t>-915.411925113987 146.678133799083 -520.664007327154</t>
  </si>
  <si>
    <t>-917.005453923651 282.760393534749 -501.22974497887</t>
  </si>
  <si>
    <t>-901.95550444336 311.967785881466 -208.806106658343</t>
  </si>
  <si>
    <t>-661.42620046585 310.859091794917 -194.833742155773</t>
  </si>
  <si>
    <t>-912.41057761014 91.3450578107518 -521.30406786005</t>
  </si>
  <si>
    <t>-888.941442540164 225.470100143402 -67.5232495197727</t>
  </si>
  <si>
    <t>-906.007873894255 238.695945348055 335.451318785457</t>
  </si>
  <si>
    <t>-944.64195344014 250.469763822179 781.328500626186</t>
  </si>
  <si>
    <t>-813.203703087967 314.633849538954 842.10869300477</t>
  </si>
  <si>
    <t>-838.066207562754 42.1567304574305 -64.878593994731</t>
  </si>
  <si>
    <t>-786.446717371758 33.4927325624685 335.265127335578</t>
  </si>
  <si>
    <t>-804.836582023106 15.7839670855751 782.524594360382</t>
  </si>
  <si>
    <t>-686.330093744702 -61.9446235062753 853.248256644055</t>
  </si>
  <si>
    <t>9763-20170724T111144.814359300.bin</t>
  </si>
  <si>
    <t>-863.556895744996 133.742478362564 -65.12773119822</t>
  </si>
  <si>
    <t>-896.39050983525 122.707862754905 -175.655641173885</t>
  </si>
  <si>
    <t>-909.860407163153 119.075058877385 -273.287661942541</t>
  </si>
  <si>
    <t>-916.507439142706 117.609445840567 -362.124139280137</t>
  </si>
  <si>
    <t>-917.177122479203 117.763363327172 -451.218302062918</t>
  </si>
  <si>
    <t>-911.778634066119 119.429811986611 -575.672625657778</t>
  </si>
  <si>
    <t>-880.420820470322 120.870019399893 -652.611781479267</t>
  </si>
  <si>
    <t>-915.656327353668 146.363140349378 -520.601104420389</t>
  </si>
  <si>
    <t>-917.28780869043 282.456101421183 -501.234442971322</t>
  </si>
  <si>
    <t>-903.790337123662 311.960508434175 -208.764785459049</t>
  </si>
  <si>
    <t>-663.311917998103 310.28105627541 -193.99169550498</t>
  </si>
  <si>
    <t>-912.652078063602 91.0298625970472 -521.211693582919</t>
  </si>
  <si>
    <t>-889.237271459743 225.253686537947 -67.4870418661527</t>
  </si>
  <si>
    <t>-906.297007567843 238.694162235675 335.480708894417</t>
  </si>
  <si>
    <t>-944.681341514925 250.514057162569 781.378004106767</t>
  </si>
  <si>
    <t>-813.253539278786 314.690968566774 842.167473142603</t>
  </si>
  <si>
    <t>-838.238744165503 42.1302143178254 -64.8565840856051</t>
  </si>
  <si>
    <t>-786.618854061437 33.5508973182605 335.288904729944</t>
  </si>
  <si>
    <t>-804.794204620473 15.8111277225498 782.544221693206</t>
  </si>
  <si>
    <t>-686.395761029709 -62.0788643355397 853.271052061436</t>
  </si>
  <si>
    <t>9763-20170724T111144.848451800.bin</t>
  </si>
  <si>
    <t>-863.758346739273 133.546779930969 -65.083597654878</t>
  </si>
  <si>
    <t>-896.728650031485 122.463253069825 -175.565889553672</t>
  </si>
  <si>
    <t>-910.242063674721 118.797890383958 -273.190707675847</t>
  </si>
  <si>
    <t>-916.897122068231 117.303156305906 -362.026193641852</t>
  </si>
  <si>
    <t>-917.543138931683 117.426138258477 -451.120550366405</t>
  </si>
  <si>
    <t>-912.07727112133 119.046235780228 -575.572553577253</t>
  </si>
  <si>
    <t>-880.626704782034 120.473787377409 -652.474077308212</t>
  </si>
  <si>
    <t>-915.984990319745 145.999985225801 -520.513188524337</t>
  </si>
  <si>
    <t>-917.667105238636 282.095210324443 -501.200772053168</t>
  </si>
  <si>
    <t>-905.629908007318 311.88451288747 -208.696207453859</t>
  </si>
  <si>
    <t>-665.206790917736 309.667168012958 -193.121207299351</t>
  </si>
  <si>
    <t>-912.979782603225 90.6666179718591 -521.101572020806</t>
  </si>
  <si>
    <t>-889.539800496413 225.003199569187 -67.4467137589684</t>
  </si>
  <si>
    <t>-906.425187797616 238.623561001191 335.522343896986</t>
  </si>
  <si>
    <t>-944.679199233475 250.506412752868 781.437144639444</t>
  </si>
  <si>
    <t>-813.369896018389 314.925242485202 842.226725191194</t>
  </si>
  <si>
    <t>-838.389552636544 42.0161585453207 -64.8340516439356</t>
  </si>
  <si>
    <t>-786.71652624986 33.53552046608 335.306743854269</t>
  </si>
  <si>
    <t>-804.748387612294 15.844583012064 782.559734101165</t>
  </si>
  <si>
    <t>-686.379455812897 -62.0930092557833 853.283641374498</t>
  </si>
  <si>
    <t>9763-20170724T111144.915638400.bin</t>
  </si>
  <si>
    <t>-864.020488958914 133.185221785735 -64.9931578978805</t>
  </si>
  <si>
    <t>-897.328955366362 122.015100211209 -175.365118637593</t>
  </si>
  <si>
    <t>-910.979540943707 118.314039063704 -272.969488234254</t>
  </si>
  <si>
    <t>-917.692216916303 116.796293426731 -361.800199875594</t>
  </si>
  <si>
    <t>-918.328130903247 116.902445585134 -450.894620948463</t>
  </si>
  <si>
    <t>-912.77663546436 118.501292755424 -575.343232737198</t>
  </si>
  <si>
    <t>-881.127579626535 119.86226111433 -652.164539928025</t>
  </si>
  <si>
    <t>-916.7286199051 145.464112530912 -520.291461598421</t>
  </si>
  <si>
    <t>-918.540781615798 281.560399491072 -500.988089001247</t>
  </si>
  <si>
    <t>-909.221085900397 311.677454118629 -208.417828839844</t>
  </si>
  <si>
    <t>-668.908652749332 308.771584455775 -191.319202270655</t>
  </si>
  <si>
    <t>-913.710446014477 90.1312744270158 -520.867726423479</t>
  </si>
  <si>
    <t>-889.904243140955 224.659628684507 -67.3112914334778</t>
  </si>
  <si>
    <t>-906.393780114891 238.467684114064 335.667759326787</t>
  </si>
  <si>
    <t>-944.735700539338 250.526253277884 781.578913827165</t>
  </si>
  <si>
    <t>-813.443419961753 314.985391053151 842.363084301857</t>
  </si>
  <si>
    <t>-838.514652887166 41.6060971718689 -64.7740962570323</t>
  </si>
  <si>
    <t>-786.664826798111 33.3828661721445 335.349105938774</t>
  </si>
  <si>
    <t>-804.706331177051 15.7207402387776 782.602210872139</t>
  </si>
  <si>
    <t>-686.217397094417 -62.0375052921747 853.322363329659</t>
  </si>
  <si>
    <t>9763-20170724T111144.982815900.bin</t>
  </si>
  <si>
    <t>-864.146110380263 132.781514800484 -64.9536214969853</t>
  </si>
  <si>
    <t>-897.742772467618 121.49280443525 -175.226234872655</t>
  </si>
  <si>
    <t>-911.507680944466 117.749781268381 -272.813000699278</t>
  </si>
  <si>
    <t>-918.265152371317 116.212391887312 -361.639956993172</t>
  </si>
  <si>
    <t>-918.884866495473 116.313628045486 -450.734457575495</t>
  </si>
  <si>
    <t>-913.24658590998 117.917389354773 -575.179013128803</t>
  </si>
  <si>
    <t>-881.428235499043 119.240124376024 -651.931016386675</t>
  </si>
  <si>
    <t>-917.251229674323 144.87724708192 -520.129605973259</t>
  </si>
  <si>
    <t>-919.264324886325 280.951990963687 -500.726439572827</t>
  </si>
  <si>
    <t>-912.354553626081 311.175926753423 -208.100482292147</t>
  </si>
  <si>
    <t>-672.145223618161 307.967456829245 -189.65848036628</t>
  </si>
  <si>
    <t>-914.204393310003 89.5459043624082 -520.704709580911</t>
  </si>
  <si>
    <t>-890.203072188514 224.233846771872 -67.2160470055717</t>
  </si>
  <si>
    <t>-906.462290737581 238.22367054521 335.766096590271</t>
  </si>
  <si>
    <t>-944.684347352269 250.422777539062 781.693877237754</t>
  </si>
  <si>
    <t>-813.502834968691 315.10830254947 842.476656978295</t>
  </si>
  <si>
    <t>-838.500692674264 41.2050325593918 -64.7305213751376</t>
  </si>
  <si>
    <t>-786.472113154437 33.2318843801841 335.374587145673</t>
  </si>
  <si>
    <t>-804.656918015886 15.635773688799 782.608278080168</t>
  </si>
  <si>
    <t>-686.193727907857 -62.1569749037342 853.333278465863</t>
  </si>
  <si>
    <t>9763-20170724T111145.015926600.bin</t>
  </si>
  <si>
    <t>-864.333608126706 132.650279329066 -64.9422777591038</t>
  </si>
  <si>
    <t>-898.017905190618 121.278685313501 -175.179626832769</t>
  </si>
  <si>
    <t>-911.810375673389 117.511275223284 -272.761657525951</t>
  </si>
  <si>
    <t>-918.57065973335 115.967673780377 -361.588119527037</t>
  </si>
  <si>
    <t>-919.16991576352 116.077191322473 -450.68280404572</t>
  </si>
  <si>
    <t>-913.478024488645 117.705671493943 -575.124704722543</t>
  </si>
  <si>
    <t>-881.594855597086 119.061422158527 -651.849233593577</t>
  </si>
  <si>
    <t>-917.523524655741 144.653691818068 -520.072481335557</t>
  </si>
  <si>
    <t>-919.663089286844 280.71739678374 -500.606712426758</t>
  </si>
  <si>
    <t>-913.917552227146 310.84186846906 -207.94522101318</t>
  </si>
  <si>
    <t>-673.745888987161 307.509867432492 -189.040830085582</t>
  </si>
  <si>
    <t>-914.442146710013 89.3242362173914 -520.655557944093</t>
  </si>
  <si>
    <t>-890.564522511664 224.147637141889 -67.1964863131135</t>
  </si>
  <si>
    <t>-906.685535595532 238.190419335095 335.789370792978</t>
  </si>
  <si>
    <t>-944.813832108236 250.544810559845 781.738858062825</t>
  </si>
  <si>
    <t>-813.471144303933 314.897937761523 842.526052487714</t>
  </si>
  <si>
    <t>-838.519673748392 41.0450331980419 -64.7179493263951</t>
  </si>
  <si>
    <t>-786.455208322025 33.1643453972347 335.384381177265</t>
  </si>
  <si>
    <t>-804.657122125758 15.5246784576912 782.610485658142</t>
  </si>
  <si>
    <t>-686.070683160983 -62.0841624342829 853.330771445493</t>
  </si>
  <si>
    <t>9763-20170724T111145.080082900.bin</t>
  </si>
  <si>
    <t>-864.730836163917 132.405323206442 -64.9247391506931</t>
  </si>
  <si>
    <t>-898.483018735417 120.956564694098 -175.133396149334</t>
  </si>
  <si>
    <t>-912.272978908074 117.167328513382 -272.714737373672</t>
  </si>
  <si>
    <t>-919.003867107653 115.618919246685 -361.543453162104</t>
  </si>
  <si>
    <t>-919.546489848905 115.737679123024 -450.638509496546</t>
  </si>
  <si>
    <t>-913.745385808709 117.393683029221 -575.075001579066</t>
  </si>
  <si>
    <t>-881.764475221165 118.88345124434 -651.756245356872</t>
  </si>
  <si>
    <t>-917.890581480929 144.326641257159 -520.022836682306</t>
  </si>
  <si>
    <t>-920.397364791311 280.377532513147 -500.486987012312</t>
  </si>
  <si>
    <t>-917.056687825402 310.424271389181 -207.780252527041</t>
  </si>
  <si>
    <t>-676.929691971674 307.190729873604 -188.301597709198</t>
  </si>
  <si>
    <t>-914.705398817159 89.0032473913516 -520.610421552073</t>
  </si>
  <si>
    <t>-891.203871262346 223.972107905796 -67.1752978901391</t>
  </si>
  <si>
    <t>-907.124037375368 238.107337864701 335.815335104841</t>
  </si>
  <si>
    <t>-944.920956311071 250.623287006918 781.797285886633</t>
  </si>
  <si>
    <t>-813.499921899291 314.809812815066 842.590719949565</t>
  </si>
  <si>
    <t>-838.671359618479 40.7659703942222 -64.7146946422351</t>
  </si>
  <si>
    <t>-786.596800415497 33.1257533205676 335.391003960339</t>
  </si>
  <si>
    <t>-804.600962199522 15.5211868222859 782.627057884728</t>
  </si>
  <si>
    <t>-685.863685740699 -61.8747219120075 853.328264939555</t>
  </si>
  <si>
    <t>9763-20170724T111145.115177800.bin</t>
  </si>
  <si>
    <t>-864.954393156639 132.384160422881 -64.9179381499195</t>
  </si>
  <si>
    <t>-898.692168512124 120.920771023155 -175.12936829508</t>
  </si>
  <si>
    <t>-912.467971783454 117.116470720563 -272.712302622103</t>
  </si>
  <si>
    <t>-919.185365684904 115.553455098862 -361.541744267209</t>
  </si>
  <si>
    <t>-919.713708400155 115.657915173887 -450.636950491461</t>
  </si>
  <si>
    <t>-913.893456605098 117.294007354505 -575.072770286739</t>
  </si>
  <si>
    <t>-881.872996307435 118.842327700183 -651.73642116241</t>
  </si>
  <si>
    <t>-918.077182935659 144.234033419778 -520.026884625522</t>
  </si>
  <si>
    <t>-920.742688262063 280.28304484766 -500.504747547504</t>
  </si>
  <si>
    <t>-918.742693373208 310.44164636816 -207.797393615957</t>
  </si>
  <si>
    <t>-678.650572407747 307.119890013815 -187.908992129884</t>
  </si>
  <si>
    <t>-914.831870315675 88.9139907057247 -520.602479379463</t>
  </si>
  <si>
    <t>-891.470704316757 223.896751138409 -67.1706100589121</t>
  </si>
  <si>
    <t>-907.332676673961 238.083674334195 335.820515172167</t>
  </si>
  <si>
    <t>-944.934265031328 250.626330309567 781.824083035531</t>
  </si>
  <si>
    <t>-813.607293039785 315.003591378625 842.620162400788</t>
  </si>
  <si>
    <t>-838.83830595039 40.8157444957674 -64.7094042230389</t>
  </si>
  <si>
    <t>-786.721609852591 33.2058307389202 335.391333165225</t>
  </si>
  <si>
    <t>-804.549263563449 15.5986898815054 782.627986997212</t>
  </si>
  <si>
    <t>-685.98073774962 -62.0492139498872 853.336147037197</t>
  </si>
  <si>
    <t>9763-20170724T111145.182358100.bin</t>
  </si>
  <si>
    <t>-865.414379923386 132.436770889876 -64.9118853632529</t>
  </si>
  <si>
    <t>-899.090060587085 120.949114952829 -175.139860043053</t>
  </si>
  <si>
    <t>-912.826041600526 117.119769166021 -272.727362058855</t>
  </si>
  <si>
    <t>-919.513570022838 115.534363034236 -361.558644668821</t>
  </si>
  <si>
    <t>-920.019463211998 115.617825990244 -450.654000568004</t>
  </si>
  <si>
    <t>-914.174731622996 117.228331214983 -575.088951483495</t>
  </si>
  <si>
    <t>-882.080130708433 118.847413151535 -651.720266114693</t>
  </si>
  <si>
    <t>-918.430423743647 144.175941932382 -520.052465708649</t>
  </si>
  <si>
    <t>-921.43406394899 280.227413971899 -500.601656617442</t>
  </si>
  <si>
    <t>-921.986693313542 310.683187872559 -207.918659912857</t>
  </si>
  <si>
    <t>-681.991279755837 306.900469228787 -186.974764831967</t>
  </si>
  <si>
    <t>-915.062531695098 88.8631879709674 -520.610040292724</t>
  </si>
  <si>
    <t>-892.024445410991 223.816159076529 -67.1556469638788</t>
  </si>
  <si>
    <t>-907.942488166032 238.119866377015 335.829088396217</t>
  </si>
  <si>
    <t>-944.92930350393 250.603600297217 781.880293710485</t>
  </si>
  <si>
    <t>-813.699570599125 315.169636274619 842.685479110278</t>
  </si>
  <si>
    <t>-839.222050167848 40.9830114188471 -64.6956800821324</t>
  </si>
  <si>
    <t>-786.942630839027 33.2940487411461 335.382301941569</t>
  </si>
  <si>
    <t>-804.494153447162 15.5995038407891 782.636816293656</t>
  </si>
  <si>
    <t>-685.944042180861 -62.0847607125822 853.33556839703</t>
  </si>
  <si>
    <t>9763-20170724T111145.212948000.bin</t>
  </si>
  <si>
    <t>-865.662595925862 132.482398618005 -64.8943681902728</t>
  </si>
  <si>
    <t>-899.307653340605 120.969199146872 -175.128959496798</t>
  </si>
  <si>
    <t>-913.019112462156 117.12826580928 -272.719479113765</t>
  </si>
  <si>
    <t>-919.685432638202 115.536919770591 -361.552213054279</t>
  </si>
  <si>
    <t>-920.170764588906 115.619821178876 -450.64766279965</t>
  </si>
  <si>
    <t>-914.297790489166 117.234936175813 -575.081269489944</t>
  </si>
  <si>
    <t>-882.171399022608 118.868066934858 -651.699009641949</t>
  </si>
  <si>
    <t>-918.600583221265 144.178444677947 -520.046336650243</t>
  </si>
  <si>
    <t>-921.789682232476 280.22977614289 -500.606393461818</t>
  </si>
  <si>
    <t>-923.482261023301 310.761514677785 -207.935635021164</t>
  </si>
  <si>
    <t>-683.537448385772 306.878209018539 -186.438800683283</t>
  </si>
  <si>
    <t>-915.163483436484 88.8698266276429 -520.602031969031</t>
  </si>
  <si>
    <t>-892.359460300645 223.85965706471 -67.1435975122624</t>
  </si>
  <si>
    <t>-908.32233061501 238.187352465776 335.838453196613</t>
  </si>
  <si>
    <t>-944.995073962436 250.668517796847 781.915828744249</t>
  </si>
  <si>
    <t>-813.653627935245 315.001332821607 842.727124297784</t>
  </si>
  <si>
    <t>-839.358477373965 41.0143884822755 -64.6919233232258</t>
  </si>
  <si>
    <t>-787.035167165791 33.3537080063211 335.380841175157</t>
  </si>
  <si>
    <t>-804.476900165014 15.5665276346936 782.641936234768</t>
  </si>
  <si>
    <t>-685.857717156649 -62.0222691235413 853.330104343492</t>
  </si>
  <si>
    <t>9763-20170724T111145.283168500.bin</t>
  </si>
  <si>
    <t>-865.997892564694 132.559082445544 -64.8946040620696</t>
  </si>
  <si>
    <t>-899.55067086191 120.968472382382 -175.149162693086</t>
  </si>
  <si>
    <t>-913.197233323956 117.099060219457 -272.747730330604</t>
  </si>
  <si>
    <t>-919.809128698567 115.495968955775 -361.584400723676</t>
  </si>
  <si>
    <t>-920.244907625963 115.583538824564 -450.680107586768</t>
  </si>
  <si>
    <t>-914.307127264755 117.222164398132 -575.110321474252</t>
  </si>
  <si>
    <t>-882.14409986079 118.87531238649 -651.712114173302</t>
  </si>
  <si>
    <t>-918.72270774819 144.150155166411 -520.076566881213</t>
  </si>
  <si>
    <t>-922.362209092308 280.188163569196 -500.624347890263</t>
  </si>
  <si>
    <t>-925.888248859874 310.600788656838 -207.957481032062</t>
  </si>
  <si>
    <t>-686.020311957369 306.972684170933 -185.572023666268</t>
  </si>
  <si>
    <t>-915.117152693326 88.8521209522614 -520.632786485853</t>
  </si>
  <si>
    <t>-892.983415550851 223.947244395636 -67.146292322208</t>
  </si>
  <si>
    <t>-908.899092604425 238.404449312181 335.833085894779</t>
  </si>
  <si>
    <t>-944.998227499998 250.695708919991 781.946858970994</t>
  </si>
  <si>
    <t>-813.787700945775 315.228949974463 842.828163045469</t>
  </si>
  <si>
    <t>-839.388284381392 41.0979972065852 -64.6948166737732</t>
  </si>
  <si>
    <t>-786.987973363689 33.5474153625605 335.37006476155</t>
  </si>
  <si>
    <t>-804.391174673498 15.635674302328 782.635374215865</t>
  </si>
  <si>
    <t>-685.874154210768 -62.0996915867104 853.333788650369</t>
  </si>
  <si>
    <t>9763-20170724T111145.315745100.bin</t>
  </si>
  <si>
    <t>-866.099124160232 132.526280265421 -64.9026063029065</t>
  </si>
  <si>
    <t>-899.593476139135 120.900911635857 -175.171309163828</t>
  </si>
  <si>
    <t>-913.194512760501 117.017269329986 -272.775640900709</t>
  </si>
  <si>
    <t>-919.767452408158 115.406938711498 -361.615084129831</t>
  </si>
  <si>
    <t>-920.165106550543 115.492825976903 -450.710860279697</t>
  </si>
  <si>
    <t>-914.175756672934 117.135751946498 -575.138582594244</t>
  </si>
  <si>
    <t>-881.996908487058 118.804956869238 -651.733378320432</t>
  </si>
  <si>
    <t>-918.657952601832 144.058946426781 -520.108003537885</t>
  </si>
  <si>
    <t>-922.521036617409 280.085302890174 -500.633636731791</t>
  </si>
  <si>
    <t>-926.85167260254 310.410731108266 -207.968538084653</t>
  </si>
  <si>
    <t>-687.017305387291 306.909314924907 -185.207094126993</t>
  </si>
  <si>
    <t>-914.964533185462 88.7668224019881 -520.660228933325</t>
  </si>
  <si>
    <t>-893.231124513898 223.95795376425 -67.1646558705745</t>
  </si>
  <si>
    <t>-909.167864502316 238.480713974122 335.811475455718</t>
  </si>
  <si>
    <t>-945.003156399038 250.725762083199 781.95980618936</t>
  </si>
  <si>
    <t>-813.739085115167 315.098884308014 842.895168669419</t>
  </si>
  <si>
    <t>-839.332997845145 40.9990284461492 -64.6992197230555</t>
  </si>
  <si>
    <t>-786.911284553122 33.557487128367 335.36487883911</t>
  </si>
  <si>
    <t>-804.405572890522 15.5057015228895 782.636415716029</t>
  </si>
  <si>
    <t>-685.698003032431 -61.9475206887553 853.324518116151</t>
  </si>
  <si>
    <t>9763-20170724T111145.381932100.bin</t>
  </si>
  <si>
    <t>-866.172704100296 132.431152088478 -64.8958191410989</t>
  </si>
  <si>
    <t>-899.520593901417 120.740813389826 -175.202081143457</t>
  </si>
  <si>
    <t>-912.989786439905 116.828455345657 -272.823392208702</t>
  </si>
  <si>
    <t>-919.440661912237 115.201893875631 -361.671591677951</t>
  </si>
  <si>
    <t>-919.713623743722 115.282930842394 -450.767941044768</t>
  </si>
  <si>
    <t>-913.547690858337 116.931232346476 -575.186936553092</t>
  </si>
  <si>
    <t>-881.314511882363 118.667165544521 -651.757402411711</t>
  </si>
  <si>
    <t>-918.192296556779 143.846159775755 -520.165753325033</t>
  </si>
  <si>
    <t>-922.508581099683 279.860307206477 -500.693090969761</t>
  </si>
  <si>
    <t>-928.717634347958 310.158900461358 -208.05920123492</t>
  </si>
  <si>
    <t>-688.963798602145 306.741037959866 -184.451978142657</t>
  </si>
  <si>
    <t>-914.329960507538 88.5653941140235 -520.706686462976</t>
  </si>
  <si>
    <t>-893.501577643733 223.826966243259 -67.1611103705434</t>
  </si>
  <si>
    <t>-909.315108708804 238.447541256933 335.816391812306</t>
  </si>
  <si>
    <t>-944.826884676262 250.546580732371 782.01152874177</t>
  </si>
  <si>
    <t>-813.898820576746 315.542433761921 843.009453557287</t>
  </si>
  <si>
    <t>-839.244331431167 40.9169791351901 -64.6650656782953</t>
  </si>
  <si>
    <t>-786.687110664468 33.5326326266504 335.382271904868</t>
  </si>
  <si>
    <t>-804.383687289062 15.4007165611706 782.649981466101</t>
  </si>
  <si>
    <t>-685.593946172728 -61.9308173578668 853.332883370557</t>
  </si>
  <si>
    <t>9763-20170724T111145.414522000.bin</t>
  </si>
  <si>
    <t>-866.302396727243 132.477989288296 -64.8682388892915</t>
  </si>
  <si>
    <t>-899.556032542652 120.779289162036 -175.202026470279</t>
  </si>
  <si>
    <t>-912.95244667533 116.851499621531 -272.832834745988</t>
  </si>
  <si>
    <t>-919.341778185917 115.20831373052 -361.68510031696</t>
  </si>
  <si>
    <t>-919.558876509974 115.271068186232 -450.781489202797</t>
  </si>
  <si>
    <t>-913.319413460321 116.892560565291 -575.197267958681</t>
  </si>
  <si>
    <t>-881.057374205425 118.66748306414 -651.754665799158</t>
  </si>
  <si>
    <t>-918.034386484165 143.81672207475 -520.186680367914</t>
  </si>
  <si>
    <t>-922.593710114072 279.826687629242 -500.739389898312</t>
  </si>
  <si>
    <t>-929.762375239386 310.127199752214 -208.127486037527</t>
  </si>
  <si>
    <t>-690.048195034499 306.771437379434 -184.114507473511</t>
  </si>
  <si>
    <t>-914.095567571206 88.5412977821525 -520.709523422978</t>
  </si>
  <si>
    <t>-893.704419378049 223.912878389985 -67.1399919698114</t>
  </si>
  <si>
    <t>-909.594357756235 238.424205325645 335.838387447908</t>
  </si>
  <si>
    <t>-944.786024770465 250.486390406896 782.04850726558</t>
  </si>
  <si>
    <t>-813.759794152051 315.26666093646 843.065013107969</t>
  </si>
  <si>
    <t>-839.316596146406 40.9665721428005 -64.6388262883582</t>
  </si>
  <si>
    <t>-786.657805597358 33.5247898132948 335.394085123546</t>
  </si>
  <si>
    <t>-804.368491055649 15.363138134574 782.658798344257</t>
  </si>
  <si>
    <t>-685.473199199507 -61.8124831516732 853.335284503928</t>
  </si>
  <si>
    <t>9763-20170724T111145.480200100.bin</t>
  </si>
  <si>
    <t>-866.674178151547 132.585296171151 -64.8236567984827</t>
  </si>
  <si>
    <t>-899.771834364788 120.832117335632 -175.198707820061</t>
  </si>
  <si>
    <t>-913.060183383882 116.864817369819 -272.842590839288</t>
  </si>
  <si>
    <t>-919.362651764797 115.18859833173 -361.700384102524</t>
  </si>
  <si>
    <t>-919.504023398513 115.22312233362 -450.797141543823</t>
  </si>
  <si>
    <t>-913.171782896413 116.811028992787 -575.208500127347</t>
  </si>
  <si>
    <t>-880.874658047608 118.661605775792 -651.74929966663</t>
  </si>
  <si>
    <t>-918.011314726377 143.744010031434 -520.212957889467</t>
  </si>
  <si>
    <t>-923.076932704878 279.741730860041 -500.807179544906</t>
  </si>
  <si>
    <t>-932.015935967923 309.94977619817 -208.234523626961</t>
  </si>
  <si>
    <t>-692.378037416031 306.832962180536 -183.438477091401</t>
  </si>
  <si>
    <t>-913.905478836298 88.4805553849596 -520.709306767417</t>
  </si>
  <si>
    <t>-894.314782908486 223.844289351594 -67.1064212763558</t>
  </si>
  <si>
    <t>-910.428161814819 238.485055685453 335.858400813163</t>
  </si>
  <si>
    <t>-944.979240492856 250.692724481171 782.109655129439</t>
  </si>
  <si>
    <t>-813.825601257248 315.199701895365 843.141440706949</t>
  </si>
  <si>
    <t>-839.415439579495 41.1675667443906 -64.6108335159397</t>
  </si>
  <si>
    <t>-786.767184195773 33.5566966606521 335.420281495843</t>
  </si>
  <si>
    <t>-804.332722963235 15.2935124973833 782.673803064344</t>
  </si>
  <si>
    <t>-685.345721189909 -61.7493490504814 853.340258441117</t>
  </si>
  <si>
    <t>9763-20170724T111145.517894900.bin</t>
  </si>
  <si>
    <t>-866.772152155845 132.607516380731 -64.8095962123485</t>
  </si>
  <si>
    <t>-899.83845792957 120.82358472093 -175.1906733756</t>
  </si>
  <si>
    <t>-913.09569541232 116.842064507247 -272.838228709187</t>
  </si>
  <si>
    <t>-919.367666746282 115.157252399385 -361.698099650599</t>
  </si>
  <si>
    <t>-919.476244801452 115.188292014639 -450.794818288771</t>
  </si>
  <si>
    <t>-913.095776931917 116.776533506898 -575.203716070581</t>
  </si>
  <si>
    <t>-880.772962016665 118.661834203378 -651.732821044204</t>
  </si>
  <si>
    <t>-918.002311943927 143.706078612388 -520.212346479437</t>
  </si>
  <si>
    <t>-923.318941624142 279.691626580843 -500.803486874713</t>
  </si>
  <si>
    <t>-933.02698353397 309.809080002903 -208.245976872751</t>
  </si>
  <si>
    <t>-693.427167464798 306.856727211543 -183.064322778894</t>
  </si>
  <si>
    <t>-913.805027678843 88.4493416994278 -520.702646835568</t>
  </si>
  <si>
    <t>-894.594552240572 223.905572966408 -67.088122656007</t>
  </si>
  <si>
    <t>-910.646733807934 238.454067002766 335.882556131547</t>
  </si>
  <si>
    <t>-944.992880731418 250.688042609048 782.157499611193</t>
  </si>
  <si>
    <t>-814.004667301766 315.541148465763 843.178137590902</t>
  </si>
  <si>
    <t>-839.34888455019 41.2655242658211 -64.6158559254345</t>
  </si>
  <si>
    <t>-786.774874774966 33.6454491231316 335.42498136307</t>
  </si>
  <si>
    <t>-804.277014564646 15.3662579069432 782.676747108599</t>
  </si>
  <si>
    <t>-685.458762016694 -61.9263851253206 853.354736629476</t>
  </si>
  <si>
    <t>9763-20170724T111145.582062100.bin</t>
  </si>
  <si>
    <t>-866.798151848584 132.482845006976 -64.8267815561395</t>
  </si>
  <si>
    <t>-899.862098452673 120.596133258921 -175.197612471943</t>
  </si>
  <si>
    <t>-913.118870982164 116.584413707183 -272.843958095105</t>
  </si>
  <si>
    <t>-919.388735305836 114.893627980556 -361.703756831474</t>
  </si>
  <si>
    <t>-919.492524377409 114.940755141962 -450.800668997581</t>
  </si>
  <si>
    <t>-913.101807044605 116.574770962053 -575.208354387769</t>
  </si>
  <si>
    <t>-880.723689979869 118.531386777382 -651.712420142375</t>
  </si>
  <si>
    <t>-918.100484563292 143.47723253113 -520.212126491115</t>
  </si>
  <si>
    <t>-923.917001072212 279.430721873751 -500.722826770786</t>
  </si>
  <si>
    <t>-934.935969937195 309.303323259604 -208.186596689028</t>
  </si>
  <si>
    <t>-695.415233135386 306.644910745028 -182.231183298563</t>
  </si>
  <si>
    <t>-913.727648569534 88.2341464482174 -520.713048465734</t>
  </si>
  <si>
    <t>-894.833574021078 223.655321079787 -67.0431772436308</t>
  </si>
  <si>
    <t>-910.937517024153 238.3792628698 335.919040273515</t>
  </si>
  <si>
    <t>-945.016598581408 250.649060344829 782.24218756727</t>
  </si>
  <si>
    <t>-814.020339273767 315.514019820018 843.232330192583</t>
  </si>
  <si>
    <t>-839.090766100305 41.1304925614982 -64.6359961786291</t>
  </si>
  <si>
    <t>-786.608062719348 33.5605350328087 335.417621132589</t>
  </si>
  <si>
    <t>-804.234024346689 15.274931679884 782.678421302388</t>
  </si>
  <si>
    <t>-685.286617225522 -61.8209413669645 853.354215124164</t>
  </si>
  <si>
    <t>9763-20170724T111145.614662300.bin</t>
  </si>
  <si>
    <t>-866.791732448059 132.452993275253 -64.8095993911292</t>
  </si>
  <si>
    <t>-899.853492514239 120.522862443195 -175.176331134884</t>
  </si>
  <si>
    <t>-913.11842989911 116.505117011751 -272.821266903498</t>
  </si>
  <si>
    <t>-919.398341158312 114.821719918767 -361.68052840441</t>
  </si>
  <si>
    <t>-919.515077685199 114.889148837341 -450.777361583842</t>
  </si>
  <si>
    <t>-913.144395496563 116.566116787068 -575.185517633786</t>
  </si>
  <si>
    <t>-880.742178071798 118.571107547581 -651.678044345068</t>
  </si>
  <si>
    <t>-918.180918592442 143.446020591594 -520.181796300858</t>
  </si>
  <si>
    <t>-924.249560217503 279.383297350694 -500.635762448746</t>
  </si>
  <si>
    <t>-935.885995381087 309.051756960426 -208.102785217127</t>
  </si>
  <si>
    <t>-696.400030125422 306.477299068226 -181.820760834178</t>
  </si>
  <si>
    <t>-913.715017439831 88.2105068310507 -520.697517907505</t>
  </si>
  <si>
    <t>-895.045116834482 223.673623101588 -67.0219370108489</t>
  </si>
  <si>
    <t>-911.08534346837 238.358248548345 335.94426768697</t>
  </si>
  <si>
    <t>-945.117829840864 250.724029660105 782.266108733941</t>
  </si>
  <si>
    <t>-814.021574404535 315.392643557054 843.249457882492</t>
  </si>
  <si>
    <t>-838.959917884715 41.1511958085084 -64.6312992585669</t>
  </si>
  <si>
    <t>-786.437533562263 33.5355508783218 335.416304317975</t>
  </si>
  <si>
    <t>-804.180175509252 15.3416138530333 782.672964569576</t>
  </si>
  <si>
    <t>-685.387782141737 -61.9792978886594 853.363341717537</t>
  </si>
  <si>
    <t>9763-20170724T111145.679335800.bin</t>
  </si>
  <si>
    <t>-866.755604700184 132.263234573964 -64.7624274104792</t>
  </si>
  <si>
    <t>-899.828408991848 120.263081856765 -175.118205719057</t>
  </si>
  <si>
    <t>-913.110183891563 116.248159725782 -272.761155892276</t>
  </si>
  <si>
    <t>-919.40651317689 114.591926746761 -361.619773755633</t>
  </si>
  <si>
    <t>-919.539447816253 114.713482906032 -450.716384848877</t>
  </si>
  <si>
    <t>-913.190336306965 116.494073132799 -575.124239734344</t>
  </si>
  <si>
    <t>-880.758562038833 118.632679939778 -651.60065684362</t>
  </si>
  <si>
    <t>-918.306431847129 143.320756271319 -520.101899151435</t>
  </si>
  <si>
    <t>-924.876073838569 279.217250998614 -500.422513236887</t>
  </si>
  <si>
    <t>-937.81781999674 308.42713953487 -207.898097395246</t>
  </si>
  <si>
    <t>-698.388218874229 305.961543900981 -181.09749115212</t>
  </si>
  <si>
    <t>-913.662018163563 88.100428240562 -520.655140978426</t>
  </si>
  <si>
    <t>-895.185981511431 223.396611616116 -66.9639457299279</t>
  </si>
  <si>
    <t>-911.236898107037 238.159754747346 335.998944085078</t>
  </si>
  <si>
    <t>-945.139954560806 250.677567971864 782.317025976055</t>
  </si>
  <si>
    <t>-814.153181702649 315.582834160148 843.28439367961</t>
  </si>
  <si>
    <t>-838.724482669702 41.0137255862069 -64.6168042833076</t>
  </si>
  <si>
    <t>-786.18215659923 33.3750412135041 335.427732574925</t>
  </si>
  <si>
    <t>-804.114520119146 15.3351449505703 782.673607949155</t>
  </si>
  <si>
    <t>-685.199782230621 -61.8021515855173 853.35877851454</t>
  </si>
  <si>
    <t>9763-20170724T111145.711925000.bin</t>
  </si>
  <si>
    <t>-866.797104114519 132.184877163961 -64.7490455860216</t>
  </si>
  <si>
    <t>-899.876984633995 120.158931905195 -175.099915002634</t>
  </si>
  <si>
    <t>-913.177570465115 116.146552933361 -272.740315060894</t>
  </si>
  <si>
    <t>-919.495204810448 114.502765417542 -361.59775920692</t>
  </si>
  <si>
    <t>-919.65306791304 114.647527917735 -450.694187937004</t>
  </si>
  <si>
    <t>-913.342798970636 116.472291537502 -575.103352291932</t>
  </si>
  <si>
    <t>-880.913550589263 118.67399377438 -651.579144359287</t>
  </si>
  <si>
    <t>-918.480020391333 143.276159992729 -520.071896967549</t>
  </si>
  <si>
    <t>-925.238888337438 279.149760300114 -500.290894090337</t>
  </si>
  <si>
    <t>-938.939890595892 307.969453699816 -207.762433900183</t>
  </si>
  <si>
    <t>-699.530584542888 305.731098783725 -180.761523778036</t>
  </si>
  <si>
    <t>-913.759163982358 88.0624048079426 -520.642265545964</t>
  </si>
  <si>
    <t>-895.362977330497 223.341431080823 -66.9383311675809</t>
  </si>
  <si>
    <t>-911.319932701561 238.117714512748 336.027796770698</t>
  </si>
  <si>
    <t>-945.265742647561 250.77324152339 782.345133216916</t>
  </si>
  <si>
    <t>-814.163833263973 315.451489296174 843.306729006167</t>
  </si>
  <si>
    <t>-838.64245525288 40.9365514627821 -64.6205967006215</t>
  </si>
  <si>
    <t>-786.153927131786 33.3025241223577 335.431143364367</t>
  </si>
  <si>
    <t>-804.101893063183 15.2810913645599 782.676578648071</t>
  </si>
  <si>
    <t>-685.106940989371 -61.736013026127 853.357569985711</t>
  </si>
  <si>
    <t>9763-20170724T111145.782624800.bin</t>
  </si>
  <si>
    <t>-866.567365003503 131.865064335058 -64.7280674724417</t>
  </si>
  <si>
    <t>-899.673578443053 119.782111078182 -175.064712397713</t>
  </si>
  <si>
    <t>-913.01592365026 115.77008737511 -272.699507793427</t>
  </si>
  <si>
    <t>-919.377594475006 114.146560702541 -361.554075090245</t>
  </si>
  <si>
    <t>-919.584787967677 114.333258555972 -450.650414734514</t>
  </si>
  <si>
    <t>-913.347681056041 116.240031813186 -575.062201373019</t>
  </si>
  <si>
    <t>-880.94285871664 118.565697798783 -651.54444250288</t>
  </si>
  <si>
    <t>-918.528146950586 143.001033685072 -520.013771135064</t>
  </si>
  <si>
    <t>-925.72989643655 278.827610225897 -500.082112194718</t>
  </si>
  <si>
    <t>-941.074500141689 306.400074971858 -207.515011905312</t>
  </si>
  <si>
    <t>-701.69972334847 304.863399906724 -180.160426791381</t>
  </si>
  <si>
    <t>-913.656496617579 87.8007075807377 -520.615639065841</t>
  </si>
  <si>
    <t>-895.186494269188 222.84701403177 -66.8722538921305</t>
  </si>
  <si>
    <t>-911.24818690523 237.817397326242 336.082532202778</t>
  </si>
  <si>
    <t>-945.128700373237 250.540302335907 782.389512399357</t>
  </si>
  <si>
    <t>-814.325544244247 315.848760429028 843.320955043916</t>
  </si>
  <si>
    <t>-838.312731884573 40.7663082500799 -64.6332158295738</t>
  </si>
  <si>
    <t>-785.907277968617 33.1497591220368 335.429736325086</t>
  </si>
  <si>
    <t>-803.992514140859 15.3958136320302 782.676393473985</t>
  </si>
  <si>
    <t>-685.148490482731 -61.8437505537024 853.368908353844</t>
  </si>
  <si>
    <t>9763-20170724T111145.814203400.bin</t>
  </si>
  <si>
    <t>-866.563587393469 131.722576222108 -64.7109756421989</t>
  </si>
  <si>
    <t>-899.682990381348 119.626227601476 -175.042250888166</t>
  </si>
  <si>
    <t>-913.04427018521 115.625462602437 -272.674826794571</t>
  </si>
  <si>
    <t>-919.425586706757 114.021209164258 -361.528322856104</t>
  </si>
  <si>
    <t>-919.655058329605 114.238084177757 -450.624742919476</t>
  </si>
  <si>
    <t>-913.451365268678 116.19894358128 -575.037171081958</t>
  </si>
  <si>
    <t>-881.061758898443 118.582798189 -651.524088656622</t>
  </si>
  <si>
    <t>-918.654822143965 142.932581856561 -519.977739346084</t>
  </si>
  <si>
    <t>-926.073429144415 278.736118270905 -499.986013414219</t>
  </si>
  <si>
    <t>-942.246807414299 305.817924390649 -207.4178066879</t>
  </si>
  <si>
    <t>-702.893176895349 304.533703679766 -179.868268537387</t>
  </si>
  <si>
    <t>-913.708032297448 87.7394526022326 -520.600980064709</t>
  </si>
  <si>
    <t>-895.304382815755 222.72620289352 -66.8433148806799</t>
  </si>
  <si>
    <t>-911.28983485172 237.72444944257 336.11344185577</t>
  </si>
  <si>
    <t>-945.253956526021 250.620100234505 782.422264953371</t>
  </si>
  <si>
    <t>-814.477840106266 315.997077410964 843.338747534556</t>
  </si>
  <si>
    <t>-838.2381610089 40.6374776937187 -64.6324321205062</t>
  </si>
  <si>
    <t>-785.870489912093 33.0268876301807 335.435543492047</t>
  </si>
  <si>
    <t>-803.971574111932 15.357708800062 782.68228106066</t>
  </si>
  <si>
    <t>-684.982901608673 -61.6694504245565 853.363296285088</t>
  </si>
  <si>
    <t>9763-20170724T111145.878508800.bin</t>
  </si>
  <si>
    <t>-866.561313441135 131.44109791692 -64.70650503587</t>
  </si>
  <si>
    <t>-899.723962036946 119.276089885472 -175.017243321052</t>
  </si>
  <si>
    <t>-913.130899395636 115.270809418345 -272.643470722831</t>
  </si>
  <si>
    <t>-919.554729223455 113.684941350274 -361.494341736483</t>
  </si>
  <si>
    <t>-919.827379714462 113.943768520223 -450.590277167861</t>
  </si>
  <si>
    <t>-913.68365698247 115.988180133666 -575.004482229504</t>
  </si>
  <si>
    <t>-881.301534815365 118.486416525611 -651.490998251236</t>
  </si>
  <si>
    <t>-918.929140024861 142.678833754093 -519.927993087169</t>
  </si>
  <si>
    <t>-926.794645148733 278.449627432134 -499.877455243412</t>
  </si>
  <si>
    <t>-944.735470302579 304.853050047366 -207.350299700693</t>
  </si>
  <si>
    <t>-705.449438820909 303.718295758717 -179.212402004225</t>
  </si>
  <si>
    <t>-913.845679724864 87.4981676208185 -520.58380442298</t>
  </si>
  <si>
    <t>-895.47843282076 222.458894501439 -66.8013840771865</t>
  </si>
  <si>
    <t>-911.459448137888 237.604300751312 336.150097872158</t>
  </si>
  <si>
    <t>-945.472410242731 250.774922768784 782.438947729692</t>
  </si>
  <si>
    <t>-814.553824264806 315.860411078231 843.361223846744</t>
  </si>
  <si>
    <t>-838.045987666676 40.3499549769676 -64.6427578306293</t>
  </si>
  <si>
    <t>-785.77357653794 32.8575402398687 335.439895585972</t>
  </si>
  <si>
    <t>-803.903036056161 15.3643809771352 782.693537395957</t>
  </si>
  <si>
    <t>-684.925279435808 -61.6816432660505 853.372248420216</t>
  </si>
  <si>
    <t>9763-20170724T111145.915109100.bin</t>
  </si>
  <si>
    <t>-866.525255181451 131.236222108631 -64.7132711103699</t>
  </si>
  <si>
    <t>-899.703248903877 119.037740265245 -175.015813884385</t>
  </si>
  <si>
    <t>-913.131745577311 115.029401033513 -272.6388918371</t>
  </si>
  <si>
    <t>-919.578064015503 113.451324135725 -361.488067612211</t>
  </si>
  <si>
    <t>-919.875116433359 113.728880317992 -450.584096320933</t>
  </si>
  <si>
    <t>-913.767336581083 115.812029214466 -574.999457285702</t>
  </si>
  <si>
    <t>-881.385283615947 118.368003118883 -651.483959316843</t>
  </si>
  <si>
    <t>-919.032784666828 142.482051727809 -519.915046900759</t>
  </si>
  <si>
    <t>-927.111661529192 278.237504757602 -499.841650538362</t>
  </si>
  <si>
    <t>-945.778011329461 304.424005804168 -207.340417710351</t>
  </si>
  <si>
    <t>-706.530712778834 303.248213645368 -178.874918519403</t>
  </si>
  <si>
    <t>-913.8771754958 87.3084478076767 -520.585647635756</t>
  </si>
  <si>
    <t>-895.481426880669 222.252501672277 -66.8116968700222</t>
  </si>
  <si>
    <t>-911.50645132994 237.487521130875 336.134675599153</t>
  </si>
  <si>
    <t>-945.474909923289 250.771884619022 782.409129040783</t>
  </si>
  <si>
    <t>-814.50340493052 315.705021386824 843.380148929504</t>
  </si>
  <si>
    <t>-837.927543812585 40.1168645582379 -64.6565400368078</t>
  </si>
  <si>
    <t>-785.709989675674 32.6968606508394 335.434570829809</t>
  </si>
  <si>
    <t>-803.916970471196 15.2242667883888 782.70219458768</t>
  </si>
  <si>
    <t>-684.760679082837 -61.5599245637393 853.365354353578</t>
  </si>
  <si>
    <t>9763-20170724T111145.982489000.bin</t>
  </si>
  <si>
    <t>-866.282205692237 130.780417312353 -64.7869998860936</t>
  </si>
  <si>
    <t>-899.463911946551 118.517373670366 -175.081239056653</t>
  </si>
  <si>
    <t>-912.945886787473 114.511944489842 -272.697021238345</t>
  </si>
  <si>
    <t>-919.459396685191 112.960259043012 -361.541927646585</t>
  </si>
  <si>
    <t>-919.841700590756 113.291047546743 -450.637254424738</t>
  </si>
  <si>
    <t>-913.87034263062 115.477365327164 -575.057453557769</t>
  </si>
  <si>
    <t>-881.505832363669 118.166164518414 -651.545073886249</t>
  </si>
  <si>
    <t>-919.172391078499 142.092866316025 -519.950029021383</t>
  </si>
  <si>
    <t>-927.772534557825 277.803847136609 -499.789033379743</t>
  </si>
  <si>
    <t>-947.5238855511 303.66197966454 -207.329719976478</t>
  </si>
  <si>
    <t>-708.303141144798 302.413861064634 -178.647465879663</t>
  </si>
  <si>
    <t>-913.823583848861 86.9379061717191 -520.662535159889</t>
  </si>
  <si>
    <t>-895.31389722076 221.759840650638 -66.8905008258542</t>
  </si>
  <si>
    <t>-911.385367227389 237.201896268202 336.046086936877</t>
  </si>
  <si>
    <t>-945.293353266411 250.746009713256 782.221175830108</t>
  </si>
  <si>
    <t>-814.487149092597 315.776099807256 843.443206922129</t>
  </si>
  <si>
    <t>-837.592595058611 39.7336143146645 -64.715946593921</t>
  </si>
  <si>
    <t>-785.420019657681 32.5044711205646 335.384600179217</t>
  </si>
  <si>
    <t>-803.838281385488 15.2558589487739 782.692534158608</t>
  </si>
  <si>
    <t>-684.790876514279 -61.6925505937165 853.360483633442</t>
  </si>
  <si>
    <t>9763-20170724T111146.016085300.bin</t>
  </si>
  <si>
    <t>-866.172270813672 130.725125365632 -64.875384839483</t>
  </si>
  <si>
    <t>-899.304817332198 118.434562388968 -175.181421907344</t>
  </si>
  <si>
    <t>-912.793362129412 114.439370305845 -272.796613522808</t>
  </si>
  <si>
    <t>-919.331431082151 112.911746788289 -361.640149551135</t>
  </si>
  <si>
    <t>-919.757090345978 113.282781443672 -450.735188245273</t>
  </si>
  <si>
    <t>-913.865486207921 115.544033715375 -575.15785097077</t>
  </si>
  <si>
    <t>-881.507125107707 118.311372896838 -651.645096686713</t>
  </si>
  <si>
    <t>-919.188523940408 142.120842810629 -520.033720179834</t>
  </si>
  <si>
    <t>-928.065299293427 277.80010907647 -499.789830685892</t>
  </si>
  <si>
    <t>-948.263190267502 303.417409513335 -207.339824479494</t>
  </si>
  <si>
    <t>-709.039669754047 302.261251685761 -178.676773351827</t>
  </si>
  <si>
    <t>-913.727646048422 86.9773785725192 -520.777425021408</t>
  </si>
  <si>
    <t>-895.241118812164 221.837967397695 -66.9906189772643</t>
  </si>
  <si>
    <t>-911.409520802625 237.386322697255 335.938085957246</t>
  </si>
  <si>
    <t>-945.591364618471 251.292658762128 782.039714594521</t>
  </si>
  <si>
    <t>-814.462390257655 315.416186726691 843.526616924151</t>
  </si>
  <si>
    <t>-837.452483893993 39.6207477038824 -64.7642104898017</t>
  </si>
  <si>
    <t>-785.236783725778 32.4881035164658 335.33241255311</t>
  </si>
  <si>
    <t>-803.811702122112 15.2458859994058 782.679890394057</t>
  </si>
  <si>
    <t>-684.754786209506 -61.694588413947 853.340452579847</t>
  </si>
  <si>
    <t>9763-20170724T111146.084771300.bin</t>
  </si>
  <si>
    <t>-865.733583815935 130.075644951928 -64.8688715244938</t>
  </si>
  <si>
    <t>-898.673571408793 117.782622989241 -175.232160048703</t>
  </si>
  <si>
    <t>-912.072812195833 113.843475794088 -272.862225745245</t>
  </si>
  <si>
    <t>-918.56078054491 112.391512363889 -361.710581253856</t>
  </si>
  <si>
    <t>-918.966388203056 112.867462543447 -450.80509420404</t>
  </si>
  <si>
    <t>-913.078410742464 115.307953542206 -575.224552766162</t>
  </si>
  <si>
    <t>-880.718357594555 118.252400014002 -651.704573975688</t>
  </si>
  <si>
    <t>-918.520747506895 141.793022082761 -520.068111376701</t>
  </si>
  <si>
    <t>-928.006607736422 277.40003900744 -499.626822669039</t>
  </si>
  <si>
    <t>-949.3201055577 302.363418925637 -207.199455790755</t>
  </si>
  <si>
    <t>-710.092766169302 301.931072362515 -178.547243606398</t>
  </si>
  <si>
    <t>-912.818222347828 86.6749737064738 -520.879283023512</t>
  </si>
  <si>
    <t>-894.726845870749 221.064031739854 -66.9504142297238</t>
  </si>
  <si>
    <t>-910.850354464313 237.254968364272 335.954742862072</t>
  </si>
  <si>
    <t>-945.446582972957 251.133150529874 782.104496793284</t>
  </si>
  <si>
    <t>-814.490638648771 315.459282234355 843.748786101095</t>
  </si>
  <si>
    <t>-837.043273700065 38.8978185337 -64.789756857104</t>
  </si>
  <si>
    <t>-784.718129237595 32.1317256754201 335.298980851524</t>
  </si>
  <si>
    <t>-803.819717374058 15.0362607647216 782.698712535694</t>
  </si>
  <si>
    <t>-684.410173916293 -61.4018519694798 853.309731874909</t>
  </si>
  <si>
    <t>9763-20170724T111146.115860800.bin</t>
  </si>
  <si>
    <t>-865.428422089833 129.646815785779 -64.7759639227845</t>
  </si>
  <si>
    <t>-898.283395576005 117.378482318495 -175.167261982835</t>
  </si>
  <si>
    <t>-911.612953600937 113.462101059532 -272.807771385064</t>
  </si>
  <si>
    <t>-918.040203580107 112.03223027785 -361.660864953866</t>
  </si>
  <si>
    <t>-918.388604177313 112.532956401127 -450.755538072678</t>
  </si>
  <si>
    <t>-912.422975370747 115.012163873251 -575.170468981974</t>
  </si>
  <si>
    <t>-880.046940372077 118.039739015428 -651.640371150503</t>
  </si>
  <si>
    <t>-917.951435105338 141.474757066846 -520.0118135626</t>
  </si>
  <si>
    <t>-927.757457937285 277.059190407447 -499.525675171447</t>
  </si>
  <si>
    <t>-949.829599127514 301.726313286927 -207.129445322781</t>
  </si>
  <si>
    <t>-710.613718333701 301.8363020836 -178.378765312536</t>
  </si>
  <si>
    <t>-912.144737697557 86.3677753023558 -520.831538290238</t>
  </si>
  <si>
    <t>-894.389527931145 220.566962704942 -66.8143842262645</t>
  </si>
  <si>
    <t>-910.215941367621 237.353534837604 336.078191146224</t>
  </si>
  <si>
    <t>-945.459184393296 251.096829188092 782.18317211206</t>
  </si>
  <si>
    <t>-814.323433517556 315.046888728495 843.83668024996</t>
  </si>
  <si>
    <t>-836.813725819306 38.5357037676436 -64.7506340156858</t>
  </si>
  <si>
    <t>-784.427513675468 31.9822467314925 335.33358909443</t>
  </si>
  <si>
    <t>-803.754677328162 15.0957399469271 782.712245946143</t>
  </si>
  <si>
    <t>-684.384603409844 -61.404389588608 853.322540707899</t>
  </si>
  <si>
    <t>9763-20170724T111146.183597500.bin</t>
  </si>
  <si>
    <t>-864.607584600605 129.014216382308 -64.6494276261818</t>
  </si>
  <si>
    <t>-897.481151495946 116.719119863357 -175.032213953001</t>
  </si>
  <si>
    <t>-910.772734990689 112.773721594633 -272.676640801498</t>
  </si>
  <si>
    <t>-917.145144252689 111.318942878836 -361.53336402524</t>
  </si>
  <si>
    <t>-917.419307577732 111.798699501258 -450.62853091142</t>
  </si>
  <si>
    <t>-911.331402484703 114.254201411296 -575.037869983936</t>
  </si>
  <si>
    <t>-878.897524512885 117.372680171797 -651.479756660962</t>
  </si>
  <si>
    <t>-916.963116045149 140.721970557515 -519.892227433</t>
  </si>
  <si>
    <t>-927.220993205667 276.270198559762 -499.489116105954</t>
  </si>
  <si>
    <t>-951.07528623153 300.906113549512 -207.230350886267</t>
  </si>
  <si>
    <t>-711.93946873293 301.57331537245 -177.826299284453</t>
  </si>
  <si>
    <t>-911.057501272267 85.625195377128 -520.690732787183</t>
  </si>
  <si>
    <t>-893.257606805436 219.758400858474 -66.6899627190616</t>
  </si>
  <si>
    <t>-908.356618838789 237.764815489839 336.177839511017</t>
  </si>
  <si>
    <t>-945.353730946147 250.966828998087 782.110558742192</t>
  </si>
  <si>
    <t>-814.415390521448 315.216225898379 843.871554823277</t>
  </si>
  <si>
    <t>-836.35138806466 38.0342875638571 -64.6444022524732</t>
  </si>
  <si>
    <t>-783.804099617303 31.6154466769826 335.420887320657</t>
  </si>
  <si>
    <t>-803.641321191363 15.0319368737482 782.740105321401</t>
  </si>
  <si>
    <t>-684.17568165329 -61.316702504409 853.352444071482</t>
  </si>
  <si>
    <t>9763-20170724T111146.215181100.bin</t>
  </si>
  <si>
    <t>-863.993632872232 128.862631631581 -64.5920386896659</t>
  </si>
  <si>
    <t>-896.862997060025 116.576010109261 -174.977255842547</t>
  </si>
  <si>
    <t>-910.13806069103 112.629537009797 -272.623699870922</t>
  </si>
  <si>
    <t>-916.491994045238 111.173386216808 -361.481768280171</t>
  </si>
  <si>
    <t>-916.744353829801 111.652706084306 -450.576953286958</t>
  </si>
  <si>
    <t>-910.623350663609 114.109765240824 -574.984798918455</t>
  </si>
  <si>
    <t>-878.128935942618 117.245704044047 -651.400148021748</t>
  </si>
  <si>
    <t>-916.256473874771 140.578277874501 -519.839491804476</t>
  </si>
  <si>
    <t>-926.396684155556 276.142701597289 -499.521282625474</t>
  </si>
  <si>
    <t>-950.950078102818 301.099577268408 -207.347579169888</t>
  </si>
  <si>
    <t>-711.844823947464 301.417517081977 -177.691648115499</t>
  </si>
  <si>
    <t>-910.377677771865 85.4786141965651 -520.638577888375</t>
  </si>
  <si>
    <t>-892.276851795569 219.610780367874 -66.6429828603251</t>
  </si>
  <si>
    <t>-907.582723234347 237.97540516965 336.200882607256</t>
  </si>
  <si>
    <t>-945.450365552362 250.996396248151 782.097979129692</t>
  </si>
  <si>
    <t>-814.623676325612 315.438940216972 843.894617237796</t>
  </si>
  <si>
    <t>-836.050367886177 37.9576464539159 -64.565995588958</t>
  </si>
  <si>
    <t>-783.369009294954 31.3391915462034 335.478406009591</t>
  </si>
  <si>
    <t>-803.582813124665 14.9801971051179 782.773007804679</t>
  </si>
  <si>
    <t>-684.011932952213 -61.213214619971 853.375268114877</t>
  </si>
  <si>
    <t>9763-20170724T111146.279907900.bin</t>
  </si>
  <si>
    <t>-862.740867640562 128.323041367896 -64.4447450547799</t>
  </si>
  <si>
    <t>-895.449869675815 116.134909345115 -174.888430822895</t>
  </si>
  <si>
    <t>-908.646198436675 112.216281197397 -272.54673629927</t>
  </si>
  <si>
    <t>-914.955461765593 110.766055675427 -361.40809859384</t>
  </si>
  <si>
    <t>-915.191315988352 111.231225127514 -450.50339272185</t>
  </si>
  <si>
    <t>-909.077242726403 113.648688485021 -574.912351026615</t>
  </si>
  <si>
    <t>-876.447328623779 116.702811092961 -651.273256717881</t>
  </si>
  <si>
    <t>-914.590142264341 140.14685985366 -519.769280875166</t>
  </si>
  <si>
    <t>-923.86745025731 275.801929608504 -499.576782914336</t>
  </si>
  <si>
    <t>-947.844364973915 302.013385854628 -207.464968633675</t>
  </si>
  <si>
    <t>-708.633343612471 300.951763558215 -178.69480298161</t>
  </si>
  <si>
    <t>-908.945097225713 85.0227084863272 -520.562900210705</t>
  </si>
  <si>
    <t>-890.350767054096 218.994147299518 -66.4944269249102</t>
  </si>
  <si>
    <t>-906.281011046927 238.040560820833 336.293521121317</t>
  </si>
  <si>
    <t>-945.423777652739 250.533655590511 782.152820543915</t>
  </si>
  <si>
    <t>-814.628979178226 315.05121437092 843.93903022394</t>
  </si>
  <si>
    <t>-835.410695387817 37.4540399092602 -64.3896047361421</t>
  </si>
  <si>
    <t>-782.660934740215 30.6980689195643 335.643484589336</t>
  </si>
  <si>
    <t>-803.457093460705 14.8905328738388 782.867838498901</t>
  </si>
  <si>
    <t>-683.782252208347 -61.1619174749674 853.445537795181</t>
  </si>
  <si>
    <t>9763-20170724T111146.315005300.bin</t>
  </si>
  <si>
    <t>-862.248661462332 127.712881104292 -64.3170478477463</t>
  </si>
  <si>
    <t>-894.906847990895 115.588569558645 -174.782760951371</t>
  </si>
  <si>
    <t>-908.102544421636 111.716330713457 -272.443076256168</t>
  </si>
  <si>
    <t>-914.429589551545 110.304203387486 -361.303769822237</t>
  </si>
  <si>
    <t>-914.700216000248 110.802144661054 -450.398771136101</t>
  </si>
  <si>
    <t>-908.652757669993 113.258886310129 -574.810148235753</t>
  </si>
  <si>
    <t>-875.948651035248 116.237759427887 -651.142363732639</t>
  </si>
  <si>
    <t>-914.042194370947 139.749233041909 -519.651041273784</t>
  </si>
  <si>
    <t>-922.591824933452 275.445203919724 -499.400419289387</t>
  </si>
  <si>
    <t>-944.643779775668 302.378651458759 -207.202684013494</t>
  </si>
  <si>
    <t>-705.274145358398 300.450357207653 -179.828340069626</t>
  </si>
  <si>
    <t>-908.585555519681 84.6065382147231 -520.474645434889</t>
  </si>
  <si>
    <t>-889.774448431049 218.385225436237 -66.3807564420055</t>
  </si>
  <si>
    <t>-905.571598540135 237.617917152322 336.403552755651</t>
  </si>
  <si>
    <t>-945.364704750281 250.113372946292 782.261182057485</t>
  </si>
  <si>
    <t>-814.777287571598 315.136293967324 843.956285611541</t>
  </si>
  <si>
    <t>-835.164072859257 36.8381142017015 -64.3002863176611</t>
  </si>
  <si>
    <t>-782.55270630078 30.2996356162107 335.754627432599</t>
  </si>
  <si>
    <t>-803.407476835095 14.7956632976093 782.933192033451</t>
  </si>
  <si>
    <t>-683.650866817088 -61.1385292322898 853.500055674512</t>
  </si>
  <si>
    <t>9763-20170724T111146.380735600.bin</t>
  </si>
  <si>
    <t>-861.708010694047 127.068402685723 -64.3155635019344</t>
  </si>
  <si>
    <t>-894.392321977408 114.976119825408 -174.776991473321</t>
  </si>
  <si>
    <t>-907.730801147746 111.203091654691 -272.421788343932</t>
  </si>
  <si>
    <t>-914.231237045166 109.907298633785 -361.271810133225</t>
  </si>
  <si>
    <t>-914.716152291708 110.542670461188 -450.365000090478</t>
  </si>
  <si>
    <t>-909.007918658807 113.210290790988 -574.787999026224</t>
  </si>
  <si>
    <t>-876.100772396208 116.032458408446 -651.03893434197</t>
  </si>
  <si>
    <t>-914.031752323927 139.62706607713 -519.559231533859</t>
  </si>
  <si>
    <t>-920.940596923738 275.357156822027 -498.960156719404</t>
  </si>
  <si>
    <t>-934.738564862458 303.74351223921 -206.393904246876</t>
  </si>
  <si>
    <t>-694.742203688284 299.694458064249 -185.510129172284</t>
  </si>
  <si>
    <t>-909.007866346507 84.4454862540529 -520.511916185987</t>
  </si>
  <si>
    <t>-889.130490068065 217.748867430379 -66.465796801207</t>
  </si>
  <si>
    <t>-904.677337084433 237.210071238883 336.317261086535</t>
  </si>
  <si>
    <t>-945.445364741537 249.865328841553 782.013253933619</t>
  </si>
  <si>
    <t>-814.883421081465 315.012773575958 843.630212925418</t>
  </si>
  <si>
    <t>-834.804396171379 36.310116372887 -64.2349032540736</t>
  </si>
  <si>
    <t>-782.458848368939 29.8414865529389 335.856061909642</t>
  </si>
  <si>
    <t>-803.217946914617 14.8419951742399 782.995577946884</t>
  </si>
  <si>
    <t>-683.5751172714 -61.2572334792205 853.577775212079</t>
  </si>
  <si>
    <t>9763-20170724T111146.418358500.bin</t>
  </si>
  <si>
    <t>-861.510798578926 126.976490944663 -64.3781857734374</t>
  </si>
  <si>
    <t>-894.228101668312 114.816040514921 -174.822318341442</t>
  </si>
  <si>
    <t>-907.710004835433 111.083214087081 -272.448912021073</t>
  </si>
  <si>
    <t>-914.38117976935 109.861064948913 -361.287190343172</t>
  </si>
  <si>
    <t>-915.074725463756 110.604356044826 -450.378290587371</t>
  </si>
  <si>
    <t>-909.694488919325 113.457233718359 -574.811822938252</t>
  </si>
  <si>
    <t>-876.626502189219 116.267159961562 -650.993426891294</t>
  </si>
  <si>
    <t>-914.472408882941 139.800739332581 -519.526203221738</t>
  </si>
  <si>
    <t>-920.587768175969 275.523653652795 -498.683193021847</t>
  </si>
  <si>
    <t>-927.312791126296 304.856158130429 -205.962360461077</t>
  </si>
  <si>
    <t>-687.019908484862 300.076503235177 -189.011453382394</t>
  </si>
  <si>
    <t>-909.651648749943 84.602818601149 -520.583309177713</t>
  </si>
  <si>
    <t>-888.74600520271 217.586267915373 -66.5692195533978</t>
  </si>
  <si>
    <t>-904.670557322117 237.170844765097 336.193051554534</t>
  </si>
  <si>
    <t>-945.54643104106 249.847224972023 781.859537337582</t>
  </si>
  <si>
    <t>-815.0240361918 315.14424700069 843.40202150457</t>
  </si>
  <si>
    <t>-834.683147757373 36.3386659436705 -64.2248697399699</t>
  </si>
  <si>
    <t>-782.251142153983 29.56566902547 335.849672758198</t>
  </si>
  <si>
    <t>-803.159929606862 14.758112563145 783.013803430559</t>
  </si>
  <si>
    <t>-683.395699683546 -61.1582573322992 853.586721959735</t>
  </si>
  <si>
    <t>9763-20170724T111146.484535600.bin</t>
  </si>
  <si>
    <t>-861.53514097923 126.987944583253 -64.5202613012868</t>
  </si>
  <si>
    <t>-894.375959061981 114.56946477808 -174.89910281505</t>
  </si>
  <si>
    <t>-908.227796936543 110.926807613763 -272.47746167438</t>
  </si>
  <si>
    <t>-915.323387673138 109.901691184209 -361.2851934251</t>
  </si>
  <si>
    <t>-916.521799261193 110.950830916125 -450.36782938004</t>
  </si>
  <si>
    <t>-911.922544312001 114.337835041297 -574.819489510673</t>
  </si>
  <si>
    <t>-878.41541403705 117.30697274762 -650.802842466775</t>
  </si>
  <si>
    <t>-916.196911119121 140.456668122149 -519.386167481076</t>
  </si>
  <si>
    <t>-920.734306374211 276.124362741835 -497.761472453866</t>
  </si>
  <si>
    <t>-907.418118689145 307.130584563145 -205.438948231501</t>
  </si>
  <si>
    <t>-666.601027629376 303.222255572092 -198.90471946926</t>
  </si>
  <si>
    <t>-911.696127212746 85.2379070575084 -520.722741618378</t>
  </si>
  <si>
    <t>-889.202185025412 217.473103916074 -66.8664163041975</t>
  </si>
  <si>
    <t>-905.46001259553 236.920347204679 335.889287913882</t>
  </si>
  <si>
    <t>-945.665840408659 249.785687203375 781.561729343106</t>
  </si>
  <si>
    <t>-815.238788085024 315.47058428364 842.893252779742</t>
  </si>
  <si>
    <t>-834.248491096816 36.4016031189781 -64.2695736408856</t>
  </si>
  <si>
    <t>-781.923847544346 29.4175186918064 335.815400729141</t>
  </si>
  <si>
    <t>-802.969922384468 14.8342517308733 783.007000646237</t>
  </si>
  <si>
    <t>-683.305671061823 -61.2410189269519 853.578124388146</t>
  </si>
  <si>
    <t>9763-20170724T111146.516123700.bin</t>
  </si>
  <si>
    <t>-861.644607205508 126.754778997619 -64.6050069584115</t>
  </si>
  <si>
    <t>-894.612986396131 114.163252969652 -174.92611099606</t>
  </si>
  <si>
    <t>-908.707096327105 110.554176511234 -272.47104382416</t>
  </si>
  <si>
    <t>-916.064256077385 109.627006949997 -361.258586877121</t>
  </si>
  <si>
    <t>-917.561075380084 110.837480302673 -450.33473423667</t>
  </si>
  <si>
    <t>-913.412216083224 114.513096096334 -574.793829987577</t>
  </si>
  <si>
    <t>-879.725395718432 117.597631805392 -650.693176837012</t>
  </si>
  <si>
    <t>-917.43876635095 140.507128708176 -519.283403982565</t>
  </si>
  <si>
    <t>-921.31162747243 276.118650510195 -497.168619065803</t>
  </si>
  <si>
    <t>-895.013572935097 307.883611859751 -205.808671102977</t>
  </si>
  <si>
    <t>-654.090554370952 305.684458673644 -204.358008547277</t>
  </si>
  <si>
    <t>-913.037233672697 85.283999623618 -520.767541496713</t>
  </si>
  <si>
    <t>-889.804306976806 217.218889128626 -66.9916528148168</t>
  </si>
  <si>
    <t>-905.962324877072 236.57624878951 335.772349284628</t>
  </si>
  <si>
    <t>-945.699895314606 249.715032297743 781.4859900268</t>
  </si>
  <si>
    <t>-815.415233055119 315.778491084367 842.713230666213</t>
  </si>
  <si>
    <t>-833.865383222608 36.2008477718846 -64.3511849220321</t>
  </si>
  <si>
    <t>-781.870399697264 29.3131632909299 335.778509967966</t>
  </si>
  <si>
    <t>-802.908431854694 14.7863875065241 782.991389292257</t>
  </si>
  <si>
    <t>-683.148569235545 -61.1514604130521 853.5486983851</t>
  </si>
  <si>
    <t>9763-20170724T111146.581306800.bin</t>
  </si>
  <si>
    <t>-862.191457826243 126.403118667907 -64.8077475051433</t>
  </si>
  <si>
    <t>-895.395405296931 113.39457878167 -175.00988488232</t>
  </si>
  <si>
    <t>-910.03596723142 109.811038227622 -272.475011769813</t>
  </si>
  <si>
    <t>-918.004449989906 109.051098667157 -361.211554135719</t>
  </si>
  <si>
    <t>-920.217446376325 110.569104219559 -450.267862590879</t>
  </si>
  <si>
    <t>-917.168308403264 114.815736766034 -574.740713835113</t>
  </si>
  <si>
    <t>-883.124490426326 118.194490139225 -650.468015328735</t>
  </si>
  <si>
    <t>-920.693603214361 140.555632707231 -519.07799832923</t>
  </si>
  <si>
    <t>-923.428260098706 276.032708806643 -495.80587086797</t>
  </si>
  <si>
    <t>-869.032089617736 308.576833065882 -208.450463369032</t>
  </si>
  <si>
    <t>-628.212993519061 310.531611006222 -215.7483687155</t>
  </si>
  <si>
    <t>-916.326527955304 85.3384256247464 -520.854922072144</t>
  </si>
  <si>
    <t>-891.65223021533 216.871805333163 -67.1867352724062</t>
  </si>
  <si>
    <t>-907.585318405919 235.704275570707 335.611116777735</t>
  </si>
  <si>
    <t>-945.994864234955 249.767637248671 781.45601407003</t>
  </si>
  <si>
    <t>-815.558527727391 315.700593742698 842.501085746581</t>
  </si>
  <si>
    <t>-833.202347615569 35.9243676246501 -64.5151983786097</t>
  </si>
  <si>
    <t>-781.857384636254 29.1197284264954 335.699877444583</t>
  </si>
  <si>
    <t>-802.812807057192 14.7264141963747 782.952895839604</t>
  </si>
  <si>
    <t>-682.867887306676 -60.9534273225572 853.472937023346</t>
  </si>
  <si>
    <t>9763-20170724T111146.616899600.bin</t>
  </si>
  <si>
    <t>-862.579615797137 126.388598777655 -64.9083746781587</t>
  </si>
  <si>
    <t>-895.860540564014 113.196509113758 -175.06540417343</t>
  </si>
  <si>
    <t>-910.790659874265 109.599616673769 -272.486243079006</t>
  </si>
  <si>
    <t>-919.101775756176 108.88176250936 -361.191558319796</t>
  </si>
  <si>
    <t>-921.732724013657 110.495046418158 -450.234977550235</t>
  </si>
  <si>
    <t>-919.340746832938 114.92873495087 -574.715579185579</t>
  </si>
  <si>
    <t>-885.134899617396 118.390928125825 -650.366152150801</t>
  </si>
  <si>
    <t>-922.563655411677 140.585724601991 -518.996283320657</t>
  </si>
  <si>
    <t>-925.048390010198 276.002071460353 -495.34836829524</t>
  </si>
  <si>
    <t>-858.695825301697 308.166304219499 -210.472932205574</t>
  </si>
  <si>
    <t>-618.023878640226 311.190826757056 -221.368541856227</t>
  </si>
  <si>
    <t>-918.222730822213 85.3698579839624 -520.879478894473</t>
  </si>
  <si>
    <t>-892.570720812727 216.721497597781 -67.2589797372318</t>
  </si>
  <si>
    <t>-908.704427667427 235.26348290174 335.544421122358</t>
  </si>
  <si>
    <t>-946.178109972175 249.86190678491 781.450196219967</t>
  </si>
  <si>
    <t>-815.65280130776 315.679224307197 842.430414975924</t>
  </si>
  <si>
    <t>-833.049173062323 35.9662042464829 -64.5756982544675</t>
  </si>
  <si>
    <t>-781.89353809967 29.0747566601444 335.662040994803</t>
  </si>
  <si>
    <t>-802.783632171962 14.6919130143688 782.936751096544</t>
  </si>
  <si>
    <t>-682.774752781437 -60.9087578717656 853.433329564674</t>
  </si>
  <si>
    <t>9763-20170724T111146.680575300.bin</t>
  </si>
  <si>
    <t>-863.006660903585 126.422161610642 -65.0463264593868</t>
  </si>
  <si>
    <t>-896.308645773374 113.141329208129 -175.186341732782</t>
  </si>
  <si>
    <t>-911.609212319023 109.502800680629 -272.548012836898</t>
  </si>
  <si>
    <t>-920.391767947807 108.75904540771 -361.207754292018</t>
  </si>
  <si>
    <t>-923.626158876975 110.358010306597 -450.231570899599</t>
  </si>
  <si>
    <t>-922.212347279912 114.78262893492 -574.727499321906</t>
  </si>
  <si>
    <t>-887.774983526847 118.201630312699 -650.274900236078</t>
  </si>
  <si>
    <t>-924.913538569173 140.450070668493 -518.985147115683</t>
  </si>
  <si>
    <t>-926.632518251427 275.879746776438 -495.208778244828</t>
  </si>
  <si>
    <t>-849.184262140182 306.485120805686 -212.974505554238</t>
  </si>
  <si>
    <t>-608.824607619308 313.511860688964 -228.100802077369</t>
  </si>
  <si>
    <t>-920.755386005933 85.2212916341468 -520.900861113656</t>
  </si>
  <si>
    <t>-893.376129594112 216.645651524369 -67.3583139463399</t>
  </si>
  <si>
    <t>-910.652315995974 234.461004604516 335.430476517245</t>
  </si>
  <si>
    <t>-946.330215458952 249.921626791878 781.451082735999</t>
  </si>
  <si>
    <t>-816.024782834299 316.24203960786 842.355459770208</t>
  </si>
  <si>
    <t>-832.998459772185 36.0320361163108 -64.6976542182291</t>
  </si>
  <si>
    <t>-782.011673041852 28.992016577864 335.559081015164</t>
  </si>
  <si>
    <t>-802.684733601376 14.7753639083503 782.891320148929</t>
  </si>
  <si>
    <t>-682.838410826386 -61.1075699336486 853.361069803186</t>
  </si>
  <si>
    <t>9763-20170724T111146.713665200.bin</t>
  </si>
  <si>
    <t>-863.255046529463 126.454976645171 -65.0400366927705</t>
  </si>
  <si>
    <t>-896.520604474026 113.29928299958 -175.206005791183</t>
  </si>
  <si>
    <t>-911.876644926388 109.700304562226 -272.560472765365</t>
  </si>
  <si>
    <t>-920.748872786541 108.970194198833 -361.211427076138</t>
  </si>
  <si>
    <t>-924.11434574704 110.562730978841 -450.230506428309</t>
  </si>
  <si>
    <t>-922.927626045582 114.961101398405 -574.729710493071</t>
  </si>
  <si>
    <t>-888.459382096889 118.353236849153 -650.264216834947</t>
  </si>
  <si>
    <t>-925.493147120168 140.642617309374 -518.987677456693</t>
  </si>
  <si>
    <t>-926.993287269112 276.070214713156 -495.359901692838</t>
  </si>
  <si>
    <t>-850.958908309506 305.684524429062 -212.635637178409</t>
  </si>
  <si>
    <t>-610.798601114274 314.32164215582 -229.934161702464</t>
  </si>
  <si>
    <t>-921.406336301035 85.4087125220408 -520.899918198375</t>
  </si>
  <si>
    <t>-893.514465961575 216.766669785344 -67.3635209607296</t>
  </si>
  <si>
    <t>-911.094937185527 234.267775270102 335.425918267254</t>
  </si>
  <si>
    <t>-946.404032094915 249.945587401343 781.485546783793</t>
  </si>
  <si>
    <t>-816.023392540416 316.146302606775 842.359607785632</t>
  </si>
  <si>
    <t>-833.440152235321 35.9445293331296 -64.7185101305349</t>
  </si>
  <si>
    <t>-782.384785537775 28.9327233506942 335.530008385168</t>
  </si>
  <si>
    <t>-802.684563807775 14.6560185678759 782.885025930215</t>
  </si>
  <si>
    <t>-682.752088413924 -61.10682294306 853.337243451687</t>
  </si>
  <si>
    <t>9763-20170724T111146.778845800.bin</t>
  </si>
  <si>
    <t>-863.491117522886 126.579131897885 -64.9048790283923</t>
  </si>
  <si>
    <t>-896.867803552701 113.804568651108 -175.082195055593</t>
  </si>
  <si>
    <t>-912.372087249779 110.45967991741 -272.42229010733</t>
  </si>
  <si>
    <t>-921.410962048848 109.948937361294 -361.057870511606</t>
  </si>
  <si>
    <t>-924.980939894771 111.761305833176 -450.064662953025</t>
  </si>
  <si>
    <t>-924.122857161222 116.477452341923 -574.555009634227</t>
  </si>
  <si>
    <t>-889.611067941293 119.978138112615 -650.064608392496</t>
  </si>
  <si>
    <t>-926.615136474341 142.011008373006 -518.741547472062</t>
  </si>
  <si>
    <t>-928.585953336943 277.424042343844 -495.041743688654</t>
  </si>
  <si>
    <t>-858.671032005361 305.688267482387 -210.605006444174</t>
  </si>
  <si>
    <t>-618.522252352779 315.805007883371 -227.249902919595</t>
  </si>
  <si>
    <t>-922.385812491268 86.7930655234504 -520.80430885958</t>
  </si>
  <si>
    <t>-893.1680758317 217.067723190655 -67.1687294048995</t>
  </si>
  <si>
    <t>-910.74395966283 234.240886796266 335.634969823193</t>
  </si>
  <si>
    <t>-946.469213150019 249.86359416299 781.649997870019</t>
  </si>
  <si>
    <t>-816.188091250231 316.321390888775 842.457453137465</t>
  </si>
  <si>
    <t>-834.28786735143 36.0955850502673 -64.7385776739826</t>
  </si>
  <si>
    <t>-782.873558036915 28.8568426948805 335.459991837323</t>
  </si>
  <si>
    <t>-802.583779849396 14.6916571276652 782.847904995325</t>
  </si>
  <si>
    <t>-682.626541490784 -61.0338134393987 853.297833296754</t>
  </si>
  <si>
    <t>9763-20170724T111146.816448200.bin</t>
  </si>
  <si>
    <t>-863.463542614199 126.736396862962 -64.8485911689877</t>
  </si>
  <si>
    <t>-896.950023121307 114.041949376434 -175.001789536573</t>
  </si>
  <si>
    <t>-912.570364037664 110.828439867073 -272.327840952894</t>
  </si>
  <si>
    <t>-921.722897730315 110.466788932414 -360.952581909347</t>
  </si>
  <si>
    <t>-925.415446443031 112.462577742407 -449.950405528914</t>
  </si>
  <si>
    <t>-924.736904573467 117.47469888077 -574.430218971783</t>
  </si>
  <si>
    <t>-890.151264394874 121.107250576059 -649.899921649918</t>
  </si>
  <si>
    <t>-927.21088054147 142.870777024124 -518.553316199573</t>
  </si>
  <si>
    <t>-929.489843459237 278.213676888074 -494.640533619794</t>
  </si>
  <si>
    <t>-862.085578808368 306.483645866664 -209.598893005017</t>
  </si>
  <si>
    <t>-621.826085103813 316.540771612591 -224.599689480821</t>
  </si>
  <si>
    <t>-922.8600546755 87.6675898775497 -520.752272491233</t>
  </si>
  <si>
    <t>-892.901149926343 217.051896448917 -67.0192622189956</t>
  </si>
  <si>
    <t>-910.517292371405 234.328016680674 335.778259828505</t>
  </si>
  <si>
    <t>-946.464058474923 249.800946453206 781.736415753493</t>
  </si>
  <si>
    <t>-816.323368822994 316.538960884925 842.537151274568</t>
  </si>
  <si>
    <t>-834.345406136247 36.37920994554 -64.7430634011351</t>
  </si>
  <si>
    <t>-782.754676983848 28.885192017171 335.428021552138</t>
  </si>
  <si>
    <t>-802.528348205731 14.6770296538939 782.823370380037</t>
  </si>
  <si>
    <t>-682.607921073356 -61.0971664805747 853.283376414376</t>
  </si>
  <si>
    <t>9763-20170724T111146.882654600.bin</t>
  </si>
  <si>
    <t>-863.393628413171 126.944972918572 -64.7648566198969</t>
  </si>
  <si>
    <t>-897.065492509529 114.253958566712 -174.862055485549</t>
  </si>
  <si>
    <t>-912.997548773905 111.18089204823 -272.141789709944</t>
  </si>
  <si>
    <t>-922.490155806951 111.00635162225 -360.731358137257</t>
  </si>
  <si>
    <t>-926.578043691182 113.254382998931 -449.706008416808</t>
  </si>
  <si>
    <t>-926.506938967935 118.690928623953 -574.16982602977</t>
  </si>
  <si>
    <t>-891.790197811325 122.515069360261 -649.569735601781</t>
  </si>
  <si>
    <t>-928.815723830669 143.887731252859 -518.195719218771</t>
  </si>
  <si>
    <t>-931.699533101056 279.15575593696 -493.803627312484</t>
  </si>
  <si>
    <t>-866.471666621014 305.90342245755 -208.109467560763</t>
  </si>
  <si>
    <t>-626.139905282847 316.930732602531 -221.144431971253</t>
  </si>
  <si>
    <t>-924.261006643248 88.7096382973368 -520.603156226865</t>
  </si>
  <si>
    <t>-893.19337377188 217.315728333953 -66.8046683221432</t>
  </si>
  <si>
    <t>-910.507937744696 234.633785022878 336.004139941904</t>
  </si>
  <si>
    <t>-946.734759982344 250.062206666035 781.873376801895</t>
  </si>
  <si>
    <t>-816.219114237324 316.024167207502 842.716816142783</t>
  </si>
  <si>
    <t>-833.853321989319 36.3496157453656 -64.7913637723389</t>
  </si>
  <si>
    <t>-782.106848324005 29.1936015872693 335.365844393069</t>
  </si>
  <si>
    <t>-802.365303856427 14.7901351336591 782.757273090823</t>
  </si>
  <si>
    <t>-682.719645231391 -61.3769681665963 853.260885270193</t>
  </si>
  <si>
    <t>9763-20170724T111146.916248100.bin</t>
  </si>
  <si>
    <t>-863.241393916711 126.736404929717 -64.7432140384909</t>
  </si>
  <si>
    <t>-896.995560112479 114.038665884446 -174.814280661305</t>
  </si>
  <si>
    <t>-913.099276845791 110.980507062842 -272.066387964855</t>
  </si>
  <si>
    <t>-922.785459487486 110.827273319032 -360.634928603771</t>
  </si>
  <si>
    <t>-927.104587536461 113.10596377382 -449.59784871315</t>
  </si>
  <si>
    <t>-927.394388792603 118.595298046991 -574.05901892679</t>
  </si>
  <si>
    <t>-892.661103582161 122.497888942989 -649.447370897066</t>
  </si>
  <si>
    <t>-929.58011628582 143.765080818348 -518.067781633791</t>
  </si>
  <si>
    <t>-932.711512101206 278.987375652275 -493.46432316169</t>
  </si>
  <si>
    <t>-867.7327425504 304.361637821308 -207.588156272914</t>
  </si>
  <si>
    <t>-627.430384480607 315.856860140205 -220.757774266561</t>
  </si>
  <si>
    <t>-924.953674258124 88.5944643864277 -520.511873766065</t>
  </si>
  <si>
    <t>-893.287559792699 217.179495355377 -66.7166788301394</t>
  </si>
  <si>
    <t>-910.649428542504 234.459020109305 336.09172959106</t>
  </si>
  <si>
    <t>-946.708529357355 250.040281791092 781.954627760218</t>
  </si>
  <si>
    <t>-816.221985660168 316.037214347738 842.822559578037</t>
  </si>
  <si>
    <t>-833.486207498282 36.0315336718068 -64.8465208525956</t>
  </si>
  <si>
    <t>-781.883748793442 29.1738751029202 335.334460621521</t>
  </si>
  <si>
    <t>-802.326850254275 14.7427666587405 782.726212144005</t>
  </si>
  <si>
    <t>-682.50801146523 -61.1540017449017 853.227366090143</t>
  </si>
  <si>
    <t>9763-20170724T111146.983431900.bin</t>
  </si>
  <si>
    <t>-862.92871651277 126.554708120335 -64.7164708666232</t>
  </si>
  <si>
    <t>-896.825190797762 113.822415386361 -174.739813223092</t>
  </si>
  <si>
    <t>-913.196934019781 110.777248515048 -271.947561824452</t>
  </si>
  <si>
    <t>-923.180728408516 110.651759972578 -360.483166073082</t>
  </si>
  <si>
    <t>-927.850554439988 112.974461059638 -449.427208909822</t>
  </si>
  <si>
    <t>-928.683633074911 118.542793118767 -573.882442661723</t>
  </si>
  <si>
    <t>-893.956606516513 122.655698771228 -649.262636801978</t>
  </si>
  <si>
    <t>-930.667738745901 143.67322928582 -517.866133801733</t>
  </si>
  <si>
    <t>-934.00048884887 278.818034145846 -492.996678652629</t>
  </si>
  <si>
    <t>-870.489025107932 302.495581321277 -206.645881608645</t>
  </si>
  <si>
    <t>-630.16615462319 313.690103486649 -219.700745277666</t>
  </si>
  <si>
    <t>-925.966106736749 88.5115566823888 -520.365609495107</t>
  </si>
  <si>
    <t>-893.407034015025 217.175765517612 -66.5519280990683</t>
  </si>
  <si>
    <t>-911.084298181491 234.080826070866 336.258620794815</t>
  </si>
  <si>
    <t>-946.700925591045 250.002925006832 782.182286620522</t>
  </si>
  <si>
    <t>-816.524088037625 316.608690067959 843.050759188143</t>
  </si>
  <si>
    <t>-832.936612060244 35.840682349733 -64.9115878862843</t>
  </si>
  <si>
    <t>-781.409027753865 29.0973816811761 335.281008638192</t>
  </si>
  <si>
    <t>-802.247744224932 14.6378888395911 782.664665704035</t>
  </si>
  <si>
    <t>-682.272163121495 -61.0029491067412 853.173846206843</t>
  </si>
  <si>
    <t>9763-20170724T111147.015524300.bin</t>
  </si>
  <si>
    <t>-862.948455977458 126.785501611466 -64.6421197265329</t>
  </si>
  <si>
    <t>-896.864942974113 114.090701731978 -174.663600992805</t>
  </si>
  <si>
    <t>-913.278733743334 111.079798324176 -271.865340824393</t>
  </si>
  <si>
    <t>-923.31086769837 110.987214733676 -360.395538548369</t>
  </si>
  <si>
    <t>-928.039953709573 113.346934498112 -449.335359873173</t>
  </si>
  <si>
    <t>-928.966967364649 118.971752465058 -573.787590617885</t>
  </si>
  <si>
    <t>-894.237989234815 123.188220474524 -649.161095368212</t>
  </si>
  <si>
    <t>-930.928799134993 144.075077157383 -517.758080465974</t>
  </si>
  <si>
    <t>-934.423889973502 279.20584941768 -492.84045766294</t>
  </si>
  <si>
    <t>-871.945987272517 302.715154973716 -206.248328099772</t>
  </si>
  <si>
    <t>-631.595199709793 313.583722448966 -219.064432329695</t>
  </si>
  <si>
    <t>-926.189100875886 88.9180441172666 -520.286368129977</t>
  </si>
  <si>
    <t>-893.542210071122 217.470831084063 -66.4651545771204</t>
  </si>
  <si>
    <t>-911.293372747815 234.094812310221 336.353921921002</t>
  </si>
  <si>
    <t>-946.842144028016 250.101097218855 782.324622697189</t>
  </si>
  <si>
    <t>-816.58879011083 316.574125465899 843.175090455592</t>
  </si>
  <si>
    <t>-832.846772475526 36.0509977625566 -64.9149741203584</t>
  </si>
  <si>
    <t>-781.26602627622 29.1742007622261 335.268455065369</t>
  </si>
  <si>
    <t>-802.178357758373 14.7018410439168 782.647156027725</t>
  </si>
  <si>
    <t>-682.296888635134 -61.0778595806273 853.167829681587</t>
  </si>
  <si>
    <t>9763-20170724T111147.081702400.bin</t>
  </si>
  <si>
    <t>-863.148615487489 127.279791332665 -64.5148701639774</t>
  </si>
  <si>
    <t>-897.122904276681 114.685239660489 -174.530181189576</t>
  </si>
  <si>
    <t>-913.583261212805 111.757011569721 -271.726447475046</t>
  </si>
  <si>
    <t>-923.659583427365 111.744032140047 -360.251668493822</t>
  </si>
  <si>
    <t>-928.436063038723 114.190662077157 -449.186701647897</t>
  </si>
  <si>
    <t>-929.433567582777 119.948290904429 -573.632136240339</t>
  </si>
  <si>
    <t>-894.720559525175 124.285358633147 -649.005949982062</t>
  </si>
  <si>
    <t>-931.388882828805 144.989773386126 -517.574952956925</t>
  </si>
  <si>
    <t>-935.214966375395 280.114106545439 -492.56472332896</t>
  </si>
  <si>
    <t>-874.922136665052 303.061613921057 -205.459535999052</t>
  </si>
  <si>
    <t>-634.562291764975 313.750165400007 -218.25665602612</t>
  </si>
  <si>
    <t>-926.600415693574 89.8397031909499 -520.164861291365</t>
  </si>
  <si>
    <t>-746.91433429978 0.0691289050923842 -320.190322605859</t>
  </si>
  <si>
    <t>-893.759988428277 218.093871947197 -66.2629085222397</t>
  </si>
  <si>
    <t>-911.367498606797 234.317013187547 336.57883332916</t>
  </si>
  <si>
    <t>-947.097390944605 250.251540791165 782.582157818013</t>
  </si>
  <si>
    <t>-816.561914127993 316.21116982309 843.385817340636</t>
  </si>
  <si>
    <t>-832.977807030598 36.3539948225716 -64.8459497531024</t>
  </si>
  <si>
    <t>-781.242320194138 29.3547815848751 335.315450785659</t>
  </si>
  <si>
    <t>-802.071439275102 14.7972893264982 782.637951399598</t>
  </si>
  <si>
    <t>-682.158049886449 -60.9291558699665 853.161656204911</t>
  </si>
  <si>
    <t>9763-20170724T111147.113792700.bin</t>
  </si>
  <si>
    <t>-863.029343057692 127.411550291653 -64.4895098141317</t>
  </si>
  <si>
    <t>-897.059062047433 114.852541694319 -174.491533540135</t>
  </si>
  <si>
    <t>-913.575858290704 111.963738509551 -271.679703638056</t>
  </si>
  <si>
    <t>-923.707257207754 111.992088578801 -360.198510932442</t>
  </si>
  <si>
    <t>-928.542409578291 114.486483551822 -449.129116711184</t>
  </si>
  <si>
    <t>-929.626081908672 120.319008305884 -573.570314233427</t>
  </si>
  <si>
    <t>-894.929800473904 124.660591764869 -648.951473338618</t>
  </si>
  <si>
    <t>-931.532856632965 145.327435621927 -517.496792583211</t>
  </si>
  <si>
    <t>-935.408518119817 280.448213414042 -492.49048629933</t>
  </si>
  <si>
    <t>-876.329818317443 302.97780811651 -205.099916985811</t>
  </si>
  <si>
    <t>-635.965165227048 313.336632718219 -218.078169915946</t>
  </si>
  <si>
    <t>-926.765703334433 90.1773526381648 -520.12309891952</t>
  </si>
  <si>
    <t>-746.736121403942 0.681848260640891 -319.645808870085</t>
  </si>
  <si>
    <t>-893.443629096949 218.151203954487 -66.1839709946778</t>
  </si>
  <si>
    <t>-911.043461411351 234.397376373071 336.657184693623</t>
  </si>
  <si>
    <t>-947.021062740207 250.103233514306 782.674082738166</t>
  </si>
  <si>
    <t>-816.643862541927 316.395928333773 843.454731987064</t>
  </si>
  <si>
    <t>-832.932512637967 36.524992733946 -64.8152969019501</t>
  </si>
  <si>
    <t>-781.103396168796 29.3912033853858 335.33157772712</t>
  </si>
  <si>
    <t>-802.001330757513 14.8831935734443 782.635733600659</t>
  </si>
  <si>
    <t>-682.120406792909 -60.8842904959927 853.170129267857</t>
  </si>
  <si>
    <t>9763-20170724T111147.182722700.bin</t>
  </si>
  <si>
    <t>-862.75908015619 127.490337024592 -64.3765574979467</t>
  </si>
  <si>
    <t>-896.933571266696 115.052276933397 -174.347457121846</t>
  </si>
  <si>
    <t>-913.596707950193 112.231952626701 -271.512636457237</t>
  </si>
  <si>
    <t>-923.872948633952 112.313855646141 -360.014738764239</t>
  </si>
  <si>
    <t>-928.866949502675 114.856380876593 -448.935104253041</t>
  </si>
  <si>
    <t>-930.188555810859 120.753052461687 -573.371142093356</t>
  </si>
  <si>
    <t>-895.606842802889 124.979260255041 -648.811581326599</t>
  </si>
  <si>
    <t>-931.990643579113 145.732578704938 -517.281023940368</t>
  </si>
  <si>
    <t>-936.093415828263 280.850642107515 -492.305447007058</t>
  </si>
  <si>
    <t>-879.274946086366 302.926348713788 -204.424431590035</t>
  </si>
  <si>
    <t>-638.870359210666 311.635981685501 -217.866839333941</t>
  </si>
  <si>
    <t>-927.223579657355 90.584031948446 -519.944996453274</t>
  </si>
  <si>
    <t>-745.730326297821 1.49556419155624 -318.598011301429</t>
  </si>
  <si>
    <t>-893.080141700633 218.355410606059 -66.0043957980447</t>
  </si>
  <si>
    <t>-910.508506664106 234.652773091881 336.842103393291</t>
  </si>
  <si>
    <t>-947.181702094234 250.12537155566 782.837326583258</t>
  </si>
  <si>
    <t>-816.675471139888 316.20146302379 843.577241985361</t>
  </si>
  <si>
    <t>-832.84644751418 36.4919031291215 -64.7772377484969</t>
  </si>
  <si>
    <t>-780.822812653982 29.4872274821842 335.346675682698</t>
  </si>
  <si>
    <t>-801.886817045284 15.00022644607 782.635388960555</t>
  </si>
  <si>
    <t>-682.263477700488 -61.1422514530937 853.203765976596</t>
  </si>
  <si>
    <t>9763-20170724T111147.217312700.bin</t>
  </si>
  <si>
    <t>-862.738081403951 127.491438062089 -64.315433368119</t>
  </si>
  <si>
    <t>-896.976287060454 115.121976209389 -174.274357343812</t>
  </si>
  <si>
    <t>-913.676385086129 112.33539802927 -271.434059548174</t>
  </si>
  <si>
    <t>-923.980923267783 112.440189188621 -359.9329216538</t>
  </si>
  <si>
    <t>-928.999776633006 114.998722338377 -448.851343349504</t>
  </si>
  <si>
    <t>-930.352996197378 120.912784490671 -573.286212361785</t>
  </si>
  <si>
    <t>-895.867704252032 125.107724887232 -648.772613373353</t>
  </si>
  <si>
    <t>-932.166290399339 145.881996285691 -517.192029757379</t>
  </si>
  <si>
    <t>-936.451954826464 280.985787842457 -492.18808764601</t>
  </si>
  <si>
    <t>-880.847909062073 302.802586034099 -204.050242208395</t>
  </si>
  <si>
    <t>-640.43901482851 310.992763305462 -217.737799467578</t>
  </si>
  <si>
    <t>-927.348941326854 90.738532400555 -519.865214311635</t>
  </si>
  <si>
    <t>-744.961810331538 1.0502482197644 -318.299377524178</t>
  </si>
  <si>
    <t>-893.048153840385 218.405532206496 -65.9066096521207</t>
  </si>
  <si>
    <t>-910.312607658026 234.632492441638 336.94980940402</t>
  </si>
  <si>
    <t>-947.14837136758 250.019966767151 782.92484989641</t>
  </si>
  <si>
    <t>-816.725519315834 316.27755602797 843.646818454998</t>
  </si>
  <si>
    <t>-832.892172679459 36.4600787388581 -64.7647220582572</t>
  </si>
  <si>
    <t>-780.755063975727 29.4950924618897 335.34509382385</t>
  </si>
  <si>
    <t>-801.856624210528 14.9962982838638 782.632299309261</t>
  </si>
  <si>
    <t>-682.20878057819 -61.1054685528513 853.202839125467</t>
  </si>
  <si>
    <t>9763-20170724T111147.281989400.bin</t>
  </si>
  <si>
    <t>-862.837269216208 127.693032277985 -64.2319118634141</t>
  </si>
  <si>
    <t>-897.114272740708 115.395989675797 -174.186788446733</t>
  </si>
  <si>
    <t>-913.796837145891 112.681042837148 -271.351539983659</t>
  </si>
  <si>
    <t>-924.066641440962 112.857269522649 -359.854337125241</t>
  </si>
  <si>
    <t>-929.03302948582 115.496619079727 -448.773510466861</t>
  </si>
  <si>
    <t>-930.295379202442 121.534989096755 -573.203226477906</t>
  </si>
  <si>
    <t>-895.988870564235 125.769804165875 -648.768903148513</t>
  </si>
  <si>
    <t>-932.209981810968 146.442969147104 -517.085071025348</t>
  </si>
  <si>
    <t>-936.769866953576 281.537240975436 -492.029895152518</t>
  </si>
  <si>
    <t>-883.759122029765 302.40826764377 -203.333849936285</t>
  </si>
  <si>
    <t>-643.365435269706 310.22879855505 -217.499476931512</t>
  </si>
  <si>
    <t>-927.269789129467 91.3126630232759 -519.810519901518</t>
  </si>
  <si>
    <t>-743.216958259124 0.440757038752508 -317.770849963879</t>
  </si>
  <si>
    <t>-893.118049695534 218.664344378179 -65.7620353853125</t>
  </si>
  <si>
    <t>-910.36557783171 234.803608413151 337.098682179219</t>
  </si>
  <si>
    <t>-947.315281835645 250.095542630422 783.0635419159</t>
  </si>
  <si>
    <t>-816.67874393692 315.942420517495 843.772696305506</t>
  </si>
  <si>
    <t>-832.932182054835 36.6063633449257 -64.729996451265</t>
  </si>
  <si>
    <t>-780.598983902865 29.6222622486753 335.353885229261</t>
  </si>
  <si>
    <t>-801.793743353672 15.0001010342548 782.621807852558</t>
  </si>
  <si>
    <t>-682.16138433465 -61.1137409350658 853.206132813876</t>
  </si>
  <si>
    <t>9763-20170724T111147.317084700.bin</t>
  </si>
  <si>
    <t>-862.872748065235 127.82209953585 -64.2088980043884</t>
  </si>
  <si>
    <t>-897.166243634738 115.515201304895 -174.157581746189</t>
  </si>
  <si>
    <t>-913.859643885784 112.809223920541 -271.320707442064</t>
  </si>
  <si>
    <t>-924.138637448222 113.001238899617 -359.822347103342</t>
  </si>
  <si>
    <t>-929.112565989542 115.665538919504 -448.740399883225</t>
  </si>
  <si>
    <t>-930.384313872211 121.749203311495 -573.167716524469</t>
  </si>
  <si>
    <t>-896.141049363124 126.020692772638 -648.760058076694</t>
  </si>
  <si>
    <t>-932.323016057889 146.634052034924 -517.040334692144</t>
  </si>
  <si>
    <t>-937.062098146735 281.717117469969 -491.965794639701</t>
  </si>
  <si>
    <t>-885.327759902301 302.194079866112 -203.009897744524</t>
  </si>
  <si>
    <t>-644.9309797232 309.938313259152 -217.163507023526</t>
  </si>
  <si>
    <t>-927.326162750145 91.5100840085956 -519.786611875187</t>
  </si>
  <si>
    <t>-742.66166724645 0.0391673919853019 -317.508962983679</t>
  </si>
  <si>
    <t>-893.232510382117 218.818609456397 -65.7313175968542</t>
  </si>
  <si>
    <t>-910.428287899225 234.931743985584 337.132628073416</t>
  </si>
  <si>
    <t>-947.389493010403 250.131825024007 783.116038485463</t>
  </si>
  <si>
    <t>-816.701012289269 315.869921142209 843.831094439646</t>
  </si>
  <si>
    <t>-832.890132792924 36.7009322374042 -64.72332790266</t>
  </si>
  <si>
    <t>-780.551231780939 29.7665844010817 335.360728274135</t>
  </si>
  <si>
    <t>-801.749997944182 15.0374226977005 782.614595474004</t>
  </si>
  <si>
    <t>-682.141998620186 -61.1057886524857 853.207951190826</t>
  </si>
  <si>
    <t>9763-20170724T111147.382847800.bin</t>
  </si>
  <si>
    <t>-862.863133882244 127.995033925024 -64.1868201647387</t>
  </si>
  <si>
    <t>-897.177533345491 115.631899573222 -174.12277086422</t>
  </si>
  <si>
    <t>-913.894697855992 112.882772549347 -271.280469546585</t>
  </si>
  <si>
    <t>-924.197315192063 113.038906737199 -359.77955253738</t>
  </si>
  <si>
    <t>-929.197867110644 115.672353119831 -448.697021455653</t>
  </si>
  <si>
    <t>-930.509697787036 121.718831465197 -573.125695146205</t>
  </si>
  <si>
    <t>-896.331184966083 126.079981315523 -648.74215479126</t>
  </si>
  <si>
    <t>-932.491702209999 146.614650576779 -517.004765450819</t>
  </si>
  <si>
    <t>-937.631083939291 281.684729260812 -491.948421090473</t>
  </si>
  <si>
    <t>-888.233797998994 301.82543567421 -202.560423623141</t>
  </si>
  <si>
    <t>-647.834131125619 308.981809586978 -216.970536272876</t>
  </si>
  <si>
    <t>-927.372806073156 91.5012303042558 -519.73687088921</t>
  </si>
  <si>
    <t>-893.342240764297 218.948916669138 -65.7156972398269</t>
  </si>
  <si>
    <t>-910.385131777292 234.987081758488 337.15774866</t>
  </si>
  <si>
    <t>-947.218631897157 249.898443249015 783.16756271357</t>
  </si>
  <si>
    <t>-816.793094407088 316.105581464732 843.938096347058</t>
  </si>
  <si>
    <t>-832.744268794074 36.9411570713455 -64.7185888908657</t>
  </si>
  <si>
    <t>-780.384601323749 30.075272121147 335.363864502011</t>
  </si>
  <si>
    <t>-801.644225527324 15.201242280069 782.602074170884</t>
  </si>
  <si>
    <t>-682.144247355142 -61.0990419016264 853.208699332361</t>
  </si>
  <si>
    <t>9763-20170724T111147.417442400.bin</t>
  </si>
  <si>
    <t>-862.898861009358 128.077269320019 -64.1939327379456</t>
  </si>
  <si>
    <t>-897.196133426856 115.687223816511 -174.132146380316</t>
  </si>
  <si>
    <t>-913.908132277698 112.903719289133 -271.289797238782</t>
  </si>
  <si>
    <t>-924.210787448103 113.02500696665 -359.788883495538</t>
  </si>
  <si>
    <t>-929.217089026267 115.620715534936 -448.707062960616</t>
  </si>
  <si>
    <t>-930.543046620906 121.612557998341 -573.138429942223</t>
  </si>
  <si>
    <t>-896.407957217929 126.014084010108 -648.772196385799</t>
  </si>
  <si>
    <t>-932.550211171789 146.530210303709 -517.02778384686</t>
  </si>
  <si>
    <t>-937.903352853162 281.601666891702 -492.019351886981</t>
  </si>
  <si>
    <t>-889.598964630371 301.539534452077 -202.432799688683</t>
  </si>
  <si>
    <t>-649.201941608895 308.694933570906 -216.887270100663</t>
  </si>
  <si>
    <t>-927.368977636277 91.4214569706332 -519.736889938748</t>
  </si>
  <si>
    <t>-893.42995268051 219.00987834521 -65.7237728886585</t>
  </si>
  <si>
    <t>-910.366970924272 235.002415155428 337.155884484682</t>
  </si>
  <si>
    <t>-947.096359408584 249.768982707632 783.165144815998</t>
  </si>
  <si>
    <t>-816.751025463648 316.08134650795 843.992602320212</t>
  </si>
  <si>
    <t>-832.73552229741 37.0397753002012 -64.7067013549766</t>
  </si>
  <si>
    <t>-780.315487149164 30.195818786834 335.36828116445</t>
  </si>
  <si>
    <t>-801.627099059821 15.1816952695031 782.599860562956</t>
  </si>
  <si>
    <t>-682.047065235862 -60.9955196800368 853.203707974118</t>
  </si>
  <si>
    <t>9763-20170724T111147.481707200.bin</t>
  </si>
  <si>
    <t>-863.131623234828 128.270160824569 -64.2357764754343</t>
  </si>
  <si>
    <t>-897.322038853235 115.841020557393 -174.202855247119</t>
  </si>
  <si>
    <t>-913.970225294708 113.001373454767 -271.369917986341</t>
  </si>
  <si>
    <t>-924.228088940174 113.063973083458 -359.874268273965</t>
  </si>
  <si>
    <t>-929.202687753747 115.594726302837 -448.796001787164</t>
  </si>
  <si>
    <t>-930.499807624428 121.490816257767 -573.232147958429</t>
  </si>
  <si>
    <t>-896.448562953883 125.924786315249 -648.901652849312</t>
  </si>
  <si>
    <t>-932.579714013223 146.44603521028 -517.141014508228</t>
  </si>
  <si>
    <t>-938.310185270303 281.517447485298 -492.239011991158</t>
  </si>
  <si>
    <t>-892.243403817907 301.041130449071 -202.259930025166</t>
  </si>
  <si>
    <t>-651.854588761776 308.130361081659 -216.880986130066</t>
  </si>
  <si>
    <t>-927.278314513584 91.3466157801208 -519.806896705711</t>
  </si>
  <si>
    <t>-893.794151914215 219.15069516218 -65.775269640791</t>
  </si>
  <si>
    <t>-910.594719481763 235.283145441724 337.104573621138</t>
  </si>
  <si>
    <t>-947.051685439774 249.742238608422 783.156455266725</t>
  </si>
  <si>
    <t>-816.709733808435 315.982729528784 844.070105805083</t>
  </si>
  <si>
    <t>-832.882470166714 37.2929286289977 -64.6949176415197</t>
  </si>
  <si>
    <t>-780.346866028305 30.4239893176632 335.364479470985</t>
  </si>
  <si>
    <t>-801.583391712217 15.1820223112027 782.599226422208</t>
  </si>
  <si>
    <t>-681.919963597026 -60.872375563891 853.194276973966</t>
  </si>
  <si>
    <t>9763-20170724T111147.514295800.bin</t>
  </si>
  <si>
    <t>-863.278745478002 128.450063586992 -64.2463292400234</t>
  </si>
  <si>
    <t>-897.434812617977 116.0166353312 -174.223483868552</t>
  </si>
  <si>
    <t>-914.035298157976 113.15807556106 -271.398105115786</t>
  </si>
  <si>
    <t>-924.243902680408 113.197117536554 -359.908244428978</t>
  </si>
  <si>
    <t>-929.163559870298 115.699141073525 -448.833884369219</t>
  </si>
  <si>
    <t>-930.378475229185 121.549108462788 -573.272998827838</t>
  </si>
  <si>
    <t>-896.336314329652 125.974763438874 -648.947237109631</t>
  </si>
  <si>
    <t>-932.526690014751 146.521831174693 -517.192246115459</t>
  </si>
  <si>
    <t>-938.470667313936 281.596058264335 -492.364957623062</t>
  </si>
  <si>
    <t>-893.514060492966 301.03025827558 -202.205612408309</t>
  </si>
  <si>
    <t>-653.126088462272 308.019639850093 -216.889934983715</t>
  </si>
  <si>
    <t>-927.16118068029 91.4275253083279 -519.834835259357</t>
  </si>
  <si>
    <t>-894.029233738342 219.298974480567 -65.7969440737438</t>
  </si>
  <si>
    <t>-910.799050633205 235.499028387305 337.081457232128</t>
  </si>
  <si>
    <t>-947.110428930945 249.816198463821 783.153876947416</t>
  </si>
  <si>
    <t>-816.721598838461 315.923956557456 844.111923688015</t>
  </si>
  <si>
    <t>-832.939076994488 37.4839686103669 -64.7114709273263</t>
  </si>
  <si>
    <t>-780.352278140764 30.6455059255964 335.341666788039</t>
  </si>
  <si>
    <t>-801.512880130013 15.343387766924 782.589394577637</t>
  </si>
  <si>
    <t>-682.028328362323 -60.9811406133645 853.196060545198</t>
  </si>
  <si>
    <t>9763-20170724T111147.582980700.bin</t>
  </si>
  <si>
    <t>-863.601592602568 128.821368073545 -64.2688542074579</t>
  </si>
  <si>
    <t>-897.604951176955 116.360699159926 -174.29020545193</t>
  </si>
  <si>
    <t>-914.039173995143 113.44508839655 -271.491480560914</t>
  </si>
  <si>
    <t>-924.085446223711 113.419472908306 -360.020131112087</t>
  </si>
  <si>
    <t>-928.832255961473 115.844334773974 -448.957380134655</t>
  </si>
  <si>
    <t>-929.796174405499 121.574920331604 -573.404305572073</t>
  </si>
  <si>
    <t>-895.691447789776 125.969483434237 -649.052113729561</t>
  </si>
  <si>
    <t>-932.11650677022 146.595888387893 -517.351827514421</t>
  </si>
  <si>
    <t>-938.342620147442 281.680680557281 -492.634920303569</t>
  </si>
  <si>
    <t>-895.12964515502 301.134967031292 -202.21219572369</t>
  </si>
  <si>
    <t>-654.714418510096 308.150300193064 -216.432227419288</t>
  </si>
  <si>
    <t>-926.62749688073 91.5106615978311 -519.930898808359</t>
  </si>
  <si>
    <t>-740.377977917052 0.261490051322198 -317.194289198438</t>
  </si>
  <si>
    <t>-894.471861176997 219.746746496159 -65.8648010132318</t>
  </si>
  <si>
    <t>-911.131558109803 236.021616028119 337.015134702457</t>
  </si>
  <si>
    <t>-947.343952576962 250.192251691751 783.08562637113</t>
  </si>
  <si>
    <t>-816.819611021555 315.864833839797 844.223272672327</t>
  </si>
  <si>
    <t>-833.146953790124 37.8279505173764 -64.7079616697157</t>
  </si>
  <si>
    <t>-780.510675658566 30.9292935171284 335.337707904671</t>
  </si>
  <si>
    <t>-801.518705493381 15.2026872769616 782.592551851047</t>
  </si>
  <si>
    <t>-681.858937718229 -60.8640543580261 853.180826772325</t>
  </si>
  <si>
    <t>9763-20170724T111147.614568500.bin</t>
  </si>
  <si>
    <t>-863.663471294312 129.004865887357 -64.2885213233737</t>
  </si>
  <si>
    <t>-897.583869626666 116.496534915374 -174.330179404444</t>
  </si>
  <si>
    <t>-913.949474343202 113.546242693519 -271.541924773618</t>
  </si>
  <si>
    <t>-923.934116308847 113.491029739397 -360.077504451602</t>
  </si>
  <si>
    <t>-928.620708943092 115.888359522428 -449.018629113276</t>
  </si>
  <si>
    <t>-929.500676549163 121.582731140374 -573.46784830114</t>
  </si>
  <si>
    <t>-895.365884354209 125.974084812723 -649.102211298417</t>
  </si>
  <si>
    <t>-931.88299400968 146.617673625607 -517.424297419306</t>
  </si>
  <si>
    <t>-938.19155037155 281.699534599999 -492.734983179164</t>
  </si>
  <si>
    <t>-895.433258443177 301.201269829128 -202.248045806134</t>
  </si>
  <si>
    <t>-655.007088382725 308.42764547421 -216.174634608091</t>
  </si>
  <si>
    <t>-926.343613628447 91.5363620649191 -519.983720478399</t>
  </si>
  <si>
    <t>-740.009275356612 0.465074179921885 -317.256372096017</t>
  </si>
  <si>
    <t>-894.543212625387 219.825756789743 -65.915797081382</t>
  </si>
  <si>
    <t>-911.178597778071 236.175231617678 336.962139837142</t>
  </si>
  <si>
    <t>-947.255417160368 250.172143765004 783.039038385977</t>
  </si>
  <si>
    <t>-816.886860077846 316.05475581062 844.282996863301</t>
  </si>
  <si>
    <t>-833.172832649293 38.0663582586794 -64.6947946452276</t>
  </si>
  <si>
    <t>-780.465018686567 31.0444706007183 335.339287687278</t>
  </si>
  <si>
    <t>-801.500555933341 15.1901050510246 782.592896816707</t>
  </si>
  <si>
    <t>-681.794067222951 -60.8076492207558 853.175919251445</t>
  </si>
  <si>
    <t>9763-20170724T111147.683781300.bin</t>
  </si>
  <si>
    <t>-863.717554528527 129.290436161265 -64.2681892400036</t>
  </si>
  <si>
    <t>-897.490169957329 116.710628458583 -174.347232679409</t>
  </si>
  <si>
    <t>-913.718453341634 113.711689032376 -271.580427259784</t>
  </si>
  <si>
    <t>-923.575637371056 113.61734838342 -360.130257382475</t>
  </si>
  <si>
    <t>-928.131250642157 115.981643933123 -449.079062146161</t>
  </si>
  <si>
    <t>-928.825055601896 121.636061903137 -573.531367338212</t>
  </si>
  <si>
    <t>-894.616904127077 126.023662978391 -649.132769545179</t>
  </si>
  <si>
    <t>-931.353662670294 146.682314138508 -517.499353106352</t>
  </si>
  <si>
    <t>-937.976045964486 281.76381369555 -492.887645493089</t>
  </si>
  <si>
    <t>-895.60955850506 301.563478697711 -202.363623153011</t>
  </si>
  <si>
    <t>-655.170247905795 309.112480373781 -215.886307900286</t>
  </si>
  <si>
    <t>-925.68555963805 91.6131797776343 -520.03290385511</t>
  </si>
  <si>
    <t>-739.342306636321 0.739016075038307 -317.175302487183</t>
  </si>
  <si>
    <t>-894.705269965088 220.000008212726 -65.9531196852313</t>
  </si>
  <si>
    <t>-911.42579785897 236.525711314531 336.914082261712</t>
  </si>
  <si>
    <t>-947.23884555293 250.200450214845 783.03911230288</t>
  </si>
  <si>
    <t>-816.955502101473 316.150485507995 844.392437277073</t>
  </si>
  <si>
    <t>-833.137364740692 38.4349395959161 -64.6587252054572</t>
  </si>
  <si>
    <t>-780.3999944214 31.2561878983715 335.368684711896</t>
  </si>
  <si>
    <t>-801.430065345268 15.239259656169 782.594327155761</t>
  </si>
  <si>
    <t>-681.63166126372 -60.6181137436586 853.172917730425</t>
  </si>
  <si>
    <t>9763-20170724T111147.715869100.bin</t>
  </si>
  <si>
    <t>-863.782319815039 129.425712037201 -64.2363007404538</t>
  </si>
  <si>
    <t>-897.53353795512 116.879212482826 -174.32564093231</t>
  </si>
  <si>
    <t>-913.713676785156 113.883263236216 -271.56706640096</t>
  </si>
  <si>
    <t>-923.517222078607 113.782232469985 -360.122761632841</t>
  </si>
  <si>
    <t>-928.010365949976 116.131664360972 -449.075219094799</t>
  </si>
  <si>
    <t>-928.60887709904 121.75759728249 -573.529303437699</t>
  </si>
  <si>
    <t>-894.3590534712 126.126483998371 -649.112889015675</t>
  </si>
  <si>
    <t>-931.210893734987 146.813591212365 -517.504858583826</t>
  </si>
  <si>
    <t>-938.039174446514 281.902638457882 -492.98241941375</t>
  </si>
  <si>
    <t>-896.06681505008 302.117541165846 -202.429714993017</t>
  </si>
  <si>
    <t>-655.643356572097 309.55688709072 -216.288710329972</t>
  </si>
  <si>
    <t>-925.480303597104 91.7501650376503 -520.021549694288</t>
  </si>
  <si>
    <t>-739.029710541119 0.793058038947038 -316.994376240233</t>
  </si>
  <si>
    <t>-894.883360247482 220.174011470533 -65.9240814460092</t>
  </si>
  <si>
    <t>-911.575429135927 236.586868974596 336.948912860817</t>
  </si>
  <si>
    <t>-947.226738285388 250.148957138807 783.1013041552</t>
  </si>
  <si>
    <t>-816.894496186021 316.00830452529 844.447314787044</t>
  </si>
  <si>
    <t>-833.159599218317 38.5682186306994 -64.6489837968606</t>
  </si>
  <si>
    <t>-780.412530805377 31.3739855846175 335.376876823855</t>
  </si>
  <si>
    <t>-801.38329339915 15.3136123004251 782.596841683994</t>
  </si>
  <si>
    <t>-681.712513188991 -60.7379599291048 853.182847583969</t>
  </si>
  <si>
    <t>9763-20170724T111147.782555000.bin</t>
  </si>
  <si>
    <t>-864.060289272975 129.702228583588 -64.1809224603034</t>
  </si>
  <si>
    <t>-897.778949034593 117.222091882797 -174.287804306314</t>
  </si>
  <si>
    <t>-913.889919582311 114.21936559733 -271.54040046822</t>
  </si>
  <si>
    <t>-923.618310248592 114.089446356492 -360.104492159009</t>
  </si>
  <si>
    <t>-928.026211458794 116.389564259483 -449.062389782311</t>
  </si>
  <si>
    <t>-928.496479345753 121.926868236296 -573.520868714244</t>
  </si>
  <si>
    <t>-894.194994432537 126.219271056652 -649.085454245382</t>
  </si>
  <si>
    <t>-931.197727009636 147.018594108906 -517.517165379304</t>
  </si>
  <si>
    <t>-938.390677011558 282.143474734535 -493.221967060765</t>
  </si>
  <si>
    <t>-897.994531370117 303.12820106632 -202.500412361326</t>
  </si>
  <si>
    <t>-657.573892310171 310.045438710636 -216.672176155389</t>
  </si>
  <si>
    <t>-925.381040869391 91.9619104725662 -519.988645758632</t>
  </si>
  <si>
    <t>-738.457294042674 0.732397151426085 -316.507555751242</t>
  </si>
  <si>
    <t>-895.25600501755 220.518529220439 -65.8029710173586</t>
  </si>
  <si>
    <t>-911.845936102518 236.695644556065 337.083816537686</t>
  </si>
  <si>
    <t>-947.534955061233 250.328651129341 783.278328547474</t>
  </si>
  <si>
    <t>-816.932058229546 315.729413672173 844.539914364346</t>
  </si>
  <si>
    <t>-833.316096319224 38.7449329089354 -64.6134353893337</t>
  </si>
  <si>
    <t>-780.517243432357 31.4891601397744 335.404481751451</t>
  </si>
  <si>
    <t>-801.349786527843 15.3167794966416 782.613523637747</t>
  </si>
  <si>
    <t>-681.694232889203 -60.7628703614998 853.194821242442</t>
  </si>
  <si>
    <t>9763-20170724T111147.814142800.bin</t>
  </si>
  <si>
    <t>-864.03294928887 129.671452565057 -64.1667701904439</t>
  </si>
  <si>
    <t>-897.734335835936 117.18383872296 -174.278166140679</t>
  </si>
  <si>
    <t>-913.819992510856 114.155445869152 -271.534196964626</t>
  </si>
  <si>
    <t>-923.522054788686 113.99499681109 -360.100906957567</t>
  </si>
  <si>
    <t>-927.901154958479 116.257348536994 -449.06133262811</t>
  </si>
  <si>
    <t>-928.329281238265 121.735680180328 -573.522654614186</t>
  </si>
  <si>
    <t>-894.021494845689 125.980464204165 -649.087153122946</t>
  </si>
  <si>
    <t>-931.061063189821 146.852769351862 -517.531699074799</t>
  </si>
  <si>
    <t>-938.405877682547 281.979493501107 -493.330083796837</t>
  </si>
  <si>
    <t>-899.096792617583 303.337372605504 -202.486796309173</t>
  </si>
  <si>
    <t>-658.660484875257 309.680299064572 -216.665369476239</t>
  </si>
  <si>
    <t>-925.220509871674 91.7973327676837 -519.975086941068</t>
  </si>
  <si>
    <t>-738.096438057743 0.277900246506761 -316.310403117495</t>
  </si>
  <si>
    <t>-895.150114851363 220.391741826916 -65.7587354369783</t>
  </si>
  <si>
    <t>-911.758327960726 236.597852481468 337.126150380251</t>
  </si>
  <si>
    <t>-947.351420407015 250.051374534057 783.340851625851</t>
  </si>
  <si>
    <t>-816.931333673721 315.863644443669 844.550718374176</t>
  </si>
  <si>
    <t>-833.291420622569 38.7610054273987 -64.5832894270548</t>
  </si>
  <si>
    <t>-780.478661941469 31.4168806479024 335.431105978903</t>
  </si>
  <si>
    <t>-801.352056515336 15.2484770924011 782.624815772016</t>
  </si>
  <si>
    <t>-681.613819442961 -60.7057190158966 853.201343331067</t>
  </si>
  <si>
    <t>9763-20170724T111147.883829500.bin</t>
  </si>
  <si>
    <t>-863.76292780069 129.729494875426 -64.1033362061793</t>
  </si>
  <si>
    <t>-897.41983219183 117.264891244406 -174.230899036372</t>
  </si>
  <si>
    <t>-913.462253813057 114.231666567921 -271.493820796896</t>
  </si>
  <si>
    <t>-923.124579312919 114.057595196948 -360.065007813049</t>
  </si>
  <si>
    <t>-927.463847622573 116.296797744883 -449.027970721211</t>
  </si>
  <si>
    <t>-927.83657296018 121.733154269455 -573.491303478691</t>
  </si>
  <si>
    <t>-893.544826674995 125.897223770885 -649.067566282557</t>
  </si>
  <si>
    <t>-930.603710781162 146.868072261481 -517.509933156968</t>
  </si>
  <si>
    <t>-938.140974481035 281.99943050421 -493.428041673787</t>
  </si>
  <si>
    <t>-901.541458706309 303.547350408319 -202.245342693097</t>
  </si>
  <si>
    <t>-661.047652618127 308.912228163545 -215.842581143348</t>
  </si>
  <si>
    <t>-924.741475666847 91.8139067013658 -519.932117058792</t>
  </si>
  <si>
    <t>-894.879196758855 220.483066379263 -65.6867373259411</t>
  </si>
  <si>
    <t>-911.689560221802 236.620884185396 337.192461927569</t>
  </si>
  <si>
    <t>-947.501168031007 250.074174818962 783.399134557018</t>
  </si>
  <si>
    <t>-817.023389588611 315.826834264667 844.550316768749</t>
  </si>
  <si>
    <t>-832.978517375452 38.8533434266533 -64.5594563244975</t>
  </si>
  <si>
    <t>-780.226025283561 31.4540104088237 335.461874863183</t>
  </si>
  <si>
    <t>-801.243933643475 15.4266326649172 782.633076068777</t>
  </si>
  <si>
    <t>-681.627077086571 -60.7028500021052 853.226470595382</t>
  </si>
  <si>
    <t>9763-20170724T111147.916922600.bin</t>
  </si>
  <si>
    <t>-863.536806094367 129.721973519116 -64.0867397951781</t>
  </si>
  <si>
    <t>-897.178164276023 117.270021050431 -174.22040848103</t>
  </si>
  <si>
    <t>-913.199722041715 114.245425747914 -271.487202286199</t>
  </si>
  <si>
    <t>-922.840555827858 114.078371208505 -360.060655565137</t>
  </si>
  <si>
    <t>-927.155622383221 116.324238576074 -449.02450466432</t>
  </si>
  <si>
    <t>-927.492111796175 121.7694152248 -573.487608377209</t>
  </si>
  <si>
    <t>-893.209467720214 125.89592468292 -649.070089254585</t>
  </si>
  <si>
    <t>-930.28153575068 146.899684707672 -517.505468023583</t>
  </si>
  <si>
    <t>-937.885570123822 282.031920057419 -493.426274247322</t>
  </si>
  <si>
    <t>-902.803867258598 303.270075076269 -202.033916066488</t>
  </si>
  <si>
    <t>-662.299595354235 308.28698851716 -215.574764084595</t>
  </si>
  <si>
    <t>-924.406446285159 91.8471329294052 -519.929851020475</t>
  </si>
  <si>
    <t>-894.671310092599 220.483206373634 -65.6580224672529</t>
  </si>
  <si>
    <t>-911.59495118919 236.56906831103 337.218522659889</t>
  </si>
  <si>
    <t>-947.51642944121 250.019166601016 783.423094944819</t>
  </si>
  <si>
    <t>-817.042127985362 315.809514670912 844.540506857497</t>
  </si>
  <si>
    <t>-832.767137427656 38.8452962969554 -64.5567493414048</t>
  </si>
  <si>
    <t>-780.122859385951 31.4172799432235 335.478349104764</t>
  </si>
  <si>
    <t>-801.213543722799 15.4513959742494 782.63866414902</t>
  </si>
  <si>
    <t>-681.602051683428 -60.6837231983745 853.235352345028</t>
  </si>
  <si>
    <t>9763-20170724T111147.981755900.bin</t>
  </si>
  <si>
    <t>-863.113704995897 129.829425307015 -64.0721967574926</t>
  </si>
  <si>
    <t>-896.754463592293 117.365908099709 -174.204809896044</t>
  </si>
  <si>
    <t>-912.767323466697 114.337843142243 -271.472800374425</t>
  </si>
  <si>
    <t>-922.396524514084 114.169724147939 -360.047611593651</t>
  </si>
  <si>
    <t>-926.696909668751 116.417803126878 -449.012149868806</t>
  </si>
  <si>
    <t>-927.009060135937 121.868189995309 -573.475009426105</t>
  </si>
  <si>
    <t>-892.719326074213 125.932886161801 -649.057573039193</t>
  </si>
  <si>
    <t>-929.811235016499 146.995932756549 -517.492239659536</t>
  </si>
  <si>
    <t>-937.500868074887 282.116669790028 -493.398166943846</t>
  </si>
  <si>
    <t>-905.542347667757 302.257752238716 -201.569207240186</t>
  </si>
  <si>
    <t>-665.027942332987 307.161973638291 -214.969960118212</t>
  </si>
  <si>
    <t>-923.932214977062 91.9438168514507 -519.917870271471</t>
  </si>
  <si>
    <t>-894.318973252602 220.5584317891 -65.6372876864967</t>
  </si>
  <si>
    <t>-911.388596964029 236.470008574136 337.24006043841</t>
  </si>
  <si>
    <t>-947.54381638901 249.885661387122 783.458291629271</t>
  </si>
  <si>
    <t>-817.085091806121 315.779182594592 844.497465200629</t>
  </si>
  <si>
    <t>-832.328497776034 38.9564789056963 -64.55139301794</t>
  </si>
  <si>
    <t>-779.920605239053 31.3350114406762 335.511044177492</t>
  </si>
  <si>
    <t>-801.17781818905 15.4360864185178 782.651893837915</t>
  </si>
  <si>
    <t>-681.575800695504 -60.7130472524796 853.249308677076</t>
  </si>
  <si>
    <t>9763-20170724T111148.013845100.bin</t>
  </si>
  <si>
    <t>-862.920796340031 129.88443158465 -64.0608534839689</t>
  </si>
  <si>
    <t>-896.580856635064 117.407077516437 -174.185978783663</t>
  </si>
  <si>
    <t>-912.585451365847 114.378648359932 -271.455348806164</t>
  </si>
  <si>
    <t>-922.197110512115 114.214755084865 -360.032097953575</t>
  </si>
  <si>
    <t>-926.468966460584 116.471148686825 -448.997836088136</t>
  </si>
  <si>
    <t>-926.730114708627 121.937988498226 -573.46006927525</t>
  </si>
  <si>
    <t>-892.425415249649 125.997956242511 -649.035953877961</t>
  </si>
  <si>
    <t>-929.555092116271 147.057976519715 -517.475335972342</t>
  </si>
  <si>
    <t>-937.311263350619 282.173486793792 -493.373190317943</t>
  </si>
  <si>
    <t>-906.857169132313 301.756040102121 -201.345338570812</t>
  </si>
  <si>
    <t>-666.346918207554 306.606388787181 -214.844575319754</t>
  </si>
  <si>
    <t>-923.675433603523 92.0064034407978 -519.905645029739</t>
  </si>
  <si>
    <t>-894.15229219056 220.629535313102 -65.6212667657428</t>
  </si>
  <si>
    <t>-911.315649484191 236.502936307359 337.25356863416</t>
  </si>
  <si>
    <t>-947.711929170445 249.960978165586 783.47772972003</t>
  </si>
  <si>
    <t>-817.130722468777 315.655544812996 844.469785821295</t>
  </si>
  <si>
    <t>-832.109208819219 39.0076558159831 -64.5399006049049</t>
  </si>
  <si>
    <t>-779.81159457964 31.2781540673268 335.534953128597</t>
  </si>
  <si>
    <t>-801.163258517417 15.4313491817534 782.661221771773</t>
  </si>
  <si>
    <t>-681.525639290988 -60.6640572506342 853.25642272331</t>
  </si>
  <si>
    <t>9763-20170724T111148.082716900.bin</t>
  </si>
  <si>
    <t>-862.513711595664 129.884989750704 -64.0374598623807</t>
  </si>
  <si>
    <t>-896.215548191858 117.433512807183 -174.152715706527</t>
  </si>
  <si>
    <t>-912.197598779196 114.433281857052 -271.426738567746</t>
  </si>
  <si>
    <t>-921.765578680443 114.29782982351 -360.008151912745</t>
  </si>
  <si>
    <t>-925.970138073659 116.584932161833 -448.976380317786</t>
  </si>
  <si>
    <t>-926.114015162538 122.097295351022 -573.436858249614</t>
  </si>
  <si>
    <t>-891.717529781282 126.189653569902 -648.969334513017</t>
  </si>
  <si>
    <t>-929.003281416 147.195716984826 -517.445564436205</t>
  </si>
  <si>
    <t>-936.912966180759 282.306654521382 -493.347228776284</t>
  </si>
  <si>
    <t>-909.207425971307 300.978765861716 -200.986193190224</t>
  </si>
  <si>
    <t>-668.694026942815 305.794878584109 -214.434609891236</t>
  </si>
  <si>
    <t>-923.098482463279 92.1473944049299 -519.890271242175</t>
  </si>
  <si>
    <t>-893.770530943546 220.690363587703 -65.5724961083597</t>
  </si>
  <si>
    <t>-910.953515170895 236.48183689097 337.30478077843</t>
  </si>
  <si>
    <t>-947.744223993416 249.755793772795 783.521392072876</t>
  </si>
  <si>
    <t>-817.035454958355 315.320427091965 844.380703498511</t>
  </si>
  <si>
    <t>-831.652387081809 38.9330829347782 -64.5306449075945</t>
  </si>
  <si>
    <t>-779.519520504717 31.1351364722459 335.564404334749</t>
  </si>
  <si>
    <t>-801.120440604121 15.4696058804111 782.675469405677</t>
  </si>
  <si>
    <t>-681.447422481161 -60.5753481720521 853.264710069852</t>
  </si>
  <si>
    <t>9763-20170724T111148.115813600.bin</t>
  </si>
  <si>
    <t>-862.294909466657 129.877523974601 -64.0272068266354</t>
  </si>
  <si>
    <t>-896.035952729518 117.43550140891 -174.131549002224</t>
  </si>
  <si>
    <t>-912.026217873582 114.451077390855 -271.404693259266</t>
  </si>
  <si>
    <t>-921.590985003572 114.333212170929 -359.986526018178</t>
  </si>
  <si>
    <t>-925.782885945206 116.641397960388 -448.954733985116</t>
  </si>
  <si>
    <t>-925.897916516414 122.186539046822 -573.413721175154</t>
  </si>
  <si>
    <t>-891.445172487541 126.305013577167 -648.919232971323</t>
  </si>
  <si>
    <t>-928.807460258262 147.269214829577 -517.416447178785</t>
  </si>
  <si>
    <t>-936.74448512598 282.372846056949 -493.298528469837</t>
  </si>
  <si>
    <t>-910.32458641921 300.768379696589 -200.801023789588</t>
  </si>
  <si>
    <t>-669.812379134792 305.481234328612 -214.312978097498</t>
  </si>
  <si>
    <t>-922.88690200408 92.2232591011657 -519.874469274373</t>
  </si>
  <si>
    <t>-893.567892490326 220.693782528211 -65.5416008307093</t>
  </si>
  <si>
    <t>-910.776887193083 236.475777239132 337.334861421307</t>
  </si>
  <si>
    <t>-947.839269256094 249.748421092082 783.527527704403</t>
  </si>
  <si>
    <t>-817.086922474758 315.286545611729 844.321052904111</t>
  </si>
  <si>
    <t>-831.408627689369 38.9460044175898 -64.5325746709447</t>
  </si>
  <si>
    <t>-779.362923964632 31.1099657425698 335.573047954812</t>
  </si>
  <si>
    <t>-801.063686065581 15.6105095400048 782.675223919216</t>
  </si>
  <si>
    <t>-681.523218645022 -60.6351369778502 853.272388132837</t>
  </si>
  <si>
    <t>9763-20170724T111148.184999200.bin</t>
  </si>
  <si>
    <t>-861.913962060693 129.733982711104 -64.0185034683693</t>
  </si>
  <si>
    <t>-895.73152739449 117.277030664908 -174.097631431385</t>
  </si>
  <si>
    <t>-911.735461011132 114.312534009605 -271.369074012764</t>
  </si>
  <si>
    <t>-921.290576905993 114.22534462253 -359.951992874434</t>
  </si>
  <si>
    <t>-925.450142859463 116.577320697263 -448.920689187113</t>
  </si>
  <si>
    <t>-925.496025969343 122.196954836342 -573.376458049646</t>
  </si>
  <si>
    <t>-890.947805907553 126.395569728505 -648.833747070166</t>
  </si>
  <si>
    <t>-928.462238778791 147.243634597816 -517.365817573798</t>
  </si>
  <si>
    <t>-936.550819182141 282.326618727374 -493.18748411983</t>
  </si>
  <si>
    <t>-912.484758844969 300.300912807405 -200.460726393601</t>
  </si>
  <si>
    <t>-671.995372521697 304.74471702839 -214.46112630994</t>
  </si>
  <si>
    <t>-922.489187680637 92.2044328216962 -519.853329538998</t>
  </si>
  <si>
    <t>-893.255545482564 220.601699084084 -65.5280300780594</t>
  </si>
  <si>
    <t>-910.437952820457 236.294315497873 337.353045048688</t>
  </si>
  <si>
    <t>-947.993665973414 249.737417227283 783.501172236774</t>
  </si>
  <si>
    <t>-817.244848929096 315.369008664693 844.201494986544</t>
  </si>
  <si>
    <t>-830.952014795503 38.7319890321282 -64.5475816097265</t>
  </si>
  <si>
    <t>-779.12605252001 30.861867675645 335.585917073626</t>
  </si>
  <si>
    <t>-801.053492002832 15.588607655166 782.67841873406</t>
  </si>
  <si>
    <t>-681.329036821828 -60.3869236282158 853.255120164199</t>
  </si>
  <si>
    <t>9763-20170724T111148.216084500.bin</t>
  </si>
  <si>
    <t>-861.694932310442 129.667840075788 -64.0478177336224</t>
  </si>
  <si>
    <t>-895.528197140325 117.181252732454 -174.118770418953</t>
  </si>
  <si>
    <t>-911.52555187361 114.219138608813 -271.391478494932</t>
  </si>
  <si>
    <t>-921.065429765279 114.14499885078 -359.976103648499</t>
  </si>
  <si>
    <t>-925.199904610491 116.519765237549 -448.945133437972</t>
  </si>
  <si>
    <t>-925.200207035311 122.182315109099 -573.399021967289</t>
  </si>
  <si>
    <t>-890.608844019437 126.448985016972 -648.832844389784</t>
  </si>
  <si>
    <t>-928.201645369359 147.2081379229 -517.381021126982</t>
  </si>
  <si>
    <t>-936.401183497231 282.282939013801 -493.185170841789</t>
  </si>
  <si>
    <t>-913.443809465861 300.000567524324 -200.353904873171</t>
  </si>
  <si>
    <t>-672.975863899835 304.420446568754 -214.725257521296</t>
  </si>
  <si>
    <t>-922.198545859242 92.1728691352741 -519.885073897067</t>
  </si>
  <si>
    <t>-893.046940122908 220.4937782556 -65.5610918001747</t>
  </si>
  <si>
    <t>-910.261700847652 236.184889203079 337.31858478146</t>
  </si>
  <si>
    <t>-947.837594977344 249.535501334326 783.431646132105</t>
  </si>
  <si>
    <t>-817.227930290057 315.431311330831 844.145730060565</t>
  </si>
  <si>
    <t>-830.687936839557 38.702140106529 -64.5635335202422</t>
  </si>
  <si>
    <t>-778.985143147322 30.8397261006758 335.58599348807</t>
  </si>
  <si>
    <t>-801.022334453558 15.6587887995347 782.674036016939</t>
  </si>
  <si>
    <t>-681.46188104012 -60.5651945239106 853.260757892042</t>
  </si>
  <si>
    <t>9763-20170724T111148.281065200.bin</t>
  </si>
  <si>
    <t>-861.297091592466 129.555429532384 -64.1435244465737</t>
  </si>
  <si>
    <t>-895.109772724581 117.009266921168 -174.214108557158</t>
  </si>
  <si>
    <t>-911.054693109846 114.066382511148 -271.495960403731</t>
  </si>
  <si>
    <t>-920.53006852723 114.035745129579 -360.087444676027</t>
  </si>
  <si>
    <t>-924.582021938339 116.480472693795 -449.058377889866</t>
  </si>
  <si>
    <t>-924.447316513252 122.266666251529 -573.506562415304</t>
  </si>
  <si>
    <t>-889.745559559448 126.699964254993 -648.879766404375</t>
  </si>
  <si>
    <t>-927.534159745697 147.234031816625 -517.467167064918</t>
  </si>
  <si>
    <t>-935.955596691624 282.285792204927 -493.237953473472</t>
  </si>
  <si>
    <t>-914.800533095765 299.175005765536 -200.221832154822</t>
  </si>
  <si>
    <t>-674.420198203512 303.917156904941 -215.897998372177</t>
  </si>
  <si>
    <t>-921.479512280476 92.2069402878924 -520.019038607748</t>
  </si>
  <si>
    <t>-892.687792970547 220.372397316462 -65.7019617702578</t>
  </si>
  <si>
    <t>-910.023345308076 236.149815814148 337.169259941733</t>
  </si>
  <si>
    <t>-947.880109215411 249.603417977204 783.25211938495</t>
  </si>
  <si>
    <t>-817.210309347931 315.267903166151 844.0864799235</t>
  </si>
  <si>
    <t>-830.25354153007 38.6255013304026 -64.6110521713759</t>
  </si>
  <si>
    <t>-778.751032763937 30.7818880941677 335.56468548671</t>
  </si>
  <si>
    <t>-800.992693078775 15.7333051549554 782.6701273529</t>
  </si>
  <si>
    <t>-681.495484592359 -60.5986949238916 853.247297803555</t>
  </si>
  <si>
    <t>9763-20170724T111148.316167200.bin</t>
  </si>
  <si>
    <t>-861.101689853069 129.396053199547 -64.1983885323043</t>
  </si>
  <si>
    <t>-894.88984912544 116.818890328345 -174.272860328656</t>
  </si>
  <si>
    <t>-910.772419751721 113.891760405734 -271.565339388499</t>
  </si>
  <si>
    <t>-920.173806960947 113.89175743342 -360.164677548389</t>
  </si>
  <si>
    <t>-924.133086124969 116.383078074296 -449.138642476926</t>
  </si>
  <si>
    <t>-923.848756212824 122.250442211936 -573.58267395755</t>
  </si>
  <si>
    <t>-889.083220867551 126.763301408886 -648.921928264115</t>
  </si>
  <si>
    <t>-927.021508324189 147.179396310942 -517.530908529621</t>
  </si>
  <si>
    <t>-935.66392160898 282.216641731824 -493.258553142586</t>
  </si>
  <si>
    <t>-915.023564228338 298.602644867657 -200.177096245596</t>
  </si>
  <si>
    <t>-674.696855816057 303.74626892576 -216.529276036808</t>
  </si>
  <si>
    <t>-920.926241493624 92.1578070465107 -520.111213591052</t>
  </si>
  <si>
    <t>-892.446815426973 220.171386182172 -65.7902687219502</t>
  </si>
  <si>
    <t>-909.792188863558 236.026249602071 337.077450663766</t>
  </si>
  <si>
    <t>-947.674451531862 249.424023729679 783.136165215604</t>
  </si>
  <si>
    <t>-817.210082858721 315.41842062413 844.054663425557</t>
  </si>
  <si>
    <t>-830.109346274729 38.4970276450631 -64.6368408014863</t>
  </si>
  <si>
    <t>-778.659883051662 30.6485353215285 335.545634573739</t>
  </si>
  <si>
    <t>-801.007008820929 15.6553132164458 782.665299938178</t>
  </si>
  <si>
    <t>-681.318952346776 -60.393930917226 853.224363016011</t>
  </si>
  <si>
    <t>9763-20170724T111148.381343200.bin</t>
  </si>
  <si>
    <t>-860.958675517254 129.325476992045 -64.264402911754</t>
  </si>
  <si>
    <t>-894.591684817829 116.680093442705 -174.378612966595</t>
  </si>
  <si>
    <t>-910.27220969829 113.758955897057 -271.704078516918</t>
  </si>
  <si>
    <t>-919.461510504071 113.788302555219 -360.325717004682</t>
  </si>
  <si>
    <t>-923.179280242077 116.333803751237 -449.308588269437</t>
  </si>
  <si>
    <t>-922.52634572926 122.301499630176 -573.746445142813</t>
  </si>
  <si>
    <t>-887.629576449258 126.950935845903 -649.01676728523</t>
  </si>
  <si>
    <t>-925.934087910647 147.177370566108 -517.684928340442</t>
  </si>
  <si>
    <t>-935.196122978833 282.147926708379 -493.29961283058</t>
  </si>
  <si>
    <t>-915.042750254026 297.620838987718 -200.134619343467</t>
  </si>
  <si>
    <t>-674.820403560763 303.451434665335 -217.745315522137</t>
  </si>
  <si>
    <t>-919.69302944597 92.1734524908325 -520.289941557318</t>
  </si>
  <si>
    <t>-892.403657629103 220.004431213206 -65.9214893925306</t>
  </si>
  <si>
    <t>-909.56214959115 236.136728440989 336.943251428717</t>
  </si>
  <si>
    <t>-947.750609536057 249.522448227492 782.998587986054</t>
  </si>
  <si>
    <t>-817.116174024216 315.103026522166 843.999214624711</t>
  </si>
  <si>
    <t>-829.909237963391 38.5500209302327 -64.6545958042608</t>
  </si>
  <si>
    <t>-778.516057036524 30.6520426189632 335.534108804815</t>
  </si>
  <si>
    <t>-800.943989346958 15.7983478167484 782.662454440053</t>
  </si>
  <si>
    <t>-681.356581573831 -60.4132367958407 853.217210858055</t>
  </si>
  <si>
    <t>9763-20170724T111148.413936700.bin</t>
  </si>
  <si>
    <t>-860.889982947247 129.333064437451 -64.2814058033184</t>
  </si>
  <si>
    <t>-894.460945101834 116.652544288752 -174.410488285929</t>
  </si>
  <si>
    <t>-910.036883042922 113.734590891469 -271.752881660215</t>
  </si>
  <si>
    <t>-919.110209949765 113.77877356574 -360.386509974978</t>
  </si>
  <si>
    <t>-922.689554939182 116.350221458228 -449.374240653579</t>
  </si>
  <si>
    <t>-921.820603307229 122.365888361996 -573.808354300407</t>
  </si>
  <si>
    <t>-886.866664979734 127.095841207947 -649.047084942123</t>
  </si>
  <si>
    <t>-925.365870660676 147.215552648021 -517.74371370781</t>
  </si>
  <si>
    <t>-934.918436161498 282.14736733215 -493.303926269195</t>
  </si>
  <si>
    <t>-915.124651296335 297.362110356762 -200.101005150217</t>
  </si>
  <si>
    <t>-674.935550132367 303.312800597583 -218.117280151003</t>
  </si>
  <si>
    <t>-919.040169466373 92.2216577018498 -520.358282658255</t>
  </si>
  <si>
    <t>-892.388438993598 219.912829199757 -65.9577222121364</t>
  </si>
  <si>
    <t>-909.553510515493 236.147995007441 336.902599096166</t>
  </si>
  <si>
    <t>-947.725751020732 249.48053910874 782.947899827164</t>
  </si>
  <si>
    <t>-817.168137150243 315.198518380737 843.96548881203</t>
  </si>
  <si>
    <t>-829.795152490781 38.6282361400808 -64.6623243563196</t>
  </si>
  <si>
    <t>-778.466765439994 30.6934319576317 335.534002924268</t>
  </si>
  <si>
    <t>-800.905436588872 15.8744533679837 782.663502838527</t>
  </si>
  <si>
    <t>-681.357084966231 -60.4005874019088 853.215787563443</t>
  </si>
  <si>
    <t>9763-20170724T111148.482619100.bin</t>
  </si>
  <si>
    <t>-860.786133260519 129.237410239867 -64.3425682066694</t>
  </si>
  <si>
    <t>-894.234596982058 116.531191457936 -174.505971198561</t>
  </si>
  <si>
    <t>-909.660881805202 113.699693458014 -271.874642469923</t>
  </si>
  <si>
    <t>-918.577598895364 113.864664946778 -360.524022710341</t>
  </si>
  <si>
    <t>-921.97801970464 116.599006402976 -449.51391807744</t>
  </si>
  <si>
    <t>-920.834142536752 122.885271102515 -573.932599271966</t>
  </si>
  <si>
    <t>-885.755580635363 127.810541553286 -649.100790587681</t>
  </si>
  <si>
    <t>-924.559165671084 147.60632977363 -517.822861122195</t>
  </si>
  <si>
    <t>-934.479136921928 282.487602901593 -493.187929308307</t>
  </si>
  <si>
    <t>-915.678757224933 296.710092650001 -199.869991910552</t>
  </si>
  <si>
    <t>-675.597411913587 302.975961286324 -219.173586747667</t>
  </si>
  <si>
    <t>-918.115887133405 92.6314265019864 -520.541213245936</t>
  </si>
  <si>
    <t>-892.459783362302 219.839676094681 -66.0175274524923</t>
  </si>
  <si>
    <t>-909.762234741486 235.992872767597 336.840187346329</t>
  </si>
  <si>
    <t>-947.682611684696 249.395001503199 782.875996620872</t>
  </si>
  <si>
    <t>-817.196928853471 315.240328312165 843.910593852626</t>
  </si>
  <si>
    <t>-829.529186934891 38.4962788332391 -64.7072500914392</t>
  </si>
  <si>
    <t>-778.413424307175 30.6378891559689 335.51779469626</t>
  </si>
  <si>
    <t>-800.898202846083 15.7954757764196 782.660077027347</t>
  </si>
  <si>
    <t>-681.167688477511 -60.2109505678336 853.19322118895</t>
  </si>
  <si>
    <t>9763-20170724T111148.515205200.bin</t>
  </si>
  <si>
    <t>-860.848123242018 129.134856593759 -64.3718038342175</t>
  </si>
  <si>
    <t>-894.241024977811 116.445449178453 -174.553992067907</t>
  </si>
  <si>
    <t>-909.619420091529 113.676325720711 -271.932090663505</t>
  </si>
  <si>
    <t>-918.490805131947 113.915726164043 -360.585727160979</t>
  </si>
  <si>
    <t>-921.844148758354 116.742754109127 -449.574642956595</t>
  </si>
  <si>
    <t>-920.630688104613 123.177607241209 -573.984965564882</t>
  </si>
  <si>
    <t>-885.477561339073 128.158673592409 -649.114727600413</t>
  </si>
  <si>
    <t>-924.391468515529 147.831538471245 -517.84802518787</t>
  </si>
  <si>
    <t>-934.423029585265 282.690136803103 -493.110162593458</t>
  </si>
  <si>
    <t>-916.120385246748 296.318004546784 -199.732459751351</t>
  </si>
  <si>
    <t>-676.110749864995 302.758755178013 -219.848978834994</t>
  </si>
  <si>
    <t>-917.937771772741 92.8606330842972 -520.628173888461</t>
  </si>
  <si>
    <t>-892.563113294834 219.780326772076 -66.0388591312494</t>
  </si>
  <si>
    <t>-909.952935870964 235.9050242725 336.816250940963</t>
  </si>
  <si>
    <t>-947.76659151794 249.453918580523 782.86062415228</t>
  </si>
  <si>
    <t>-817.121816534141 314.985257333175 843.892356204816</t>
  </si>
  <si>
    <t>-829.554570436772 38.3287387984028 -64.7325740348746</t>
  </si>
  <si>
    <t>-778.471205373746 30.5204454019859 335.497572542596</t>
  </si>
  <si>
    <t>-800.922232136332 15.6765736724155 782.663154972663</t>
  </si>
  <si>
    <t>-681.025792878124 -60.08336824909 853.179734287011</t>
  </si>
  <si>
    <t>9763-20170724T111148.582395300.bin</t>
  </si>
  <si>
    <t>-860.901029959475 128.741401133752 -64.3318818173832</t>
  </si>
  <si>
    <t>-894.269017505697 116.109512760258 -174.528196353579</t>
  </si>
  <si>
    <t>-909.596998472761 113.475588463751 -271.917954836454</t>
  </si>
  <si>
    <t>-918.40991802425 113.872268876282 -360.576985089023</t>
  </si>
  <si>
    <t>-921.68947833825 116.891517465909 -449.562175281663</t>
  </si>
  <si>
    <t>-920.357152141497 123.631461223548 -573.955142346444</t>
  </si>
  <si>
    <t>-885.031737517334 128.680344637793 -648.999600248555</t>
  </si>
  <si>
    <t>-924.19022587309 148.145134832875 -517.761791045421</t>
  </si>
  <si>
    <t>-934.412593386972 282.93215705402 -492.746104415167</t>
  </si>
  <si>
    <t>-916.865853447793 295.691957666701 -199.283165171962</t>
  </si>
  <si>
    <t>-677.066341497636 302.13935775585 -221.76452936976</t>
  </si>
  <si>
    <t>-917.696580903168 93.1858516691027 -520.670199040752</t>
  </si>
  <si>
    <t>-892.565051372562 219.390041356541 -66.0039110922598</t>
  </si>
  <si>
    <t>-910.015088106816 235.562283189198 336.846644197684</t>
  </si>
  <si>
    <t>-947.781912014734 249.393991640029 782.875199460144</t>
  </si>
  <si>
    <t>-817.295916363415 315.244511203192 843.903492664249</t>
  </si>
  <si>
    <t>-829.675200032224 37.9924734193423 -64.7387825856396</t>
  </si>
  <si>
    <t>-778.597663229385 30.2554988704092 335.493553120755</t>
  </si>
  <si>
    <t>-800.933688858025 15.5959274981155 782.678902886677</t>
  </si>
  <si>
    <t>-681.112980070557 -60.2971929711539 853.181084157217</t>
  </si>
  <si>
    <t>9763-20170724T111148.612977100.bin</t>
  </si>
  <si>
    <t>-860.947939942396 128.602189338276 -64.3284936452477</t>
  </si>
  <si>
    <t>-894.354516389666 115.993995340672 -174.515913174533</t>
  </si>
  <si>
    <t>-909.688262012851 113.425652484646 -271.906582488929</t>
  </si>
  <si>
    <t>-918.494115326004 113.900655472285 -360.565816781525</t>
  </si>
  <si>
    <t>-921.7543399574 117.016971155421 -449.54843189921</t>
  </si>
  <si>
    <t>-920.381653580413 123.912579675448 -573.932436354195</t>
  </si>
  <si>
    <t>-884.976736108967 129.009354350039 -648.936000928618</t>
  </si>
  <si>
    <t>-924.251681249896 148.353897140311 -517.710002831221</t>
  </si>
  <si>
    <t>-934.590174926512 283.100153635657 -492.516865668732</t>
  </si>
  <si>
    <t>-917.342767127399 295.536019766841 -199.022241318077</t>
  </si>
  <si>
    <t>-677.646417101731 302.013880416047 -222.573006242858</t>
  </si>
  <si>
    <t>-917.719870131983 93.4025047038299 -520.684326547099</t>
  </si>
  <si>
    <t>-892.567639446321 219.254509295598 -65.962330410035</t>
  </si>
  <si>
    <t>-910.092014947315 235.505580885255 336.881811545207</t>
  </si>
  <si>
    <t>-947.927987872831 249.500043341967 782.90435788561</t>
  </si>
  <si>
    <t>-817.328536622062 315.131769894464 843.925456117777</t>
  </si>
  <si>
    <t>-829.733717406108 37.8286162614654 -64.745016935719</t>
  </si>
  <si>
    <t>-778.670670052452 30.1546338152816 335.490258179507</t>
  </si>
  <si>
    <t>-800.935446436016 15.5637720712089 782.685705617153</t>
  </si>
  <si>
    <t>-681.041383033996 -60.2238960754353 853.17648376957</t>
  </si>
  <si>
    <t>9763-20170724T111148.682741000.bin</t>
  </si>
  <si>
    <t>-860.88065213138 128.213419789375 -64.3283795430415</t>
  </si>
  <si>
    <t>-894.345111825403 115.627927936321 -174.50082967964</t>
  </si>
  <si>
    <t>-909.710442467351 113.182893005796 -271.88961793758</t>
  </si>
  <si>
    <t>-918.533898795164 113.810398723464 -360.546217550565</t>
  </si>
  <si>
    <t>-921.799532301904 117.12121397634 -449.521540259553</t>
  </si>
  <si>
    <t>-920.420170119446 124.331539227056 -573.887680688291</t>
  </si>
  <si>
    <t>-884.889016132667 129.55678139431 -648.822795773059</t>
  </si>
  <si>
    <t>-924.330119383026 148.625961454366 -517.604551560924</t>
  </si>
  <si>
    <t>-934.825466130323 283.291766260974 -492.058685605445</t>
  </si>
  <si>
    <t>-918.061327149344 294.898243689085 -198.502124663575</t>
  </si>
  <si>
    <t>-678.542408748885 301.792198680491 -223.682467787461</t>
  </si>
  <si>
    <t>-917.724293032863 93.6910415425341 -520.716140776645</t>
  </si>
  <si>
    <t>-892.494983514147 218.84216329564 -65.8909021673832</t>
  </si>
  <si>
    <t>-910.070789878391 235.24484956123 336.944982240914</t>
  </si>
  <si>
    <t>-947.937535837377 249.462721159255 782.913903314373</t>
  </si>
  <si>
    <t>-817.340765144395 315.05746491886 843.981077163764</t>
  </si>
  <si>
    <t>-829.645967118642 37.4653633189655 -64.7827118356711</t>
  </si>
  <si>
    <t>-778.635147456317 30.0149055808051 335.463532162122</t>
  </si>
  <si>
    <t>-800.860463660131 15.7182796575048 782.68342200395</t>
  </si>
  <si>
    <t>-681.017828604826 -60.1580241726476 853.166647317448</t>
  </si>
  <si>
    <t>9763-20170724T111148.715834900.bin</t>
  </si>
  <si>
    <t>-860.852025361283 127.954530997476 -64.3225710625967</t>
  </si>
  <si>
    <t>-894.363190554628 115.348222877393 -174.478463645646</t>
  </si>
  <si>
    <t>-909.754181855497 112.945198670171 -271.864204120828</t>
  </si>
  <si>
    <t>-918.59307224754 113.633922330461 -360.518826546484</t>
  </si>
  <si>
    <t>-921.864706103682 117.028743440524 -449.49085874787</t>
  </si>
  <si>
    <t>-920.482994912475 124.380555044723 -573.848683678135</t>
  </si>
  <si>
    <t>-884.908160304397 129.678410718131 -648.757774249606</t>
  </si>
  <si>
    <t>-924.414357267968 148.60888919433 -517.538268012225</t>
  </si>
  <si>
    <t>-934.999474479136 283.237704619619 -491.823784240976</t>
  </si>
  <si>
    <t>-918.306943288465 294.462051358292 -198.248305985889</t>
  </si>
  <si>
    <t>-678.851841382695 301.529329395361 -223.978877261073</t>
  </si>
  <si>
    <t>-917.767751531617 93.6820864141914 -520.711593447977</t>
  </si>
  <si>
    <t>-892.478489097472 218.530193376319 -65.8689565483813</t>
  </si>
  <si>
    <t>-910.082680099321 235.071456181006 336.960016027805</t>
  </si>
  <si>
    <t>-947.896902048104 249.402243522856 782.92215363551</t>
  </si>
  <si>
    <t>-817.444609725188 315.261038929673 844.013444696605</t>
  </si>
  <si>
    <t>-829.598056412834 37.1966871498057 -64.7955432449328</t>
  </si>
  <si>
    <t>-778.61670968291 29.8672334100656 335.456657320549</t>
  </si>
  <si>
    <t>-800.875996740377 15.6047950385878 782.68204647597</t>
  </si>
  <si>
    <t>-680.916074934945 -60.0932512772633 853.156837113703</t>
  </si>
  <si>
    <t>9763-20170724T111148.784621300.bin</t>
  </si>
  <si>
    <t>-860.955257385369 127.609357483972 -64.2873230134684</t>
  </si>
  <si>
    <t>-894.54736606378 114.974889288826 -174.415263549367</t>
  </si>
  <si>
    <t>-909.975568840625 112.670247709221 -271.797584797327</t>
  </si>
  <si>
    <t>-918.829916342336 113.496047411045 -360.449515289455</t>
  </si>
  <si>
    <t>-922.097588931537 117.07597246197 -449.414353130113</t>
  </si>
  <si>
    <t>-920.6884900564 124.735697398263 -573.753283317444</t>
  </si>
  <si>
    <t>-885.053092616751 130.230622959596 -648.619573282933</t>
  </si>
  <si>
    <t>-924.674130030866 148.819221824046 -517.384653671875</t>
  </si>
  <si>
    <t>-935.442696334015 283.363673571746 -491.323136240245</t>
  </si>
  <si>
    <t>-918.831337498651 293.877074930227 -197.716713936192</t>
  </si>
  <si>
    <t>-679.478240771421 301.233188026678 -224.303229944067</t>
  </si>
  <si>
    <t>-917.942861199801 93.910902267733 -520.691022871718</t>
  </si>
  <si>
    <t>-892.731607395187 218.198775715497 -65.8274629195283</t>
  </si>
  <si>
    <t>-910.220831351453 234.89895894053 336.999905155243</t>
  </si>
  <si>
    <t>-947.986706540536 249.43648484129 782.969418387343</t>
  </si>
  <si>
    <t>-817.436108046549 315.069039265717 844.093623352971</t>
  </si>
  <si>
    <t>-829.599091037223 36.9050972016316 -64.8089762645037</t>
  </si>
  <si>
    <t>-778.562296950684 29.7807683093979 335.439883627513</t>
  </si>
  <si>
    <t>-800.80284755764 15.692903772529 782.668435581973</t>
  </si>
  <si>
    <t>-680.892468099548 -60.0743401581333 853.152948493429</t>
  </si>
  <si>
    <t>9763-20170724T111148.816708400.bin</t>
  </si>
  <si>
    <t>-861.006510103492 127.417240287654 -64.2779097644978</t>
  </si>
  <si>
    <t>-894.661034344114 114.775628270123 -174.385900862716</t>
  </si>
  <si>
    <t>-910.128719105655 112.511483448328 -271.762821699942</t>
  </si>
  <si>
    <t>-919.011809032769 113.392613367022 -360.41143315832</t>
  </si>
  <si>
    <t>-922.299551401311 117.045796677156 -449.372593041565</t>
  </si>
  <si>
    <t>-920.908594207526 124.826429568193 -573.704066450585</t>
  </si>
  <si>
    <t>-885.251184767621 130.415753393923 -648.552781423736</t>
  </si>
  <si>
    <t>-924.894614664338 148.854082840185 -517.311700419919</t>
  </si>
  <si>
    <t>-935.743153441715 283.370165104542 -491.116206512596</t>
  </si>
  <si>
    <t>-919.200575721511 293.538133277402 -197.493816431859</t>
  </si>
  <si>
    <t>-679.885442878516 300.976742574444 -224.39869081489</t>
  </si>
  <si>
    <t>-918.146910049031 93.9509764866721 -520.672164358996</t>
  </si>
  <si>
    <t>-892.749497717823 218.007883722349 -65.7923043996599</t>
  </si>
  <si>
    <t>-910.204966558774 234.796212736228 337.032831985203</t>
  </si>
  <si>
    <t>-947.939092884144 249.361792837073 782.994335002041</t>
  </si>
  <si>
    <t>-817.456639877073 315.119687555555 844.129781606235</t>
  </si>
  <si>
    <t>-829.662070734858 36.6900276412025 -64.8105055910167</t>
  </si>
  <si>
    <t>-778.579988600864 29.6838320320267 335.434621017566</t>
  </si>
  <si>
    <t>-800.799292599538 15.6318676075439 782.670496295598</t>
  </si>
  <si>
    <t>-680.819321115473 -60.0321321101587 853.147905536632</t>
  </si>
  <si>
    <t>9763-20170724T111148.880438700.bin</t>
  </si>
  <si>
    <t>-861.354924613402 127.178632797037 -64.220568030547</t>
  </si>
  <si>
    <t>-895.103011406966 114.555103125613 -174.30202810651</t>
  </si>
  <si>
    <t>-910.630499160216 112.363225326885 -271.671170425709</t>
  </si>
  <si>
    <t>-919.557377826977 113.332765827731 -360.314423217462</t>
  </si>
  <si>
    <t>-922.877748874378 117.097449008355 -449.269589699606</t>
  </si>
  <si>
    <t>-921.520074883649 125.057763484416 -573.590235701345</t>
  </si>
  <si>
    <t>-885.805557526602 130.80094832883 -648.40010613018</t>
  </si>
  <si>
    <t>-925.482534946132 149.004696671333 -517.161900743718</t>
  </si>
  <si>
    <t>-936.451193058203 283.474446347472 -490.77389695323</t>
  </si>
  <si>
    <t>-920.282636683649 293.384952314815 -197.121767021788</t>
  </si>
  <si>
    <t>-680.968878221425 300.654282709725 -224.082085314975</t>
  </si>
  <si>
    <t>-918.752622622273 94.1047637053707 -520.603681821927</t>
  </si>
  <si>
    <t>-893.145644255796 217.800829086474 -65.714271717407</t>
  </si>
  <si>
    <t>-910.395740229605 234.765001812043 337.112346901021</t>
  </si>
  <si>
    <t>-948.189521176849 249.540117206087 783.080494400259</t>
  </si>
  <si>
    <t>-817.465441555999 314.823577550082 844.208440654689</t>
  </si>
  <si>
    <t>-829.989925441544 36.4408280740422 -64.7829471697227</t>
  </si>
  <si>
    <t>-778.749181431504 29.5546581168255 335.443930816469</t>
  </si>
  <si>
    <t>-800.782758057599 15.5687212669909 782.67808077066</t>
  </si>
  <si>
    <t>-680.699195918246 -59.9415101154532 853.144439584351</t>
  </si>
  <si>
    <t>9763-20170724T111148.918039700.bin</t>
  </si>
  <si>
    <t>-861.476530827404 126.982742291224 -64.2040836384859</t>
  </si>
  <si>
    <t>-895.294036888551 114.375569194981 -174.266167608778</t>
  </si>
  <si>
    <t>-910.858058284949 112.214441589871 -271.630141147961</t>
  </si>
  <si>
    <t>-919.807870939065 113.218966176803 -360.270636441389</t>
  </si>
  <si>
    <t>-923.140724020302 117.025190869404 -449.223692904731</t>
  </si>
  <si>
    <t>-921.790197058253 125.050379679346 -573.540296926082</t>
  </si>
  <si>
    <t>-886.041935794632 130.827938204536 -648.331292609733</t>
  </si>
  <si>
    <t>-925.740567919817 148.969111781351 -517.099111285065</t>
  </si>
  <si>
    <t>-936.731536799134 283.422664944324 -490.622817342205</t>
  </si>
  <si>
    <t>-920.861377384934 293.269166737049 -196.952344778606</t>
  </si>
  <si>
    <t>-681.533043294616 300.490924884881 -223.797893834493</t>
  </si>
  <si>
    <t>-919.02834693043 94.0687569093111 -520.570320449665</t>
  </si>
  <si>
    <t>-893.217001113305 217.614551023461 -65.6766855842067</t>
  </si>
  <si>
    <t>-910.310911096588 234.609582401157 337.155329391226</t>
  </si>
  <si>
    <t>-948.062163935692 249.353935474263 783.121512381176</t>
  </si>
  <si>
    <t>-817.544864033706 315.058098862641 844.240184412498</t>
  </si>
  <si>
    <t>-830.137089547009 36.2282812869789 -64.7766481340275</t>
  </si>
  <si>
    <t>-778.842915237479 29.4952606809184 335.446090325823</t>
  </si>
  <si>
    <t>-800.761105974285 15.5856695326333 782.680491883936</t>
  </si>
  <si>
    <t>-680.810363131924 -60.1251511973474 853.157522554853</t>
  </si>
  <si>
    <t>9763-20170724T111148.983734800.bin</t>
  </si>
  <si>
    <t>-861.828796982872 126.573368048542 -64.1718841849714</t>
  </si>
  <si>
    <t>-895.802065901594 114.022746940129 -174.192396358089</t>
  </si>
  <si>
    <t>-911.432076641714 111.868549511769 -271.546047109393</t>
  </si>
  <si>
    <t>-920.413983265483 112.860380030713 -360.18340053362</t>
  </si>
  <si>
    <t>-923.752859310144 116.633666460466 -449.137641704963</t>
  </si>
  <si>
    <t>-922.382336792552 124.589889601611 -573.458270244076</t>
  </si>
  <si>
    <t>-886.574324651661 130.354578084065 -648.221838288284</t>
  </si>
  <si>
    <t>-926.323931582798 148.54198085273 -517.0306681093</t>
  </si>
  <si>
    <t>-937.368887948762 282.99574643804 -490.562023026026</t>
  </si>
  <si>
    <t>-922.288346080118 292.909090039117 -196.852151097936</t>
  </si>
  <si>
    <t>-682.947914098427 300.129253325118 -223.588731812781</t>
  </si>
  <si>
    <t>-919.646691850917 93.6352651187021 -520.471054000154</t>
  </si>
  <si>
    <t>-893.471361686875 217.13138984546 -65.5629005232671</t>
  </si>
  <si>
    <t>-910.414798022576 234.393897357947 337.264107902492</t>
  </si>
  <si>
    <t>-948.12744955175 249.337309880305 783.218179709887</t>
  </si>
  <si>
    <t>-817.600127023718 315.028738008648 844.329311643889</t>
  </si>
  <si>
    <t>-830.657342276575 35.9193123613372 -64.7754239248634</t>
  </si>
  <si>
    <t>-778.943404798948 29.3580156211151 335.396137895539</t>
  </si>
  <si>
    <t>-800.682168007765 15.7183104546866 782.678160973348</t>
  </si>
  <si>
    <t>-680.778782071642 -60.0636860867253 853.158919968503</t>
  </si>
  <si>
    <t>9763-20170724T111149.015821500.bin</t>
  </si>
  <si>
    <t>-862.133694745876 126.416400348488 -64.1438973563007</t>
  </si>
  <si>
    <t>-896.167711821355 113.914484979328 -174.151196646333</t>
  </si>
  <si>
    <t>-911.831901200011 111.762836853201 -271.499316823713</t>
  </si>
  <si>
    <t>-920.838054374813 112.739702309576 -360.134358052796</t>
  </si>
  <si>
    <t>-924.194461388657 116.480216878101 -449.089385876142</t>
  </si>
  <si>
    <t>-922.842390800277 124.371014946503 -573.414492452647</t>
  </si>
  <si>
    <t>-887.011214166188 130.109004024999 -648.168932362244</t>
  </si>
  <si>
    <t>-926.770537890913 148.35359121326 -516.998978543378</t>
  </si>
  <si>
    <t>-937.83538404768 282.800441044614 -490.584817697742</t>
  </si>
  <si>
    <t>-923.323162078814 292.883223731355 -196.852014957842</t>
  </si>
  <si>
    <t>-683.957450996487 299.999626739362 -223.391333934539</t>
  </si>
  <si>
    <t>-920.104000424782 93.4436803028289 -520.411421708499</t>
  </si>
  <si>
    <t>-893.71970734492 216.985610728319 -65.4833421026846</t>
  </si>
  <si>
    <t>-910.697922998866 234.324313281621 337.338928440878</t>
  </si>
  <si>
    <t>-948.233002853749 249.417949494427 783.280539449419</t>
  </si>
  <si>
    <t>-817.558104607453 314.810020815103 844.397438480489</t>
  </si>
  <si>
    <t>-830.964562812206 35.6852516589902 -64.7787682884538</t>
  </si>
  <si>
    <t>-779.065705067808 29.313711483298 335.371864000487</t>
  </si>
  <si>
    <t>-800.698507703428 15.6041977932687 782.669001731917</t>
  </si>
  <si>
    <t>-680.634418871235 -59.9300519635999 853.142367938046</t>
  </si>
  <si>
    <t>9763-20170724T111149.080997900.bin</t>
  </si>
  <si>
    <t>-862.435202333759 126.143532204749 -64.0488101326891</t>
  </si>
  <si>
    <t>-896.500014416465 113.696046352504 -174.052757769187</t>
  </si>
  <si>
    <t>-912.179270897424 111.542643990531 -271.398353741385</t>
  </si>
  <si>
    <t>-921.196405281707 112.497788662613 -360.032725369904</t>
  </si>
  <si>
    <t>-924.561232977763 116.196148041588 -448.989117838156</t>
  </si>
  <si>
    <t>-923.219060184644 124.006548852412 -573.319246756441</t>
  </si>
  <si>
    <t>-887.317719948077 129.694995833561 -648.043894909934</t>
  </si>
  <si>
    <t>-927.144818754709 148.025403460645 -516.918874956713</t>
  </si>
  <si>
    <t>-938.229099727131 282.481741093565 -490.550206744386</t>
  </si>
  <si>
    <t>-924.906632839925 293.092245572129 -196.77967246137</t>
  </si>
  <si>
    <t>-685.493158534553 299.572096073241 -223.050006493741</t>
  </si>
  <si>
    <t>-920.474607537886 93.1138919723239 -520.296463606697</t>
  </si>
  <si>
    <t>-748.925343538688 1.58927794355486 -320.429016229292</t>
  </si>
  <si>
    <t>-894.01405604476 216.715578871826 -65.3579678880659</t>
  </si>
  <si>
    <t>-911.067736335881 234.174154109117 337.455949263909</t>
  </si>
  <si>
    <t>-948.258227555633 249.40795452063 783.396095153982</t>
  </si>
  <si>
    <t>-817.677398302604 314.96365641458 844.538160375189</t>
  </si>
  <si>
    <t>-831.241481107998 35.4371806852955 -64.7811189295306</t>
  </si>
  <si>
    <t>-779.173710113868 29.3203816162295 335.351588715102</t>
  </si>
  <si>
    <t>-800.631061702225 15.657621283292 782.654298694187</t>
  </si>
  <si>
    <t>-680.613522754882 -59.9425892852917 853.136447596569</t>
  </si>
  <si>
    <t>9763-20170724T111149.113587500.bin</t>
  </si>
  <si>
    <t>-862.562448508637 126.09645223764 -64.0052772605369</t>
  </si>
  <si>
    <t>-896.652997288041 113.664566699882 -174.003025007277</t>
  </si>
  <si>
    <t>-912.339976117031 111.507175617803 -271.347398499944</t>
  </si>
  <si>
    <t>-921.358687904648 112.451318383142 -359.981446429289</t>
  </si>
  <si>
    <t>-924.720445955108 116.131553153793 -448.93884768967</t>
  </si>
  <si>
    <t>-923.369070523789 123.909330224197 -573.270945376692</t>
  </si>
  <si>
    <t>-887.424944039677 129.579970214495 -647.976493988534</t>
  </si>
  <si>
    <t>-927.30494121219 147.942246425571 -516.877405653887</t>
  </si>
  <si>
    <t>-938.443321786198 282.397878260736 -490.532121337296</t>
  </si>
  <si>
    <t>-925.692165247582 293.158646041487 -196.741626879247</t>
  </si>
  <si>
    <t>-686.241868891804 299.331552895075 -222.746363793852</t>
  </si>
  <si>
    <t>-920.622397706776 93.0312897169761 -520.239799579633</t>
  </si>
  <si>
    <t>-749.1263211356 3.12522758843988 -319.821703841083</t>
  </si>
  <si>
    <t>-894.168355821322 216.642948979885 -65.305596187121</t>
  </si>
  <si>
    <t>-911.162109655172 234.118477090016 337.51008946957</t>
  </si>
  <si>
    <t>-948.150521494644 249.268481757292 783.467136089761</t>
  </si>
  <si>
    <t>-817.702321563375 315.082622082722 844.614809798734</t>
  </si>
  <si>
    <t>-831.404123826581 35.4179303289693 -64.771544774005</t>
  </si>
  <si>
    <t>-779.256671077154 29.3451418976279 335.351500591004</t>
  </si>
  <si>
    <t>-800.625466280828 15.6004974507914 782.654268247058</t>
  </si>
  <si>
    <t>-680.517428455435 -59.8617105606706 853.129687403486</t>
  </si>
  <si>
    <t>9763-20170724T111149.177966900.bin</t>
  </si>
  <si>
    <t>-862.913738666982 126.52093866122 -63.9331718857419</t>
  </si>
  <si>
    <t>-896.980935090259 114.099517507102 -173.939383040433</t>
  </si>
  <si>
    <t>-912.648236477691 111.896437287296 -271.285894543425</t>
  </si>
  <si>
    <t>-921.651053365357 112.779183326423 -359.922297941816</t>
  </si>
  <si>
    <t>-925.001121336082 116.378401157645 -448.883261489141</t>
  </si>
  <si>
    <t>-923.638443208573 124.023532677002 -573.223512254384</t>
  </si>
  <si>
    <t>-887.621588303038 129.664461933742 -647.896299604943</t>
  </si>
  <si>
    <t>-927.587703578744 148.115331560927 -516.856111437743</t>
  </si>
  <si>
    <t>-938.749545712814 282.589072941892 -490.578259953266</t>
  </si>
  <si>
    <t>-927.555882618421 293.892939193693 -196.744646148694</t>
  </si>
  <si>
    <t>-688.005619931779 299.216203842317 -222.006867136085</t>
  </si>
  <si>
    <t>-920.88789064999 93.2030971708859 -520.159086659863</t>
  </si>
  <si>
    <t>-749.132453397993 5.20188481039122 -319.107820014641</t>
  </si>
  <si>
    <t>-894.575170172542 217.051134895397 -65.2226611376186</t>
  </si>
  <si>
    <t>-911.356600487266 234.40619047567 337.60711794556</t>
  </si>
  <si>
    <t>-948.257984313522 249.324273199474 783.599827684424</t>
  </si>
  <si>
    <t>-817.681480007529 314.883995833241 844.747545208295</t>
  </si>
  <si>
    <t>-831.688894917022 35.9020890270658 -64.7089629864296</t>
  </si>
  <si>
    <t>-779.267049273267 29.6640488754374 335.375600747609</t>
  </si>
  <si>
    <t>-800.546511596628 15.6734745950253 782.646665676579</t>
  </si>
  <si>
    <t>-680.564915003235 -59.9714146267158 853.141880685857</t>
  </si>
  <si>
    <t>9763-20170724T111149.215571100.bin</t>
  </si>
  <si>
    <t>-862.962631116885 126.782533628845 -63.9137187933279</t>
  </si>
  <si>
    <t>-897.02433102469 114.347315462467 -173.919968466142</t>
  </si>
  <si>
    <t>-912.698255246199 112.099298232007 -271.264418452471</t>
  </si>
  <si>
    <t>-921.714227063093 112.928636423205 -359.90003583103</t>
  </si>
  <si>
    <t>-925.084042338441 116.463365556544 -448.862889206758</t>
  </si>
  <si>
    <t>-923.757455380131 124.007204400625 -573.209791478185</t>
  </si>
  <si>
    <t>-887.728355078543 129.621882753081 -647.878456073691</t>
  </si>
  <si>
    <t>-927.689213756553 148.145111104302 -516.860744455684</t>
  </si>
  <si>
    <t>-938.834415952618 282.639776981244 -490.671344753559</t>
  </si>
  <si>
    <t>-928.61112038608 294.014408664058 -196.805184900689</t>
  </si>
  <si>
    <t>-688.994634230997 299.108698055837 -221.480104169695</t>
  </si>
  <si>
    <t>-920.993217895053 93.2299040207686 -520.120994686713</t>
  </si>
  <si>
    <t>-749.110129852657 5.38372880514817 -319.046817079212</t>
  </si>
  <si>
    <t>-894.591956936461 217.260281711662 -65.2100749390524</t>
  </si>
  <si>
    <t>-911.383848147844 234.586453882381 337.620591509721</t>
  </si>
  <si>
    <t>-948.28657343514 249.330371485063 783.638042312218</t>
  </si>
  <si>
    <t>-817.7259833093 314.919451296123 844.78762477808</t>
  </si>
  <si>
    <t>-831.709075171203 36.1523423698995 -64.6776516358226</t>
  </si>
  <si>
    <t>-779.203610818604 29.8336689692292 335.394718022132</t>
  </si>
  <si>
    <t>-800.488719692296 15.7672655511774 782.641600644396</t>
  </si>
  <si>
    <t>-680.555825510394 -59.9449102852645 853.147636010807</t>
  </si>
  <si>
    <t>9763-20170724T111149.283148400.bin</t>
  </si>
  <si>
    <t>-862.919316543851 127.242046887164 -63.8849695398557</t>
  </si>
  <si>
    <t>-896.967656468722 114.742886255772 -173.888231259086</t>
  </si>
  <si>
    <t>-912.686726857992 112.376043514156 -271.222460419372</t>
  </si>
  <si>
    <t>-921.768482540817 113.075581433144 -359.852488254798</t>
  </si>
  <si>
    <t>-925.230628631683 116.458124303153 -448.817685929067</t>
  </si>
  <si>
    <t>-924.061394286468 123.768216815325 -573.180141321048</t>
  </si>
  <si>
    <t>-888.043741937357 129.286976746758 -647.861459142679</t>
  </si>
  <si>
    <t>-927.899169885626 148.014872340189 -516.871243812509</t>
  </si>
  <si>
    <t>-938.901722599934 282.562563103003 -490.888988916231</t>
  </si>
  <si>
    <t>-930.559871215195 294.275795009781 -196.976715569005</t>
  </si>
  <si>
    <t>-690.81644403974 298.764259457466 -220.510005598922</t>
  </si>
  <si>
    <t>-921.252838589244 93.0879263666125 -520.037469655763</t>
  </si>
  <si>
    <t>-748.488683004068 5.07198523372426 -318.743372791609</t>
  </si>
  <si>
    <t>-894.604305629498 217.775185088657 -65.2360809330719</t>
  </si>
  <si>
    <t>-911.316967980472 234.862469601242 337.608034235883</t>
  </si>
  <si>
    <t>-948.324956166607 249.308601518047 783.67190350748</t>
  </si>
  <si>
    <t>-817.769114155894 314.913906768996 844.814444185883</t>
  </si>
  <si>
    <t>-831.635292237183 36.5577312185974 -64.6028277916122</t>
  </si>
  <si>
    <t>-779.101507964862 30.0647760944398 335.463154587674</t>
  </si>
  <si>
    <t>-800.441359404057 15.7653959388163 782.654355322471</t>
  </si>
  <si>
    <t>-680.389663266601 -59.7566109882466 853.162032046637</t>
  </si>
  <si>
    <t>9763-20170724T111149.316246500.bin</t>
  </si>
  <si>
    <t>-862.815701219101 127.482882651898 -63.8980127014385</t>
  </si>
  <si>
    <t>-896.884962063207 114.952813839621 -173.891236173981</t>
  </si>
  <si>
    <t>-912.651927828812 112.521137748322 -271.216222149422</t>
  </si>
  <si>
    <t>-921.790123214647 113.147742522132 -359.840909027924</t>
  </si>
  <si>
    <t>-925.322507304201 116.443951534166 -448.806554240286</t>
  </si>
  <si>
    <t>-924.266111547006 123.619898977497 -573.177919908665</t>
  </si>
  <si>
    <t>-888.277471089388 129.041664775707 -647.880292374141</t>
  </si>
  <si>
    <t>-928.037265056931 147.929044209196 -516.891569569746</t>
  </si>
  <si>
    <t>-938.957598847968 282.50757799588 -491.034632986788</t>
  </si>
  <si>
    <t>-931.392643796278 294.406423661431 -197.1087856041</t>
  </si>
  <si>
    <t>-691.599664311288 298.491537084508 -220.206448551774</t>
  </si>
  <si>
    <t>-921.424523225661 92.9951107465663 -520.004890684812</t>
  </si>
  <si>
    <t>-748.410050953609 5.06523047868677 -318.508801862284</t>
  </si>
  <si>
    <t>-894.526677179271 218.041782486597 -65.2666833963453</t>
  </si>
  <si>
    <t>-911.198115132737 235.013509382473 337.584005005444</t>
  </si>
  <si>
    <t>-948.355653304335 249.312936450592 783.665783809031</t>
  </si>
  <si>
    <t>-817.792485447763 314.902815364212 844.809145727714</t>
  </si>
  <si>
    <t>-831.527384159577 36.816343064409 -64.583649264763</t>
  </si>
  <si>
    <t>-778.992890832134 30.2276757404252 335.480551815328</t>
  </si>
  <si>
    <t>-800.393202919585 15.8573827867103 782.660476414226</t>
  </si>
  <si>
    <t>-680.516320727434 -59.9263130033546 853.184450952108</t>
  </si>
  <si>
    <t>9763-20170724T111149.381421800.bin</t>
  </si>
  <si>
    <t>-862.631478827559 127.896528051874 -63.9323863332995</t>
  </si>
  <si>
    <t>-896.774149317229 115.315120598516 -173.896866445182</t>
  </si>
  <si>
    <t>-912.666233960253 112.753384107316 -271.198177483108</t>
  </si>
  <si>
    <t>-921.94587146678 113.229789853123 -359.809123725544</t>
  </si>
  <si>
    <t>-925.648149417908 116.343507560133 -448.774518446744</t>
  </si>
  <si>
    <t>-924.860288214908 123.232567923647 -573.163952393484</t>
  </si>
  <si>
    <t>-889.006460639391 128.448362248388 -647.945778191272</t>
  </si>
  <si>
    <t>-928.485731595561 147.674462888552 -516.92552093649</t>
  </si>
  <si>
    <t>-939.295940899802 282.300875361776 -491.293893829693</t>
  </si>
  <si>
    <t>-933.13429437197 294.888723989317 -197.363933118836</t>
  </si>
  <si>
    <t>-693.259852254474 298.213954664971 -219.725389865652</t>
  </si>
  <si>
    <t>-921.928076301713 92.7277329776962 -519.927130483586</t>
  </si>
  <si>
    <t>-748.509238923524 5.19015967247333 -318.318516264955</t>
  </si>
  <si>
    <t>-894.350534537425 218.440982386323 -65.3240641094886</t>
  </si>
  <si>
    <t>-910.912641044718 235.244913258797 337.538202008758</t>
  </si>
  <si>
    <t>-948.382023924327 249.279174472566 783.63775544695</t>
  </si>
  <si>
    <t>-817.868000376782 314.967160309605 844.780773672373</t>
  </si>
  <si>
    <t>-831.318872409588 37.2224056627351 -64.5574126628675</t>
  </si>
  <si>
    <t>-778.731964337888 30.4266561053878 335.496450141365</t>
  </si>
  <si>
    <t>-800.322850887372 15.9501756614577 782.659723749016</t>
  </si>
  <si>
    <t>-680.455126507314 -59.8388344250127 853.193912964537</t>
  </si>
  <si>
    <t>9763-20170724T111149.413509300.bin</t>
  </si>
  <si>
    <t>-862.500909068111 128.053668375212 -63.946955054303</t>
  </si>
  <si>
    <t>-896.679270779935 115.421523675515 -173.894715313443</t>
  </si>
  <si>
    <t>-912.64313986206 112.792771124163 -271.182474066274</t>
  </si>
  <si>
    <t>-922.004734149358 113.200320737012 -359.78508798988</t>
  </si>
  <si>
    <t>-925.807332108558 116.237976473552 -448.748785875921</t>
  </si>
  <si>
    <t>-925.177311834263 123.013705406137 -573.145454806792</t>
  </si>
  <si>
    <t>-889.41470714125 128.143253566958 -647.976969113659</t>
  </si>
  <si>
    <t>-928.725008572213 147.507432728464 -516.924689641964</t>
  </si>
  <si>
    <t>-939.454974149121 282.156913278204 -491.387332374596</t>
  </si>
  <si>
    <t>-933.963782268629 295.049554866152 -197.457390717497</t>
  </si>
  <si>
    <t>-694.051083659034 297.97591541081 -219.465040805518</t>
  </si>
  <si>
    <t>-922.183848959602 92.5564974739818 -519.884689439151</t>
  </si>
  <si>
    <t>-748.417969333702 5.18079614468661 -318.291298119886</t>
  </si>
  <si>
    <t>-894.223126298411 218.607526492792 -65.3514587667402</t>
  </si>
  <si>
    <t>-910.750606707725 235.336253525516 337.515343118457</t>
  </si>
  <si>
    <t>-948.331003609612 249.183346792097 783.620855402604</t>
  </si>
  <si>
    <t>-817.75522396085 314.757486087562 844.75492283174</t>
  </si>
  <si>
    <t>-831.172438148769 37.3484746360841 -64.5474631580764</t>
  </si>
  <si>
    <t>-778.573140383728 30.4711631792479 335.503376031871</t>
  </si>
  <si>
    <t>-800.307928619776 15.9403135645948 782.658167817701</t>
  </si>
  <si>
    <t>-680.371467099018 -59.7382649150011 853.193545910769</t>
  </si>
  <si>
    <t>9763-20170724T111149.482694200.bin</t>
  </si>
  <si>
    <t>-862.24789387555 128.432770655433 -63.9641954860178</t>
  </si>
  <si>
    <t>-896.511964227616 115.722107900438 -173.876132240961</t>
  </si>
  <si>
    <t>-912.635624843659 112.970570398938 -271.134172690026</t>
  </si>
  <si>
    <t>-922.178560993493 113.247098236852 -359.717965781372</t>
  </si>
  <si>
    <t>-926.199282501441 116.136600987805 -448.677022931976</t>
  </si>
  <si>
    <t>-925.914506011536 122.689115310182 -573.086846500105</t>
  </si>
  <si>
    <t>-890.364356502098 127.702861223132 -648.027358919603</t>
  </si>
  <si>
    <t>-929.318664857032 147.282065281619 -516.900643365633</t>
  </si>
  <si>
    <t>-940.004014529914 281.971880687435 -491.571949366317</t>
  </si>
  <si>
    <t>-935.469336056848 295.187574235824 -197.639929954477</t>
  </si>
  <si>
    <t>-695.502528839458 297.79235436951 -219.088506138147</t>
  </si>
  <si>
    <t>-922.760621513476 92.3288886172277 -519.779927933758</t>
  </si>
  <si>
    <t>-748.280771836921 5.26245967783234 -318.38397908183</t>
  </si>
  <si>
    <t>-894.084922057184 219.014014158843 -65.4051259242966</t>
  </si>
  <si>
    <t>-910.646238110271 235.53399321726 337.468870618978</t>
  </si>
  <si>
    <t>-948.491332609858 249.271367496583 783.568922668979</t>
  </si>
  <si>
    <t>-817.777350612865 314.59283425201 844.677451313517</t>
  </si>
  <si>
    <t>-830.832856018701 37.7294155892141 -64.5352731507941</t>
  </si>
  <si>
    <t>-778.232367373138 30.6559181801954 335.512066530144</t>
  </si>
  <si>
    <t>-800.242734983662 16.0455406866536 782.649380622203</t>
  </si>
  <si>
    <t>-680.431993611923 -59.8162328366986 853.201882566215</t>
  </si>
  <si>
    <t>9763-20170724T111149.512779200.bin</t>
  </si>
  <si>
    <t>-862.132929267452 128.501796638446 -63.9771063989585</t>
  </si>
  <si>
    <t>-896.439555863841 115.734535743781 -173.869191266879</t>
  </si>
  <si>
    <t>-912.649853560202 112.928686921508 -271.11114915145</t>
  </si>
  <si>
    <t>-922.290990499919 113.154955423415 -359.684541408314</t>
  </si>
  <si>
    <t>-926.430282792649 115.993941054172 -448.639810522814</t>
  </si>
  <si>
    <t>-926.331299745105 122.476715497582 -573.053657619589</t>
  </si>
  <si>
    <t>-890.893828899857 127.468898576428 -648.048964233229</t>
  </si>
  <si>
    <t>-929.66671996663 147.099685620874 -516.876331755448</t>
  </si>
  <si>
    <t>-940.363094057772 281.7978539627 -491.595229282371</t>
  </si>
  <si>
    <t>-936.131549455215 295.089907879331 -197.662301341325</t>
  </si>
  <si>
    <t>-696.149969440532 297.709658623087 -218.944004457508</t>
  </si>
  <si>
    <t>-923.083017375728 92.1482486040336 -519.734318418938</t>
  </si>
  <si>
    <t>-748.179000497409 4.94755089791033 -318.4029398461</t>
  </si>
  <si>
    <t>-893.996481347788 219.074107252601 -65.4363187592705</t>
  </si>
  <si>
    <t>-910.638086596663 235.515138109383 337.437645521802</t>
  </si>
  <si>
    <t>-948.483250960626 249.236862341844 783.530690105063</t>
  </si>
  <si>
    <t>-817.902792875108 314.82790006527 844.636022591184</t>
  </si>
  <si>
    <t>-830.670395776084 37.7797086797918 -64.5324031865623</t>
  </si>
  <si>
    <t>-778.097505271354 30.6305864366473 335.517136104878</t>
  </si>
  <si>
    <t>-800.25592014402 15.9604247894354 782.648322503166</t>
  </si>
  <si>
    <t>-680.287402876034 -59.661121336535 853.190641970732</t>
  </si>
  <si>
    <t>9763-20170724T111149.580960900.bin</t>
  </si>
  <si>
    <t>-861.863291084532 128.705617869304 -64.0252259503304</t>
  </si>
  <si>
    <t>-896.217390640164 115.801804534122 -173.886538224865</t>
  </si>
  <si>
    <t>-912.583827448065 112.895247587819 -271.099444374344</t>
  </si>
  <si>
    <t>-922.412161286989 113.039587769655 -359.652443884573</t>
  </si>
  <si>
    <t>-926.784252733666 115.808318447769 -448.598718609861</t>
  </si>
  <si>
    <t>-927.056882988323 122.206699588031 -573.016702832788</t>
  </si>
  <si>
    <t>-891.823280180043 127.201759102772 -648.107588185883</t>
  </si>
  <si>
    <t>-930.263517274037 146.863015530728 -516.846279468261</t>
  </si>
  <si>
    <t>-941.007629261603 281.573287047935 -491.643588676807</t>
  </si>
  <si>
    <t>-937.185520865466 294.841192281094 -197.70382845445</t>
  </si>
  <si>
    <t>-697.180963499972 297.6670183308 -218.695564622882</t>
  </si>
  <si>
    <t>-923.610493426626 91.9190884752929 -519.686589650489</t>
  </si>
  <si>
    <t>-748.144367326842 5.00775507499657 -318.594511803232</t>
  </si>
  <si>
    <t>-893.865167167251 219.216472678927 -65.5336970830368</t>
  </si>
  <si>
    <t>-910.474085682992 235.605041380929 337.343765741325</t>
  </si>
  <si>
    <t>-948.397551232649 249.115578190882 783.427795094586</t>
  </si>
  <si>
    <t>-817.901626845003 314.857106250083 844.55210739948</t>
  </si>
  <si>
    <t>-830.223161647433 38.0669569749184 -64.5459405225031</t>
  </si>
  <si>
    <t>-777.795906179114 30.7837160318518 335.520270069742</t>
  </si>
  <si>
    <t>-800.19057510642 16.0736389411195 782.627246737916</t>
  </si>
  <si>
    <t>-680.386076693221 -59.7897171728148 853.188894140199</t>
  </si>
  <si>
    <t>9763-20170724T111149.613552600.bin</t>
  </si>
  <si>
    <t>-861.77815012469 128.809014646255 -64.0642027671398</t>
  </si>
  <si>
    <t>-896.161760925434 115.834975010954 -173.90810772782</t>
  </si>
  <si>
    <t>-912.606498562359 112.889312664634 -271.106571261387</t>
  </si>
  <si>
    <t>-922.526941962892 113.007577523502 -359.64924007785</t>
  </si>
  <si>
    <t>-927.011325018912 115.761282396863 -448.590491156199</t>
  </si>
  <si>
    <t>-927.46207222705 122.150761797932 -573.008265459613</t>
  </si>
  <si>
    <t>-892.305721312928 127.167818146993 -648.134131503704</t>
  </si>
  <si>
    <t>-930.612544763752 146.808222433941 -516.835433948473</t>
  </si>
  <si>
    <t>-941.437575978742 281.517692986798 -491.657753389709</t>
  </si>
  <si>
    <t>-937.755350809065 294.825430507511 -197.71810967312</t>
  </si>
  <si>
    <t>-697.73904853136 297.728228911956 -218.565762274326</t>
  </si>
  <si>
    <t>-923.914943071441 91.8699301483803 -519.68098260178</t>
  </si>
  <si>
    <t>-748.181389346 5.12716773243346 -318.725278773348</t>
  </si>
  <si>
    <t>-893.875570997114 219.311727839643 -65.587097203798</t>
  </si>
  <si>
    <t>-910.46333871741 235.742848214174 337.289443047373</t>
  </si>
  <si>
    <t>-948.507712410851 249.226429781191 783.369016045223</t>
  </si>
  <si>
    <t>-817.872691920801 314.672756179767 844.512455329541</t>
  </si>
  <si>
    <t>-830.05623018604 38.178013434469 -64.5616933425947</t>
  </si>
  <si>
    <t>-777.639160348549 30.8637718497034 335.505263411341</t>
  </si>
  <si>
    <t>-800.144784089683 16.1772651913475 782.615518800363</t>
  </si>
  <si>
    <t>-680.326776566802 -59.6613124327439 853.180693965765</t>
  </si>
  <si>
    <t>9763-20170724T111149.684243900.bin</t>
  </si>
  <si>
    <t>-861.651340688526 128.762182388489 -64.0974249082357</t>
  </si>
  <si>
    <t>-896.091293055088 115.724467804528 -173.91605846291</t>
  </si>
  <si>
    <t>-912.683663294404 112.734734680149 -271.088127591613</t>
  </si>
  <si>
    <t>-922.778277782729 112.82069046025 -359.611092681338</t>
  </si>
  <si>
    <t>-927.477318471502 115.552697647894 -448.541991959947</t>
  </si>
  <si>
    <t>-928.270161430976 121.925688939937 -572.958895108309</t>
  </si>
  <si>
    <t>-893.266377748334 126.995569189368 -648.152439963564</t>
  </si>
  <si>
    <t>-931.329417932652 146.58287343858 -516.780813670282</t>
  </si>
  <si>
    <t>-942.383640650655 281.284881492314 -491.653100648303</t>
  </si>
  <si>
    <t>-939.064893101091 294.57198481324 -197.708194172381</t>
  </si>
  <si>
    <t>-699.036263738953 297.788280105187 -218.36795208358</t>
  </si>
  <si>
    <t>-924.513081622834 91.6597788636291 -519.637602178582</t>
  </si>
  <si>
    <t>-748.273504828843 5.73789420869298 -318.893727636588</t>
  </si>
  <si>
    <t>-893.878040896238 219.271532333569 -65.6379566310446</t>
  </si>
  <si>
    <t>-910.384936881764 235.770024261905 337.239183591362</t>
  </si>
  <si>
    <t>-948.482698754627 249.168220175515 783.297583055647</t>
  </si>
  <si>
    <t>-817.825381371099 314.546784733088 844.466341315289</t>
  </si>
  <si>
    <t>-829.851764449139 38.1316895300542 -64.578764408161</t>
  </si>
  <si>
    <t>-777.391186856311 30.8149545952606 335.482517695223</t>
  </si>
  <si>
    <t>-800.167211308082 16.0447852035018 782.603805767234</t>
  </si>
  <si>
    <t>-680.217716285239 -59.5981870372445 853.155281480311</t>
  </si>
  <si>
    <t>9763-20170724T111149.715829600.bin</t>
  </si>
  <si>
    <t>-861.630147371783 128.725675623887 -64.1037498460471</t>
  </si>
  <si>
    <t>-896.094376065495 115.680533565517 -173.913900754003</t>
  </si>
  <si>
    <t>-912.744216720435 112.682281636331 -271.0758119859</t>
  </si>
  <si>
    <t>-922.905817727776 112.761195520629 -359.591377246172</t>
  </si>
  <si>
    <t>-927.687253492629 115.487721117958 -448.517919626283</t>
  </si>
  <si>
    <t>-928.61224095546 121.857224438042 -572.934029966384</t>
  </si>
  <si>
    <t>-893.669522360258 126.95116954037 -648.154252380045</t>
  </si>
  <si>
    <t>-931.64042914544 146.512513527917 -516.753444607408</t>
  </si>
  <si>
    <t>-942.797801723569 281.209304729042 -491.641426723217</t>
  </si>
  <si>
    <t>-939.817166841443 294.48428474527 -197.692229390787</t>
  </si>
  <si>
    <t>-699.779622470826 297.918312270736 -218.213196008367</t>
  </si>
  <si>
    <t>-924.770076551442 91.5963165533581 -519.61595439887</t>
  </si>
  <si>
    <t>-748.129672043189 5.88955331771695 -318.868611662507</t>
  </si>
  <si>
    <t>-893.884538214961 219.20995127482 -65.6338437366524</t>
  </si>
  <si>
    <t>-910.397259664025 235.754117273902 337.241163225547</t>
  </si>
  <si>
    <t>-948.497494035508 249.153202560528 783.296290300599</t>
  </si>
  <si>
    <t>-817.874354142603 314.60398963228 844.460802806401</t>
  </si>
  <si>
    <t>-829.793826294967 38.0902913600357 -64.5951120256412</t>
  </si>
  <si>
    <t>-777.33957080076 30.7836597899309 335.467243972557</t>
  </si>
  <si>
    <t>-800.158845640172 16.0367389979779 782.591323760702</t>
  </si>
  <si>
    <t>-680.138354355223 -59.4982774799405 853.13801161226</t>
  </si>
  <si>
    <t>9763-20170724T111149.784039900.bin</t>
  </si>
  <si>
    <t>-861.580075135653 128.679607211757 -64.0909960256156</t>
  </si>
  <si>
    <t>-896.026101120179 115.670064084792 -173.911021439088</t>
  </si>
  <si>
    <t>-912.739670208389 112.676687684278 -271.062272182951</t>
  </si>
  <si>
    <t>-922.99297361249 112.753180148393 -359.56712097144</t>
  </si>
  <si>
    <t>-927.90217846106 115.47386353915 -448.486979082446</t>
  </si>
  <si>
    <t>-929.042391741389 121.833740304743 -572.901931676548</t>
  </si>
  <si>
    <t>-894.211209102668 126.948104053405 -648.172392740553</t>
  </si>
  <si>
    <t>-932.018063623586 146.487740926121 -516.717896123256</t>
  </si>
  <si>
    <t>-943.350384802346 281.18094386262 -491.66797677201</t>
  </si>
  <si>
    <t>-941.29135833593 294.537521611247 -197.714714907274</t>
  </si>
  <si>
    <t>-701.221506973435 298.479079104885 -217.760231338392</t>
  </si>
  <si>
    <t>-925.063394013369 91.5826316169755 -519.588143537347</t>
  </si>
  <si>
    <t>-747.801883486471 6.44230214560184 -318.598369543909</t>
  </si>
  <si>
    <t>-893.870254487029 219.109912244863 -65.5974455854379</t>
  </si>
  <si>
    <t>-910.441262862352 235.606325210211 337.277220569543</t>
  </si>
  <si>
    <t>-948.393671866899 248.970996290988 783.326067488196</t>
  </si>
  <si>
    <t>-817.930728114803 314.766913157837 844.462136221308</t>
  </si>
  <si>
    <t>-829.674171776275 38.1206021666003 -64.6244081457093</t>
  </si>
  <si>
    <t>-777.262484669266 30.8380993282085 335.443916779946</t>
  </si>
  <si>
    <t>-800.08056187469 16.2282914306775 782.569410738621</t>
  </si>
  <si>
    <t>-680.246734469616 -59.5892718091945 853.130125765393</t>
  </si>
  <si>
    <t>9763-20170724T111149.814633600.bin</t>
  </si>
  <si>
    <t>-861.6385792708 128.729492702986 -64.0803339777284</t>
  </si>
  <si>
    <t>-896.040671623524 115.74251205744 -173.916923808355</t>
  </si>
  <si>
    <t>-912.756241812423 112.758542517752 -271.067967727534</t>
  </si>
  <si>
    <t>-923.028781159527 112.840802051778 -359.570574615191</t>
  </si>
  <si>
    <t>-927.974786902995 115.565917737907 -448.488277564605</t>
  </si>
  <si>
    <t>-929.18558939316 121.931449808101 -572.902123466909</t>
  </si>
  <si>
    <t>-894.395783969541 127.060308729704 -648.191041553079</t>
  </si>
  <si>
    <t>-932.148924588442 146.58025869316 -516.715337717314</t>
  </si>
  <si>
    <t>-943.569552711499 281.265304095387 -491.698787906988</t>
  </si>
  <si>
    <t>-942.025318671786 294.670564062073 -197.744487729499</t>
  </si>
  <si>
    <t>-701.926441936601 299.003983947577 -217.35523427949</t>
  </si>
  <si>
    <t>-925.156396356428 91.6803062231629 -519.59216550391</t>
  </si>
  <si>
    <t>-747.632814095969 6.65096337722207 -318.455056324069</t>
  </si>
  <si>
    <t>-893.972084186418 219.148674478525 -65.5714970737239</t>
  </si>
  <si>
    <t>-910.629993370249 235.68371451898 337.297931769173</t>
  </si>
  <si>
    <t>-948.565626487682 249.113205292615 783.354415143201</t>
  </si>
  <si>
    <t>-817.962890856794 314.647675907162 844.472789693764</t>
  </si>
  <si>
    <t>-829.70555292955 38.1668862286183 -64.6292065716574</t>
  </si>
  <si>
    <t>-777.309066261346 30.8349894800467 335.44018331283</t>
  </si>
  <si>
    <t>-800.078871978707 16.209832953075 782.564739419822</t>
  </si>
  <si>
    <t>-680.250490267757 -59.615878353969 853.126403005534</t>
  </si>
  <si>
    <t>9763-20170724T111149.879817800.bin</t>
  </si>
  <si>
    <t>-861.68334776512 128.817283617592 -64.0654569087811</t>
  </si>
  <si>
    <t>-896.05062191275 115.877087331342 -173.918395225768</t>
  </si>
  <si>
    <t>-912.792890628468 112.909612867507 -271.065365659841</t>
  </si>
  <si>
    <t>-923.114032566242 112.999899805896 -359.562316059825</t>
  </si>
  <si>
    <t>-928.134236507017 115.727923952479 -448.475786806145</t>
  </si>
  <si>
    <t>-929.476487468609 122.094330285106 -572.88835980723</t>
  </si>
  <si>
    <t>-894.755571431893 127.243759362814 -648.207384354077</t>
  </si>
  <si>
    <t>-932.414899869612 146.73832410428 -516.697928853707</t>
  </si>
  <si>
    <t>-943.964087556451 281.426665095694 -491.719486349689</t>
  </si>
  <si>
    <t>-943.572279159991 294.886675207121 -197.763885934386</t>
  </si>
  <si>
    <t>-703.405768199239 300.441696603804 -216.205410441614</t>
  </si>
  <si>
    <t>-925.35694664585 91.8472622075105 -519.583002304528</t>
  </si>
  <si>
    <t>-747.22879618324 6.70879986528689 -317.871042679981</t>
  </si>
  <si>
    <t>-894.096676826519 219.193857501012 -65.5103326461109</t>
  </si>
  <si>
    <t>-910.830187986435 235.710040010305 337.356700118843</t>
  </si>
  <si>
    <t>-948.641608181555 249.093469321926 783.433647883379</t>
  </si>
  <si>
    <t>-818.036465099519 314.675229620472 844.496138342882</t>
  </si>
  <si>
    <t>-829.688225798208 38.3131492610883 -64.6429738485422</t>
  </si>
  <si>
    <t>-777.305676566477 30.8661691515795 335.426169229401</t>
  </si>
  <si>
    <t>-800.040804535496 16.2697398525042 782.555234462182</t>
  </si>
  <si>
    <t>-680.294890839595 -59.6808063765868 853.122620999517</t>
  </si>
  <si>
    <t>9763-20170724T111149.914915900.bin</t>
  </si>
  <si>
    <t>-861.696214139571 128.758231013289 -64.0460327252454</t>
  </si>
  <si>
    <t>-896.071833305456 115.829939063588 -173.897687155551</t>
  </si>
  <si>
    <t>-912.82730144772 112.854876432459 -271.042300588851</t>
  </si>
  <si>
    <t>-923.163765372168 112.931263716708 -359.537521011361</t>
  </si>
  <si>
    <t>-928.202713462537 115.638572746527 -448.450564175958</t>
  </si>
  <si>
    <t>-929.575094116586 121.969140784884 -572.86450837049</t>
  </si>
  <si>
    <t>-894.870642237656 127.111253074206 -648.191820405711</t>
  </si>
  <si>
    <t>-932.504560049833 146.62863750938 -516.680511003271</t>
  </si>
  <si>
    <t>-944.126557148697 281.321292816448 -491.734940034936</t>
  </si>
  <si>
    <t>-944.327575078252 294.791276047089 -197.779516881082</t>
  </si>
  <si>
    <t>-704.126334927602 301.011306402612 -215.546210800275</t>
  </si>
  <si>
    <t>-925.438007279256 91.7379780371389 -519.551477390875</t>
  </si>
  <si>
    <t>-747.238706737784 6.36236662549209 -317.717454508324</t>
  </si>
  <si>
    <t>-894.107147469148 219.141355773405 -65.4675100424666</t>
  </si>
  <si>
    <t>-910.870207889871 235.671945278222 337.397821007736</t>
  </si>
  <si>
    <t>-948.637300622958 249.024480193972 783.483252193009</t>
  </si>
  <si>
    <t>-818.024770786868 314.629649507969 844.504837655235</t>
  </si>
  <si>
    <t>-829.675680464445 38.196116923973 -64.6456868049365</t>
  </si>
  <si>
    <t>-777.3164255398 30.7410870388826 335.426299463944</t>
  </si>
  <si>
    <t>-800.089178439968 16.1024214945464 782.56204027968</t>
  </si>
  <si>
    <t>-680.05902149564 -59.4188669115365 853.107207624875</t>
  </si>
  <si>
    <t>9763-20170724T111149.980088000.bin</t>
  </si>
  <si>
    <t>-861.714874238518 128.805632390536 -63.9876465486682</t>
  </si>
  <si>
    <t>-896.098641708532 115.873441822482 -173.83635527884</t>
  </si>
  <si>
    <t>-912.837202496968 112.88657664058 -270.983470631542</t>
  </si>
  <si>
    <t>-923.148386394682 112.94664090327 -359.481619543045</t>
  </si>
  <si>
    <t>-928.151420087889 115.630939292415 -448.39731080372</t>
  </si>
  <si>
    <t>-929.46260854464 121.921267711924 -572.814121403627</t>
  </si>
  <si>
    <t>-894.754304011822 127.025921259606 -648.142119783574</t>
  </si>
  <si>
    <t>-932.397917569742 146.601570811631 -516.639591380707</t>
  </si>
  <si>
    <t>-943.984504190548 281.301645628539 -491.760194883006</t>
  </si>
  <si>
    <t>-945.768003050827 294.697225231347 -197.806795250064</t>
  </si>
  <si>
    <t>-705.485633715395 302.947308977322 -213.527542878512</t>
  </si>
  <si>
    <t>-925.373525102617 91.7045103926016 -519.489012792753</t>
  </si>
  <si>
    <t>-747.264327845539 5.57188979469265 -317.485644194256</t>
  </si>
  <si>
    <t>-894.082635377789 219.106892995258 -65.3931169174891</t>
  </si>
  <si>
    <t>-910.789428074872 235.75456356006 337.469650143768</t>
  </si>
  <si>
    <t>-948.646417541535 248.916947174163 783.555274051496</t>
  </si>
  <si>
    <t>-818.145355552915 314.796820956768 844.519020995368</t>
  </si>
  <si>
    <t>-829.750941396716 38.3430547799035 -64.6024144989635</t>
  </si>
  <si>
    <t>-777.249909680067 30.728985250882 335.44803490178</t>
  </si>
  <si>
    <t>-800.051941581637 16.2620258120432 782.59121392569</t>
  </si>
  <si>
    <t>-680.219897876268 -59.5887772563747 853.119722188053</t>
  </si>
  <si>
    <t>9763-20170724T111150.012176500.bin</t>
  </si>
  <si>
    <t>-861.841839175159 128.959658782774 -63.9481776850824</t>
  </si>
  <si>
    <t>-896.176891797992 116.046587078235 -173.814389101725</t>
  </si>
  <si>
    <t>-912.876648701835 113.052150358158 -270.967929310168</t>
  </si>
  <si>
    <t>-923.154553446441 113.095196245447 -359.470002331788</t>
  </si>
  <si>
    <t>-928.126324917748 115.751668022547 -448.388305923855</t>
  </si>
  <si>
    <t>-929.39609676548 121.990576728721 -572.808118620779</t>
  </si>
  <si>
    <t>-894.671695633611 127.036429313579 -648.132678190316</t>
  </si>
  <si>
    <t>-932.312256812474 146.69922603282 -516.644968558948</t>
  </si>
  <si>
    <t>-943.735659459052 281.412985914075 -491.779183427945</t>
  </si>
  <si>
    <t>-946.376663625345 294.497877287022 -197.818170235026</t>
  </si>
  <si>
    <t>-706.086322044446 304.723391692572 -212.197732548573</t>
  </si>
  <si>
    <t>-925.362288700128 91.7910754147692 -519.469281692565</t>
  </si>
  <si>
    <t>-747.446880264962 5.29489497499208 -317.592485204501</t>
  </si>
  <si>
    <t>-894.02868627553 219.259242046939 -65.3712915387379</t>
  </si>
  <si>
    <t>-910.731293531709 236.004315337349 337.487607464868</t>
  </si>
  <si>
    <t>-948.654223416815 248.912141002145 783.548883083046</t>
  </si>
  <si>
    <t>-818.08021781654 314.631652840205 844.529862353926</t>
  </si>
  <si>
    <t>-830.035199130878 38.5258196247983 -64.520885750929</t>
  </si>
  <si>
    <t>-777.33596613947 30.6985460986857 335.499374575832</t>
  </si>
  <si>
    <t>-800.123831159349 16.1613923451159 782.644230351099</t>
  </si>
  <si>
    <t>-680.225508780525 -59.6218798388106 853.13171693101</t>
  </si>
  <si>
    <t>9763-20170724T111150.082916800.bin</t>
  </si>
  <si>
    <t>-862.219430409033 129.243581561228 -63.8613364186397</t>
  </si>
  <si>
    <t>-896.332628569341 116.45828638083 -173.811666891106</t>
  </si>
  <si>
    <t>-912.905429078585 113.456478443678 -270.986568685035</t>
  </si>
  <si>
    <t>-923.09972116644 113.450008531672 -359.498296325511</t>
  </si>
  <si>
    <t>-928.022224412832 116.013967159754 -448.42204989829</t>
  </si>
  <si>
    <t>-929.260392571753 122.080290170753 -572.850605281558</t>
  </si>
  <si>
    <t>-894.524021795208 126.926196316716 -648.182920082717</t>
  </si>
  <si>
    <t>-932.077970142121 146.880793916352 -516.723076688968</t>
  </si>
  <si>
    <t>-943.047070623262 281.66883790236 -492.019641931815</t>
  </si>
  <si>
    <t>-946.923278781333 293.430663983672 -198.016401986988</t>
  </si>
  <si>
    <t>-706.782448276262 309.599482461285 -209.05501012943</t>
  </si>
  <si>
    <t>-925.352990263686 91.9407426332041 -519.468617425632</t>
  </si>
  <si>
    <t>-747.903905519441 3.09530864062253 -318.252118196872</t>
  </si>
  <si>
    <t>-893.974882671339 219.624027518561 -65.3712026642298</t>
  </si>
  <si>
    <t>-910.362500936281 236.522474047849 337.49420518663</t>
  </si>
  <si>
    <t>-948.595163249743 248.858654648855 783.521061967597</t>
  </si>
  <si>
    <t>-818.071433090666 314.596864137825 844.589639615865</t>
  </si>
  <si>
    <t>-830.841387002587 38.6161832932958 -64.3082287152947</t>
  </si>
  <si>
    <t>-777.722027277904 30.7003990648636 335.654671598788</t>
  </si>
  <si>
    <t>-800.328864282675 15.7528669629392 782.792964465838</t>
  </si>
  <si>
    <t>-680.084216877259 -59.5709482844375 853.18373099461</t>
  </si>
  <si>
    <t>9763-20170724T111150.114501800.bin</t>
  </si>
  <si>
    <t>-862.513031138418 129.562040228184 -63.7962337159901</t>
  </si>
  <si>
    <t>-896.495746808721 116.873599660769 -173.79790085572</t>
  </si>
  <si>
    <t>-912.982657527678 113.858977188139 -270.987220411865</t>
  </si>
  <si>
    <t>-923.113474175693 113.804559818088 -359.506104596242</t>
  </si>
  <si>
    <t>-927.988897998534 116.283472220771 -448.434925227022</t>
  </si>
  <si>
    <t>-929.179194849437 122.192431861205 -572.871574982975</t>
  </si>
  <si>
    <t>-894.45188601752 126.880550778372 -648.217681833649</t>
  </si>
  <si>
    <t>-931.927576402256 147.074762299842 -516.776930050605</t>
  </si>
  <si>
    <t>-942.507328156292 281.925864282363 -492.243687377743</t>
  </si>
  <si>
    <t>-947.12172451017 293.314310003691 -198.236450104499</t>
  </si>
  <si>
    <t>-707.122268742578 312.35136748614 -207.654649212442</t>
  </si>
  <si>
    <t>-925.383405859986 92.1095715439019 -519.449561325443</t>
  </si>
  <si>
    <t>-748.170674245144 1.28310712455277 -318.876295691853</t>
  </si>
  <si>
    <t>-893.959006641177 219.919039110856 -65.3496969077294</t>
  </si>
  <si>
    <t>-910.170521825313 236.960869534144 337.516809090369</t>
  </si>
  <si>
    <t>-948.663751375466 248.886428737453 783.561191281714</t>
  </si>
  <si>
    <t>-818.023288805668 314.361718188425 844.662382668362</t>
  </si>
  <si>
    <t>-831.431817038208 38.9897432921716 -64.1945125109298</t>
  </si>
  <si>
    <t>-777.937465621784 30.8763692213033 335.714351424179</t>
  </si>
  <si>
    <t>-800.314558858285 15.8320147679251 782.839236890972</t>
  </si>
  <si>
    <t>-680.179065306063 -59.6774754714424 853.216867377486</t>
  </si>
  <si>
    <t>9763-20170724T111150.182394100.bin</t>
  </si>
  <si>
    <t>-863.075736869434 130.222220670162 -63.6030626850845</t>
  </si>
  <si>
    <t>-896.702826691786 117.772045941132 -173.741244228961</t>
  </si>
  <si>
    <t>-912.949903547293 114.651336751921 -270.967632740445</t>
  </si>
  <si>
    <t>-922.902307104063 114.378841330288 -359.506365433849</t>
  </si>
  <si>
    <t>-927.64143732247 116.513984590264 -448.451471867142</t>
  </si>
  <si>
    <t>-928.691431218187 121.810795432261 -572.916933862918</t>
  </si>
  <si>
    <t>-893.983427457883 125.963936402154 -648.303432409064</t>
  </si>
  <si>
    <t>-931.211349001621 147.002138389167 -516.949367095353</t>
  </si>
  <si>
    <t>-940.487962167852 282.057408567634 -493.045782201571</t>
  </si>
  <si>
    <t>-946.217663878454 293.713261508019 -199.068658149622</t>
  </si>
  <si>
    <t>-706.59734756937 318.147889068033 -205.076172993321</t>
  </si>
  <si>
    <t>-925.247518899632 91.9577724982751 -519.34222911515</t>
  </si>
  <si>
    <t>-893.688511758807 220.345898083344 -65.2249067451716</t>
  </si>
  <si>
    <t>-909.348492503005 237.774410661335 337.646914962495</t>
  </si>
  <si>
    <t>-948.619816824121 248.549826178699 783.747655249116</t>
  </si>
  <si>
    <t>-818.009417570434 314.157932544032 844.770205635898</t>
  </si>
  <si>
    <t>-832.729305702433 39.6701799731609 -63.9068230360691</t>
  </si>
  <si>
    <t>-778.464743767946 31.1980739231349 335.890905412163</t>
  </si>
  <si>
    <t>-800.442615439849 15.5446017537151 782.983317356729</t>
  </si>
  <si>
    <t>-680.183421760974 -59.8111253335696 853.315322050462</t>
  </si>
  <si>
    <t>9763-20170724T111150.215484000.bin</t>
  </si>
  <si>
    <t>-863.148988450452 130.436891786168 -63.4867392397373</t>
  </si>
  <si>
    <t>-896.581988882423 118.251112633962 -173.713543001543</t>
  </si>
  <si>
    <t>-912.703655823166 115.087164291185 -270.959263814854</t>
  </si>
  <si>
    <t>-922.569993753367 114.671418015902 -359.507159096889</t>
  </si>
  <si>
    <t>-927.254286733765 116.556709261607 -448.460789081233</t>
  </si>
  <si>
    <t>-928.265312058758 121.393757728819 -572.945223675906</t>
  </si>
  <si>
    <t>-893.583391772263 125.150730328135 -648.364513769112</t>
  </si>
  <si>
    <t>-930.578087714487 146.815136474416 -517.072860749136</t>
  </si>
  <si>
    <t>-938.795982164125 282.010513536589 -493.600059230337</t>
  </si>
  <si>
    <t>-944.573651726273 294.159653443033 -199.643808864674</t>
  </si>
  <si>
    <t>-705.21832484381 321.381541309273 -204.002014887516</t>
  </si>
  <si>
    <t>-925.062762996958 91.7154423514899 -519.258708493643</t>
  </si>
  <si>
    <t>-892.922243193063 220.63362448671 -65.1293773458699</t>
  </si>
  <si>
    <t>-908.703066842909 238.255323861338 337.729305046757</t>
  </si>
  <si>
    <t>-948.588765861746 248.330584250856 783.819702428214</t>
  </si>
  <si>
    <t>-817.987024405041 314.004124423479 844.790554410181</t>
  </si>
  <si>
    <t>-833.606170215836 39.8635404469915 -63.6922558640164</t>
  </si>
  <si>
    <t>-778.723570461342 31.3225822517147 336.019701999906</t>
  </si>
  <si>
    <t>-800.510182171694 15.3681905446465 783.084576018141</t>
  </si>
  <si>
    <t>-680.107957027083 -59.7828668361974 853.390380214221</t>
  </si>
  <si>
    <t>9763-20170724T111150.278392000.bin</t>
  </si>
  <si>
    <t>-863.543048231471 131.432411761273 -63.1062929433144</t>
  </si>
  <si>
    <t>-896.656955350363 119.926900867486 -173.502461426716</t>
  </si>
  <si>
    <t>-912.503446154665 116.688188965013 -270.790916243997</t>
  </si>
  <si>
    <t>-922.144525258479 115.946577058402 -359.361575405754</t>
  </si>
  <si>
    <t>-926.636817550471 117.238160268545 -448.335644495616</t>
  </si>
  <si>
    <t>-927.424178043762 120.963421125133 -572.860011169372</t>
  </si>
  <si>
    <t>-892.843618567777 123.723149198333 -648.368830621472</t>
  </si>
  <si>
    <t>-929.187980226843 146.940126117839 -517.223452559418</t>
  </si>
  <si>
    <t>-934.266877671873 282.48245281242 -494.918952237364</t>
  </si>
  <si>
    <t>-939.610846633747 296.707079687869 -201.047706098666</t>
  </si>
  <si>
    <t>-700.727568404775 328.059894338287 -202.686205003311</t>
  </si>
  <si>
    <t>-924.967443005657 91.7083446212482 -518.90240896944</t>
  </si>
  <si>
    <t>-891.85040742396 222.121758015951 -64.9794448601865</t>
  </si>
  <si>
    <t>-907.513235354083 239.376507197545 337.899772811704</t>
  </si>
  <si>
    <t>-948.593137976969 248.077749932342 783.864132692712</t>
  </si>
  <si>
    <t>-817.959238466005 313.751592792612 844.766102241631</t>
  </si>
  <si>
    <t>-835.833835374501 40.6768602441666 -63.2550203372467</t>
  </si>
  <si>
    <t>-779.370693301322 31.9054857847491 336.231760106657</t>
  </si>
  <si>
    <t>-800.551823681107 15.2397171635007 783.232195713212</t>
  </si>
  <si>
    <t>-680.244051093852 -60.0595980562573 853.541403089763</t>
  </si>
  <si>
    <t>9763-20170724T111150.319523000.bin</t>
  </si>
  <si>
    <t>-864.282641073785 132.388094700295 -62.9101229276662</t>
  </si>
  <si>
    <t>-897.272755805941 121.270219356291 -173.383003358747</t>
  </si>
  <si>
    <t>-912.942864485436 117.992458290239 -270.698782917968</t>
  </si>
  <si>
    <t>-922.408244893291 117.068696475819 -359.28665175379</t>
  </si>
  <si>
    <t>-926.714447782695 118.022592167333 -448.274130035346</t>
  </si>
  <si>
    <t>-927.237674490265 121.111356404203 -572.817235049923</t>
  </si>
  <si>
    <t>-892.716426239639 123.31819286817 -648.371697478633</t>
  </si>
  <si>
    <t>-928.697880396471 147.400987416783 -517.319272501328</t>
  </si>
  <si>
    <t>-931.760547623092 283.124963205953 -495.764953977394</t>
  </si>
  <si>
    <t>-936.406419754028 299.469015139752 -201.992200060602</t>
  </si>
  <si>
    <t>-697.649842161149 331.81150378026 -202.419578859743</t>
  </si>
  <si>
    <t>-925.316612104727 92.1033531337448 -518.704850035081</t>
  </si>
  <si>
    <t>-891.833282695445 223.228323180634 -64.9469438052315</t>
  </si>
  <si>
    <t>-907.060711933992 240.08978116674 337.965575762022</t>
  </si>
  <si>
    <t>-948.581961821894 248.029256202642 783.880931740824</t>
  </si>
  <si>
    <t>-817.917367048549 313.668109310356 844.754613686048</t>
  </si>
  <si>
    <t>-837.331542157093 41.4591889488452 -62.997582694007</t>
  </si>
  <si>
    <t>-779.928481675158 32.3569982544709 336.34780870986</t>
  </si>
  <si>
    <t>-800.586830503961 15.1199795015777 783.285267916399</t>
  </si>
  <si>
    <t>-680.261815007122 -60.1517070580396 853.594624389699</t>
  </si>
  <si>
    <t>9763-20170724T111150.379685500.bin</t>
  </si>
  <si>
    <t>-865.795775901541 134.685948571277 -62.7766252099962</t>
  </si>
  <si>
    <t>-898.56633266208 124.336059004246 -173.389432062724</t>
  </si>
  <si>
    <t>-913.91557439775 120.943433606881 -270.752350843597</t>
  </si>
  <si>
    <t>-923.062978139106 119.611114080632 -359.368358813578</t>
  </si>
  <si>
    <t>-927.03618888095 119.834291837372 -448.376269722755</t>
  </si>
  <si>
    <t>-927.08934271546 121.558041659813 -572.946951179038</t>
  </si>
  <si>
    <t>-892.703045014009 122.587336560425 -648.587933614214</t>
  </si>
  <si>
    <t>-927.779894212783 148.496799310366 -517.746110046835</t>
  </si>
  <si>
    <t>-926.041007788165 284.481028341822 -497.738384014218</t>
  </si>
  <si>
    <t>-926.832848346311 306.786171457729 -204.322186106592</t>
  </si>
  <si>
    <t>-688.07895147952 339.109002431511 -202.698913681923</t>
  </si>
  <si>
    <t>-926.352027152377 93.1021302115391 -518.513079571558</t>
  </si>
  <si>
    <t>-891.46088697107 226.000093544489 -65.0813809684047</t>
  </si>
  <si>
    <t>-906.083079571633 241.839999139077 337.894980516812</t>
  </si>
  <si>
    <t>-948.712112331766 248.240425588228 783.828374510334</t>
  </si>
  <si>
    <t>-817.708972955103 313.225890575594 844.675655132037</t>
  </si>
  <si>
    <t>-840.502883886106 43.2550290431582 -62.6002918107419</t>
  </si>
  <si>
    <t>-781.442670246356 33.7880069816447 336.494868526199</t>
  </si>
  <si>
    <t>-800.546734758846 15.3128800689356 783.330466194128</t>
  </si>
  <si>
    <t>-680.87451661808 -60.9276813956276 853.709717451445</t>
  </si>
  <si>
    <t>9763-20170724T111150.413282900.bin</t>
  </si>
  <si>
    <t>-866.3720247207 135.800505555766 -62.7777115648693</t>
  </si>
  <si>
    <t>-899.075756293951 125.797945171416 -173.44226321435</t>
  </si>
  <si>
    <t>-914.310174223466 122.345916970954 -270.821183997544</t>
  </si>
  <si>
    <t>-923.341251530496 120.816690649222 -359.445857721605</t>
  </si>
  <si>
    <t>-927.191102303016 120.688470688173 -448.459397414684</t>
  </si>
  <si>
    <t>-927.069957476734 121.754854864805 -573.037349096907</t>
  </si>
  <si>
    <t>-892.762365380036 122.146278992067 -648.720122661896</t>
  </si>
  <si>
    <t>-927.292698824321 148.99313215791 -517.979659518197</t>
  </si>
  <si>
    <t>-922.839321284553 285.024127967783 -498.682375257195</t>
  </si>
  <si>
    <t>-920.310476677256 310.649428889432 -205.547201141073</t>
  </si>
  <si>
    <t>-681.398219274841 341.731124864358 -203.152025597853</t>
  </si>
  <si>
    <t>-926.953677965985 93.5778685007285 -518.453820309309</t>
  </si>
  <si>
    <t>-890.993622135728 227.36337688443 -65.1965393022401</t>
  </si>
  <si>
    <t>-905.499228806603 242.822685736242 337.798846058192</t>
  </si>
  <si>
    <t>-948.821573452292 248.440915872276 783.765389640967</t>
  </si>
  <si>
    <t>-817.712952847583 313.225629740821 844.599336161289</t>
  </si>
  <si>
    <t>-842.062264437353 44.0874351141574 -62.4378338419139</t>
  </si>
  <si>
    <t>-782.221952226422 34.4939974825729 336.538035969174</t>
  </si>
  <si>
    <t>-800.566452550822 15.2896599571814 783.338831452915</t>
  </si>
  <si>
    <t>-681.008280248462 -61.0996011697291 853.750657160712</t>
  </si>
  <si>
    <t>9763-20170724T111150.482969600.bin</t>
  </si>
  <si>
    <t>-867.680551757246 137.977810695951 -62.7086558013415</t>
  </si>
  <si>
    <t>-900.332380869008 128.650457026146 -173.447341125236</t>
  </si>
  <si>
    <t>-915.392579431426 125.139409248221 -270.851313020211</t>
  </si>
  <si>
    <t>-924.232445938395 123.299232090151 -359.489372323514</t>
  </si>
  <si>
    <t>-927.865991417937 122.577629165613 -448.509180038375</t>
  </si>
  <si>
    <t>-927.427868802806 122.508429870839 -573.090889867584</t>
  </si>
  <si>
    <t>-893.314203351591 121.627112936691 -648.857020450152</t>
  </si>
  <si>
    <t>-926.688716703816 150.232197967375 -518.280628584817</t>
  </si>
  <si>
    <t>-916.578405986613 286.107245432181 -500.102726817002</t>
  </si>
  <si>
    <t>-903.251776270516 319.108992618158 -207.999114448742</t>
  </si>
  <si>
    <t>-663.698398162411 344.685585631189 -204.696061483889</t>
  </si>
  <si>
    <t>-928.552732126798 94.8455129231361 -518.256615956607</t>
  </si>
  <si>
    <t>-890.621927290181 230.052839633235 -65.4247937838396</t>
  </si>
  <si>
    <t>-904.409156263207 244.714780387602 337.625679229278</t>
  </si>
  <si>
    <t>-948.926240822775 248.752024503014 783.646510205453</t>
  </si>
  <si>
    <t>-817.483059900745 312.880082853887 844.45478411197</t>
  </si>
  <si>
    <t>-845.203697895868 45.9100917190149 -62.1391323368623</t>
  </si>
  <si>
    <t>-783.833688149001 36.0925052164207 336.59894959096</t>
  </si>
  <si>
    <t>-800.560344903 15.4889732815395 783.330713102661</t>
  </si>
  <si>
    <t>-681.466898712129 -61.5431897698129 853.8293257581</t>
  </si>
  <si>
    <t>9763-20170724T111150.514556000.bin</t>
  </si>
  <si>
    <t>-868.567354571953 139.217229131468 -62.6856275889105</t>
  </si>
  <si>
    <t>-901.222630204113 130.162766359766 -173.446065905472</t>
  </si>
  <si>
    <t>-916.228580115564 126.612055608102 -270.856829817695</t>
  </si>
  <si>
    <t>-925.003749124171 124.621697106573 -359.498248619413</t>
  </si>
  <si>
    <t>-928.561122609424 123.622716956478 -448.518345104667</t>
  </si>
  <si>
    <t>-928.009096712306 123.026065674993 -573.098245238273</t>
  </si>
  <si>
    <t>-894.015116710076 121.524977754488 -648.908353579221</t>
  </si>
  <si>
    <t>-926.780113679716 150.95814228082 -518.402798449954</t>
  </si>
  <si>
    <t>-913.89192895769 286.654745038164 -500.628190757875</t>
  </si>
  <si>
    <t>-893.020298724879 323.379769287861 -209.412067011633</t>
  </si>
  <si>
    <t>-653.066611093647 344.981934757904 -206.875258551845</t>
  </si>
  <si>
    <t>-929.723872550351 95.6189629238188 -518.150758753712</t>
  </si>
  <si>
    <t>-890.814664562691 231.468745779562 -65.5248335210916</t>
  </si>
  <si>
    <t>-904.094531892792 245.663786151633 337.559323416553</t>
  </si>
  <si>
    <t>-949.005926299517 248.954739335102 783.601590128202</t>
  </si>
  <si>
    <t>-817.214738497572 312.366314028248 844.407428617811</t>
  </si>
  <si>
    <t>-846.792618744466 46.989120159888 -62.0031666365095</t>
  </si>
  <si>
    <t>-784.716321700336 36.9484716897096 336.619952359999</t>
  </si>
  <si>
    <t>-800.564007315439 15.6363385227332 783.317308710572</t>
  </si>
  <si>
    <t>-681.769289713244 -61.8178381760501 853.857390763433</t>
  </si>
  <si>
    <t>9763-20170724T111150.581234500.bin</t>
  </si>
  <si>
    <t>-870.350510226822 141.48087812501 -62.7641682769249</t>
  </si>
  <si>
    <t>-902.991961328335 132.840620407205 -173.561775717269</t>
  </si>
  <si>
    <t>-917.970499480727 129.170873749234 -270.972424252779</t>
  </si>
  <si>
    <t>-926.727312816583 126.875271762907 -359.608132411305</t>
  </si>
  <si>
    <t>-930.280513868833 125.349524003794 -448.621013285397</t>
  </si>
  <si>
    <t>-929.747221894869 123.77191537623 -573.19243939122</t>
  </si>
  <si>
    <t>-896.117089615861 121.093958818934 -649.132279837615</t>
  </si>
  <si>
    <t>-927.491578545535 152.060862325019 -518.713609720823</t>
  </si>
  <si>
    <t>-909.394949873656 287.251926160644 -501.6355017993</t>
  </si>
  <si>
    <t>-871.574673222053 328.085561604627 -212.683155699326</t>
  </si>
  <si>
    <t>-631.157820663105 343.886828977015 -211.694800537504</t>
  </si>
  <si>
    <t>-932.472307298226 96.8711142854836 -518.035806041296</t>
  </si>
  <si>
    <t>-891.17994115175 233.927768204459 -65.8027169474389</t>
  </si>
  <si>
    <t>-903.968380176823 247.333045913808 337.324417713068</t>
  </si>
  <si>
    <t>-949.136224189702 249.387226244497 783.484896606799</t>
  </si>
  <si>
    <t>-816.971688873572 312.018263980788 844.290155799927</t>
  </si>
  <si>
    <t>-849.828035915615 48.8447872951401 -61.7689053213992</t>
  </si>
  <si>
    <t>-786.785561108652 38.6087212898565 336.697544292601</t>
  </si>
  <si>
    <t>-800.722904832838 15.6513910032359 783.329328027761</t>
  </si>
  <si>
    <t>-682.236500834753 -62.2406675674213 853.906342263485</t>
  </si>
  <si>
    <t>9763-20170724T111150.617335100.bin</t>
  </si>
  <si>
    <t>-871.060148729887 142.236771401181 -62.8234360532724</t>
  </si>
  <si>
    <t>-903.61115217676 133.846450377197 -173.66683763084</t>
  </si>
  <si>
    <t>-918.567909657252 130.14969985579 -271.079787274007</t>
  </si>
  <si>
    <t>-927.336157193758 127.733123862864 -359.711287382971</t>
  </si>
  <si>
    <t>-930.936360779791 125.980145053128 -448.717956110563</t>
  </si>
  <si>
    <t>-930.510051755136 123.97027667655 -573.283644234993</t>
  </si>
  <si>
    <t>-897.115369839868 120.757748489223 -649.306672281549</t>
  </si>
  <si>
    <t>-927.743027374734 152.402430242615 -518.902787060324</t>
  </si>
  <si>
    <t>-907.297505644913 287.308514348698 -502.093944158513</t>
  </si>
  <si>
    <t>-861.118253195172 328.100506593956 -214.353299807945</t>
  </si>
  <si>
    <t>-620.596100839055 342.22927676668 -213.781942106359</t>
  </si>
  <si>
    <t>-933.652498207236 97.3070637841224 -518.034044489365</t>
  </si>
  <si>
    <t>-891.280600388548 234.975061991614 -65.972116891874</t>
  </si>
  <si>
    <t>-904.005268976492 247.883942624563 337.173154846644</t>
  </si>
  <si>
    <t>-949.069477299597 249.476612309347 783.406348048271</t>
  </si>
  <si>
    <t>-816.697662942405 311.6684321247 844.209964612605</t>
  </si>
  <si>
    <t>-851.06160644026 49.2422579163517 -61.7431407681905</t>
  </si>
  <si>
    <t>-788.185321219218 39.5178608953979 336.762381797854</t>
  </si>
  <si>
    <t>-800.862874625114 15.5830204661925 783.356368611281</t>
  </si>
  <si>
    <t>-682.274791987802 -62.1582040895412 853.929150736515</t>
  </si>
  <si>
    <t>9763-20170724T111150.683054900.bin</t>
  </si>
  <si>
    <t>-872.716565434973 144.235445716919 -62.819541495592</t>
  </si>
  <si>
    <t>-905.058317132698 136.413917165217 -173.765696249168</t>
  </si>
  <si>
    <t>-919.926372256128 132.692588834302 -271.191286410088</t>
  </si>
  <si>
    <t>-928.66881139287 130.048522055909 -359.818745682743</t>
  </si>
  <si>
    <t>-932.308834704855 127.845642007194 -448.813895197657</t>
  </si>
  <si>
    <t>-932.018196010948 124.966976223897 -573.362919173024</t>
  </si>
  <si>
    <t>-899.149271002941 120.757586836608 -649.566098825634</t>
  </si>
  <si>
    <t>-928.312827511821 153.669281304786 -519.180158385498</t>
  </si>
  <si>
    <t>-903.348704107731 287.899534243038 -503.037720529951</t>
  </si>
  <si>
    <t>-847.057482647477 327.349671096569 -216.914975321069</t>
  </si>
  <si>
    <t>-606.403220874818 338.998261941966 -216.101605300389</t>
  </si>
  <si>
    <t>-935.979535985535 98.7981675106371 -517.929875292066</t>
  </si>
  <si>
    <t>-891.399139745266 237.200307077857 -66.1285955789298</t>
  </si>
  <si>
    <t>-904.116599311147 249.142587761341 337.046679967048</t>
  </si>
  <si>
    <t>-948.967402640676 249.692970007981 783.36813024245</t>
  </si>
  <si>
    <t>-816.377061054005 311.424906894282 844.164175285778</t>
  </si>
  <si>
    <t>-854.486839297515 51.3068667589155 -61.4699359465136</t>
  </si>
  <si>
    <t>-790.115280369256 40.9911795206635 336.781878642207</t>
  </si>
  <si>
    <t>-801.123949875641 15.5800497218329 783.376567690249</t>
  </si>
  <si>
    <t>-682.87403271363 -62.6456993390807 853.981287512152</t>
  </si>
  <si>
    <t>9763-20170724T111150.716158900.bin</t>
  </si>
  <si>
    <t>-873.619385181695 145.486223114059 -62.7275040072783</t>
  </si>
  <si>
    <t>-905.845952335208 137.966067026813 -173.727926347074</t>
  </si>
  <si>
    <t>-920.628515009223 134.252238291547 -271.166950124947</t>
  </si>
  <si>
    <t>-929.308336506959 131.515873723444 -359.797643111808</t>
  </si>
  <si>
    <t>-932.906224194913 129.114058549368 -448.789408504883</t>
  </si>
  <si>
    <t>-932.584358570822 125.843707228922 -573.328617726458</t>
  </si>
  <si>
    <t>-899.974390498917 121.189742074057 -649.617338048013</t>
  </si>
  <si>
    <t>-928.492913601025 154.657481091373 -519.23293367795</t>
  </si>
  <si>
    <t>-901.507164516988 288.547105458232 -503.522663304945</t>
  </si>
  <si>
    <t>-844.798339834097 327.407407738096 -217.401821561189</t>
  </si>
  <si>
    <t>-604.106167929887 338.230807729346 -216.42154792212</t>
  </si>
  <si>
    <t>-936.959046474136 99.9082481194041 -517.817183762626</t>
  </si>
  <si>
    <t>-891.459809308914 238.375697824957 -66.0950563828889</t>
  </si>
  <si>
    <t>-904.067081106896 249.896445424364 337.095945249369</t>
  </si>
  <si>
    <t>-948.881391545712 249.739673929476 783.446739482281</t>
  </si>
  <si>
    <t>-816.18267022479 311.264582869784 844.21704371438</t>
  </si>
  <si>
    <t>-856.161239924909 52.5814948574957 -61.2936669805036</t>
  </si>
  <si>
    <t>-790.956113184203 41.7791498590336 336.809678508093</t>
  </si>
  <si>
    <t>-801.29848644358 15.5105495283442 783.385829257077</t>
  </si>
  <si>
    <t>-683.239278532559 -62.9893473771067 854.005400295876</t>
  </si>
  <si>
    <t>9763-20170724T111150.781333500.bin</t>
  </si>
  <si>
    <t>-875.130226110668 147.641636167349 -62.3206498791322</t>
  </si>
  <si>
    <t>-907.167144162111 140.762452025994 -173.417571620409</t>
  </si>
  <si>
    <t>-921.757658681506 137.151204667645 -270.889269056537</t>
  </si>
  <si>
    <t>-930.269550143918 134.338345941781 -359.533859217657</t>
  </si>
  <si>
    <t>-933.716921186186 131.682898531958 -448.524325769737</t>
  </si>
  <si>
    <t>-933.211316359569 127.871840025505 -573.047591852984</t>
  </si>
  <si>
    <t>-900.951628159016 122.507843934978 -649.438450397311</t>
  </si>
  <si>
    <t>-928.613021150075 156.823168649652 -519.066200646492</t>
  </si>
  <si>
    <t>-898.854392433035 290.204750942535 -504.049736568847</t>
  </si>
  <si>
    <t>-844.318005439659 329.076178110413 -217.508216461426</t>
  </si>
  <si>
    <t>-603.677554196891 340.73948841263 -214.876789737345</t>
  </si>
  <si>
    <t>-938.254536556329 102.274575561887 -517.436015705052</t>
  </si>
  <si>
    <t>-891.397175541741 240.438366112804 -65.7979167645302</t>
  </si>
  <si>
    <t>-903.260781546033 251.366429093247 337.432151080636</t>
  </si>
  <si>
    <t>-948.674684476683 249.70610978643 783.776632003623</t>
  </si>
  <si>
    <t>-815.708083671949 310.782866308448 844.413105163858</t>
  </si>
  <si>
    <t>-859.153111966727 54.8644557681373 -60.8869870541669</t>
  </si>
  <si>
    <t>-792.442194048705 43.3305365075234 336.946219698555</t>
  </si>
  <si>
    <t>-801.596727296511 15.5017270732269 783.420955592825</t>
  </si>
  <si>
    <t>-683.828557666109 -63.4051380718181 854.072305249741</t>
  </si>
  <si>
    <t>9763-20170724T111150.813420300.bin</t>
  </si>
  <si>
    <t>-875.675582562241 148.710231214425 -62.0913210824888</t>
  </si>
  <si>
    <t>-907.672439250788 142.121761798311 -173.21757154186</t>
  </si>
  <si>
    <t>-922.185236271922 138.54567549349 -270.70200656562</t>
  </si>
  <si>
    <t>-930.618275929618 135.683625663733 -359.352671843714</t>
  </si>
  <si>
    <t>-933.982554402986 132.896174889697 -448.342330638245</t>
  </si>
  <si>
    <t>-933.361400050861 128.815523582368 -572.856455171024</t>
  </si>
  <si>
    <t>-901.154590289811 123.132689862302 -649.246601706968</t>
  </si>
  <si>
    <t>-928.62460992714 157.849761317479 -518.931655045714</t>
  </si>
  <si>
    <t>-898.054604247579 291.078888315008 -504.193102261528</t>
  </si>
  <si>
    <t>-844.604787697849 330.536768698538 -217.527131850987</t>
  </si>
  <si>
    <t>-604.036592797487 343.059950902561 -212.944489216762</t>
  </si>
  <si>
    <t>-938.645147247349 103.372716482355 -517.196259841441</t>
  </si>
  <si>
    <t>-891.327021448609 241.541402055409 -65.5807340823145</t>
  </si>
  <si>
    <t>-902.771282711121 252.076233543225 337.671893408306</t>
  </si>
  <si>
    <t>-948.610251852123 249.791684434555 783.94063423037</t>
  </si>
  <si>
    <t>-815.431081306823 310.464604980762 844.516423998757</t>
  </si>
  <si>
    <t>-860.273798974645 55.9454568444398 -60.6934500686493</t>
  </si>
  <si>
    <t>-792.836531062894 44.1899075655015 337.010801099668</t>
  </si>
  <si>
    <t>-801.711650936114 15.5431493480705 783.42107357054</t>
  </si>
  <si>
    <t>-684.197310868023 -63.7056434552705 854.112945924981</t>
  </si>
  <si>
    <t>9763-20170724T111150.883318500.bin</t>
  </si>
  <si>
    <t>-876.925386280658 150.87306189972 -61.734577828885</t>
  </si>
  <si>
    <t>-908.883597390792 144.653164161791 -172.893107825602</t>
  </si>
  <si>
    <t>-923.234637299402 141.052475165193 -270.400677249122</t>
  </si>
  <si>
    <t>-931.481715123634 138.033290020543 -359.063656786451</t>
  </si>
  <si>
    <t>-934.629302131579 134.949116685501 -448.051444404895</t>
  </si>
  <si>
    <t>-933.680112005394 130.305689153727 -572.543743726588</t>
  </si>
  <si>
    <t>-901.382421007861 124.074979352274 -648.85270376191</t>
  </si>
  <si>
    <t>-928.816640965772 159.532804280054 -518.734376316795</t>
  </si>
  <si>
    <t>-897.185817915692 292.560954816565 -504.584520019625</t>
  </si>
  <si>
    <t>-845.967312520373 334.066575422538 -217.800280046593</t>
  </si>
  <si>
    <t>-605.564963094332 347.752143704429 -209.417292485396</t>
  </si>
  <si>
    <t>-939.379065075638 105.165268685404 -516.787107572368</t>
  </si>
  <si>
    <t>-891.962099872601 243.595534009944 -65.2365860384218</t>
  </si>
  <si>
    <t>-902.372488688169 253.494669745159 338.060190136828</t>
  </si>
  <si>
    <t>-948.378465291001 250.083849683364 784.193979732362</t>
  </si>
  <si>
    <t>-815.009987508086 310.360265866741 844.74879503943</t>
  </si>
  <si>
    <t>-862.14291243371 58.0193342912926 -60.334643300371</t>
  </si>
  <si>
    <t>-792.811602289568 45.6709582444887 337.025823488618</t>
  </si>
  <si>
    <t>-801.950257005045 15.507114182446 783.342816681958</t>
  </si>
  <si>
    <t>-684.865291807581 -64.2820442334667 854.139308288527</t>
  </si>
  <si>
    <t>9763-20170724T111150.915406400.bin</t>
  </si>
  <si>
    <t>-877.407222080927 151.682898118219 -61.6044558976358</t>
  </si>
  <si>
    <t>-909.366804797076 145.546589245715 -172.767055635198</t>
  </si>
  <si>
    <t>-923.645130816925 141.895151400331 -270.283502202692</t>
  </si>
  <si>
    <t>-931.801332152465 138.779600760987 -358.951458854898</t>
  </si>
  <si>
    <t>-934.834468468227 135.545370793579 -447.937871914634</t>
  </si>
  <si>
    <t>-933.705799247569 130.635060794464 -572.418564643368</t>
  </si>
  <si>
    <t>-901.324089947555 124.152690845074 -648.671045922065</t>
  </si>
  <si>
    <t>-928.832362312123 159.960175780433 -518.663620489475</t>
  </si>
  <si>
    <t>-896.879275119512 292.941218176339 -504.771047370636</t>
  </si>
  <si>
    <t>-846.654934928879 335.333175957851 -217.940717334097</t>
  </si>
  <si>
    <t>-606.302176333992 349.355149058808 -208.732033456129</t>
  </si>
  <si>
    <t>-939.572574663334 105.631353665048 -516.617982421783</t>
  </si>
  <si>
    <t>-892.267580530777 244.479935794132 -65.143281455986</t>
  </si>
  <si>
    <t>-902.490763893478 254.091179899649 338.165160942347</t>
  </si>
  <si>
    <t>-948.159716081911 250.200591898467 784.297374271131</t>
  </si>
  <si>
    <t>-814.872107489897 310.630025695198 844.877976434034</t>
  </si>
  <si>
    <t>-862.757497593801 58.7052633189664 -60.1852507199286</t>
  </si>
  <si>
    <t>-792.527459202399 46.3398814990505 337.016792477641</t>
  </si>
  <si>
    <t>-802.054564578538 15.5297067935931 783.281726621455</t>
  </si>
  <si>
    <t>-685.203979708427 -64.5538142773707 854.133163612233</t>
  </si>
  <si>
    <t>9763-20170724T111150.985371300.bin</t>
  </si>
  <si>
    <t>-878.196138102528 152.876069106938 -61.4716178767851</t>
  </si>
  <si>
    <t>-910.146532577489 146.766834147586 -172.638498499441</t>
  </si>
  <si>
    <t>-924.317744473772 142.989285816668 -270.165750300991</t>
  </si>
  <si>
    <t>-932.342089527277 139.693667254727 -358.839172273223</t>
  </si>
  <si>
    <t>-935.212973270619 136.209383234269 -447.821607215508</t>
  </si>
  <si>
    <t>-933.828344956638 130.873200598882 -572.282153581868</t>
  </si>
  <si>
    <t>-901.266308271379 123.983726679373 -648.421767684722</t>
  </si>
  <si>
    <t>-928.988378058627 160.366883852417 -518.616414923143</t>
  </si>
  <si>
    <t>-896.729638779486 293.307270583921 -505.081501491531</t>
  </si>
  <si>
    <t>-847.904094764807 336.22655387399 -218.088098824586</t>
  </si>
  <si>
    <t>-607.604817274683 350.61835879772 -208.083355655558</t>
  </si>
  <si>
    <t>-939.887007964198 106.075866995222 -516.409894561126</t>
  </si>
  <si>
    <t>-893.200561780369 245.986188278717 -65.0484849847363</t>
  </si>
  <si>
    <t>-902.883535008736 255.197662790607 338.282668582297</t>
  </si>
  <si>
    <t>-947.779445946903 250.586099150149 784.489996992579</t>
  </si>
  <si>
    <t>-814.536856022656 311.013709184774 845.171408751538</t>
  </si>
  <si>
    <t>-863.518726263292 59.6342867193594 -60.0140650071139</t>
  </si>
  <si>
    <t>-791.976687326405 47.3241091795835 336.95555934654</t>
  </si>
  <si>
    <t>-802.291250911603 15.5335306710454 783.147822263729</t>
  </si>
  <si>
    <t>-685.480112428088 -64.534226749917 854.08161398088</t>
  </si>
  <si>
    <t>9763-20170724T111151.015957600.bin</t>
  </si>
  <si>
    <t>-878.592332372532 153.38957604455 -61.3850272549462</t>
  </si>
  <si>
    <t>-910.54383031757 147.296512027834 -172.552386269138</t>
  </si>
  <si>
    <t>-924.684042657947 143.486237725023 -270.08285470666</t>
  </si>
  <si>
    <t>-932.66899379165 140.140661432204 -358.758021976763</t>
  </si>
  <si>
    <t>-935.490260750917 136.584877068302 -447.739223359805</t>
  </si>
  <si>
    <t>-934.027586224538 131.125812087487 -572.193387967283</t>
  </si>
  <si>
    <t>-901.38401765807 124.085447353063 -648.284516766644</t>
  </si>
  <si>
    <t>-929.219543745443 160.672231404984 -518.553845780701</t>
  </si>
  <si>
    <t>-896.940781449764 293.610808099792 -505.0921634243</t>
  </si>
  <si>
    <t>-848.429118491075 336.37303502153 -218.022135217233</t>
  </si>
  <si>
    <t>-608.150190910083 350.918009685765 -207.753943075344</t>
  </si>
  <si>
    <t>-940.122997858271 106.384095452813 -516.300676156624</t>
  </si>
  <si>
    <t>-893.64462590279 246.66778339836 -64.9564443899619</t>
  </si>
  <si>
    <t>-903.003940574537 255.748917584991 338.385397538533</t>
  </si>
  <si>
    <t>-947.661202714435 250.822730762973 784.637771003809</t>
  </si>
  <si>
    <t>-814.288740152231 310.915104359605 845.366157044987</t>
  </si>
  <si>
    <t>-863.917225103053 60.0519630183057 -59.9309802069837</t>
  </si>
  <si>
    <t>-791.747892918392 47.7793843977479 336.92618721425</t>
  </si>
  <si>
    <t>-802.428928886803 15.5021942007579 783.094018022279</t>
  </si>
  <si>
    <t>-685.720750840768 -64.6804372915749 854.067324764585</t>
  </si>
  <si>
    <t>9763-20170724T111151.079132200.bin</t>
  </si>
  <si>
    <t>-879.226304356742 154.3359223169 -61.1582314217436</t>
  </si>
  <si>
    <t>-911.180504763718 148.240082457708 -172.324695153835</t>
  </si>
  <si>
    <t>-925.269254441691 144.443885546414 -269.863292361195</t>
  </si>
  <si>
    <t>-933.184907390235 141.11605840365 -358.545346355657</t>
  </si>
  <si>
    <t>-935.914194592357 137.582867172312 -447.530191106251</t>
  </si>
  <si>
    <t>-934.298603305434 132.160484822608 -571.98411890657</t>
  </si>
  <si>
    <t>-901.532334338348 124.980121977675 -648.009528767769</t>
  </si>
  <si>
    <t>-929.623210154412 161.704178011157 -518.331444573116</t>
  </si>
  <si>
    <t>-897.570426306424 294.689509056186 -504.768194767435</t>
  </si>
  <si>
    <t>-849.289886585246 337.103316200958 -217.607543064902</t>
  </si>
  <si>
    <t>-608.991373901149 351.324364126097 -207.348011059973</t>
  </si>
  <si>
    <t>-940.396174669701 107.389158054469 -516.104781795386</t>
  </si>
  <si>
    <t>-894.358741927865 247.657185725844 -64.6840972731951</t>
  </si>
  <si>
    <t>-903.212080306518 256.489514712502 338.674606683727</t>
  </si>
  <si>
    <t>-947.173810517247 250.951655664103 784.98591571208</t>
  </si>
  <si>
    <t>-813.983482108338 311.379263161999 845.78139234688</t>
  </si>
  <si>
    <t>-864.504646279564 61.0487177323666 -59.7558529284717</t>
  </si>
  <si>
    <t>-791.432364084182 48.5328928600097 336.928473063497</t>
  </si>
  <si>
    <t>-802.686983803974 15.6099434575453 783.033663245348</t>
  </si>
  <si>
    <t>-686.13019997721 -64.7601522796535 854.044079072384</t>
  </si>
  <si>
    <t>9763-20170724T111151.228106300.bin</t>
  </si>
  <si>
    <t>-879.569791285987 154.766634493345 -61.0464141847448</t>
  </si>
  <si>
    <t>-911.528408099294 148.680452524517 -172.212226280098</t>
  </si>
  <si>
    <t>-925.594683427255 144.914068556607 -269.755024582075</t>
  </si>
  <si>
    <t>-933.478969856604 141.621554629336 -358.441358115859</t>
  </si>
  <si>
    <t>-936.164685591525 138.13244362861 -447.42929018167</t>
  </si>
  <si>
    <t>-934.475573851065 132.780906308386 -571.88531719121</t>
  </si>
  <si>
    <t>-901.665649184975 125.601302908697 -647.89162241454</t>
  </si>
  <si>
    <t>-929.877587160652 162.30294743971 -518.214014683823</t>
  </si>
  <si>
    <t>-897.948680415296 295.309510008894 -504.539435193787</t>
  </si>
  <si>
    <t>-849.790388325099 337.436989349852 -217.316083695492</t>
  </si>
  <si>
    <t>-609.465708185516 351.3205865605 -207.210140716816</t>
  </si>
  <si>
    <t>-940.560576711416 107.968728199234 -516.022649526813</t>
  </si>
  <si>
    <t>-894.711350028222 248.089570250161 -64.5181813450757</t>
  </si>
  <si>
    <t>-903.440797428661 256.880554803044 338.844167189016</t>
  </si>
  <si>
    <t>-947.078911879762 251.153538505631 785.186669822133</t>
  </si>
  <si>
    <t>-813.788810196958 311.338745739746 846.004035005916</t>
  </si>
  <si>
    <t>-864.818283635738 61.4202700693795 -59.6619616612479</t>
  </si>
  <si>
    <t>-791.430116765196 48.8131203118755 336.961201352888</t>
  </si>
  <si>
    <t>-802.883793744683 15.5355775698181 783.044753512648</t>
  </si>
  <si>
    <t>-686.307934270855 -64.8139430177032 854.046490181458</t>
  </si>
  <si>
    <t>9763-20170724T111151.280245300.bin</t>
  </si>
  <si>
    <t>-879.879709159078 155.405168138944 -60.5091772793807</t>
  </si>
  <si>
    <t>-912.033524210691 149.460254745889 -171.626288132153</t>
  </si>
  <si>
    <t>-926.195642696699 145.969847207545 -269.165510303695</t>
  </si>
  <si>
    <t>-934.131302239735 142.986437748735 -357.858083379689</t>
  </si>
  <si>
    <t>-936.82948625771 139.866567710878 -446.859358823805</t>
  </si>
  <si>
    <t>-935.112295865727 135.092280419771 -571.338645054235</t>
  </si>
  <si>
    <t>-902.213182433567 128.248284295233 -647.33732158768</t>
  </si>
  <si>
    <t>-930.655484386889 164.390405828769 -517.532562839138</t>
  </si>
  <si>
    <t>-899.104850105536 297.409965804442 -503.165022537005</t>
  </si>
  <si>
    <t>-851.870859571216 336.974940683539 -215.424192641881</t>
  </si>
  <si>
    <t>-611.115467070624 344.054601558147 -209.289104314019</t>
  </si>
  <si>
    <t>-941.080307050477 109.996254009258 -515.590185556312</t>
  </si>
  <si>
    <t>-895.05284339629 249.080124628865 -63.7287997530209</t>
  </si>
  <si>
    <t>-903.537085774894 257.385672680671 339.64904940115</t>
  </si>
  <si>
    <t>-946.199025937114 251.533612643749 786.092671784975</t>
  </si>
  <si>
    <t>-813.008789442985 311.872168231244 846.977223116055</t>
  </si>
  <si>
    <t>-865.07080894063 61.6886546363203 -59.4030481361402</t>
  </si>
  <si>
    <t>-790.923945739562 49.2383560587195 337.083905091703</t>
  </si>
  <si>
    <t>-803.656206864694 15.3397675061374 783.059739058851</t>
  </si>
  <si>
    <t>-687.286790155348 -65.252253128906 854.12580703364</t>
  </si>
  <si>
    <t>9763-20170724T111151.316876300.bin</t>
  </si>
  <si>
    <t>-879.708344502992 155.236868617784 -60.4454453402988</t>
  </si>
  <si>
    <t>-911.947834536899 149.3287900166 -171.539690918422</t>
  </si>
  <si>
    <t>-926.171729319293 145.920980182574 -269.07290616955</t>
  </si>
  <si>
    <t>-934.156112402647 143.031998571658 -357.764249198885</t>
  </si>
  <si>
    <t>-936.894519059749 140.026593184356 -446.768135310377</t>
  </si>
  <si>
    <t>-935.223599161147 135.433252377643 -571.254864921731</t>
  </si>
  <si>
    <t>-902.314996056374 128.685987067953 -647.258311539953</t>
  </si>
  <si>
    <t>-930.753995398209 164.654425631533 -517.408253158142</t>
  </si>
  <si>
    <t>-899.17585924225 297.651915778164 -502.83684816873</t>
  </si>
  <si>
    <t>-851.847924872293 336.260515930903 -214.981629834077</t>
  </si>
  <si>
    <t>-611.03185177661 342.34469947533 -210.341483490998</t>
  </si>
  <si>
    <t>-941.163402378232 110.254583533587 -515.540561769872</t>
  </si>
  <si>
    <t>-894.829773181027 248.985796514417 -63.5926836584852</t>
  </si>
  <si>
    <t>-903.374214715877 257.308536797842 339.783550411754</t>
  </si>
  <si>
    <t>-946.072788295901 251.627955751952 786.23561425292</t>
  </si>
  <si>
    <t>-812.843260787437 311.866302787174 847.133457086175</t>
  </si>
  <si>
    <t>-864.956622284494 61.4025895586988 -59.3777565601355</t>
  </si>
  <si>
    <t>-790.779392900569 49.058193007193 337.106833198342</t>
  </si>
  <si>
    <t>-803.832497693557 15.2349810540331 783.077956750452</t>
  </si>
  <si>
    <t>-687.26382656666 -65.0721426600105 854.140078448542</t>
  </si>
  <si>
    <t>9763-20170724T111151.382457100.bin</t>
  </si>
  <si>
    <t>-879.23849004837 154.731497001353 -60.3223964877698</t>
  </si>
  <si>
    <t>-911.643326539139 148.901232774499 -171.372627560827</t>
  </si>
  <si>
    <t>-925.996970324063 145.665030329569 -268.892669353369</t>
  </si>
  <si>
    <t>-934.089008936573 142.972939305139 -357.580414281028</t>
  </si>
  <si>
    <t>-936.922688527812 140.205180118349 -446.589094229818</t>
  </si>
  <si>
    <t>-935.370270663332 135.986607956112 -571.090606507983</t>
  </si>
  <si>
    <t>-902.464843531554 129.452747102247 -647.113813562073</t>
  </si>
  <si>
    <t>-930.858010228052 165.047099146888 -517.160678743633</t>
  </si>
  <si>
    <t>-899.213887329938 297.987965060688 -502.220721347507</t>
  </si>
  <si>
    <t>-851.693358276235 334.726348628951 -214.152590668606</t>
  </si>
  <si>
    <t>-610.799360982895 339.238922389534 -213.372791345664</t>
  </si>
  <si>
    <t>-941.249189624218 110.638846721945 -515.446511949805</t>
  </si>
  <si>
    <t>-894.174376471782 248.564121510678 -63.3575685268551</t>
  </si>
  <si>
    <t>-902.855256425257 256.955199054224 340.014433906996</t>
  </si>
  <si>
    <t>-945.683068737566 251.588397847631 786.497281792632</t>
  </si>
  <si>
    <t>-812.565510713763 312.093960762052 847.375028519114</t>
  </si>
  <si>
    <t>-864.688347254037 60.8935530465674 -59.3655404639846</t>
  </si>
  <si>
    <t>-790.70130141154 48.5626901149217 337.154993324053</t>
  </si>
  <si>
    <t>-804.117695586744 15.261416167657 783.134316678056</t>
  </si>
  <si>
    <t>-687.672161067811 -65.2144847120701 854.207282011082</t>
  </si>
  <si>
    <t>9763-20170724T111151.415561500.bin</t>
  </si>
  <si>
    <t>-879.01275029078 154.495101324797 -60.2725253713858</t>
  </si>
  <si>
    <t>-911.516770941338 148.677636321824 -171.294372752175</t>
  </si>
  <si>
    <t>-925.957811434461 145.514292506614 -268.803975740084</t>
  </si>
  <si>
    <t>-934.127120042752 142.912421001889 -357.487313322953</t>
  </si>
  <si>
    <t>-937.034833335433 140.25931613151 -446.497182764698</t>
  </si>
  <si>
    <t>-935.581037026776 136.225888367891 -571.00587780224</t>
  </si>
  <si>
    <t>-902.686933185473 129.787141363895 -647.042373979024</t>
  </si>
  <si>
    <t>-931.028786220993 165.206831387628 -517.036551845752</t>
  </si>
  <si>
    <t>-899.351535862994 298.119188096068 -501.918915902872</t>
  </si>
  <si>
    <t>-851.615689740308 334.148411662073 -213.796645016187</t>
  </si>
  <si>
    <t>-610.718623930759 338.504426637777 -214.511316340524</t>
  </si>
  <si>
    <t>-941.412621540836 110.794970797296 -515.395007016116</t>
  </si>
  <si>
    <t>-893.851966286096 248.340659161835 -63.2582422415812</t>
  </si>
  <si>
    <t>-902.604032982888 256.831437830101 340.11008718384</t>
  </si>
  <si>
    <t>-945.548688910161 251.607256227459 786.593620215445</t>
  </si>
  <si>
    <t>-812.367092084051 311.987032986848 847.455986163255</t>
  </si>
  <si>
    <t>-864.548911818746 60.6109594626005 -59.3595430635147</t>
  </si>
  <si>
    <t>-790.815488960616 48.2838976936896 337.208430481848</t>
  </si>
  <si>
    <t>-804.290230242351 15.219591079866 783.188238255961</t>
  </si>
  <si>
    <t>-687.92962863588 -65.3865648779149 854.253034973412</t>
  </si>
  <si>
    <t>9763-20170724T111151.483748200.bin</t>
  </si>
  <si>
    <t>-878.508255216816 153.773026635494 -60.1937804871601</t>
  </si>
  <si>
    <t>-911.195467435941 147.984686672999 -171.163447776251</t>
  </si>
  <si>
    <t>-925.800525104658 144.94475732744 -268.65249396782</t>
  </si>
  <si>
    <t>-934.11739254353 142.494672917144 -357.326439161872</t>
  </si>
  <si>
    <t>-937.168446938513 140.034012015476 -446.336975341193</t>
  </si>
  <si>
    <t>-935.908765150691 136.312833747475 -570.857628720489</t>
  </si>
  <si>
    <t>-903.028219618646 130.029882795435 -646.913093649746</t>
  </si>
  <si>
    <t>-931.30159081306 165.163643171247 -516.823388696523</t>
  </si>
  <si>
    <t>-899.709973181377 298.065222186391 -501.44493954381</t>
  </si>
  <si>
    <t>-851.476174265837 333.197835247428 -213.294965702145</t>
  </si>
  <si>
    <t>-610.596351506971 337.689020520716 -216.045795344505</t>
  </si>
  <si>
    <t>-941.624276405628 110.73677169148 -515.30115241581</t>
  </si>
  <si>
    <t>-893.162873300981 247.726202067507 -63.1018873160616</t>
  </si>
  <si>
    <t>-902.050736821624 256.33896526608 340.260878405944</t>
  </si>
  <si>
    <t>-945.221260289239 251.543795822898 786.719036253951</t>
  </si>
  <si>
    <t>-812.124221005635 312.153311643314 847.53781390846</t>
  </si>
  <si>
    <t>-864.212926360856 59.7443924580189 -59.3696163117783</t>
  </si>
  <si>
    <t>-791.087645738889 47.6945538451942 337.319442662512</t>
  </si>
  <si>
    <t>-804.645612114304 15.1001842746041 783.315061469669</t>
  </si>
  <si>
    <t>-688.234352591798 -65.4728662737227 854.333920859265</t>
  </si>
  <si>
    <t>9763-20170724T111151.525380300.bin</t>
  </si>
  <si>
    <t>-878.34381331324 153.343747438391 -60.1844039591107</t>
  </si>
  <si>
    <t>-911.097470225161 147.557239167847 -171.134566678285</t>
  </si>
  <si>
    <t>-925.773826419466 144.562409477817 -268.614280729438</t>
  </si>
  <si>
    <t>-934.158957642717 142.172093159033 -357.283389891549</t>
  </si>
  <si>
    <t>-937.281568351374 139.791397989903 -446.293744399301</t>
  </si>
  <si>
    <t>-936.122667051587 136.203370300275 -570.819136185346</t>
  </si>
  <si>
    <t>-903.260751657599 129.991695234383 -646.888519154611</t>
  </si>
  <si>
    <t>-931.504056760586 165.002621300499 -516.758256882617</t>
  </si>
  <si>
    <t>-900.036427602805 297.927259596779 -501.3001636937</t>
  </si>
  <si>
    <t>-851.638793357428 332.795936617951 -213.145561606675</t>
  </si>
  <si>
    <t>-610.777482620951 337.381487280395 -217.102632106128</t>
  </si>
  <si>
    <t>-941.761231482577 110.561895882584 -515.285133436168</t>
  </si>
  <si>
    <t>-892.914986569299 247.362926366819 -63.0614220400031</t>
  </si>
  <si>
    <t>-901.876171527676 256.091051311018 340.297240773648</t>
  </si>
  <si>
    <t>-945.073360322211 251.53252885452 786.742222071881</t>
  </si>
  <si>
    <t>-811.917209424398 312.03568584725 847.538350616852</t>
  </si>
  <si>
    <t>-864.13276441602 59.2347341933905 -59.3729266898855</t>
  </si>
  <si>
    <t>-791.259562040889 47.2848041706452 337.36550930177</t>
  </si>
  <si>
    <t>-804.885870791773 14.8352116180495 783.382211169277</t>
  </si>
  <si>
    <t>-688.153398658578 -65.3092297188734 854.358946591108</t>
  </si>
  <si>
    <t>9763-20170724T111151.544843700.bin</t>
  </si>
  <si>
    <t>-878.124715946048 153.041469889556 -60.1972040713447</t>
  </si>
  <si>
    <t>-910.970536772496 147.252314846644 -171.119950962624</t>
  </si>
  <si>
    <t>-925.721994881001 144.28618435834 -268.589066515361</t>
  </si>
  <si>
    <t>-934.171793414612 141.935037046037 -357.253206808489</t>
  </si>
  <si>
    <t>-937.35482186018 139.607945770304 -446.262758760055</t>
  </si>
  <si>
    <t>-936.275636580285 136.110286373088 -570.791480957209</t>
  </si>
  <si>
    <t>-903.427178717734 129.956590727486 -646.871217041679</t>
  </si>
  <si>
    <t>-931.658953390052 164.877085952036 -516.71300328731</t>
  </si>
  <si>
    <t>-900.355876520636 297.83582539391 -501.195866464575</t>
  </si>
  <si>
    <t>-852.031528351544 332.401660559991 -212.992456934761</t>
  </si>
  <si>
    <t>-611.196791247521 337.132277902457 -218.196799749078</t>
  </si>
  <si>
    <t>-941.842290200066 110.421668931785 -515.271913468779</t>
  </si>
  <si>
    <t>-892.661820177677 247.079535352067 -63.0507043515266</t>
  </si>
  <si>
    <t>-901.627777165781 255.900841474671 340.305789360126</t>
  </si>
  <si>
    <t>-944.915459387935 251.510352550904 786.744049957865</t>
  </si>
  <si>
    <t>-811.812156650643 312.160936381288 847.508718931051</t>
  </si>
  <si>
    <t>-863.95182468985 58.9392520904294 -59.3872473569363</t>
  </si>
  <si>
    <t>-791.267386095434 47.1269773800746 337.389917665844</t>
  </si>
  <si>
    <t>-804.984860889425 14.9452098551787 783.420494444842</t>
  </si>
  <si>
    <t>-688.584672671409 -65.6692633679736 854.410840437069</t>
  </si>
  <si>
    <t>9763-20170724T111151.747547100.bin</t>
  </si>
  <si>
    <t>-877.920050362873 152.743647520032 -60.2069817671285</t>
  </si>
  <si>
    <t>-910.836235435041 146.933463209846 -171.107818506972</t>
  </si>
  <si>
    <t>-925.653162850413 143.974803775739 -268.56737573417</t>
  </si>
  <si>
    <t>-934.162893635536 141.641261265573 -357.226186183238</t>
  </si>
  <si>
    <t>-937.406068446684 139.343221144478 -446.234345674531</t>
  </si>
  <si>
    <t>-936.410679835262 135.89955178946 -570.765245440392</t>
  </si>
  <si>
    <t>-903.580645315439 129.791403674604 -646.856690349878</t>
  </si>
  <si>
    <t>-931.797018466922 164.650448406961 -516.67808781656</t>
  </si>
  <si>
    <t>-900.711889457197 297.657836085757 -501.165519270761</t>
  </si>
  <si>
    <t>-852.602546633952 331.896780796728 -212.887236761813</t>
  </si>
  <si>
    <t>-611.801204438275 336.706651816225 -219.399685832777</t>
  </si>
  <si>
    <t>-941.900639721754 110.179729331309 -515.252483284083</t>
  </si>
  <si>
    <t>-892.370536622452 246.857781725308 -63.0532697647533</t>
  </si>
  <si>
    <t>-901.469103338431 255.729136211281 340.299182817696</t>
  </si>
  <si>
    <t>-944.806986231833 251.541251810811 786.73145663422</t>
  </si>
  <si>
    <t>-811.64431031996 312.093766904768 847.463647030796</t>
  </si>
  <si>
    <t>-863.776398889145 58.5646097485469 -59.4039024901543</t>
  </si>
  <si>
    <t>-791.207048807976 46.8702917083715 337.397863210537</t>
  </si>
  <si>
    <t>-805.150378064805 14.8407131828112 783.452081620845</t>
  </si>
  <si>
    <t>-688.602453309494 -65.5725386076647 854.428063369683</t>
  </si>
  <si>
    <t>9763-20170724T111151.768602600.bin</t>
  </si>
  <si>
    <t>-877.068059433764 151.55883977585 -60.3885346059479</t>
  </si>
  <si>
    <t>-910.188758078479 145.527674692406 -171.216595195876</t>
  </si>
  <si>
    <t>-925.185799472267 142.456132034006 -268.644988276442</t>
  </si>
  <si>
    <t>-933.857595545315 140.052336072235 -357.286157503963</t>
  </si>
  <si>
    <t>-937.25885596855 137.722611208739 -446.287653054519</t>
  </si>
  <si>
    <t>-936.477572929526 134.276493263075 -570.820053071617</t>
  </si>
  <si>
    <t>-903.721173882362 128.328142935464 -646.955833759458</t>
  </si>
  <si>
    <t>-932.002866897253 163.070260449603 -516.743992670633</t>
  </si>
  <si>
    <t>-902.00669850047 296.323855927615 -501.224308575216</t>
  </si>
  <si>
    <t>-858.049548698903 328.467148284884 -212.043082840802</t>
  </si>
  <si>
    <t>-617.457444471668 334.288724196373 -223.549112806083</t>
  </si>
  <si>
    <t>-941.640050344666 108.515825474442 -515.294888962746</t>
  </si>
  <si>
    <t>-891.530723375433 245.828587486906 -63.2862742399201</t>
  </si>
  <si>
    <t>-900.775378915115 255.144721118691 340.052788686102</t>
  </si>
  <si>
    <t>-944.114211332812 251.721859616386 786.412576076644</t>
  </si>
  <si>
    <t>-811.146427260114 312.656157847995 847.190128414219</t>
  </si>
  <si>
    <t>-862.977147157391 57.228476118541 -59.5354443505049</t>
  </si>
  <si>
    <t>-791.127139209661 46.2130372241495 337.416614154098</t>
  </si>
  <si>
    <t>-805.835236992921 14.6510331636773 783.54390972688</t>
  </si>
  <si>
    <t>-689.167387198604 -65.630731049798 854.471768497768</t>
  </si>
  <si>
    <t>9763-20170724T111151.814266600.bin</t>
  </si>
  <si>
    <t>-877.047641855982 151.243698276057 -60.4929228743928</t>
  </si>
  <si>
    <t>-910.295528652034 145.126894489827 -171.278221852149</t>
  </si>
  <si>
    <t>-925.357374701114 142.034684916934 -268.696026378432</t>
  </si>
  <si>
    <t>-934.067330799214 139.633532135161 -357.333605283988</t>
  </si>
  <si>
    <t>-937.48495571435 137.32923223916 -446.335027517004</t>
  </si>
  <si>
    <t>-936.702148922081 133.943288735783 -570.869194130907</t>
  </si>
  <si>
    <t>-903.978602793075 128.073334849343 -647.025167490616</t>
  </si>
  <si>
    <t>-932.320823922646 162.72688886512 -516.780092434663</t>
  </si>
  <si>
    <t>-902.746648652802 296.072601124505 -501.203559867124</t>
  </si>
  <si>
    <t>-860.722408066573 327.661645363184 -211.674175065319</t>
  </si>
  <si>
    <t>-620.19304540847 333.696859818982 -224.323178285327</t>
  </si>
  <si>
    <t>-941.772316003527 108.139680836912 -515.35549307908</t>
  </si>
  <si>
    <t>-891.488851569103 245.507015600092 -63.413247800937</t>
  </si>
  <si>
    <t>-900.72722300319 255.095019990939 339.919569484168</t>
  </si>
  <si>
    <t>-943.953467664763 251.932488339187 786.2710911796</t>
  </si>
  <si>
    <t>-810.789766075615 312.388140188117 847.097834247814</t>
  </si>
  <si>
    <t>-862.976239182372 56.9077185363817 -59.6110954093406</t>
  </si>
  <si>
    <t>-791.319179475583 46.1225736899455 337.382158619519</t>
  </si>
  <si>
    <t>-806.010799661498 14.7307234377172 783.539752405715</t>
  </si>
  <si>
    <t>-689.369254559166 -65.593994549919 854.46225187263</t>
  </si>
  <si>
    <t>9763-20170724T111151.881951100.bin</t>
  </si>
  <si>
    <t>-877.000346417716 150.577035518384 -60.610378619554</t>
  </si>
  <si>
    <t>-910.39236169154 144.365264105499 -171.347025790483</t>
  </si>
  <si>
    <t>-925.569645243076 141.259077719371 -268.746526787559</t>
  </si>
  <si>
    <t>-934.377664528274 138.870941747797 -357.374765652384</t>
  </si>
  <si>
    <t>-937.885563908569 136.605819643369 -446.373623344754</t>
  </si>
  <si>
    <t>-937.218611505588 133.302170765002 -570.910637958881</t>
  </si>
  <si>
    <t>-904.531347600224 127.538952095178 -647.090430502977</t>
  </si>
  <si>
    <t>-932.872075089895 162.064686214731 -516.807587823954</t>
  </si>
  <si>
    <t>-903.734423080192 295.495209019709 -501.153238631747</t>
  </si>
  <si>
    <t>-862.832039122822 326.802594167065 -211.432504063318</t>
  </si>
  <si>
    <t>-622.33445664807 333.05275949882 -224.574368865392</t>
  </si>
  <si>
    <t>-942.152156695007 107.44706923914 -515.408517697918</t>
  </si>
  <si>
    <t>-891.47461578836 244.824820186393 -63.5183561408411</t>
  </si>
  <si>
    <t>-900.594753604053 254.8478390337 339.806552251919</t>
  </si>
  <si>
    <t>-943.658390080722 251.960354552075 786.133108120181</t>
  </si>
  <si>
    <t>-810.636122543419 312.68896761855 846.9974299929</t>
  </si>
  <si>
    <t>-862.86772629891 56.2159020396816 -59.7316034499416</t>
  </si>
  <si>
    <t>-791.407540431376 45.8732862517872 337.308920634339</t>
  </si>
  <si>
    <t>-806.206124958119 14.6887582081304 783.512238209959</t>
  </si>
  <si>
    <t>-689.4844095082 -65.5135048442851 854.44114786563</t>
  </si>
  <si>
    <t>9763-20170724T111151.914038900.bin</t>
  </si>
  <si>
    <t>-876.944921053074 150.183048628632 -60.6722183100891</t>
  </si>
  <si>
    <t>-910.402426018001 143.940183296716 -171.387368682896</t>
  </si>
  <si>
    <t>-925.641936970129 140.844459093161 -268.777375473546</t>
  </si>
  <si>
    <t>-934.50658599409 138.480094543338 -357.400672614223</t>
  </si>
  <si>
    <t>-938.070956513302 136.253842109772 -446.39826159715</t>
  </si>
  <si>
    <t>-937.482238852033 133.020568441539 -570.937437219753</t>
  </si>
  <si>
    <t>-904.809418951256 127.330483626511 -647.128895811659</t>
  </si>
  <si>
    <t>-933.142058367726 161.759409533672 -516.821368933693</t>
  </si>
  <si>
    <t>-904.194481231475 295.224391962247 -501.123954036499</t>
  </si>
  <si>
    <t>-863.719187882399 326.437996464681 -211.333224211419</t>
  </si>
  <si>
    <t>-623.228692760367 332.816192846126 -224.538324376478</t>
  </si>
  <si>
    <t>-942.340672276468 107.127181302856 -515.446414862943</t>
  </si>
  <si>
    <t>-891.460705119986 244.432231655039 -63.5627125196705</t>
  </si>
  <si>
    <t>-900.574557493749 254.675118178635 339.756914242458</t>
  </si>
  <si>
    <t>-943.518421658692 251.956951991497 786.084521304316</t>
  </si>
  <si>
    <t>-810.518328405087 312.719561710344 846.962896173906</t>
  </si>
  <si>
    <t>-862.786222935529 55.8153874794152 -59.7943171966797</t>
  </si>
  <si>
    <t>-791.422423520851 45.7805725108947 337.271384250683</t>
  </si>
  <si>
    <t>-806.275927314898 14.7506008277092 783.493588031824</t>
  </si>
  <si>
    <t>-689.709631569397 -65.6628690749569 854.438804067202</t>
  </si>
  <si>
    <t>9763-20170724T111151.981219900.bin</t>
  </si>
  <si>
    <t>-877.026132981965 149.414547457435 -60.7604606184602</t>
  </si>
  <si>
    <t>-910.584904581849 143.107540260824 -171.441427524083</t>
  </si>
  <si>
    <t>-925.9571928251 140.040089951779 -268.811601424726</t>
  </si>
  <si>
    <t>-934.957793773599 137.733678751672 -357.422521431662</t>
  </si>
  <si>
    <t>-938.671271759404 135.598714690216 -446.416273512646</t>
  </si>
  <si>
    <t>-938.303095561474 132.528576144838 -570.96052240163</t>
  </si>
  <si>
    <t>-905.672445539846 126.993877266404 -647.181425004008</t>
  </si>
  <si>
    <t>-933.938617969661 161.208530101148 -516.815030798396</t>
  </si>
  <si>
    <t>-905.2840951904 294.725194387355 -501.033007386775</t>
  </si>
  <si>
    <t>-865.447381205135 325.752373147382 -211.133795939532</t>
  </si>
  <si>
    <t>-624.962884844552 332.429585860847 -224.304078003264</t>
  </si>
  <si>
    <t>-942.991562091998 106.550701825438 -515.494391750118</t>
  </si>
  <si>
    <t>-891.63554640829 243.754119514892 -63.6368163977903</t>
  </si>
  <si>
    <t>-900.805183716941 254.279853276066 339.674250359419</t>
  </si>
  <si>
    <t>-943.352893359946 252.094047445583 785.998599674941</t>
  </si>
  <si>
    <t>-810.318646784768 312.743202370966 846.916325802465</t>
  </si>
  <si>
    <t>-862.833728822593 54.9978491669576 -59.9110694735421</t>
  </si>
  <si>
    <t>-791.614706302711 45.3801116216018 337.191050651927</t>
  </si>
  <si>
    <t>-806.521131683197 14.5726312190259 783.481560481182</t>
  </si>
  <si>
    <t>-689.700571067465 -65.4862679915786 854.409950016187</t>
  </si>
  <si>
    <t>9763-20170724T111152.014830000.bin</t>
  </si>
  <si>
    <t>-877.130452589317 149.075865290848 -60.8087827661121</t>
  </si>
  <si>
    <t>-910.711753319404 142.704380647281 -171.479080092712</t>
  </si>
  <si>
    <t>-926.151950834265 139.649205740508 -268.838872426016</t>
  </si>
  <si>
    <t>-935.230009981628 137.38107240337 -357.442888689958</t>
  </si>
  <si>
    <t>-939.036735029317 135.312199690674 -446.434385017341</t>
  </si>
  <si>
    <t>-938.812682687427 132.363462235804 -570.981815319857</t>
  </si>
  <si>
    <t>-906.207020007805 126.926203774015 -647.220595813262</t>
  </si>
  <si>
    <t>-934.417854831237 160.995766182933 -516.813739655038</t>
  </si>
  <si>
    <t>-905.863616353213 294.524300137382 -500.943708102003</t>
  </si>
  <si>
    <t>-865.971626614157 325.600391011507 -211.057274490587</t>
  </si>
  <si>
    <t>-625.482293986299 332.45421109504 -224.046565921415</t>
  </si>
  <si>
    <t>-943.40435985716 106.326266625118 -515.535457014078</t>
  </si>
  <si>
    <t>-891.771914132271 243.408444108263 -63.6754174844954</t>
  </si>
  <si>
    <t>-900.928257261057 254.120729270609 339.63099715371</t>
  </si>
  <si>
    <t>-943.253553444758 252.137883060132 785.95987818906</t>
  </si>
  <si>
    <t>-810.250730884374 312.830595186495 846.902504797131</t>
  </si>
  <si>
    <t>-862.870407903961 54.6529864268009 -59.9589773723729</t>
  </si>
  <si>
    <t>-791.775660640713 45.2448698079234 337.17034741491</t>
  </si>
  <si>
    <t>-806.631376041471 14.5262824651336 783.479503478093</t>
  </si>
  <si>
    <t>-689.748738341155 -65.4508041075596 854.397705418936</t>
  </si>
  <si>
    <t>9763-20170724T111152.079225300.bin</t>
  </si>
  <si>
    <t>-877.214699751039 148.404972319126 -60.8971025863705</t>
  </si>
  <si>
    <t>-910.766987928321 141.89635098735 -171.568242584718</t>
  </si>
  <si>
    <t>-926.302850439294 138.856804698702 -268.913344283862</t>
  </si>
  <si>
    <t>-935.512037276195 136.655824540854 -357.505620935219</t>
  </si>
  <si>
    <t>-939.490761746222 134.709248355584 -446.492137806014</t>
  </si>
  <si>
    <t>-939.547215101005 131.98956635298 -571.045010604728</t>
  </si>
  <si>
    <t>-906.991794573532 126.751766252782 -647.319160557106</t>
  </si>
  <si>
    <t>-935.091204583853 160.532333524636 -516.834612342591</t>
  </si>
  <si>
    <t>-906.675940914796 294.07026224395 -500.767885230584</t>
  </si>
  <si>
    <t>-865.875327565418 325.402012427461 -211.035636668144</t>
  </si>
  <si>
    <t>-625.379994073019 332.626896406247 -223.713592910618</t>
  </si>
  <si>
    <t>-943.953673932381 105.840372914563 -515.636356534805</t>
  </si>
  <si>
    <t>-891.846477666988 242.669974868958 -63.7720783005764</t>
  </si>
  <si>
    <t>-901.090739503233 253.861984160338 339.519221710198</t>
  </si>
  <si>
    <t>-943.005678745017 252.173187833779 785.842209367437</t>
  </si>
  <si>
    <t>-810.106442406207 313.034091583564 846.84305765327</t>
  </si>
  <si>
    <t>-862.918797479869 54.0601281399818 -60.0218036623945</t>
  </si>
  <si>
    <t>-792.108906427926 45.0157101298746 337.166937525155</t>
  </si>
  <si>
    <t>-806.843463433554 14.4229797967637 783.494506700837</t>
  </si>
  <si>
    <t>-689.781681452879 -65.3176079955911 854.384116075069</t>
  </si>
  <si>
    <t>9763-20170724T111152.116827000.bin</t>
  </si>
  <si>
    <t>-877.210328880765 148.166061028761 -60.9209297140693</t>
  </si>
  <si>
    <t>-910.737882640253 141.604074357063 -171.596335203282</t>
  </si>
  <si>
    <t>-926.303349390497 138.564022258975 -268.936846855445</t>
  </si>
  <si>
    <t>-935.558413193467 136.381565225832 -357.524673750985</t>
  </si>
  <si>
    <t>-939.600721463195 134.473719701366 -446.509303441332</t>
  </si>
  <si>
    <t>-939.764570020877 131.829643546627 -571.063690363493</t>
  </si>
  <si>
    <t>-907.246144738343 126.680912866178 -647.359614969421</t>
  </si>
  <si>
    <t>-935.290091443995 160.343965317111 -516.839803078683</t>
  </si>
  <si>
    <t>-906.944403125878 293.890567206981 -500.734935302065</t>
  </si>
  <si>
    <t>-865.708495647812 325.386687541 -211.082144943721</t>
  </si>
  <si>
    <t>-625.215031358607 332.708589211166 -223.73760151204</t>
  </si>
  <si>
    <t>-944.0947088778 105.642265469772 -515.667034148676</t>
  </si>
  <si>
    <t>-891.79259116072 242.402339205936 -63.8232644417413</t>
  </si>
  <si>
    <t>-901.154939867656 253.78642406463 339.460019778118</t>
  </si>
  <si>
    <t>-942.903613221402 252.221834077369 785.774409905191</t>
  </si>
  <si>
    <t>-810.053750041489 313.168959908073 846.796775695017</t>
  </si>
  <si>
    <t>-862.980304533613 53.8881264263132 -60.027062722721</t>
  </si>
  <si>
    <t>-792.229667844126 44.9322505794676 337.174172109019</t>
  </si>
  <si>
    <t>-806.970283376584 14.3044899807496 783.513430275138</t>
  </si>
  <si>
    <t>-689.878129943073 -65.4020126256717 854.390795266001</t>
  </si>
  <si>
    <t>9763-20170724T111152.184069000.bin</t>
  </si>
  <si>
    <t>-877.305491225091 147.863717849204 -60.9273900954252</t>
  </si>
  <si>
    <t>-910.768807008901 141.279785309749 -171.620937837492</t>
  </si>
  <si>
    <t>-926.355769747835 138.2594906253 -268.958370521927</t>
  </si>
  <si>
    <t>-935.660615455037 136.113114043372 -357.54203982648</t>
  </si>
  <si>
    <t>-939.782233070858 134.26336185461 -446.524216807774</t>
  </si>
  <si>
    <t>-940.086014503415 131.725703357577 -571.080588358838</t>
  </si>
  <si>
    <t>-907.646779593601 126.732664447444 -647.420554404229</t>
  </si>
  <si>
    <t>-935.60171456235 160.201793456191 -516.83753940128</t>
  </si>
  <si>
    <t>-907.4049260879 293.782543334687 -500.766178482247</t>
  </si>
  <si>
    <t>-865.730653531202 325.595376620078 -211.21072349144</t>
  </si>
  <si>
    <t>-625.237626661459 333.122437783762 -223.753757076969</t>
  </si>
  <si>
    <t>-944.302708429412 105.482820615208 -515.701447301063</t>
  </si>
  <si>
    <t>-891.821633335183 242.07074043186 -63.8657150282978</t>
  </si>
  <si>
    <t>-901.200755144993 253.70267768753 339.410027582283</t>
  </si>
  <si>
    <t>-942.742627691815 252.323423754743 785.710506036064</t>
  </si>
  <si>
    <t>-809.821237504985 313.092046579454 846.754617039635</t>
  </si>
  <si>
    <t>-863.195968344324 53.5977436525027 -60.0315593627756</t>
  </si>
  <si>
    <t>-792.494533948046 44.7870770799004 337.181656311459</t>
  </si>
  <si>
    <t>-807.146751149414 14.2570751591297 783.546572402678</t>
  </si>
  <si>
    <t>-689.965026499116 -65.3403360019815 854.398057044559</t>
  </si>
  <si>
    <t>9763-20170724T111152.216155000.bin</t>
  </si>
  <si>
    <t>-877.381672898173 147.790739582706 -60.9099953558763</t>
  </si>
  <si>
    <t>-910.858230972756 141.210671820279 -171.599875835938</t>
  </si>
  <si>
    <t>-926.478405635551 138.210236479016 -268.932478664428</t>
  </si>
  <si>
    <t>-935.821693949709 136.090821883436 -357.512774905094</t>
  </si>
  <si>
    <t>-939.989958720993 134.277498511266 -446.49360032115</t>
  </si>
  <si>
    <t>-940.366884709351 131.801770872876 -571.050882787571</t>
  </si>
  <si>
    <t>-907.973635373789 126.862209100674 -647.413884079262</t>
  </si>
  <si>
    <t>-935.869596654661 160.254196115993 -516.796347107808</t>
  </si>
  <si>
    <t>-907.730625311325 293.851734608555 -500.750255617043</t>
  </si>
  <si>
    <t>-866.009630174947 325.667614650285 -211.201639215613</t>
  </si>
  <si>
    <t>-625.511202751237 333.242829812764 -223.609194157131</t>
  </si>
  <si>
    <t>-944.532447214569 105.528627628384 -515.682441974285</t>
  </si>
  <si>
    <t>-891.885659161972 242.001084437569 -63.8621438944385</t>
  </si>
  <si>
    <t>-901.254624315866 253.718347906548 339.411466269378</t>
  </si>
  <si>
    <t>-942.768111033616 252.483568639854 785.704035379764</t>
  </si>
  <si>
    <t>-809.780593952995 313.097210623478 846.758169941864</t>
  </si>
  <si>
    <t>-863.317989158981 53.5222224653862 -60.0345545109675</t>
  </si>
  <si>
    <t>-792.650788565882 44.7866946548997 337.186392483725</t>
  </si>
  <si>
    <t>-807.217806999252 14.2601597347011 783.563863161206</t>
  </si>
  <si>
    <t>-690.077007993162 -65.4060025357398 854.40558900929</t>
  </si>
  <si>
    <t>9763-20170724T111152.278850400.bin</t>
  </si>
  <si>
    <t>-877.404947671915 147.597992320683 -60.8988563587934</t>
  </si>
  <si>
    <t>-910.944609650119 141.013901469636 -171.569328257447</t>
  </si>
  <si>
    <t>-926.672495771111 138.045665240465 -268.885757866927</t>
  </si>
  <si>
    <t>-936.134000312414 135.972737770538 -357.454383330723</t>
  </si>
  <si>
    <t>-940.439324007683 134.225864783897 -446.430086870328</t>
  </si>
  <si>
    <t>-941.027910047311 131.865743557579 -570.988782494416</t>
  </si>
  <si>
    <t>-908.727501138937 126.953844582797 -647.392833695217</t>
  </si>
  <si>
    <t>-936.464921076144 160.271824371237 -516.715617849989</t>
  </si>
  <si>
    <t>-908.38386506243 293.882852960008 -500.672597042336</t>
  </si>
  <si>
    <t>-866.703583362043 325.572005298981 -211.104191665179</t>
  </si>
  <si>
    <t>-626.197399467507 333.134550622117 -223.36643494033</t>
  </si>
  <si>
    <t>-945.073180191 105.536791002576 -515.637722123825</t>
  </si>
  <si>
    <t>-891.781570987476 241.825136462795 -63.8358276718066</t>
  </si>
  <si>
    <t>-901.218778552195 253.562824586018 339.435575371223</t>
  </si>
  <si>
    <t>-942.579238490522 252.476855692671 785.727663784536</t>
  </si>
  <si>
    <t>-809.713813863363 313.347283912356 846.791897503312</t>
  </si>
  <si>
    <t>-863.421261117136 53.2888295439698 -60.0262257465555</t>
  </si>
  <si>
    <t>-792.851454274902 44.5971810744281 337.213058967418</t>
  </si>
  <si>
    <t>-807.391001024128 14.1346674952611 783.589824258895</t>
  </si>
  <si>
    <t>-690.089202170628 -65.3115775986962 854.412930842544</t>
  </si>
  <si>
    <t>9763-20170724T111152.315479900.bin</t>
  </si>
  <si>
    <t>-877.362176304152 147.516897840315 -60.905091165049</t>
  </si>
  <si>
    <t>-910.938382144088 140.921898417086 -171.563756611014</t>
  </si>
  <si>
    <t>-926.724314996128 137.959405327592 -268.871089438255</t>
  </si>
  <si>
    <t>-936.248252314609 135.898347003337 -357.433302395301</t>
  </si>
  <si>
    <t>-940.626899999131 134.170836538403 -446.405694683347</t>
  </si>
  <si>
    <t>-941.326860196657 131.846008661189 -570.964659098227</t>
  </si>
  <si>
    <t>-909.07157074495 126.925900031334 -647.387337551218</t>
  </si>
  <si>
    <t>-936.72292062816 160.237974550531 -516.687327002855</t>
  </si>
  <si>
    <t>-908.642669649381 293.849216093128 -500.639518198761</t>
  </si>
  <si>
    <t>-866.971042055847 325.381673772692 -211.053056511528</t>
  </si>
  <si>
    <t>-626.459061656207 332.946491898091 -223.204372960416</t>
  </si>
  <si>
    <t>-945.314757861184 105.500360499851 -515.617395148476</t>
  </si>
  <si>
    <t>-891.689435494829 241.739485919489 -63.8349402064561</t>
  </si>
  <si>
    <t>-901.174676149085 253.485809136675 339.435120263365</t>
  </si>
  <si>
    <t>-942.453522235542 252.427418957707 785.729212326773</t>
  </si>
  <si>
    <t>-809.624971234921 313.374969709772 846.796952475529</t>
  </si>
  <si>
    <t>-863.417704531167 53.1880969962076 -60.030733063849</t>
  </si>
  <si>
    <t>-792.885552380321 44.5104269020876 337.215574122722</t>
  </si>
  <si>
    <t>-807.475032694558 14.0481633390946 783.596010102773</t>
  </si>
  <si>
    <t>-690.233744802694 -65.4778314866537 854.429621103097</t>
  </si>
  <si>
    <t>9763-20170724T111152.384830600.bin</t>
  </si>
  <si>
    <t>-877.201491840719 147.278717073396 -60.9253567048012</t>
  </si>
  <si>
    <t>-910.884786095015 140.639686495197 -171.548965481933</t>
  </si>
  <si>
    <t>-926.797096721939 137.683256830806 -268.835780284123</t>
  </si>
  <si>
    <t>-936.447412175615 135.645477872993 -357.384981989822</t>
  </si>
  <si>
    <t>-940.962930609207 133.958902529481 -446.351269549397</t>
  </si>
  <si>
    <t>-941.864448171077 131.710192251707 -570.910180857778</t>
  </si>
  <si>
    <t>-909.700330044457 126.804376956801 -647.372174990485</t>
  </si>
  <si>
    <t>-937.184027972736 160.070820528457 -516.623148954755</t>
  </si>
  <si>
    <t>-909.136815594517 293.690575581458 -500.598341040826</t>
  </si>
  <si>
    <t>-867.590888468275 325.106972765966 -210.98107281173</t>
  </si>
  <si>
    <t>-627.068169669251 332.530095419806 -223.009323490033</t>
  </si>
  <si>
    <t>-945.751656128535 105.328797181794 -515.57277128334</t>
  </si>
  <si>
    <t>-891.523803766908 241.567698494388 -63.8462474817186</t>
  </si>
  <si>
    <t>-901.110804233765 253.348278192206 339.42042339386</t>
  </si>
  <si>
    <t>-942.297763089423 252.439923314146 785.717363035873</t>
  </si>
  <si>
    <t>-809.510509797041 313.467417577708 846.794892212317</t>
  </si>
  <si>
    <t>-863.234662946325 52.866417350916 -60.0661747910036</t>
  </si>
  <si>
    <t>-792.856307322038 44.2837860173026 337.209455270689</t>
  </si>
  <si>
    <t>-807.612664164491 13.9706052508864 783.609890794216</t>
  </si>
  <si>
    <t>-690.322388379238 -65.4808942436321 854.445782682335</t>
  </si>
  <si>
    <t>9763-20170724T111152.416425800.bin</t>
  </si>
  <si>
    <t>-877.170649892564 147.205812065562 -60.9310080471865</t>
  </si>
  <si>
    <t>-910.905928027795 140.554584986764 -171.53808525854</t>
  </si>
  <si>
    <t>-926.871241458845 137.597989690691 -268.816201823134</t>
  </si>
  <si>
    <t>-936.571818248125 135.563978696504 -357.359951641643</t>
  </si>
  <si>
    <t>-941.140213819702 133.885400617011 -446.323609324614</t>
  </si>
  <si>
    <t>-942.11776789585 131.65205869103 -570.882438165051</t>
  </si>
  <si>
    <t>-909.982042244685 126.753496198544 -647.356568454079</t>
  </si>
  <si>
    <t>-937.412594905166 160.007074831011 -516.594545826208</t>
  </si>
  <si>
    <t>-909.436923789 293.643722884115 -500.587077283017</t>
  </si>
  <si>
    <t>-868.052531728073 325.164514999454 -210.958038266714</t>
  </si>
  <si>
    <t>-627.527613085012 332.463912137519 -223.014868139459</t>
  </si>
  <si>
    <t>-945.962357796283 105.262623028064 -515.545954939011</t>
  </si>
  <si>
    <t>-891.558445415458 241.556939522321 -63.8443467324328</t>
  </si>
  <si>
    <t>-901.146018187373 253.326783282162 339.422545138234</t>
  </si>
  <si>
    <t>-942.242858190037 252.436863246513 785.731761683502</t>
  </si>
  <si>
    <t>-809.370209619624 313.301871683855 846.785644525661</t>
  </si>
  <si>
    <t>-863.168323627998 52.7623613506826 -60.0774376437142</t>
  </si>
  <si>
    <t>-792.873698590531 44.2212013755188 337.213790054606</t>
  </si>
  <si>
    <t>-807.663771818367 13.9805975241884 783.615525757641</t>
  </si>
  <si>
    <t>-690.428839156904 -65.5486249043004 854.456098400596</t>
  </si>
  <si>
    <t>9763-20170724T111152.483069400.bin</t>
  </si>
  <si>
    <t>-877.099378129482 146.943504299953 -60.9319211041551</t>
  </si>
  <si>
    <t>-910.917431069526 140.305927056344 -171.514385482178</t>
  </si>
  <si>
    <t>-926.940971501673 137.378027788206 -268.783837114887</t>
  </si>
  <si>
    <t>-936.688671911714 135.377141175229 -357.323205702914</t>
  </si>
  <si>
    <t>-941.297641602206 133.739298328649 -446.285584794383</t>
  </si>
  <si>
    <t>-942.32470286398 131.570960121717 -570.845003702147</t>
  </si>
  <si>
    <t>-910.193832642568 126.711400826683 -647.323826281541</t>
  </si>
  <si>
    <t>-937.62227966208 159.901574461184 -516.544201461243</t>
  </si>
  <si>
    <t>-909.843808894643 293.581303543863 -500.535414655184</t>
  </si>
  <si>
    <t>-869.521620830237 325.447001377944 -210.794229777517</t>
  </si>
  <si>
    <t>-628.992009869253 331.857788380612 -223.254721112421</t>
  </si>
  <si>
    <t>-946.123365916735 105.148904598157 -515.521058342482</t>
  </si>
  <si>
    <t>-891.476951960674 241.257745761964 -63.8028083546789</t>
  </si>
  <si>
    <t>-901.064673531182 253.06831358654 339.462972370034</t>
  </si>
  <si>
    <t>-942.060032224985 252.288423432567 785.800198104852</t>
  </si>
  <si>
    <t>-809.35872445052 313.660387480389 846.718947536863</t>
  </si>
  <si>
    <t>-863.10666614173 52.5145597534365 -60.0938858887652</t>
  </si>
  <si>
    <t>-792.899436443354 44.0710016940693 337.214996122364</t>
  </si>
  <si>
    <t>-807.757907574178 14.0448407314116 783.618766403987</t>
  </si>
  <si>
    <t>-690.687912425228 -65.716868638219 854.47089625386</t>
  </si>
  <si>
    <t>9763-20170724T111152.515675900.bin</t>
  </si>
  <si>
    <t>-877.123798676168 146.794240908612 -60.9232697819668</t>
  </si>
  <si>
    <t>-910.96545355687 140.158945199882 -171.498733907912</t>
  </si>
  <si>
    <t>-927.008404060917 137.234769496103 -268.765032400708</t>
  </si>
  <si>
    <t>-936.773021089443 135.238427466245 -357.302576830726</t>
  </si>
  <si>
    <t>-941.398296429078 133.606751060433 -446.264414517679</t>
  </si>
  <si>
    <t>-942.447796579093 131.449711061171 -570.823813893896</t>
  </si>
  <si>
    <t>-910.310771947387 126.607128425652 -647.301311062766</t>
  </si>
  <si>
    <t>-937.752428568414 159.777884742856 -516.521117190233</t>
  </si>
  <si>
    <t>-910.096730217964 293.491244365115 -500.533419820369</t>
  </si>
  <si>
    <t>-870.660625361218 325.426563358196 -210.678056701139</t>
  </si>
  <si>
    <t>-630.128791234023 331.173831414893 -223.417495257758</t>
  </si>
  <si>
    <t>-946.219543945149 105.01992027482 -515.50147546829</t>
  </si>
  <si>
    <t>-891.488817985594 241.068639031429 -63.7614894100465</t>
  </si>
  <si>
    <t>-901.013423095001 252.961051056127 339.503325672562</t>
  </si>
  <si>
    <t>-942.05196454275 252.260853757287 785.861084182909</t>
  </si>
  <si>
    <t>-809.278169249289 313.592714757307 846.663379799765</t>
  </si>
  <si>
    <t>-863.141791102749 52.4222755646638 -60.0908943997956</t>
  </si>
  <si>
    <t>-792.965027206308 43.9473765293101 337.222688521458</t>
  </si>
  <si>
    <t>-807.836996786988 13.9672798494589 783.628738289487</t>
  </si>
  <si>
    <t>-690.662214674291 -65.647060923593 854.473387577666</t>
  </si>
  <si>
    <t>9763-20170724T111152.580099800.bin</t>
  </si>
  <si>
    <t>-876.911498643317 146.476427444836 -60.9011812974946</t>
  </si>
  <si>
    <t>-910.751426320678 139.801251733858 -171.47487694933</t>
  </si>
  <si>
    <t>-926.815549502784 136.845426709825 -268.736608457668</t>
  </si>
  <si>
    <t>-936.609014073222 134.821974860347 -357.270405992963</t>
  </si>
  <si>
    <t>-941.272461422148 133.166042979873 -446.229584638805</t>
  </si>
  <si>
    <t>-942.384376838141 130.978505891604 -570.788013468407</t>
  </si>
  <si>
    <t>-910.187737094515 126.152303492647 -647.241358121986</t>
  </si>
  <si>
    <t>-937.709811503694 159.327502580873 -516.494383971301</t>
  </si>
  <si>
    <t>-910.468636914521 293.120397735033 -500.566597179355</t>
  </si>
  <si>
    <t>-872.872550875981 324.432883045663 -210.398857213002</t>
  </si>
  <si>
    <t>-632.338066185362 329.069889196246 -223.532809444756</t>
  </si>
  <si>
    <t>-946.080388949251 104.554826257811 -515.457840846079</t>
  </si>
  <si>
    <t>-891.137381026366 240.623292672996 -63.727342884387</t>
  </si>
  <si>
    <t>-900.771804463368 252.731966924727 339.528393762513</t>
  </si>
  <si>
    <t>-941.841337965973 252.086028903895 785.838657060231</t>
  </si>
  <si>
    <t>-809.131319394563 313.696543255392 846.49758467282</t>
  </si>
  <si>
    <t>-862.986919260714 52.2574757602119 -60.0921606979225</t>
  </si>
  <si>
    <t>-792.840624656785 43.7414139167181 337.22593539394</t>
  </si>
  <si>
    <t>-807.909007175522 14.0493994824101 783.6385508303</t>
  </si>
  <si>
    <t>-690.794708569268 -65.6471105622952 854.49064320439</t>
  </si>
  <si>
    <t>9763-20170724T111152.614191500.bin</t>
  </si>
  <si>
    <t>-876.788972410075 146.38556589379 -60.8782584898336</t>
  </si>
  <si>
    <t>-910.597889587501 139.716868635167 -171.461809650355</t>
  </si>
  <si>
    <t>-926.653987838685 136.775660626267 -268.725400214804</t>
  </si>
  <si>
    <t>-936.447177341565 134.769843243252 -357.259515676679</t>
  </si>
  <si>
    <t>-941.117579618234 133.137784988721 -446.218911926793</t>
  </si>
  <si>
    <t>-942.247015248335 130.991355104653 -570.77785425534</t>
  </si>
  <si>
    <t>-910.012811375548 126.205134010951 -647.217726154925</t>
  </si>
  <si>
    <t>-937.601875244944 159.327922835261 -516.475317914152</t>
  </si>
  <si>
    <t>-910.596409164104 293.167138870488 -500.540059134418</t>
  </si>
  <si>
    <t>-873.977435504229 323.915978602922 -210.187207168846</t>
  </si>
  <si>
    <t>-633.456980675603 328.102634573463 -223.723136163703</t>
  </si>
  <si>
    <t>-945.898292541767 104.543880931978 -515.455994770741</t>
  </si>
  <si>
    <t>-891.095060236318 240.639221476333 -63.72786654207</t>
  </si>
  <si>
    <t>-900.745211175679 252.685681789429 339.52938862688</t>
  </si>
  <si>
    <t>-941.824861039744 252.14298425737 785.800807830783</t>
  </si>
  <si>
    <t>-809.03193257712 313.587145046074 846.447010862135</t>
  </si>
  <si>
    <t>-862.840470089581 52.1177369384277 -60.1046796946167</t>
  </si>
  <si>
    <t>-792.814909189035 43.6269750763149 337.23528358684</t>
  </si>
  <si>
    <t>-807.995193188309 13.9419133405045 783.650371777886</t>
  </si>
  <si>
    <t>-690.737968435186 -65.5580918052674 854.486739418125</t>
  </si>
  <si>
    <t>9763-20170724T111152.680902100.bin</t>
  </si>
  <si>
    <t>-876.558529469063 146.347146889717 -60.8982629566813</t>
  </si>
  <si>
    <t>-910.311368379072 139.687756405753 -171.499456746257</t>
  </si>
  <si>
    <t>-926.313755866873 136.791266570856 -268.773346636551</t>
  </si>
  <si>
    <t>-936.055266854326 134.843218607291 -357.314587949712</t>
  </si>
  <si>
    <t>-940.67068537188 133.288809938865 -446.278167609593</t>
  </si>
  <si>
    <t>-941.718358359162 131.273989957543 -570.840003105097</t>
  </si>
  <si>
    <t>-909.404826839612 126.600187385226 -647.253502010575</t>
  </si>
  <si>
    <t>-937.209404122281 159.568135116054 -516.503815163171</t>
  </si>
  <si>
    <t>-910.786255392189 293.514913153595 -500.446614069835</t>
  </si>
  <si>
    <t>-875.973857705163 323.000403226301 -209.740648476966</t>
  </si>
  <si>
    <t>-635.497114861671 326.107881499347 -224.305327622823</t>
  </si>
  <si>
    <t>-945.305328030076 104.75279211779 -515.54901403947</t>
  </si>
  <si>
    <t>-890.929306171367 240.636516367 -63.7480708293157</t>
  </si>
  <si>
    <t>-900.733448101829 252.606363057272 339.507760611416</t>
  </si>
  <si>
    <t>-941.726276379834 252.183288408323 785.764787659506</t>
  </si>
  <si>
    <t>-809.026862437471 313.855357394684 846.38443780015</t>
  </si>
  <si>
    <t>-862.578395416414 52.0070451775696 -60.1532875027993</t>
  </si>
  <si>
    <t>-792.739660203726 43.5128303360152 337.219434993799</t>
  </si>
  <si>
    <t>-808.125866590316 13.837189079698 783.652011500761</t>
  </si>
  <si>
    <t>-690.821378161844 -65.5989568844489 854.481570070782</t>
  </si>
  <si>
    <t>9763-20170724T111152.713491400.bin</t>
  </si>
  <si>
    <t>-876.440620335434 146.260521595995 -60.9246434207088</t>
  </si>
  <si>
    <t>-910.155902549363 139.612424107835 -171.53787171028</t>
  </si>
  <si>
    <t>-926.104276216649 136.743825540655 -268.821538552953</t>
  </si>
  <si>
    <t>-935.788480046438 134.828698552699 -357.369740153133</t>
  </si>
  <si>
    <t>-940.336953966745 133.31676861595 -446.337429109488</t>
  </si>
  <si>
    <t>-941.281261217944 131.371691328361 -570.901157960276</t>
  </si>
  <si>
    <t>-908.914229006152 126.773113675812 -647.296614472276</t>
  </si>
  <si>
    <t>-936.872804913533 159.643673162389 -516.545278127715</t>
  </si>
  <si>
    <t>-910.73762993394 293.636282166453 -500.410467541838</t>
  </si>
  <si>
    <t>-876.741643517701 322.512033200853 -209.546850059424</t>
  </si>
  <si>
    <t>-636.298865575136 325.267351504359 -224.733177615742</t>
  </si>
  <si>
    <t>-944.858698599762 104.811736674644 -515.628493916817</t>
  </si>
  <si>
    <t>-890.802839536042 240.56470260452 -63.7454218741555</t>
  </si>
  <si>
    <t>-900.628009223664 252.523124463999 339.510262512789</t>
  </si>
  <si>
    <t>-941.605696872348 252.115825413593 785.76177832655</t>
  </si>
  <si>
    <t>-809.034733884792 314.081099567316 846.363627704391</t>
  </si>
  <si>
    <t>-862.437372689202 51.8672790923515 -60.1816219523608</t>
  </si>
  <si>
    <t>-792.638324349525 43.4180692075311 337.199024954121</t>
  </si>
  <si>
    <t>-808.183604345213 13.7856850862704 783.642312215124</t>
  </si>
  <si>
    <t>-690.792027681803 -65.524417659409 854.468642970832</t>
  </si>
  <si>
    <t>9763-20170724T111152.781672000.bin</t>
  </si>
  <si>
    <t>-876.269274070949 146.219053065235 -60.9861882219466</t>
  </si>
  <si>
    <t>-909.940759511673 139.573977502447 -171.61311658585</t>
  </si>
  <si>
    <t>-925.763279344124 136.718749843177 -268.917513218399</t>
  </si>
  <si>
    <t>-935.297967839016 134.819066030487 -357.482312560975</t>
  </si>
  <si>
    <t>-939.660952278279 133.326581449027 -446.459645668728</t>
  </si>
  <si>
    <t>-940.308825336582 131.413258096868 -571.025832985742</t>
  </si>
  <si>
    <t>-907.821885889957 126.949563851987 -647.378433517351</t>
  </si>
  <si>
    <t>-936.119095084817 159.684280097362 -516.652023674126</t>
  </si>
  <si>
    <t>-910.514934123573 293.770251093128 -500.397083330074</t>
  </si>
  <si>
    <t>-877.883352733829 321.647144900606 -209.279844647673</t>
  </si>
  <si>
    <t>-637.525853236168 323.973985276129 -225.824337963313</t>
  </si>
  <si>
    <t>-943.928248145095 104.826335860472 -515.768881978545</t>
  </si>
  <si>
    <t>-890.663966948744 240.579656846964 -63.7556489198731</t>
  </si>
  <si>
    <t>-900.489975745739 252.527124113915 339.500271122802</t>
  </si>
  <si>
    <t>-941.509150751717 252.17541045847 785.732284842211</t>
  </si>
  <si>
    <t>-808.980105710129 314.226170490086 846.338049922808</t>
  </si>
  <si>
    <t>-862.273853240883 51.7822129271908 -60.2369417045429</t>
  </si>
  <si>
    <t>-792.484975132249 43.3631582686944 337.146134586114</t>
  </si>
  <si>
    <t>-808.285682291378 13.7273717233575 783.618559511493</t>
  </si>
  <si>
    <t>-690.917825524956 -65.6140114998736 854.449258527766</t>
  </si>
  <si>
    <t>9763-20170724T111152.812256300.bin</t>
  </si>
  <si>
    <t>-876.172093665308 146.181307257915 -60.9921446507029</t>
  </si>
  <si>
    <t>-909.838731464547 139.526035190658 -171.619909842749</t>
  </si>
  <si>
    <t>-925.636795847284 136.656266512569 -268.927860559938</t>
  </si>
  <si>
    <t>-935.14094083325 134.741335845933 -357.495554219919</t>
  </si>
  <si>
    <t>-939.465704707322 133.231408239845 -446.474530113164</t>
  </si>
  <si>
    <t>-940.051655197347 131.291598686841 -571.040646216483</t>
  </si>
  <si>
    <t>-907.511640449239 126.861035235562 -647.372451343776</t>
  </si>
  <si>
    <t>-935.923745909335 159.5790515837 -516.670698174973</t>
  </si>
  <si>
    <t>-910.503794461466 293.699573404575 -500.419083780647</t>
  </si>
  <si>
    <t>-878.496122206563 321.18067611524 -209.194874078374</t>
  </si>
  <si>
    <t>-638.178666447536 323.383675429326 -226.327034829471</t>
  </si>
  <si>
    <t>-943.663900219181 104.711434154273 -515.779956829974</t>
  </si>
  <si>
    <t>-890.520516009459 240.506172042335 -63.7615555104501</t>
  </si>
  <si>
    <t>-900.419785606929 252.460577889497 339.492417628878</t>
  </si>
  <si>
    <t>-941.310442523898 252.039872235543 785.721120857402</t>
  </si>
  <si>
    <t>-808.903465514611 314.351053168915 846.326588384934</t>
  </si>
  <si>
    <t>-862.179480264215 51.7785859734472 -60.2526743569593</t>
  </si>
  <si>
    <t>-792.394142460872 43.3338666729483 337.130419084262</t>
  </si>
  <si>
    <t>-808.321812495591 13.7443366991815 783.610458067974</t>
  </si>
  <si>
    <t>-690.983162285886 -65.6392815605118 854.442494687872</t>
  </si>
  <si>
    <t>9763-20170724T111152.882949400.bin</t>
  </si>
  <si>
    <t>-876.139855941615 146.11168661904 -61.0026900088268</t>
  </si>
  <si>
    <t>-909.817963883537 139.400678889624 -171.623562166633</t>
  </si>
  <si>
    <t>-925.607986869181 136.483489220445 -268.931369306189</t>
  </si>
  <si>
    <t>-935.098293536024 134.525331870138 -357.499590883117</t>
  </si>
  <si>
    <t>-939.401447009451 132.973746197905 -446.478915837864</t>
  </si>
  <si>
    <t>-939.949848777376 130.97698905702 -571.044342864598</t>
  </si>
  <si>
    <t>-907.328933805506 126.543821789533 -647.341279484254</t>
  </si>
  <si>
    <t>-935.89949412804 159.297920302426 -516.685942079679</t>
  </si>
  <si>
    <t>-910.840197215502 293.481823338853 -500.43378037741</t>
  </si>
  <si>
    <t>-879.890384705062 320.664498264943 -209.067209684752</t>
  </si>
  <si>
    <t>-639.638612449987 322.404354500462 -227.146723763056</t>
  </si>
  <si>
    <t>-943.517608508628 104.413473863905 -515.772663148559</t>
  </si>
  <si>
    <t>-890.567362348681 240.449096667294 -63.7740422547926</t>
  </si>
  <si>
    <t>-900.436814798518 252.50136580844 339.47778284299</t>
  </si>
  <si>
    <t>-941.341617537237 252.219685732713 785.713330388179</t>
  </si>
  <si>
    <t>-808.816336107389 314.294658734529 846.302737063413</t>
  </si>
  <si>
    <t>-862.095789099894 51.6719366680259 -60.2734605330339</t>
  </si>
  <si>
    <t>-792.394744458224 43.2801662714123 337.125580916185</t>
  </si>
  <si>
    <t>-808.411584150147 13.7023872905561 783.605470675201</t>
  </si>
  <si>
    <t>-691.043281663257 -65.6391852763811 854.43535883442</t>
  </si>
  <si>
    <t>9763-20170724T111152.916066100.bin</t>
  </si>
  <si>
    <t>-876.132453684217 146.048379454074 -61.0112387778879</t>
  </si>
  <si>
    <t>-909.8185355254 139.327813109152 -171.629094247271</t>
  </si>
  <si>
    <t>-925.619911660778 136.411915481322 -268.935192228484</t>
  </si>
  <si>
    <t>-935.121459405819 134.458826869784 -357.502289485269</t>
  </si>
  <si>
    <t>-939.438114249625 132.916932914849 -446.481134902557</t>
  </si>
  <si>
    <t>-940.005965782579 130.939392048271 -571.046840142574</t>
  </si>
  <si>
    <t>-907.364341350469 126.49670648965 -647.334493546885</t>
  </si>
  <si>
    <t>-935.973885262197 159.255489247619 -516.684506094473</t>
  </si>
  <si>
    <t>-911.065548319398 293.466287527186 -500.41636320133</t>
  </si>
  <si>
    <t>-880.746346531565 320.530571781022 -208.972818057057</t>
  </si>
  <si>
    <t>-640.533380829805 321.940630406168 -227.593228991448</t>
  </si>
  <si>
    <t>-943.538241222454 104.363564161497 -515.778543378754</t>
  </si>
  <si>
    <t>-890.576081267763 240.403147767948 -63.7804965649988</t>
  </si>
  <si>
    <t>-900.436646115428 252.485688574512 339.470645523348</t>
  </si>
  <si>
    <t>-941.274908202742 252.227325327282 785.695570799877</t>
  </si>
  <si>
    <t>-808.687468760103 314.159242143991 846.294915426856</t>
  </si>
  <si>
    <t>-862.052633841725 51.6125094365739 -60.2890347421198</t>
  </si>
  <si>
    <t>-792.418310440043 43.3005935226611 337.123339891394</t>
  </si>
  <si>
    <t>-808.425624372779 13.7740266958795 783.603257859259</t>
  </si>
  <si>
    <t>-691.156836860066 -65.7076952354944 854.440959122689</t>
  </si>
  <si>
    <t>9763-20170724T111152.983795100.bin</t>
  </si>
  <si>
    <t>-876.18817797692 145.836390851292 -61.0482239223792</t>
  </si>
  <si>
    <t>-909.893067713122 139.107306841947 -171.659716110209</t>
  </si>
  <si>
    <t>-925.736966734298 136.196043998047 -268.959065410763</t>
  </si>
  <si>
    <t>-935.287265472058 134.252203458391 -357.52126388048</t>
  </si>
  <si>
    <t>-939.662123826025 132.726440805278 -446.497491874318</t>
  </si>
  <si>
    <t>-940.322226635464 130.778880224768 -571.063026953119</t>
  </si>
  <si>
    <t>-907.730551404495 126.319572683259 -647.37125492494</t>
  </si>
  <si>
    <t>-936.306987385108 159.089755255163 -516.696800234541</t>
  </si>
  <si>
    <t>-911.750330086493 293.365164655933 -500.404994880577</t>
  </si>
  <si>
    <t>-882.709001268253 320.051543848385 -208.796265158193</t>
  </si>
  <si>
    <t>-642.565000947656 321.031472035181 -228.309494770352</t>
  </si>
  <si>
    <t>-943.756586649297 104.181970245837 -515.798980929226</t>
  </si>
  <si>
    <t>-890.668183241256 240.19601647167 -63.7809577152667</t>
  </si>
  <si>
    <t>-900.516391039237 252.438452114368 339.465604839442</t>
  </si>
  <si>
    <t>-941.220576570596 252.338208888029 785.67511240057</t>
  </si>
  <si>
    <t>-808.642145741775 314.253885113292 846.311446538263</t>
  </si>
  <si>
    <t>-862.092954062595 51.3940799524339 -60.3307994286462</t>
  </si>
  <si>
    <t>-792.504790130561 43.1943878251232 337.091994620592</t>
  </si>
  <si>
    <t>-808.547716440374 13.6408314602763 783.608836021914</t>
  </si>
  <si>
    <t>-691.153263008834 -65.6705728072268 854.429485332247</t>
  </si>
  <si>
    <t>9763-20170724T111153.015903000.bin</t>
  </si>
  <si>
    <t>-876.292249846921 145.746871474499 -61.0451511042263</t>
  </si>
  <si>
    <t>-909.990065123741 139.00551249419 -171.658118096579</t>
  </si>
  <si>
    <t>-925.833900467869 136.084926944621 -268.957119853213</t>
  </si>
  <si>
    <t>-935.387422614736 134.133198502694 -357.518768765632</t>
  </si>
  <si>
    <t>-939.767881003096 132.600391251125 -446.494629106221</t>
  </si>
  <si>
    <t>-940.438163418077 130.644267024179 -571.06008815154</t>
  </si>
  <si>
    <t>-907.874291945572 126.190685447222 -647.380313396274</t>
  </si>
  <si>
    <t>-936.446297309128 158.962670693476 -516.695916493674</t>
  </si>
  <si>
    <t>-912.06102911927 293.267050285454 -500.403716852309</t>
  </si>
  <si>
    <t>-883.72956160069 319.80378120709 -208.711548052155</t>
  </si>
  <si>
    <t>-643.614206047361 320.604522280161 -228.582769159423</t>
  </si>
  <si>
    <t>-943.840057635933 104.047277547568 -515.793875730969</t>
  </si>
  <si>
    <t>-890.823369050314 240.111462230223 -63.7721269905506</t>
  </si>
  <si>
    <t>-900.63116879933 252.427180939153 339.47325059478</t>
  </si>
  <si>
    <t>-941.222079491847 252.422658953674 785.679464360697</t>
  </si>
  <si>
    <t>-808.610513897415 314.251818160216 846.331811586576</t>
  </si>
  <si>
    <t>-862.151806167318 51.3070744346146 -60.3414029140924</t>
  </si>
  <si>
    <t>-792.556967354731 43.1204426508202 337.080533613615</t>
  </si>
  <si>
    <t>-808.605225490814 13.5730624067073 783.610751204723</t>
  </si>
  <si>
    <t>-691.198387029205 -65.726267502373 854.424212660946</t>
  </si>
  <si>
    <t>9763-20170724T111153.079071900.bin</t>
  </si>
  <si>
    <t>-876.422766325913 145.542851614383 -61.0437350077417</t>
  </si>
  <si>
    <t>-910.089252594309 138.766041240685 -171.66407886439</t>
  </si>
  <si>
    <t>-925.892987788905 135.816179111261 -268.968776541244</t>
  </si>
  <si>
    <t>-935.404461973284 133.836873740316 -357.534276028972</t>
  </si>
  <si>
    <t>-939.737525877981 132.27528194343 -446.511945024128</t>
  </si>
  <si>
    <t>-940.33629453069 130.277987629334 -571.077065167477</t>
  </si>
  <si>
    <t>-907.75821194211 125.86984661543 -647.394009041756</t>
  </si>
  <si>
    <t>-936.435826469746 158.622526155461 -516.719990156443</t>
  </si>
  <si>
    <t>-912.48167807687 293.006994725154 -500.456222864025</t>
  </si>
  <si>
    <t>-885.629708794719 319.212626410776 -208.594066463319</t>
  </si>
  <si>
    <t>-645.560758501464 320.002786831762 -229.01835458266</t>
  </si>
  <si>
    <t>-943.709939525977 103.691394457404 -515.804396228416</t>
  </si>
  <si>
    <t>-891.011699265976 239.884116208681 -63.7559031799954</t>
  </si>
  <si>
    <t>-900.824784677127 252.360230250765 339.484338412503</t>
  </si>
  <si>
    <t>-941.092952183983 252.447635172639 785.686079635739</t>
  </si>
  <si>
    <t>-808.604885457846 314.495226667585 846.385142546787</t>
  </si>
  <si>
    <t>-862.206273192241 51.1034900264522 -60.3805920540925</t>
  </si>
  <si>
    <t>-792.70111323254 43.0455049949269 337.059664697913</t>
  </si>
  <si>
    <t>-808.671319199998 13.552415595715 783.604278948721</t>
  </si>
  <si>
    <t>-691.216885758064 -65.6858923091618 854.407170858649</t>
  </si>
  <si>
    <t>9763-20170724T111153.119192700.bin</t>
  </si>
  <si>
    <t>-876.409022794875 145.490304565126 -61.048797147088</t>
  </si>
  <si>
    <t>-910.024987724241 138.698037293934 -171.683602391528</t>
  </si>
  <si>
    <t>-925.758899386249 135.728095729214 -268.998924554568</t>
  </si>
  <si>
    <t>-935.196734257284 133.726579494259 -357.571953118309</t>
  </si>
  <si>
    <t>-939.446294476087 132.139459795497 -446.553138558319</t>
  </si>
  <si>
    <t>-939.91766419287 130.102705957469 -571.118203788484</t>
  </si>
  <si>
    <t>-907.279849417748 125.721976867897 -647.411024183847</t>
  </si>
  <si>
    <t>-936.109427268731 158.469228248594 -516.766017897092</t>
  </si>
  <si>
    <t>-912.408771115651 292.897512625554 -500.498005851973</t>
  </si>
  <si>
    <t>-886.221299154418 318.951200955844 -208.562003431694</t>
  </si>
  <si>
    <t>-646.171197318916 319.818443021471 -229.202186968321</t>
  </si>
  <si>
    <t>-943.311239837489 103.528775337898 -515.840504659944</t>
  </si>
  <si>
    <t>-890.983111076392 239.79303455343 -63.7524793573199</t>
  </si>
  <si>
    <t>-900.908467792388 252.301489650627 339.484053611318</t>
  </si>
  <si>
    <t>-940.962431301917 252.380688132194 785.692797912883</t>
  </si>
  <si>
    <t>-808.592167361764 314.661769380305 846.409035771579</t>
  </si>
  <si>
    <t>-862.173205465662 51.1144900279191 -60.4014428609181</t>
  </si>
  <si>
    <t>-792.757860187182 43.0810488208085 337.05509845004</t>
  </si>
  <si>
    <t>-808.666014552569 13.6547345570175 783.604657925116</t>
  </si>
  <si>
    <t>-691.321418639844 -65.7442082702937 854.409851221451</t>
  </si>
  <si>
    <t>9763-20170724T111153.223982800.bin</t>
  </si>
  <si>
    <t>-876.478499162178 145.539357882389 -61.0408470065836</t>
  </si>
  <si>
    <t>-910.047094052532 138.729158086971 -171.68884345865</t>
  </si>
  <si>
    <t>-925.707306547601 135.738856276392 -269.015529582731</t>
  </si>
  <si>
    <t>-935.065268174026 133.716221006237 -357.596453886591</t>
  </si>
  <si>
    <t>-939.222069088491 132.105467606663 -446.581647608472</t>
  </si>
  <si>
    <t>-939.550480234162 130.032628389465 -571.146550901004</t>
  </si>
  <si>
    <t>-906.8396967512 125.677299759703 -647.40967435322</t>
  </si>
  <si>
    <t>-935.842179917376 158.419838465396 -516.798220156341</t>
  </si>
  <si>
    <t>-912.399220265095 292.892684456103 -500.51410526675</t>
  </si>
  <si>
    <t>-886.873728365665 318.772834295671 -208.50406196363</t>
  </si>
  <si>
    <t>-646.836496928309 319.72243212469 -229.290590935711</t>
  </si>
  <si>
    <t>-942.969595423235 103.4696714306 -515.865050538634</t>
  </si>
  <si>
    <t>-891.153377594291 239.876472512774 -63.7486889091062</t>
  </si>
  <si>
    <t>-901.053439080732 252.354984366296 339.489401698361</t>
  </si>
  <si>
    <t>-941.030262734545 252.53418782466 785.702844783671</t>
  </si>
  <si>
    <t>-808.52319632037 314.503897812401 846.439902495848</t>
  </si>
  <si>
    <t>-862.205078597215 51.1802307527146 -60.4055383549423</t>
  </si>
  <si>
    <t>-792.880537898706 43.0636299423836 337.065125226779</t>
  </si>
  <si>
    <t>-808.719198253328 13.5881293831821 783.615236418001</t>
  </si>
  <si>
    <t>-691.294046080747 -65.7019137440484 854.408549522842</t>
  </si>
  <si>
    <t>9763-20170724T111153.280379300.bin</t>
  </si>
  <si>
    <t>-876.349166927425 145.494061732653 -61.0540349090711</t>
  </si>
  <si>
    <t>-909.881101383831 138.655800477661 -171.711546550025</t>
  </si>
  <si>
    <t>-925.34719146152 135.667668806972 -269.069138458408</t>
  </si>
  <si>
    <t>-934.462813311346 133.653878611635 -357.675607642031</t>
  </si>
  <si>
    <t>-938.310436323033 132.058811746213 -446.675042277503</t>
  </si>
  <si>
    <t>-938.136005561131 130.014313847153 -571.240736080121</t>
  </si>
  <si>
    <t>-905.014004746515 125.755811894032 -647.331455803058</t>
  </si>
  <si>
    <t>-934.780800302595 158.406181596633 -516.871872704794</t>
  </si>
  <si>
    <t>-912.130444491297 292.993817950503 -500.432375081814</t>
  </si>
  <si>
    <t>-889.225303987394 317.925871011399 -208.122764984794</t>
  </si>
  <si>
    <t>-649.248807118241 319.96905737732 -229.521682202937</t>
  </si>
  <si>
    <t>-941.645107286552 103.4219030014 -515.978953294649</t>
  </si>
  <si>
    <t>-891.054677624414 239.829936685527 -63.7035953987462</t>
  </si>
  <si>
    <t>-901.071011863468 252.434605895107 339.527719783965</t>
  </si>
  <si>
    <t>-940.953478665192 252.711401455269 785.74673930809</t>
  </si>
  <si>
    <t>-808.394632862349 314.500282399449 846.554623151252</t>
  </si>
  <si>
    <t>-861.998438437056 51.0394764484863 -60.4436556568118</t>
  </si>
  <si>
    <t>-792.852037458413 43.0432576387952 337.060411433654</t>
  </si>
  <si>
    <t>-808.7788872454 13.6456661649972 783.618842211053</t>
  </si>
  <si>
    <t>-691.472937367758 -65.8143791399364 854.419409218403</t>
  </si>
  <si>
    <t>9763-20170724T111153.319500500.bin</t>
  </si>
  <si>
    <t>-876.284548785323 145.398784554271 -61.0470025750152</t>
  </si>
  <si>
    <t>-909.809655173056 138.553179732528 -171.706039706858</t>
  </si>
  <si>
    <t>-925.227719885811 135.566711419616 -269.071459404624</t>
  </si>
  <si>
    <t>-934.282389899048 133.555683499477 -357.684157807862</t>
  </si>
  <si>
    <t>-938.051402367726 131.964779184434 -446.687051813246</t>
  </si>
  <si>
    <t>-937.748923619734 129.926657494621 -571.252488340632</t>
  </si>
  <si>
    <t>-904.514090081287 125.676033573014 -647.29456077788</t>
  </si>
  <si>
    <t>-934.468494514398 158.317945313678 -516.878920864214</t>
  </si>
  <si>
    <t>-911.909116222083 292.919364995128 -500.373046540141</t>
  </si>
  <si>
    <t>-889.386423228135 317.765562485389 -208.026350790963</t>
  </si>
  <si>
    <t>-649.404704006947 320.230270422186 -229.322845370854</t>
  </si>
  <si>
    <t>-941.295512398372 103.329220065383 -515.995748556108</t>
  </si>
  <si>
    <t>-891.026948281999 239.769360715815 -63.691783780509</t>
  </si>
  <si>
    <t>-900.998855941186 252.388554803662 339.540129156922</t>
  </si>
  <si>
    <t>-940.936669572199 252.743233071364 785.750857756339</t>
  </si>
  <si>
    <t>-808.400005238056 314.562520298532 846.576034388348</t>
  </si>
  <si>
    <t>-861.919996519438 50.9105071776944 -60.4517397780764</t>
  </si>
  <si>
    <t>-792.849347463067 42.9207952500428 337.065689547999</t>
  </si>
  <si>
    <t>-808.84583253495 13.5018598655047 783.62411171354</t>
  </si>
  <si>
    <t>-691.302156742921 -65.6188489199544 854.410220479225</t>
  </si>
  <si>
    <t>9763-20170724T111153.383673300.bin</t>
  </si>
  <si>
    <t>-876.122665050795 145.37955142724 -61.0751597285307</t>
  </si>
  <si>
    <t>-909.622378044761 138.492395206453 -171.739323597043</t>
  </si>
  <si>
    <t>-924.955848420336 135.48200053702 -269.117378352734</t>
  </si>
  <si>
    <t>-933.90825624856 133.451020820598 -357.74000512759</t>
  </si>
  <si>
    <t>-937.548410634171 131.839393015523 -446.747873296772</t>
  </si>
  <si>
    <t>-937.03887466584 129.770049308579 -571.312085305036</t>
  </si>
  <si>
    <t>-903.602434101297 125.518409683187 -647.265876291616</t>
  </si>
  <si>
    <t>-933.864483000422 158.176794675694 -516.940321579313</t>
  </si>
  <si>
    <t>-911.421963655315 292.777344435092 -500.333941743062</t>
  </si>
  <si>
    <t>-889.198929528872 317.636823907737 -207.965370022023</t>
  </si>
  <si>
    <t>-649.183434661923 321.071825467488 -228.74094857581</t>
  </si>
  <si>
    <t>-940.661842841686 103.184349175635 -516.054673704685</t>
  </si>
  <si>
    <t>-890.924993239509 239.815669089488 -63.7029524331306</t>
  </si>
  <si>
    <t>-900.991575511604 252.426489609084 339.526913844307</t>
  </si>
  <si>
    <t>-940.996777026665 252.924156572926 785.73316176483</t>
  </si>
  <si>
    <t>-808.366492461402 314.498361008737 846.603063222174</t>
  </si>
  <si>
    <t>-861.701569929472 50.8392758409159 -60.4764491286949</t>
  </si>
  <si>
    <t>-792.769643048249 42.848846339898 337.065027453287</t>
  </si>
  <si>
    <t>-808.908715015404 13.4057891937046 783.630601542246</t>
  </si>
  <si>
    <t>-691.381402212191 -65.7361518204928 854.420234474571</t>
  </si>
  <si>
    <t>9763-20170724T111153.658745100.bin</t>
  </si>
  <si>
    <t>-875.974000806946 145.377280885861 -61.0787106414591</t>
  </si>
  <si>
    <t>-909.451397104203 138.487123085818 -171.749445731095</t>
  </si>
  <si>
    <t>-924.750545487829 135.473067969582 -269.132764582027</t>
  </si>
  <si>
    <t>-933.66528031441 133.437037662487 -357.759028072002</t>
  </si>
  <si>
    <t>-937.261472197915 131.818808969771 -446.76863780116</t>
  </si>
  <si>
    <t>-936.684352110127 129.737770334023 -571.332360062632</t>
  </si>
  <si>
    <t>-903.180328014508 125.479442147994 -647.255726933247</t>
  </si>
  <si>
    <t>-933.544526628203 158.150234294132 -516.961605192001</t>
  </si>
  <si>
    <t>-911.137553611266 292.7574816951 -500.328977464452</t>
  </si>
  <si>
    <t>-888.979987577865 317.641423162779 -207.957615666869</t>
  </si>
  <si>
    <t>-648.960340053424 321.51215447191 -228.609088448976</t>
  </si>
  <si>
    <t>-940.332117920605 103.156746608216 -516.07431831407</t>
  </si>
  <si>
    <t>-890.732096915311 239.793225818211 -63.7187360397465</t>
  </si>
  <si>
    <t>-900.939578835227 252.375434241976 339.508443785908</t>
  </si>
  <si>
    <t>-940.875700508231 252.84376508443 785.717132931787</t>
  </si>
  <si>
    <t>-808.366841575221 314.665466739508 846.60082871923</t>
  </si>
  <si>
    <t>-861.57688295454 50.8481657078969 -60.4815728369063</t>
  </si>
  <si>
    <t>-792.690343796134 42.8847892868453 337.068343420495</t>
  </si>
  <si>
    <t>-808.886051525989 13.5227844718065 783.629114590413</t>
  </si>
  <si>
    <t>-691.417123566513 -65.7023794407933 854.422242745845</t>
  </si>
  <si>
    <t>9763-20170724T111153.672784200.bin</t>
  </si>
  <si>
    <t>-875.943924250806 145.506366295237 -61.0780256038498</t>
  </si>
  <si>
    <t>-909.373328300972 138.67758868187 -171.767086550834</t>
  </si>
  <si>
    <t>-924.585196495683 135.674397526046 -269.164472342961</t>
  </si>
  <si>
    <t>-933.403732336423 133.631299817754 -357.800155972046</t>
  </si>
  <si>
    <t>-936.888092262693 131.988659815915 -446.813688358722</t>
  </si>
  <si>
    <t>-936.138785530219 129.85641995634 -571.375701711902</t>
  </si>
  <si>
    <t>-902.524562454406 125.541644659057 -647.247414956029</t>
  </si>
  <si>
    <t>-933.077183563988 158.291865753949 -517.012426866742</t>
  </si>
  <si>
    <t>-910.766267842567 292.91551740267 -500.387106340555</t>
  </si>
  <si>
    <t>-888.80953870829 317.875013823054 -208.006905832423</t>
  </si>
  <si>
    <t>-648.798686531862 322.228762661371 -228.662287574004</t>
  </si>
  <si>
    <t>-939.859752700302 103.29763842495 -516.111857491584</t>
  </si>
  <si>
    <t>-890.661987236795 240.005248831176 -63.6999706643402</t>
  </si>
  <si>
    <t>-900.970309051587 252.461983644614 339.528542054585</t>
  </si>
  <si>
    <t>-940.913071066268 252.998934316484 785.745371653813</t>
  </si>
  <si>
    <t>-808.300275176108 314.590414094716 846.635966005328</t>
  </si>
  <si>
    <t>-861.642985749533 50.9061807473272 -60.4879490954634</t>
  </si>
  <si>
    <t>-792.76600000304 42.7957207161508 337.06063782711</t>
  </si>
  <si>
    <t>-809.003293717426 13.331847772813 783.63627651729</t>
  </si>
  <si>
    <t>-691.323528594107 -65.5934167813982 854.414815567786</t>
  </si>
  <si>
    <t>9763-20170724T111153.723923900.bin</t>
  </si>
  <si>
    <t>-875.910708783398 146.160624140092 -61.005782592934</t>
  </si>
  <si>
    <t>-909.25739201643 139.37273088849 -171.722251960647</t>
  </si>
  <si>
    <t>-924.374196073692 136.325292988485 -269.132997854113</t>
  </si>
  <si>
    <t>-933.100940682515 134.210581112386 -357.776127513299</t>
  </si>
  <si>
    <t>-936.488545058038 132.462987817045 -446.791333905453</t>
  </si>
  <si>
    <t>-935.600964561379 130.147975599594 -571.349440669758</t>
  </si>
  <si>
    <t>-901.963988493969 125.565396198309 -647.195007017746</t>
  </si>
  <si>
    <t>-932.514794502901 158.652472141778 -517.023653786929</t>
  </si>
  <si>
    <t>-909.782355900676 293.216786515518 -500.48712171683</t>
  </si>
  <si>
    <t>-888.141313081089 318.424242588533 -208.104753755261</t>
  </si>
  <si>
    <t>-648.131572656951 323.309239306975 -228.652961501991</t>
  </si>
  <si>
    <t>-939.468035595008 103.681030110367 -516.051454762089</t>
  </si>
  <si>
    <t>-890.380343134304 240.751628028275 -63.6685305439032</t>
  </si>
  <si>
    <t>-900.735268299285 252.900772085077 339.568203221193</t>
  </si>
  <si>
    <t>-940.878924145734 253.178441580617 785.746821724473</t>
  </si>
  <si>
    <t>-808.155741120882 314.482090856101 846.687167019939</t>
  </si>
  <si>
    <t>-861.817283188033 51.4647079040533 -60.3813763878223</t>
  </si>
  <si>
    <t>-792.624628800294 43.15416122426 337.108282586005</t>
  </si>
  <si>
    <t>-809.072922016135 13.4257413119562 783.645496941631</t>
  </si>
  <si>
    <t>-691.577875358859 -65.7641732875782 854.435464030034</t>
  </si>
  <si>
    <t>9763-20170724T111153.749611400.bin</t>
  </si>
  <si>
    <t>-875.996316202099 146.326660156187 -60.9919995520057</t>
  </si>
  <si>
    <t>-909.320538469984 139.554858857672 -171.716305474683</t>
  </si>
  <si>
    <t>-924.423777199139 136.496336526559 -269.128843133983</t>
  </si>
  <si>
    <t>-933.141364103151 134.362794207011 -357.772321818063</t>
  </si>
  <si>
    <t>-936.523834595917 132.5878266023 -446.787283695884</t>
  </si>
  <si>
    <t>-935.633564924435 130.225579575892 -571.344331320815</t>
  </si>
  <si>
    <t>-902.005014204733 125.588228333297 -647.190465425768</t>
  </si>
  <si>
    <t>-932.52899383432 158.748209720741 -517.029160227217</t>
  </si>
  <si>
    <t>-909.712880189282 293.306366685587 -500.55783622666</t>
  </si>
  <si>
    <t>-888.093533557641 318.628872495764 -208.18387218449</t>
  </si>
  <si>
    <t>-648.09481204265 323.722328236535 -228.81180307905</t>
  </si>
  <si>
    <t>-939.521537631233 103.782198216612 -516.036660178869</t>
  </si>
  <si>
    <t>-890.425422786012 240.947731593856 -63.6782793615102</t>
  </si>
  <si>
    <t>-900.740252052402 252.987991247327 339.562704900261</t>
  </si>
  <si>
    <t>-940.80962651089 253.145736777163 785.743640880029</t>
  </si>
  <si>
    <t>-808.118747775463 314.508349441658 846.694965843806</t>
  </si>
  <si>
    <t>-861.970311550118 51.6313446007648 -60.3516900474309</t>
  </si>
  <si>
    <t>-792.695183578729 43.2691460051606 337.122480470681</t>
  </si>
  <si>
    <t>-809.088319788453 13.4451391370485 783.648486145759</t>
  </si>
  <si>
    <t>-691.582369527717 -65.7296982182966 854.436894716307</t>
  </si>
  <si>
    <t>9763-20170724T111153.807767500.bin</t>
  </si>
  <si>
    <t>-876.072858230251 146.548496391265 -60.9913194229797</t>
  </si>
  <si>
    <t>-909.391236710206 139.786849290454 -171.718032326973</t>
  </si>
  <si>
    <t>-924.488007749373 136.71209126673 -269.131010540132</t>
  </si>
  <si>
    <t>-933.200388166514 134.554471561205 -357.774572094331</t>
  </si>
  <si>
    <t>-936.578563206001 132.746085226348 -446.788990422222</t>
  </si>
  <si>
    <t>-935.683335667625 130.327302684457 -571.344831130752</t>
  </si>
  <si>
    <t>-902.059742569686 125.624842956689 -647.189080381325</t>
  </si>
  <si>
    <t>-932.563427399268 158.872483447857 -517.042353676556</t>
  </si>
  <si>
    <t>-909.670007607562 293.425751731538 -500.639711607743</t>
  </si>
  <si>
    <t>-888.110800783597 318.906354249449 -208.274836490383</t>
  </si>
  <si>
    <t>-648.115929607521 324.196157192802 -228.898506887975</t>
  </si>
  <si>
    <t>-939.591292053634 103.911130614431 -516.025518738185</t>
  </si>
  <si>
    <t>-890.439159814012 241.121765766938 -63.6907227757879</t>
  </si>
  <si>
    <t>-900.688852080346 253.122538511508 339.553164650328</t>
  </si>
  <si>
    <t>-940.78723109808 253.166773425215 785.741275692744</t>
  </si>
  <si>
    <t>-808.15568366377 314.643860381536 846.70625464633</t>
  </si>
  <si>
    <t>-862.086526448251 51.8981310667641 -60.327384382923</t>
  </si>
  <si>
    <t>-792.714386308025 43.4416398687349 337.127859730781</t>
  </si>
  <si>
    <t>-809.0545547428 13.6051607672689 783.64509509429</t>
  </si>
  <si>
    <t>-691.706732272953 -65.7940156000232 854.444540014757</t>
  </si>
  <si>
    <t>9763-20170724T111153.852567900.bin</t>
  </si>
  <si>
    <t>-876.26547068585 146.978416714438 -60.963072905787</t>
  </si>
  <si>
    <t>-909.580468290934 140.213962937532 -171.690446334567</t>
  </si>
  <si>
    <t>-924.656722412102 137.082037839297 -269.104945146222</t>
  </si>
  <si>
    <t>-933.344742243376 134.851314424366 -357.749039470854</t>
  </si>
  <si>
    <t>-936.694364883215 132.947363933748 -446.7624891021</t>
  </si>
  <si>
    <t>-935.756478313952 130.371808870604 -571.314893629595</t>
  </si>
  <si>
    <t>-902.130279724675 125.507178737396 -647.147944115894</t>
  </si>
  <si>
    <t>-932.61568859357 158.980106133989 -517.046942463899</t>
  </si>
  <si>
    <t>-909.582299349858 293.529132046232 -500.811099925537</t>
  </si>
  <si>
    <t>-888.307860808474 319.261168764099 -208.447543970743</t>
  </si>
  <si>
    <t>-648.274871054692 325.140793845902 -228.457956578214</t>
  </si>
  <si>
    <t>-939.722498293939 104.03023325057 -515.964095038321</t>
  </si>
  <si>
    <t>-890.498530729675 241.553695141389 -63.7080506910643</t>
  </si>
  <si>
    <t>-900.599214660224 253.540841799784 339.539942972692</t>
  </si>
  <si>
    <t>-940.803621857799 253.276355440931 785.731613328731</t>
  </si>
  <si>
    <t>-808.060716436874 314.477853537785 846.731110082653</t>
  </si>
  <si>
    <t>-862.385894121978 52.2789233762883 -60.2608527944913</t>
  </si>
  <si>
    <t>-792.731442472594 43.6356110260394 337.140947995318</t>
  </si>
  <si>
    <t>-809.14265750655 13.4671360002526 783.646312231018</t>
  </si>
  <si>
    <t>-691.688129406996 -65.7813128581722 854.437911822287</t>
  </si>
  <si>
    <t>9763-20170724T111153.915739600.bin</t>
  </si>
  <si>
    <t>-876.341966765436 147.383365260341 -60.9260560503673</t>
  </si>
  <si>
    <t>-909.639600948928 140.614969663884 -171.658460674482</t>
  </si>
  <si>
    <t>-924.691067832162 137.424467280843 -269.074717055007</t>
  </si>
  <si>
    <t>-933.354971291945 135.118208536066 -357.71939843656</t>
  </si>
  <si>
    <t>-936.679565714867 133.115247197049 -446.731549904964</t>
  </si>
  <si>
    <t>-935.706773699073 130.376454221236 -571.280211668684</t>
  </si>
  <si>
    <t>-902.08585090188 125.315078292239 -647.10253229272</t>
  </si>
  <si>
    <t>-932.536104076097 159.050002464031 -517.048375138579</t>
  </si>
  <si>
    <t>-909.312125226719 293.589701991627 -500.999914891882</t>
  </si>
  <si>
    <t>-888.551676822341 319.502445004461 -208.615357236859</t>
  </si>
  <si>
    <t>-648.45875630451 326.174408681207 -227.63420271662</t>
  </si>
  <si>
    <t>-939.734104599729 104.113392480509 -515.896565049402</t>
  </si>
  <si>
    <t>-890.461413840218 241.954791948968 -63.7058826485619</t>
  </si>
  <si>
    <t>-900.500218316613 253.807376702333 339.547632268224</t>
  </si>
  <si>
    <t>-940.754321587149 253.303587000075 785.729890232828</t>
  </si>
  <si>
    <t>-808.053014375957 314.579844460493 846.745832581461</t>
  </si>
  <si>
    <t>-862.57403469284 52.7195742298827 -60.1883672783405</t>
  </si>
  <si>
    <t>-792.700318714479 43.8765745300148 337.170510170363</t>
  </si>
  <si>
    <t>-809.159584837283 13.5631485355698 783.654212147815</t>
  </si>
  <si>
    <t>-691.790189139172 -65.8078456121887 854.449391725931</t>
  </si>
  <si>
    <t>9763-20170724T111153.980913800.bin</t>
  </si>
  <si>
    <t>-876.612539029219 147.734333222524 -60.8941354724834</t>
  </si>
  <si>
    <t>-909.907982791661 140.950881188644 -171.62624907451</t>
  </si>
  <si>
    <t>-924.966381162698 137.689741017959 -269.039072653676</t>
  </si>
  <si>
    <t>-933.641222345484 135.294832663378 -357.680352443602</t>
  </si>
  <si>
    <t>-936.98280339603 133.177064622642 -446.68922985367</t>
  </si>
  <si>
    <t>-936.042480648096 130.249180089462 -571.233851455253</t>
  </si>
  <si>
    <t>-902.44833185215 124.947359574086 -647.051688189036</t>
  </si>
  <si>
    <t>-932.79103156215 158.996236891563 -517.04573003649</t>
  </si>
  <si>
    <t>-909.219073470356 293.491608749571 -501.151665409748</t>
  </si>
  <si>
    <t>-888.708475681767 319.850302116883 -208.78930169654</t>
  </si>
  <si>
    <t>-648.508724838023 327.67767385893 -225.924896484002</t>
  </si>
  <si>
    <t>-940.121357059513 104.078962985765 -515.810106105627</t>
  </si>
  <si>
    <t>-890.659363071858 242.319516453724 -63.7022492078885</t>
  </si>
  <si>
    <t>-900.530531349122 254.07351826091 339.558322291557</t>
  </si>
  <si>
    <t>-940.647705686797 253.2654547554 785.743521430885</t>
  </si>
  <si>
    <t>-807.986711098221 314.61552836603 846.773041039361</t>
  </si>
  <si>
    <t>-862.940141603408 53.0304304434685 -60.1027069882783</t>
  </si>
  <si>
    <t>-792.792042886839 44.0728838515811 337.205332882249</t>
  </si>
  <si>
    <t>-809.258243918163 13.4400381016271 783.677625209656</t>
  </si>
  <si>
    <t>-691.733084758577 -65.7195575747687 854.451382564144</t>
  </si>
  <si>
    <t>9763-20170724T111154.011996700.bin</t>
  </si>
  <si>
    <t>-876.79991313654 147.930809465477 -60.8797999158588</t>
  </si>
  <si>
    <t>-910.099566274852 141.14658147172 -171.610647858544</t>
  </si>
  <si>
    <t>-925.186038334325 137.863200285549 -269.018404267678</t>
  </si>
  <si>
    <t>-933.897683861746 135.439904386314 -357.655139215765</t>
  </si>
  <si>
    <t>-937.287571347242 133.284891292705 -446.661419445505</t>
  </si>
  <si>
    <t>-936.426320861547 130.294897365377 -571.205182911622</t>
  </si>
  <si>
    <t>-902.859900882936 124.86626110471 -647.026407930664</t>
  </si>
  <si>
    <t>-933.096448314887 159.063089157664 -517.033024595053</t>
  </si>
  <si>
    <t>-909.298674887394 293.528938238921 -501.230434799078</t>
  </si>
  <si>
    <t>-888.817507758179 320.199287132588 -208.894322070681</t>
  </si>
  <si>
    <t>-648.588130773161 328.462386405883 -225.401604227932</t>
  </si>
  <si>
    <t>-940.513887409544 104.15811425663 -515.766188735111</t>
  </si>
  <si>
    <t>-890.805146908639 242.5051991488 -63.7120123913372</t>
  </si>
  <si>
    <t>-900.572736924651 254.213488154372 339.552409197615</t>
  </si>
  <si>
    <t>-940.670402320535 253.341691042215 785.74787520061</t>
  </si>
  <si>
    <t>-808.05339564219 314.780456032574 846.783316759115</t>
  </si>
  <si>
    <t>-863.181073273483 53.2541807349139 -60.0525274588382</t>
  </si>
  <si>
    <t>-792.822954826074 44.2244889546782 337.21664065935</t>
  </si>
  <si>
    <t>-809.273474444865 13.4731836145711 783.681349679907</t>
  </si>
  <si>
    <t>-691.872195998652 -65.8645916675982 854.460572507631</t>
  </si>
  <si>
    <t>9763-20170724T111154.081185800.bin</t>
  </si>
  <si>
    <t>-877.198632222096 148.416195499871 -60.8072795882874</t>
  </si>
  <si>
    <t>-910.440415520613 141.664732310847 -171.557505054656</t>
  </si>
  <si>
    <t>-925.518506820114 138.344810224832 -268.965395351345</t>
  </si>
  <si>
    <t>-934.241235180283 135.863658914075 -357.599475391569</t>
  </si>
  <si>
    <t>-937.66319694125 133.624661858611 -446.60234027073</t>
  </si>
  <si>
    <t>-936.869551117936 130.489884258304 -571.14301714055</t>
  </si>
  <si>
    <t>-903.327732439045 124.779264258341 -646.954299423747</t>
  </si>
  <si>
    <t>-933.41405597642 159.308027334996 -517.005180381911</t>
  </si>
  <si>
    <t>-909.14363824235 293.7126146648 -501.434604152589</t>
  </si>
  <si>
    <t>-888.665388870865 321.078715827258 -209.162536244343</t>
  </si>
  <si>
    <t>-648.388964521686 329.891233923117 -224.669305084546</t>
  </si>
  <si>
    <t>-941.023455882535 104.43084917494 -515.672446747583</t>
  </si>
  <si>
    <t>-891.031046403256 243.033578248053 -63.7033335121406</t>
  </si>
  <si>
    <t>-900.673743083143 254.655808252441 339.566583387799</t>
  </si>
  <si>
    <t>-940.729489708109 253.508307503686 785.775234044955</t>
  </si>
  <si>
    <t>-807.91964161902 314.515826508734 846.823743043738</t>
  </si>
  <si>
    <t>-863.73253882519 53.7303296274968 -59.9459149917922</t>
  </si>
  <si>
    <t>-792.973373728548 44.5470223147036 337.248661276679</t>
  </si>
  <si>
    <t>-809.355882422055 13.4024780972968 783.696577420784</t>
  </si>
  <si>
    <t>-691.961963713324 -65.9544562486435 854.466744910987</t>
  </si>
  <si>
    <t>9763-20170724T111154.112275100.bin</t>
  </si>
  <si>
    <t>-877.411300800551 148.708864487197 -60.7333789682267</t>
  </si>
  <si>
    <t>-910.552269195282 141.989250027743 -171.515700868394</t>
  </si>
  <si>
    <t>-925.556626258639 138.671538032497 -268.935140799719</t>
  </si>
  <si>
    <t>-934.219548888777 136.183950317386 -357.574941089395</t>
  </si>
  <si>
    <t>-937.588619107364 133.929375416005 -446.57939602166</t>
  </si>
  <si>
    <t>-936.729069452503 130.763334054489 -571.118802350615</t>
  </si>
  <si>
    <t>-903.183128049338 124.930396448254 -646.918934330816</t>
  </si>
  <si>
    <t>-933.256340098307 159.588475731608 -516.985770627563</t>
  </si>
  <si>
    <t>-908.747774938633 293.959201196471 -501.521778136298</t>
  </si>
  <si>
    <t>-888.271286304194 321.586418150539 -209.274105927094</t>
  </si>
  <si>
    <t>-647.983645811281 330.381996749071 -224.617985671823</t>
  </si>
  <si>
    <t>-940.958406453188 104.724498450692 -515.644378746073</t>
  </si>
  <si>
    <t>-891.087983690672 243.324697309316 -63.6745455686671</t>
  </si>
  <si>
    <t>-900.618154991865 254.865020750861 339.600342171041</t>
  </si>
  <si>
    <t>-940.659805597081 253.464858304199 785.801793467703</t>
  </si>
  <si>
    <t>-807.824005013564 314.422252986445 846.84336094278</t>
  </si>
  <si>
    <t>-864.085770647385 54.0120315831459 -59.8656132028202</t>
  </si>
  <si>
    <t>-793.079427930349 44.6888607486908 337.281587944375</t>
  </si>
  <si>
    <t>-809.413175508926 13.3605874507402 783.716379026556</t>
  </si>
  <si>
    <t>-692.026398379558 -66.0174369885783 854.475022165023</t>
  </si>
  <si>
    <t>9763-20170724T111154.182417300.bin</t>
  </si>
  <si>
    <t>-878.197568413291 149.572271096447 -60.557272859029</t>
  </si>
  <si>
    <t>-910.707977085959 142.94415301238 -171.531982980637</t>
  </si>
  <si>
    <t>-925.248288715178 139.608109680721 -269.020827829289</t>
  </si>
  <si>
    <t>-933.529259214474 137.070271974409 -357.695717817324</t>
  </si>
  <si>
    <t>-936.556847599649 134.733077884617 -446.710454597657</t>
  </si>
  <si>
    <t>-935.265683110835 131.419930212585 -571.242291167911</t>
  </si>
  <si>
    <t>-901.646508739809 125.326846367305 -646.989636701554</t>
  </si>
  <si>
    <t>-931.864033712709 160.292375116544 -517.130167482091</t>
  </si>
  <si>
    <t>-906.833988434978 294.581716727 -501.821818740892</t>
  </si>
  <si>
    <t>-886.700767071199 322.321992739773 -209.5611243279</t>
  </si>
  <si>
    <t>-646.417527881023 331.39654689819 -224.808661971581</t>
  </si>
  <si>
    <t>-939.803507128125 105.463503152761 -515.753846247273</t>
  </si>
  <si>
    <t>-890.95689544454 243.979420192878 -63.5908888168763</t>
  </si>
  <si>
    <t>-900.365297293249 256.006098594155 339.672697155712</t>
  </si>
  <si>
    <t>-940.7254447488 253.726965646037 785.780254720173</t>
  </si>
  <si>
    <t>-807.83504686434 314.546004190629 846.841510364855</t>
  </si>
  <si>
    <t>-865.654180998581 55.0841654313026 -59.5608527915726</t>
  </si>
  <si>
    <t>-793.18642391154 44.3990861509665 337.287879982764</t>
  </si>
  <si>
    <t>-809.685354753835 13.0346075566531 783.872225330107</t>
  </si>
  <si>
    <t>-691.982867601183 -66.0167972318734 854.471773028626</t>
  </si>
  <si>
    <t>9763-20170724T111154.215511900.bin</t>
  </si>
  <si>
    <t>-878.977870740792 150.434497765858 -60.5036497268264</t>
  </si>
  <si>
    <t>-910.624564703314 143.77244362106 -171.725560732107</t>
  </si>
  <si>
    <t>-924.618125463142 140.353965625668 -269.291733309915</t>
  </si>
  <si>
    <t>-932.488640124499 137.734105811593 -358.001566815561</t>
  </si>
  <si>
    <t>-935.192549714787 135.312306967105 -447.024448715742</t>
  </si>
  <si>
    <t>-933.54007353807 131.885622032037 -571.54891117306</t>
  </si>
  <si>
    <t>-899.84500394676 125.695641498066 -647.254512893264</t>
  </si>
  <si>
    <t>-930.22947614528 160.797799753912 -517.452292138353</t>
  </si>
  <si>
    <t>-904.899359372103 295.054799163269 -502.223037992319</t>
  </si>
  <si>
    <t>-885.136995499143 322.58142613165 -209.916800676294</t>
  </si>
  <si>
    <t>-644.852931729083 331.859275849429 -225.026255888453</t>
  </si>
  <si>
    <t>-938.305063648746 105.989202310685 -516.051183251188</t>
  </si>
  <si>
    <t>-890.441877022602 244.425708285989 -63.751429911037</t>
  </si>
  <si>
    <t>-899.484097231407 258.212844951579 339.464203695505</t>
  </si>
  <si>
    <t>-940.972758289044 254.610194637623 785.280252074937</t>
  </si>
  <si>
    <t>-807.948216226952 314.81583716179 846.655657371884</t>
  </si>
  <si>
    <t>-867.469682548629 56.2187017685969 -59.1874635705949</t>
  </si>
  <si>
    <t>-793.497532624248 44.150988671307 337.343905468989</t>
  </si>
  <si>
    <t>-810.083134969065 12.5603522463489 784.070130534142</t>
  </si>
  <si>
    <t>-692.027121933866 -66.1583049230655 854.450625222194</t>
  </si>
  <si>
    <t>9763-20170724T111154.285701400.bin</t>
  </si>
  <si>
    <t>-878.443795134646 149.892424427206 -60.2105287844919</t>
  </si>
  <si>
    <t>-909.497468783028 142.410464343388 -171.547323970207</t>
  </si>
  <si>
    <t>-922.908001656469 138.533150913653 -269.178260229473</t>
  </si>
  <si>
    <t>-930.214228267426 135.597669439412 -357.926497467212</t>
  </si>
  <si>
    <t>-932.31087188831 132.957049325813 -446.959392139391</t>
  </si>
  <si>
    <t>-929.763052403361 129.324927625601 -571.462963018006</t>
  </si>
  <si>
    <t>-895.924728759678 123.097259664524 -647.10154092197</t>
  </si>
  <si>
    <t>-926.748582273717 158.312836045074 -517.389612417809</t>
  </si>
  <si>
    <t>-900.992116193243 292.537867398813 -502.456469676718</t>
  </si>
  <si>
    <t>-882.379352453321 319.975478070603 -210.06659216881</t>
  </si>
  <si>
    <t>-642.038955959373 328.985758248159 -224.423490768663</t>
  </si>
  <si>
    <t>-935.019883408783 103.533919830036 -515.960763330657</t>
  </si>
  <si>
    <t>-887.009348525651 243.372116816566 -64.1751119638362</t>
  </si>
  <si>
    <t>-891.682320831552 265.716670194052 338.731237430041</t>
  </si>
  <si>
    <t>-942.091549410302 257.875885146249 783.430135013169</t>
  </si>
  <si>
    <t>-808.344229358353 315.505276694532 845.702280077288</t>
  </si>
  <si>
    <t>-870.038010708619 55.7074276929557 -57.7665372476098</t>
  </si>
  <si>
    <t>-793.667347449483 44.2394800835814 338.327755115504</t>
  </si>
  <si>
    <t>-811.208650553097 10.5203923854815 784.980873592784</t>
  </si>
  <si>
    <t>-690.655863435546 -65.0457568687916 854.580159835741</t>
  </si>
  <si>
    <t>9763-20170724T111154.316785000.bin</t>
  </si>
  <si>
    <t>-877.678334746733 149.98501064811 -59.5639964724849</t>
  </si>
  <si>
    <t>-908.823482871322 142.004263279543 -170.840700512188</t>
  </si>
  <si>
    <t>-922.107907802049 137.84743467549 -268.477283670301</t>
  </si>
  <si>
    <t>-929.209513274215 134.704703070732 -357.235064495646</t>
  </si>
  <si>
    <t>-931.00885618001 131.894902325624 -446.269330272723</t>
  </si>
  <si>
    <t>-927.945672126914 128.058599129086 -570.755135093442</t>
  </si>
  <si>
    <t>-894.031907940711 121.792600929906 -646.356804105003</t>
  </si>
  <si>
    <t>-925.157452713394 157.13523937901 -516.717342104097</t>
  </si>
  <si>
    <t>-899.396308603775 291.363763494476 -501.915304112154</t>
  </si>
  <si>
    <t>-881.029215798106 319.225986099601 -209.549933662089</t>
  </si>
  <si>
    <t>-640.633525751696 327.54202100632 -223.391606633635</t>
  </si>
  <si>
    <t>-933.429955092651 102.358116972695 -515.232780224852</t>
  </si>
  <si>
    <t>-885.637369773696 243.810391661481 -64.0243941389623</t>
  </si>
  <si>
    <t>-886.729671047272 269.843973981888 338.686023944424</t>
  </si>
  <si>
    <t>-943.169198318831 260.106076525471 782.525364730087</t>
  </si>
  <si>
    <t>-808.778447189708 315.670378878633 845.287597967788</t>
  </si>
  <si>
    <t>-869.811775331243 56.1658630856105 -56.8724519086903</t>
  </si>
  <si>
    <t>-792.000867159538 44.5471915386984 338.93706315456</t>
  </si>
  <si>
    <t>-811.362239759046 9.96029465940273 785.28916222127</t>
  </si>
  <si>
    <t>-690.055176528018 -64.5846092306228 854.679750005634</t>
  </si>
  <si>
    <t>9763-20170724T111154.379872800.bin</t>
  </si>
  <si>
    <t>-875.453308109997 151.880416825118 -57.9016658230852</t>
  </si>
  <si>
    <t>-907.039302181199 143.704725425639 -169.039996328701</t>
  </si>
  <si>
    <t>-920.278664643772 139.316541227059 -266.672506181043</t>
  </si>
  <si>
    <t>-927.16738628185 135.923217608461 -355.437839430536</t>
  </si>
  <si>
    <t>-928.583429178429 132.813148768701 -444.469127047536</t>
  </si>
  <si>
    <t>-924.809145896121 128.49698002512 -568.919558940847</t>
  </si>
  <si>
    <t>-890.603716640959 121.997399014447 -644.370058384584</t>
  </si>
  <si>
    <t>-922.377762033081 157.789074909202 -514.980976745462</t>
  </si>
  <si>
    <t>-896.689317758422 292.054935066285 -500.453194953141</t>
  </si>
  <si>
    <t>-877.856547199531 321.394548494914 -208.26197741921</t>
  </si>
  <si>
    <t>-637.324407255465 326.164772060278 -221.397144951907</t>
  </si>
  <si>
    <t>-930.562204889446 103.00349700721 -513.329087112394</t>
  </si>
  <si>
    <t>-882.570423741895 244.928759543978 -62.6542627735562</t>
  </si>
  <si>
    <t>-879.345261383952 276.759320418094 339.628032144398</t>
  </si>
  <si>
    <t>-946.682281315936 266.012218169505 781.369898916437</t>
  </si>
  <si>
    <t>-810.204963110356 315.247080186026 844.908463810202</t>
  </si>
  <si>
    <t>-868.81010270007 58.7783362858618 -55.1329524342286</t>
  </si>
  <si>
    <t>-785.463868236851 45.4233551248476 339.493100969655</t>
  </si>
  <si>
    <t>-811.102929465751 9.91098285607541 785.49584756589</t>
  </si>
  <si>
    <t>-690.085455801146 -65.1231649086485 854.863993361257</t>
  </si>
  <si>
    <t>9763-20170724T111154.442045900.bin</t>
  </si>
  <si>
    <t>-875.320263552439 153.458403740667 -56.9574298324786</t>
  </si>
  <si>
    <t>-907.213860644245 145.439787909602 -168.019264317485</t>
  </si>
  <si>
    <t>-920.521462533561 141.07354864297 -265.643449837968</t>
  </si>
  <si>
    <t>-927.39584327927 137.651690856987 -354.408709793</t>
  </si>
  <si>
    <t>-928.723283372998 134.462225181281 -443.438589355284</t>
  </si>
  <si>
    <t>-924.749897831085 129.979833414442 -567.87701440293</t>
  </si>
  <si>
    <t>-890.393820756048 123.271448684426 -643.240687510442</t>
  </si>
  <si>
    <t>-922.393667075628 159.342065483041 -513.973439635813</t>
  </si>
  <si>
    <t>-896.434098823466 293.565603359294 -499.606824855321</t>
  </si>
  <si>
    <t>-877.092922586984 323.881817076921 -207.548482566496</t>
  </si>
  <si>
    <t>-636.508939398459 326.102716497233 -220.406844176405</t>
  </si>
  <si>
    <t>-930.603338094248 104.562349462079 -512.262286794578</t>
  </si>
  <si>
    <t>-882.382249178648 246.488144383342 -61.8826748478755</t>
  </si>
  <si>
    <t>-878.239839461338 278.906851082919 340.344230924169</t>
  </si>
  <si>
    <t>-948.853191366547 269.464295116763 781.236339031326</t>
  </si>
  <si>
    <t>-811.135532502381 314.833872257781 844.976506025178</t>
  </si>
  <si>
    <t>-868.869170021135 60.3893434053753 -54.2265505295901</t>
  </si>
  <si>
    <t>-782.199799781014 47.0397291176869 339.683221590306</t>
  </si>
  <si>
    <t>-810.786935229432 10.1369103776951 785.401361885341</t>
  </si>
  <si>
    <t>-690.063022125563 -65.2867642802471 854.85898470232</t>
  </si>
  <si>
    <t>9763-20170724T111154.479145800.bin</t>
  </si>
  <si>
    <t>-878.473656724643 158.40571151532 -55.9025974462347</t>
  </si>
  <si>
    <t>-910.846599265912 150.77244819314 -166.85274700835</t>
  </si>
  <si>
    <t>-924.242971124678 146.440671942942 -264.466485866769</t>
  </si>
  <si>
    <t>-931.075011035161 142.931314182517 -353.231577972848</t>
  </si>
  <si>
    <t>-932.244159684144 139.530275658137 -442.255714612753</t>
  </si>
  <si>
    <t>-927.934204621074 134.62062608628 -566.666879537146</t>
  </si>
  <si>
    <t>-893.293262007174 127.341422908529 -641.847087493191</t>
  </si>
  <si>
    <t>-925.562125569566 164.143511372858 -512.851596722941</t>
  </si>
  <si>
    <t>-898.5281670041 298.200232249006 -498.82133852351</t>
  </si>
  <si>
    <t>-877.915496051336 329.891473701882 -206.99604075809</t>
  </si>
  <si>
    <t>-637.35912584735 326.606498825752 -220.13871925499</t>
  </si>
  <si>
    <t>-934.099387990887 109.418697121225 -510.987874068566</t>
  </si>
  <si>
    <t>-887.643314182217 252.812227867077 -61.0101750262909</t>
  </si>
  <si>
    <t>-880.299661870299 281.380780393052 341.462895634656</t>
  </si>
  <si>
    <t>-950.803449643246 272.295378917362 782.296562073459</t>
  </si>
  <si>
    <t>-811.794891887245 313.740276975747 845.906689723294</t>
  </si>
  <si>
    <t>-870.212038292763 63.7456741995793 -52.9929558456727</t>
  </si>
  <si>
    <t>-776.525646541119 51.3999912698423 339.340021946237</t>
  </si>
  <si>
    <t>-809.902984132744 11.0019329343736 784.612765311637</t>
  </si>
  <si>
    <t>-690.323461568166 -65.8052956716806 854.531799933121</t>
  </si>
  <si>
    <t>9763-20170724T111154.511230500.bin</t>
  </si>
  <si>
    <t>-880.830874257276 160.736806132838 -55.7767046721987</t>
  </si>
  <si>
    <t>-913.397886821129 153.435607805248 -166.692502487085</t>
  </si>
  <si>
    <t>-926.721380505633 149.116829694586 -264.316802615678</t>
  </si>
  <si>
    <t>-933.399500586876 145.509095559526 -353.089636542891</t>
  </si>
  <si>
    <t>-934.332311171386 141.896376798818 -442.108188976719</t>
  </si>
  <si>
    <t>-929.61193523299 136.569852723157 -566.487352574518</t>
  </si>
  <si>
    <t>-894.782690120242 128.951084744715 -641.546724131069</t>
  </si>
  <si>
    <t>-927.300187201184 166.254463718662 -512.758581269221</t>
  </si>
  <si>
    <t>-899.60264758778 300.229566542299 -499.057903003826</t>
  </si>
  <si>
    <t>-878.475441445189 332.293372024865 -207.310262481398</t>
  </si>
  <si>
    <t>-638.00664165549 326.170795270633 -221.028169076823</t>
  </si>
  <si>
    <t>-936.078080442737 111.572920712604 -510.750052920648</t>
  </si>
  <si>
    <t>-890.713951959272 255.783199736678 -60.839969493941</t>
  </si>
  <si>
    <t>-882.398798902692 281.560095780313 341.802681736933</t>
  </si>
  <si>
    <t>-950.59390007761 271.239744702158 783.26616766393</t>
  </si>
  <si>
    <t>-811.68653901742 313.482554740877 846.571747325798</t>
  </si>
  <si>
    <t>-871.350388175223 65.2327286968543 -52.7607582297352</t>
  </si>
  <si>
    <t>-773.602331801785 53.7896711960088 338.607301276077</t>
  </si>
  <si>
    <t>-809.419454455567 11.620752902943 783.649131490763</t>
  </si>
  <si>
    <t>-690.520808421125 -65.9619711816829 853.872675675282</t>
  </si>
  <si>
    <t>9763-20170724T111154.581183400.bin</t>
  </si>
  <si>
    <t>-885.659417424905 164.02042027461 -55.7280358213166</t>
  </si>
  <si>
    <t>-918.483901558113 157.546165191879 -166.619164279068</t>
  </si>
  <si>
    <t>-931.411385596227 153.305466699073 -264.300138749422</t>
  </si>
  <si>
    <t>-937.501430931812 149.513618504971 -353.107720552184</t>
  </si>
  <si>
    <t>-937.629859833664 145.452466921846 -442.111787920608</t>
  </si>
  <si>
    <t>-931.574063788796 139.219411402574 -566.390859191842</t>
  </si>
  <si>
    <t>-896.326944182222 130.872171856528 -641.177150541503</t>
  </si>
  <si>
    <t>-929.553181171693 169.24851868744 -512.841895444436</t>
  </si>
  <si>
    <t>-900.248757642264 302.897031596457 -499.703409039146</t>
  </si>
  <si>
    <t>-878.6530598335 335.995639838745 -208.105530917934</t>
  </si>
  <si>
    <t>-638.537032459052 323.63649929222 -223.676928704302</t>
  </si>
  <si>
    <t>-938.924334378796 114.675988161609 -510.561650272192</t>
  </si>
  <si>
    <t>-897.780783435803 261.627330684254 -60.6858551034057</t>
  </si>
  <si>
    <t>-887.444633876225 279.886834576082 342.320836988479</t>
  </si>
  <si>
    <t>-950.143503382594 268.877621341719 785.042165696418</t>
  </si>
  <si>
    <t>-811.231970962986 312.101307179502 847.672571864283</t>
  </si>
  <si>
    <t>-874.267755265357 66.1499539130959 -52.880914791006</t>
  </si>
  <si>
    <t>-767.916254877164 58.9268436266952 336.338631726703</t>
  </si>
  <si>
    <t>-808.52706423206 13.1188872136481 780.778090076379</t>
  </si>
  <si>
    <t>-691.263415941238 -66.2988670343907 851.695703704342</t>
  </si>
  <si>
    <t>9763-20170724T111154.616267400.bin</t>
  </si>
  <si>
    <t>-889.268304388082 167.626742217633 -55.7594917190416</t>
  </si>
  <si>
    <t>-922.225502387774 161.692043561926 -166.641438319224</t>
  </si>
  <si>
    <t>-934.962824594246 157.613527913791 -264.354276277379</t>
  </si>
  <si>
    <t>-940.767009003713 153.856675377347 -353.18235340166</t>
  </si>
  <si>
    <t>-940.501181293718 149.718143809164 -442.182668868316</t>
  </si>
  <si>
    <t>-933.787133953658 143.262278342638 -566.416500672633</t>
  </si>
  <si>
    <t>-898.284859826304 134.570939354864 -641.042883665734</t>
  </si>
  <si>
    <t>-931.873229754657 173.356752389941 -512.900338392526</t>
  </si>
  <si>
    <t>-901.571642508049 306.785994708247 -499.964473181195</t>
  </si>
  <si>
    <t>-880.024249256169 340.359663104534 -208.417435132864</t>
  </si>
  <si>
    <t>-640.163757473403 324.820884147372 -225.042109922043</t>
  </si>
  <si>
    <t>-941.610157853836 118.849550240866 -510.59424521015</t>
  </si>
  <si>
    <t>-901.910688787959 265.469626500833 -60.6138410070789</t>
  </si>
  <si>
    <t>-890.3478149789 280.090290520224 342.508034029687</t>
  </si>
  <si>
    <t>-949.829568305723 267.84147008238 785.74232415374</t>
  </si>
  <si>
    <t>-810.98410481609 311.626679327221 848.129446342572</t>
  </si>
  <si>
    <t>-877.831533704815 70.2898646048061 -52.7686872784058</t>
  </si>
  <si>
    <t>-765.732588321088 60.827693468932 334.786405514379</t>
  </si>
  <si>
    <t>-808.1563146097 13.9489558190489 778.883907221342</t>
  </si>
  <si>
    <t>-692.044088039352 -66.7812441785445 850.213661963367</t>
  </si>
  <si>
    <t>9763-20170724T111154.682446900.bin</t>
  </si>
  <si>
    <t>-897.06212292925 178.607392037665 -58.0052453926046</t>
  </si>
  <si>
    <t>-930.118732084783 173.893603553694 -168.916394686471</t>
  </si>
  <si>
    <t>-942.434944535039 170.297886732862 -266.702040105389</t>
  </si>
  <si>
    <t>-947.668730759296 166.781358913269 -355.575464196611</t>
  </si>
  <si>
    <t>-946.653270263631 162.687887208468 -444.572406229299</t>
  </si>
  <si>
    <t>-938.712713463563 156.101268172523 -568.727021061677</t>
  </si>
  <si>
    <t>-902.662364639165 146.825032412279 -643.019345987917</t>
  </si>
  <si>
    <t>-936.884493450516 186.170327225695 -515.193682219209</t>
  </si>
  <si>
    <t>-904.143553181388 319.075536146056 -502.514999146603</t>
  </si>
  <si>
    <t>-883.61096154718 352.713999722785 -210.902071745675</t>
  </si>
  <si>
    <t>-644.374365900246 331.567844201504 -230.124220219633</t>
  </si>
  <si>
    <t>-947.529320537434 131.828831453806 -512.991621344626</t>
  </si>
  <si>
    <t>-984.172931080284 3.77789522462444 -478.94930185371</t>
  </si>
  <si>
    <t>-910.087605863245 276.639655257186 -62.2746250807186</t>
  </si>
  <si>
    <t>-897.699779519978 283.253630135621 341.033556168319</t>
  </si>
  <si>
    <t>-949.383751442409 267.441048975325 785.679997311468</t>
  </si>
  <si>
    <t>-810.55811453157 311.409669472569 847.982067164708</t>
  </si>
  <si>
    <t>-884.701854559442 81.9976639353204 -56.2553613270143</t>
  </si>
  <si>
    <t>-766.439837540384 67.0632327589669 329.29062171548</t>
  </si>
  <si>
    <t>-807.246284894821 16.1203562526571 772.308179972234</t>
  </si>
  <si>
    <t>-694.164512789204 -67.8197564401689 844.791299660251</t>
  </si>
  <si>
    <t>9763-20170724T111154.717066600.bin</t>
  </si>
  <si>
    <t>-901.270460059903 184.207350884618 -59.2880683945958</t>
  </si>
  <si>
    <t>-934.328567889318 180.144116179244 -170.224454722035</t>
  </si>
  <si>
    <t>-946.401362367444 176.821425256945 -268.050073707093</t>
  </si>
  <si>
    <t>-951.323631729751 173.450418821608 -356.946854691439</t>
  </si>
  <si>
    <t>-949.909398298088 169.401329563235 -445.940487137761</t>
  </si>
  <si>
    <t>-941.326532551403 162.774343078026 -570.050216007989</t>
  </si>
  <si>
    <t>-904.993421656811 153.250570163039 -644.173247711572</t>
  </si>
  <si>
    <t>-939.532666001866 192.812947354962 -516.4985610269</t>
  </si>
  <si>
    <t>-905.538015188874 325.41547183002 -503.88684180131</t>
  </si>
  <si>
    <t>-885.938255023668 358.876040448474 -212.189203317081</t>
  </si>
  <si>
    <t>-647.063130434277 335.207957672508 -232.911581707647</t>
  </si>
  <si>
    <t>-950.674542932746 138.568137393137 -514.372639457902</t>
  </si>
  <si>
    <t>-988.308131428533 10.8102415034623 -480.321697344276</t>
  </si>
  <si>
    <t>-914.00848942403 281.967867149745 -63.1922379238166</t>
  </si>
  <si>
    <t>-901.612793344655 285.627696442107 340.153330455734</t>
  </si>
  <si>
    <t>-949.136036780701 267.509026796342 785.510052375023</t>
  </si>
  <si>
    <t>-810.256650998987 311.342800467994 847.78739688614</t>
  </si>
  <si>
    <t>-888.933439261669 86.3486786873623 -57.7301075003005</t>
  </si>
  <si>
    <t>-769.079586190164 71.7078013972136 327.335349167825</t>
  </si>
  <si>
    <t>-807.307526991207 17.5299665838957 770.299360710551</t>
  </si>
  <si>
    <t>-696.137997342365 -68.2910144929842 843.534827669419</t>
  </si>
  <si>
    <t>9763-20170724T111154.779735100.bin</t>
  </si>
  <si>
    <t>-925.293717370728 195.121547469852 -61.1579048768516</t>
  </si>
  <si>
    <t>-957.96682554636 192.322888451737 -172.247417447798</t>
  </si>
  <si>
    <t>-969.392326665678 189.57757185063 -270.168640764582</t>
  </si>
  <si>
    <t>-973.614435448052 186.550315913057 -359.113795808398</t>
  </si>
  <si>
    <t>-971.396375668116 182.669444942297 -448.098447467003</t>
  </si>
  <si>
    <t>-961.588372346863 176.102031080526 -572.120606507263</t>
  </si>
  <si>
    <t>-924.668660224999 166.321458110971 -645.919546826262</t>
  </si>
  <si>
    <t>-959.940953802706 206.034664375079 -518.50504395175</t>
  </si>
  <si>
    <t>-923.881544868414 338.097420040956 -505.815086101338</t>
  </si>
  <si>
    <t>-906.120838282116 370.854301668293 -213.920058059446</t>
  </si>
  <si>
    <t>-667.869132062301 343.071889028787 -236.616841494236</t>
  </si>
  <si>
    <t>-971.867725042353 151.949305025601 -516.584189720724</t>
  </si>
  <si>
    <t>-1010.97433031527 24.5981237034343 -482.742910014155</t>
  </si>
  <si>
    <t>-836.987837933202 0.42767037212343 -332.766380367475</t>
  </si>
  <si>
    <t>-928.80517400107 291.157208655015 -64.4692596349839</t>
  </si>
  <si>
    <t>-914.975454798424 291.103602704638 338.846232854352</t>
  </si>
  <si>
    <t>-948.899743709763 267.485560833304 785.118208093088</t>
  </si>
  <si>
    <t>-809.948343082427 311.25138118721 847.282017361735</t>
  </si>
  <si>
    <t>-924.816616675194 100.126060799153 -59.7602171256713</t>
  </si>
  <si>
    <t>-800.236336167937 78.4730431939965 323.470242559544</t>
  </si>
  <si>
    <t>-844.984127067635 25.5272703966612 766.063640258466</t>
  </si>
  <si>
    <t>-739.040104904341 -65.6992650040279 840.500877464858</t>
  </si>
  <si>
    <t>9763-20170724T111154.816336400.bin</t>
  </si>
  <si>
    <t>-936.13840112516 198.5995859364 -61.7939754224384</t>
  </si>
  <si>
    <t>-968.743156778795 196.17083525568 -172.91219531168</t>
  </si>
  <si>
    <t>-979.949987147961 193.632033323207 -270.864305997061</t>
  </si>
  <si>
    <t>-983.912440274017 190.749961475259 -359.826232475715</t>
  </si>
  <si>
    <t>-981.374861469583 186.970167618221 -448.80667798641</t>
  </si>
  <si>
    <t>-971.061047039798 180.498093461916 -572.792757620086</t>
  </si>
  <si>
    <t>-933.856304184879 170.73598074672 -646.451092361973</t>
  </si>
  <si>
    <t>-969.531576046485 210.367628000761 -519.138300030057</t>
  </si>
  <si>
    <t>-932.868503284844 342.234726697756 -506.247543351721</t>
  </si>
  <si>
    <t>-915.470125726353 374.414526315594 -214.266508930167</t>
  </si>
  <si>
    <t>-677.468611646184 345.268597069576 -237.857171263378</t>
  </si>
  <si>
    <t>-981.667784269071 156.324941886471 -517.326997038477</t>
  </si>
  <si>
    <t>-1021.09825572464 28.9967648339884 -483.72482270022</t>
  </si>
  <si>
    <t>-844.846069508658 6.31251173704186 -335.031917492269</t>
  </si>
  <si>
    <t>-935.678682717018 293.848161459347 -64.8266288893642</t>
  </si>
  <si>
    <t>-920.610938014767 293.184557387628 338.444000864755</t>
  </si>
  <si>
    <t>-949.058732788744 267.594413844326 784.937880302924</t>
  </si>
  <si>
    <t>-810.030250609362 311.235159390653 847.017160324638</t>
  </si>
  <si>
    <t>-937.735357389686 103.398009974861 -60.7458681309014</t>
  </si>
  <si>
    <t>-811.854340696161 77.681149841515 321.807826814682</t>
  </si>
  <si>
    <t>-858.199844366643 28.5118600737405 764.54136623696</t>
  </si>
  <si>
    <t>-757.349492038577 -68.541863736705 838.683848352481</t>
  </si>
  <si>
    <t>9763-20170724T111154.881031100.bin</t>
  </si>
  <si>
    <t>-944.085847140094 200.696890232219 -62.6552506519793</t>
  </si>
  <si>
    <t>-976.847529593143 198.78752184256 -173.737414266457</t>
  </si>
  <si>
    <t>-987.947864866879 196.681543226002 -271.711998463092</t>
  </si>
  <si>
    <t>-991.714639959756 194.185506801358 -360.694096189593</t>
  </si>
  <si>
    <t>-988.882698770163 190.784834321121 -449.681009255625</t>
  </si>
  <si>
    <t>-978.054734783952 184.835027265112 -573.649420500512</t>
  </si>
  <si>
    <t>-940.416019161225 175.470381374238 -647.138476505596</t>
  </si>
  <si>
    <t>-976.734318383779 214.47514463577 -519.862319910666</t>
  </si>
  <si>
    <t>-939.787807432538 346.178872678457 -506.254288747273</t>
  </si>
  <si>
    <t>-921.475291230278 376.509923031212 -214.131285608053</t>
  </si>
  <si>
    <t>-683.729642597516 346.812778291668 -239.54497520798</t>
  </si>
  <si>
    <t>-988.904784372902 160.431462359656 -518.331545301847</t>
  </si>
  <si>
    <t>-1028.00213383171 32.8137033625635 -485.36635141631</t>
  </si>
  <si>
    <t>-848.289684437461 14.1129780099541 -338.886454849397</t>
  </si>
  <si>
    <t>-941.769339986349 295.999574389179 -65.3182856339873</t>
  </si>
  <si>
    <t>-925.340172117433 294.657053683169 337.897460057478</t>
  </si>
  <si>
    <t>-949.373058709604 267.853819063249 784.554124708079</t>
  </si>
  <si>
    <t>-810.209136038091 311.130592916125 846.584878284533</t>
  </si>
  <si>
    <t>-945.216685541656 105.34793392591 -62.0023209120671</t>
  </si>
  <si>
    <t>-817.926254962736 74.6072405672094 319.713297018486</t>
  </si>
  <si>
    <t>-882.003206379786 43.3009827745154 762.096806584306</t>
  </si>
  <si>
    <t>-791.263921242007 -62.622202566482 837.156650390552</t>
  </si>
  <si>
    <t>9763-20170724T111154.912144300.bin</t>
  </si>
  <si>
    <t>-944.209478131664 200.289888648127 -62.8237778868626</t>
  </si>
  <si>
    <t>-976.912557389753 198.44490280547 -173.924222701088</t>
  </si>
  <si>
    <t>-987.994829793057 196.504613182965 -271.904215979673</t>
  </si>
  <si>
    <t>-991.755061751622 194.2090179362 -360.892046456261</t>
  </si>
  <si>
    <t>-988.923110516901 191.0625907125 -449.888221089398</t>
  </si>
  <si>
    <t>-978.100340721648 185.527513388101 -573.876349796014</t>
  </si>
  <si>
    <t>-940.388273355122 176.544827406807 -647.375460658655</t>
  </si>
  <si>
    <t>-976.831004360972 214.999068791016 -519.995745482931</t>
  </si>
  <si>
    <t>-940.021148281438 346.711229490322 -505.935473353263</t>
  </si>
  <si>
    <t>-920.685315930643 375.930367170251 -213.765124204923</t>
  </si>
  <si>
    <t>-683.023106405949 346.575463868261 -240.333489084474</t>
  </si>
  <si>
    <t>-988.895171584425 160.927141752512 -518.634895162467</t>
  </si>
  <si>
    <t>-1027.44305025344 33.0719459388069 -486.011039021835</t>
  </si>
  <si>
    <t>-846.465341498013 16.739703772038 -340.496016990598</t>
  </si>
  <si>
    <t>-942.16156676351 295.756236800752 -65.5067754561895</t>
  </si>
  <si>
    <t>-926.085464003899 294.575650292389 337.723768544857</t>
  </si>
  <si>
    <t>-949.469352593939 268.018478466972 784.379323422838</t>
  </si>
  <si>
    <t>-810.228498546105 311.015611630024 846.432538827759</t>
  </si>
  <si>
    <t>-944.861610811848 104.503969407499 -62.1816731473867</t>
  </si>
  <si>
    <t>-816.799786526797 74.5830026860394 319.340972557362</t>
  </si>
  <si>
    <t>-897.985547303504 58.391915711733 759.641605954265</t>
  </si>
  <si>
    <t>-808.583002596673 -46.3485817942844 837.897138527519</t>
  </si>
  <si>
    <t>9763-20170724T111154.982342600.bin</t>
  </si>
  <si>
    <t>-941.990705672495 197.387435253282 -63.2208208100758</t>
  </si>
  <si>
    <t>-974.776374006816 195.241217060284 -174.291721388638</t>
  </si>
  <si>
    <t>-986.028789267536 193.569211465708 -272.257168395126</t>
  </si>
  <si>
    <t>-989.969279845727 191.726732688121 -361.247684681142</t>
  </si>
  <si>
    <t>-987.333433429078 189.24684315126 -450.270994848382</t>
  </si>
  <si>
    <t>-976.791658183326 184.865537319267 -574.329398007291</t>
  </si>
  <si>
    <t>-939.169940797625 177.049105936021 -648.007893104659</t>
  </si>
  <si>
    <t>-975.56689491444 213.87145328038 -520.195416394053</t>
  </si>
  <si>
    <t>-939.354567837509 345.60006352794 -505.091643847024</t>
  </si>
  <si>
    <t>-917.210622924067 372.645157197868 -212.911240198108</t>
  </si>
  <si>
    <t>-679.613335026565 344.7316295025 -241.532911354899</t>
  </si>
  <si>
    <t>-987.294245880364 159.715809820899 -519.279500853633</t>
  </si>
  <si>
    <t>-1024.49087495886 31.2541763598438 -487.351499933938</t>
  </si>
  <si>
    <t>-841.586832373609 19.4289615087732 -343.009958238226</t>
  </si>
  <si>
    <t>-941.467695350265 293.290346832708 -65.9132412089929</t>
  </si>
  <si>
    <t>-926.185590790667 292.701302417747 337.349422107931</t>
  </si>
  <si>
    <t>-949.521386663235 268.138920488562 784.183826415667</t>
  </si>
  <si>
    <t>-810.238159392703 310.942969602133 846.275096432777</t>
  </si>
  <si>
    <t>-943.020040266102 101.466801626246 -62.8496171121136</t>
  </si>
  <si>
    <t>-820.433377235091 81.2666914689353 321.102365941997</t>
  </si>
  <si>
    <t>-923.660670633113 90.798776359763 756.866619003686</t>
  </si>
  <si>
    <t>-833.0035719491 -10.8486968531211 837.714686362015</t>
  </si>
  <si>
    <t>9763-20170724T111155.015933300.bin</t>
  </si>
  <si>
    <t>-940.279068092275 195.447081742448 -63.3888590664608</t>
  </si>
  <si>
    <t>-972.98586989518 193.093506445818 -174.478651824088</t>
  </si>
  <si>
    <t>-984.346831474571 191.543203276821 -272.433624666253</t>
  </si>
  <si>
    <t>-988.449117026896 189.928584667202 -361.421484199735</t>
  </si>
  <si>
    <t>-986.034501124943 187.795317178068 -450.459943209791</t>
  </si>
  <si>
    <t>-975.857882245377 184.022486548015 -574.568702679471</t>
  </si>
  <si>
    <t>-938.40306893954 176.904648354042 -648.403204607821</t>
  </si>
  <si>
    <t>-974.596940336286 212.788581550541 -520.307949520386</t>
  </si>
  <si>
    <t>-938.85777593785 344.617273800743 -504.699407185411</t>
  </si>
  <si>
    <t>-915.112970614441 370.404125532448 -212.530907358971</t>
  </si>
  <si>
    <t>-677.505744203517 343.498111069608 -242.022770668298</t>
  </si>
  <si>
    <t>-986.075255035565 158.576738414904 -519.601085059388</t>
  </si>
  <si>
    <t>-1022.4979150602 29.8051699158932 -488.120318575474</t>
  </si>
  <si>
    <t>-839.088767210321 20.3742341940238 -343.958974487344</t>
  </si>
  <si>
    <t>-940.356664563495 291.168092834097 -66.0721022786188</t>
  </si>
  <si>
    <t>-925.859627892224 291.448185656076 337.219867938195</t>
  </si>
  <si>
    <t>-949.515507576304 268.134337683707 784.137090204756</t>
  </si>
  <si>
    <t>-810.271817217373 311.056608978071 846.235318629801</t>
  </si>
  <si>
    <t>-941.078485857468 100.396909984944 -62.7681217202487</t>
  </si>
  <si>
    <t>-822.902219516581 78.8341682232858 322.490293594192</t>
  </si>
  <si>
    <t>-922.967652708174 89.6415616236109 758.71024347739</t>
  </si>
  <si>
    <t>-832.797905622882 -13.3381408182627 838.409086137113</t>
  </si>
  <si>
    <t>9763-20170724T111155.082299800.bin</t>
  </si>
  <si>
    <t>-935.145320839465 190.873079480903 -63.5778482343496</t>
  </si>
  <si>
    <t>-967.809972007765 187.813071978587 -174.662803485992</t>
  </si>
  <si>
    <t>-979.509101439606 186.32254068213 -272.578950858897</t>
  </si>
  <si>
    <t>-984.05182874876 185.017197971655 -361.550417691734</t>
  </si>
  <si>
    <t>-982.199292633537 183.449243784554 -450.614070799953</t>
  </si>
  <si>
    <t>-972.924174577884 180.731674315725 -574.821189196272</t>
  </si>
  <si>
    <t>-936.028054450775 175.028015313794 -649.058373049642</t>
  </si>
  <si>
    <t>-971.567789247457 209.09704446821 -520.352267396466</t>
  </si>
  <si>
    <t>-937.11370561335 341.089296600986 -503.76519580016</t>
  </si>
  <si>
    <t>-910.15442988002 364.237687245735 -211.654625736029</t>
  </si>
  <si>
    <t>-672.528867989914 339.857747639749 -243.127407526366</t>
  </si>
  <si>
    <t>-982.443555566512 154.757820813682 -519.975276327853</t>
  </si>
  <si>
    <t>-1017.16203931635 25.2997141254896 -489.241428092541</t>
  </si>
  <si>
    <t>-832.941437256016 19.8639119046711 -344.673258386534</t>
  </si>
  <si>
    <t>-937.282183034218 286.432734840416 -66.2475700339687</t>
  </si>
  <si>
    <t>-924.627095851738 288.643301126359 337.100427865881</t>
  </si>
  <si>
    <t>-949.549311999466 268.141637859213 784.09425307457</t>
  </si>
  <si>
    <t>-810.360829830811 311.250806449373 846.1863505999</t>
  </si>
  <si>
    <t>-932.430764133458 96.0527243523825 -63.2033519183765</t>
  </si>
  <si>
    <t>-825.446208908296 69.9533639383499 325.033490456319</t>
  </si>
  <si>
    <t>-914.022817561375 70.9555362967662 764.471569900169</t>
  </si>
  <si>
    <t>-823.646593195182 -34.2284823098012 840.994733880644</t>
  </si>
  <si>
    <t>9763-20170724T111155.113366400.bin</t>
  </si>
  <si>
    <t>-932.522977317323 188.140554149747 -63.8088309704857</t>
  </si>
  <si>
    <t>-965.133995726611 185.096882645259 -174.910048823986</t>
  </si>
  <si>
    <t>-976.96863105025 183.732059976583 -272.81157890724</t>
  </si>
  <si>
    <t>-981.705346597399 182.585998528903 -361.775024108586</t>
  </si>
  <si>
    <t>-980.115896478688 181.228355152584 -450.847325331431</t>
  </si>
  <si>
    <t>-971.277186627805 178.858861458834 -575.093387594463</t>
  </si>
  <si>
    <t>-934.682230011478 173.782791582631 -649.52499404137</t>
  </si>
  <si>
    <t>-969.878255201963 207.101037830046 -520.561365724768</t>
  </si>
  <si>
    <t>-936.014710226965 339.275118979044 -503.744036701618</t>
  </si>
  <si>
    <t>-907.855305116651 361.375112394003 -211.665569812785</t>
  </si>
  <si>
    <t>-670.169357312923 338.188962200943 -243.583065709293</t>
  </si>
  <si>
    <t>-980.455120068348 152.70223274131 -520.276325506045</t>
  </si>
  <si>
    <t>-1014.33657274644 23.0220226860833 -489.753973437019</t>
  </si>
  <si>
    <t>-829.999766640133 19.2848098960271 -344.729288118286</t>
  </si>
  <si>
    <t>-935.571510444917 283.885134457105 -66.2893822101441</t>
  </si>
  <si>
    <t>-923.438451996434 287.068617952919 337.068133895623</t>
  </si>
  <si>
    <t>-949.542181205114 268.111572261149 784.08866699814</t>
  </si>
  <si>
    <t>-810.377592320343 311.299145242106 846.179414300543</t>
  </si>
  <si>
    <t>-929.479638271533 91.0830419213348 -63.6380762194133</t>
  </si>
  <si>
    <t>-827.740726492659 69.2645923449504 326.26945378045</t>
  </si>
  <si>
    <t>-910.538736005651 67.621269024191 766.451886825973</t>
  </si>
  <si>
    <t>-818.955503153636 -37.2855429445028 841.912951000083</t>
  </si>
  <si>
    <t>9763-20170724T111155.181303800.bin</t>
  </si>
  <si>
    <t>-928.564861692837 183.117741486817 -63.9889752457946</t>
  </si>
  <si>
    <t>-961.268830414419 179.929267978699 -175.05872965496</t>
  </si>
  <si>
    <t>-973.530778890993 178.61473144881 -272.908557613281</t>
  </si>
  <si>
    <t>-978.790045843705 177.583414295721 -361.844082257126</t>
  </si>
  <si>
    <t>-977.85473149026 176.414988212812 -450.928324313537</t>
  </si>
  <si>
    <t>-970.063294208976 174.389813693059 -575.250540578666</t>
  </si>
  <si>
    <t>-934.207820774393 170.181028234459 -650.094972995926</t>
  </si>
  <si>
    <t>-968.410723907474 202.519993467814 -520.667710975691</t>
  </si>
  <si>
    <t>-935.353755548607 334.890935831785 -503.749785491467</t>
  </si>
  <si>
    <t>-905.792276606609 355.817716904504 -211.723436937187</t>
  </si>
  <si>
    <t>-668.015270643276 333.958153404335 -243.896792166172</t>
  </si>
  <si>
    <t>-978.57340036294 148.041999457215 -520.417202958443</t>
  </si>
  <si>
    <t>-1011.37469234985 18.0579469587292 -490.063852531073</t>
  </si>
  <si>
    <t>-826.582216316424 17.0364438193083 -344.146624621</t>
  </si>
  <si>
    <t>-932.551642327976 278.655159113339 -66.3181781992272</t>
  </si>
  <si>
    <t>-922.308447143719 283.721921975875 337.072594974715</t>
  </si>
  <si>
    <t>-949.507854010805 268.003148638844 784.133038148951</t>
  </si>
  <si>
    <t>-810.456834011501 311.632632521514 846.169922245981</t>
  </si>
  <si>
    <t>-925.545625851713 88.8154376662364 -63.2841796738813</t>
  </si>
  <si>
    <t>-831.076018580075 59.5038463696696 327.958679998843</t>
  </si>
  <si>
    <t>-901.026507632398 49.9039037907946 770.12848991908</t>
  </si>
  <si>
    <t>-809.105125166628 -55.2966187308382 844.764983126927</t>
  </si>
  <si>
    <t>9763-20170724T111155.215900100.bin</t>
  </si>
  <si>
    <t>-926.649420920659 180.754932104921 -63.6222726796012</t>
  </si>
  <si>
    <t>-959.373358411352 177.295171997802 -174.678108844068</t>
  </si>
  <si>
    <t>-971.832676290321 175.935320930853 -272.502339911975</t>
  </si>
  <si>
    <t>-977.338387409513 174.93636607185 -361.423323257405</t>
  </si>
  <si>
    <t>-976.713460075119 173.874086627932 -450.511529011879</t>
  </si>
  <si>
    <t>-969.418801125478 172.0747481025 -574.867228975985</t>
  </si>
  <si>
    <t>-933.954117451224 168.188502174396 -649.915176457186</t>
  </si>
  <si>
    <t>-967.610428809146 200.117265919767 -520.244451329452</t>
  </si>
  <si>
    <t>-934.847742403752 332.516422468016 -503.207701719201</t>
  </si>
  <si>
    <t>-904.389340268762 353.458255494874 -211.274640638397</t>
  </si>
  <si>
    <t>-666.633747608744 332.0735717809 -243.920807457755</t>
  </si>
  <si>
    <t>-977.647470091223 145.615877139327 -520.044557582324</t>
  </si>
  <si>
    <t>-1010.0345579746 15.4802770370643 -489.737413397328</t>
  </si>
  <si>
    <t>-824.857025031966 15.3102025479257 -343.52746879825</t>
  </si>
  <si>
    <t>-931.062709244118 276.156886243979 -66.2567400538993</t>
  </si>
  <si>
    <t>-922.568754407064 282.0170023673 337.163875745726</t>
  </si>
  <si>
    <t>-949.473878720971 267.885628997641 784.202034063898</t>
  </si>
  <si>
    <t>-810.472693531666 311.778116315287 846.164653030888</t>
  </si>
  <si>
    <t>-922.345941241109 85.3015608709288 -62.7732169081577</t>
  </si>
  <si>
    <t>-832.365180050541 52.8623189574651 329.280152986875</t>
  </si>
  <si>
    <t>-898.942048403828 41.1283396340996 771.871091611743</t>
  </si>
  <si>
    <t>-807.338262364599 -64.4724755686082 846.332456782366</t>
  </si>
  <si>
    <t>9763-20170724T111155.281578200.bin</t>
  </si>
  <si>
    <t>-922.956077646491 175.605878995142 -63.1327487105659</t>
  </si>
  <si>
    <t>-955.638882726452 171.785690468959 -174.188920704178</t>
  </si>
  <si>
    <t>-968.386743864011 170.4843217935 -271.976761916932</t>
  </si>
  <si>
    <t>-974.274480257266 169.689155280168 -360.875198261309</t>
  </si>
  <si>
    <t>-974.145403052294 168.985922121813 -449.969138090914</t>
  </si>
  <si>
    <t>-967.654750441235 167.853081534557 -574.377404236611</t>
  </si>
  <si>
    <t>-932.855213209532 164.55838459028 -649.764034084171</t>
  </si>
  <si>
    <t>-965.604474250964 195.622560124042 -519.623725082629</t>
  </si>
  <si>
    <t>-933.38110684306 328.118033067858 -502.187688055342</t>
  </si>
  <si>
    <t>-901.333738958913 348.534227358698 -210.387487068713</t>
  </si>
  <si>
    <t>-663.60615022295 328.92214444871 -244.325372985645</t>
  </si>
  <si>
    <t>-975.417665278602 141.080294378898 -519.639096378175</t>
  </si>
  <si>
    <t>-1007.02538978871 10.7026286240261 -489.60997833864</t>
  </si>
  <si>
    <t>-821.651288838007 11.3896566570484 -342.942278148906</t>
  </si>
  <si>
    <t>-928.200042071454 271.427820753914 -66.0502304904315</t>
  </si>
  <si>
    <t>-922.64118634907 278.566609166239 337.400921226203</t>
  </si>
  <si>
    <t>-949.471376494267 267.778944516475 784.372130129033</t>
  </si>
  <si>
    <t>-810.604817488078 312.282780344231 846.200833843783</t>
  </si>
  <si>
    <t>-917.784211429896 79.3381261584468 -62.2588453107339</t>
  </si>
  <si>
    <t>-836.150495812368 45.6063359112914 331.508472027244</t>
  </si>
  <si>
    <t>-895.090504944684 29.5465972339734 775.224316437723</t>
  </si>
  <si>
    <t>-803.615573440621 -76.4795018933735 849.238866532385</t>
  </si>
  <si>
    <t>9763-20170724T111155.313662500.bin</t>
  </si>
  <si>
    <t>-921.553894292956 173.417437425464 -63.1636912330216</t>
  </si>
  <si>
    <t>-954.183827890424 169.371670579754 -174.227383399226</t>
  </si>
  <si>
    <t>-967.042581063207 168.063747460591 -272.000682181509</t>
  </si>
  <si>
    <t>-973.088744104726 167.340714517436 -360.889112406722</t>
  </si>
  <si>
    <t>-973.172592070739 166.791998510754 -449.984149272911</t>
  </si>
  <si>
    <t>-967.032330387714 165.962692283807 -574.4125067909</t>
  </si>
  <si>
    <t>-932.514178232813 162.924795717219 -649.939380634225</t>
  </si>
  <si>
    <t>-964.884927545614 193.608855829071 -519.600319772063</t>
  </si>
  <si>
    <t>-932.867531469399 326.136697764952 -502.014801657608</t>
  </si>
  <si>
    <t>-900.410808198596 346.093379145479 -210.228072237634</t>
  </si>
  <si>
    <t>-662.631086794822 327.352421413077 -244.293999500381</t>
  </si>
  <si>
    <t>-974.583589237416 139.046242520205 -519.715230668321</t>
  </si>
  <si>
    <t>-1005.89409820475 8.56300013799 -489.862530717168</t>
  </si>
  <si>
    <t>-820.365852210658 9.36418721500104 -342.964017264097</t>
  </si>
  <si>
    <t>-926.903393083072 269.00397006074 -66.060742220859</t>
  </si>
  <si>
    <t>-922.377119839555 277.143351308947 337.384347540529</t>
  </si>
  <si>
    <t>-949.41742437238 267.607288265877 784.436350717992</t>
  </si>
  <si>
    <t>-810.643792268185 312.500622606246 846.191383375356</t>
  </si>
  <si>
    <t>-916.511393003758 77.6242970516018 -62.4239222438569</t>
  </si>
  <si>
    <t>-839.210898866107 44.6022601025611 332.277096537929</t>
  </si>
  <si>
    <t>-894.468656533607 27.7757148728638 776.217174141946</t>
  </si>
  <si>
    <t>-802.713027941878 -78.1000812585644 850.098938765046</t>
  </si>
  <si>
    <t>9763-20170724T111155.384371500.bin</t>
  </si>
  <si>
    <t>-919.903799018642 170.246631826888 -63.097086820786</t>
  </si>
  <si>
    <t>-952.496170693385 165.773212256703 -174.155378073303</t>
  </si>
  <si>
    <t>-965.544396025352 164.400554476717 -271.902637464066</t>
  </si>
  <si>
    <t>-971.843513709872 163.749620660485 -360.773970071076</t>
  </si>
  <si>
    <t>-972.255955287837 163.411295209763 -449.869258942357</t>
  </si>
  <si>
    <t>-966.647497780804 163.025712281362 -574.324932161585</t>
  </si>
  <si>
    <t>-932.568193870944 160.405602845497 -650.066352388737</t>
  </si>
  <si>
    <t>-964.387850404331 190.49768446499 -519.429698205114</t>
  </si>
  <si>
    <t>-932.797429629865 323.097819986025 -501.653251775547</t>
  </si>
  <si>
    <t>-899.613338629114 342.500369365703 -209.910910990406</t>
  </si>
  <si>
    <t>-661.631382856919 324.896725255088 -243.162143557315</t>
  </si>
  <si>
    <t>-973.843218933845 135.892965021887 -519.686603919517</t>
  </si>
  <si>
    <t>-1004.52793099412 5.20768705690034 -490.06538884353</t>
  </si>
  <si>
    <t>-818.484943687659 6.166575516379 -342.820824095733</t>
  </si>
  <si>
    <t>-925.320058478966 265.208610228467 -66.1850604276392</t>
  </si>
  <si>
    <t>-922.21802173367 275.003056345845 337.236647352553</t>
  </si>
  <si>
    <t>-949.467205402151 267.540992538284 784.45248418275</t>
  </si>
  <si>
    <t>-810.674195180853 312.478417799543 846.132240851754</t>
  </si>
  <si>
    <t>-915.120983018385 75.568351038431 -62.2643972908317</t>
  </si>
  <si>
    <t>-844.17149703986 44.2982983117026 333.769772696575</t>
  </si>
  <si>
    <t>-894.24261539292 26.7408580665624 777.924854083479</t>
  </si>
  <si>
    <t>-802.333197318359 -79.1854728886697 851.542414081704</t>
  </si>
  <si>
    <t>9763-20170724T111155.416960000.bin</t>
  </si>
  <si>
    <t>-919.572331151231 168.827200815218 -63.1512972723624</t>
  </si>
  <si>
    <t>-952.176728403615 164.237885313135 -174.201390709313</t>
  </si>
  <si>
    <t>-965.312412371877 162.865608743152 -271.936806341427</t>
  </si>
  <si>
    <t>-971.718954178032 162.257636986918 -360.801035560405</t>
  </si>
  <si>
    <t>-972.265289415621 162.006674794535 -449.895733483819</t>
  </si>
  <si>
    <t>-966.86933417122 161.792506879588 -574.361117168797</t>
  </si>
  <si>
    <t>-932.94245654278 159.341973496894 -650.176614563266</t>
  </si>
  <si>
    <t>-964.572032491531 189.198561228253 -519.434433551772</t>
  </si>
  <si>
    <t>-933.158134523614 321.837680200601 -501.589480809757</t>
  </si>
  <si>
    <t>-899.575870844997 341.109542990691 -209.884131765688</t>
  </si>
  <si>
    <t>-661.473160942282 324.035283395563 -242.539646530758</t>
  </si>
  <si>
    <t>-973.915689462458 134.574788734537 -519.745604979886</t>
  </si>
  <si>
    <t>-1004.27193195854 3.79862621255506 -490.199993121005</t>
  </si>
  <si>
    <t>-817.911246124881 5.03350470374562 -342.841433601213</t>
  </si>
  <si>
    <t>-924.803927847008 263.418081540612 -66.2545025905489</t>
  </si>
  <si>
    <t>-922.492668954757 273.999282768132 337.152721532813</t>
  </si>
  <si>
    <t>-949.503514754424 267.538952663601 784.444303134186</t>
  </si>
  <si>
    <t>-810.698507647558 312.47112634882 846.101438288965</t>
  </si>
  <si>
    <t>-914.924741223085 74.4512832598698 -62.1726916722471</t>
  </si>
  <si>
    <t>-845.684552027771 43.5481925961053 334.192652785518</t>
  </si>
  <si>
    <t>-894.420968894992 26.4707739677915 778.635799777933</t>
  </si>
  <si>
    <t>-802.210540816758 -79.3029044192815 852.096361743811</t>
  </si>
  <si>
    <t>9763-20170724T111155.483672700.bin</t>
  </si>
  <si>
    <t>-918.756603438356 165.365937591085 -63.1145472869428</t>
  </si>
  <si>
    <t>-951.494180895406 160.659956316124 -174.120423570729</t>
  </si>
  <si>
    <t>-964.890849351725 159.327683876952 -271.821183035908</t>
  </si>
  <si>
    <t>-971.588376012151 158.812859560616 -360.664322892486</t>
  </si>
  <si>
    <t>-972.477512480544 158.715108558762 -449.756647410297</t>
  </si>
  <si>
    <t>-967.611475756383 158.779697374143 -574.244163676852</t>
  </si>
  <si>
    <t>-933.939194363925 156.535293849911 -650.179444265251</t>
  </si>
  <si>
    <t>-965.179389019133 186.079501780448 -519.270479162412</t>
  </si>
  <si>
    <t>-934.113727790186 318.799558357929 -501.376236060663</t>
  </si>
  <si>
    <t>-899.65120922923 337.944271665327 -209.765252216165</t>
  </si>
  <si>
    <t>-661.298378070327 322.407903683717 -241.34652675312</t>
  </si>
  <si>
    <t>-974.325980250599 131.422889997516 -519.656278506308</t>
  </si>
  <si>
    <t>-1004.0821131395 0.48813832596079 -490.208404017726</t>
  </si>
  <si>
    <t>-817.036814801106 2.7372572849481 -342.865537487141</t>
  </si>
  <si>
    <t>-923.492001384301 259.346555383503 -66.163256735089</t>
  </si>
  <si>
    <t>-922.818402602774 271.530330936779 337.20476595366</t>
  </si>
  <si>
    <t>-949.455220396927 267.267314935448 784.520318138294</t>
  </si>
  <si>
    <t>-810.920609852423 313.093600929187 846.127106571296</t>
  </si>
  <si>
    <t>-914.494733611479 71.1792290235417 -61.9406953215911</t>
  </si>
  <si>
    <t>-846.667940096776 40.5329725417628 334.688853600738</t>
  </si>
  <si>
    <t>-894.574155605215 26.2158794981165 779.628795195954</t>
  </si>
  <si>
    <t>-801.90694612521 -79.3216047122851 852.854032583895</t>
  </si>
  <si>
    <t>9763-20170724T111155.516764100.bin</t>
  </si>
  <si>
    <t>-918.225254729038 163.21403312904 -62.9667083556192</t>
  </si>
  <si>
    <t>-951.064185594422 158.463488153052 -173.940708803659</t>
  </si>
  <si>
    <t>-964.617647250297 157.147059734606 -271.62000403825</t>
  </si>
  <si>
    <t>-971.483052376483 156.667824533102 -360.450571382294</t>
  </si>
  <si>
    <t>-972.565211966415 156.627732749577 -449.540857674035</t>
  </si>
  <si>
    <t>-967.993329362243 156.796175437122 -574.039446667445</t>
  </si>
  <si>
    <t>-934.432872175077 154.594050558071 -650.025367303659</t>
  </si>
  <si>
    <t>-965.483916593943 184.059063326784 -519.050701902586</t>
  </si>
  <si>
    <t>-934.629409576949 316.82434131344 -501.145419438732</t>
  </si>
  <si>
    <t>-899.635026268805 336.132624951096 -209.608451646122</t>
  </si>
  <si>
    <t>-661.145952816174 321.365342174512 -240.524282336203</t>
  </si>
  <si>
    <t>-974.526344939727 129.385216189486 -519.456703383815</t>
  </si>
  <si>
    <t>-816.644550801567 1.09999593305838 -342.880938779581</t>
  </si>
  <si>
    <t>-922.876423061146 257.286009219698 -66.0228516039815</t>
  </si>
  <si>
    <t>-922.889798768444 269.948347825705 337.330979584538</t>
  </si>
  <si>
    <t>-949.479610439184 267.116135355042 784.618848870081</t>
  </si>
  <si>
    <t>-810.956317063453 313.015623399153 846.196678605605</t>
  </si>
  <si>
    <t>-913.948324715448 68.7689242278152 -61.866064628019</t>
  </si>
  <si>
    <t>-846.766496356154 39.0165828260992 334.941300126744</t>
  </si>
  <si>
    <t>-894.651508811083 26.0646443719133 780.008751348451</t>
  </si>
  <si>
    <t>-801.649066709635 -79.2450870352341 853.136703452924</t>
  </si>
  <si>
    <t>9763-20170724T111155.580487300.bin</t>
  </si>
  <si>
    <t>-916.613564580141 158.555123331598 -62.6963898745596</t>
  </si>
  <si>
    <t>-949.69234280002 153.758406825469 -173.597164838739</t>
  </si>
  <si>
    <t>-963.560476537292 152.49710131337 -271.233088323163</t>
  </si>
  <si>
    <t>-970.751036879638 152.104201443403 -360.038273661329</t>
  </si>
  <si>
    <t>-972.196503064187 152.190465901739 -449.123348276865</t>
  </si>
  <si>
    <t>-968.170186238242 152.577962291263 -573.640232897995</t>
  </si>
  <si>
    <t>-934.797348791345 150.442082985277 -649.710773625711</t>
  </si>
  <si>
    <t>-965.54072845274 179.763872996443 -518.619104171499</t>
  </si>
  <si>
    <t>-935.186256081056 312.633330094426 -500.632914674498</t>
  </si>
  <si>
    <t>-899.097204270724 332.366916688614 -209.257841827759</t>
  </si>
  <si>
    <t>-660.462146290769 318.877442605095 -239.624842135519</t>
  </si>
  <si>
    <t>-974.343140432984 125.051203411693 -519.074086271566</t>
  </si>
  <si>
    <t>-921.420976557634 252.960874970348 -65.7076322183926</t>
  </si>
  <si>
    <t>-923.18782311574 266.657093747846 337.608616142757</t>
  </si>
  <si>
    <t>-949.61804570181 266.9061979793 784.802590964755</t>
  </si>
  <si>
    <t>-811.132817192889 313.091057727599 846.252249889843</t>
  </si>
  <si>
    <t>-912.162127958309 63.9821516039488 -61.8312331720991</t>
  </si>
  <si>
    <t>-847.567189072485 36.4477774793031 335.565248182444</t>
  </si>
  <si>
    <t>-894.719724188758 25.8819377898235 780.788979060148</t>
  </si>
  <si>
    <t>-801.246888820971 -79.1365962345155 853.735290905442</t>
  </si>
  <si>
    <t>9763-20170724T111155.612575800.bin</t>
  </si>
  <si>
    <t>-915.73889354897 156.518724951785 -62.611506610242</t>
  </si>
  <si>
    <t>-948.950353463564 151.600280513153 -173.467408446739</t>
  </si>
  <si>
    <t>-962.982329000987 150.332631131344 -271.079613575791</t>
  </si>
  <si>
    <t>-970.337743096888 149.970989064858 -359.871615449708</t>
  </si>
  <si>
    <t>-971.962812004458 150.126014538029 -448.95343690192</t>
  </si>
  <si>
    <t>-968.199769533501 150.647783689798 -573.478084248865</t>
  </si>
  <si>
    <t>-934.910356002674 148.559096877328 -649.586448706599</t>
  </si>
  <si>
    <t>-965.515158969148 177.783939286416 -518.435186731958</t>
  </si>
  <si>
    <t>-935.395717812718 310.690855829959 -500.378409289446</t>
  </si>
  <si>
    <t>-898.697320246601 330.626787782317 -209.093346753905</t>
  </si>
  <si>
    <t>-660.008785854359 317.873780748265 -239.360579089408</t>
  </si>
  <si>
    <t>-974.195958206227 123.052220072049 -518.926819970803</t>
  </si>
  <si>
    <t>-920.660283712982 250.926554980497 -65.6087981569679</t>
  </si>
  <si>
    <t>-923.079573167245 265.229431669311 337.682999220514</t>
  </si>
  <si>
    <t>-949.545289940149 266.641535490281 784.854549797392</t>
  </si>
  <si>
    <t>-811.237939774044 313.438607185098 846.24168853408</t>
  </si>
  <si>
    <t>-911.251290231781 62.0248756926881 -61.759991704651</t>
  </si>
  <si>
    <t>-848.137361395238 35.3270810036711 335.931545092901</t>
  </si>
  <si>
    <t>-894.759278237239 25.7449753380956 781.18542516376</t>
  </si>
  <si>
    <t>-800.932248851934 -79.0087239604802 854.058469414285</t>
  </si>
  <si>
    <t>9763-20170724T111155.684272800.bin</t>
  </si>
  <si>
    <t>-913.889254591182 153.318589078454 -62.3350813523481</t>
  </si>
  <si>
    <t>-947.61344484696 148.107235424968 -173.022720242877</t>
  </si>
  <si>
    <t>-962.064446486427 146.829557221597 -270.573732077143</t>
  </si>
  <si>
    <t>-969.78055745697 146.548208661461 -359.335297102561</t>
  </si>
  <si>
    <t>-971.741362589573 146.871587027722 -448.409985689314</t>
  </si>
  <si>
    <t>-968.418254036958 147.719007738548 -572.945293339349</t>
  </si>
  <si>
    <t>-935.25877468404 145.822067171666 -649.115500008834</t>
  </si>
  <si>
    <t>-965.67914729073 174.73308091735 -517.845116419997</t>
  </si>
  <si>
    <t>-936.095044116032 307.721650944177 -499.584078204956</t>
  </si>
  <si>
    <t>-898.191446647892 327.740696955773 -208.458985075266</t>
  </si>
  <si>
    <t>-659.415285739839 316.635598487745 -238.683737205194</t>
  </si>
  <si>
    <t>-974.082090031192 119.95907476064 -518.44194945115</t>
  </si>
  <si>
    <t>-919.268500756681 247.492186098857 -65.3475548422517</t>
  </si>
  <si>
    <t>-922.430207543138 263.253888696083 337.8846602763</t>
  </si>
  <si>
    <t>-949.613424449895 266.268324409642 785.073772370196</t>
  </si>
  <si>
    <t>-811.403405788786 313.569068889936 846.294228926495</t>
  </si>
  <si>
    <t>-909.003606830543 59.1667804665785 -61.5019152746011</t>
  </si>
  <si>
    <t>-848.76597531886 33.4159827339008 336.697818959193</t>
  </si>
  <si>
    <t>-894.744376845668 25.5699831945399 782.074814182978</t>
  </si>
  <si>
    <t>-800.578629327638 -78.9628315063687 854.827832239534</t>
  </si>
  <si>
    <t>9763-20170724T111155.714354600.bin</t>
  </si>
  <si>
    <t>-912.966788872359 152.255313068313 -62.1109240126087</t>
  </si>
  <si>
    <t>-946.963197370054 146.95904380688 -172.711225627795</t>
  </si>
  <si>
    <t>-961.625018163884 145.69129046427 -270.23079915572</t>
  </si>
  <si>
    <t>-969.519141532863 145.451276171148 -358.976889830227</t>
  </si>
  <si>
    <t>-971.643055792176 145.848556413878 -448.047560906623</t>
  </si>
  <si>
    <t>-968.529552680682 146.833141891954 -572.587201236482</t>
  </si>
  <si>
    <t>-935.442289714319 145.062638632709 -648.791693099785</t>
  </si>
  <si>
    <t>-965.769852378734 173.797482370328 -517.463681945416</t>
  </si>
  <si>
    <t>-936.482979127066 306.849902204005 -499.110122401302</t>
  </si>
  <si>
    <t>-897.996053484411 326.890132222103 -208.062987952417</t>
  </si>
  <si>
    <t>-659.195085571147 316.578124468298 -238.371380014532</t>
  </si>
  <si>
    <t>-974.029262265272 119.00221392642 -518.103254013456</t>
  </si>
  <si>
    <t>-918.570568679127 246.524203433221 -65.1111580977752</t>
  </si>
  <si>
    <t>-921.921503002852 262.379066040958 338.115864728036</t>
  </si>
  <si>
    <t>-949.719826512407 266.065612239721 785.269276873672</t>
  </si>
  <si>
    <t>-811.43935747797 313.304255317904 846.378085894308</t>
  </si>
  <si>
    <t>-907.873162445327 58.136929495784 -61.3180970294625</t>
  </si>
  <si>
    <t>-849.153137894733 32.6388003764105 337.124476531717</t>
  </si>
  <si>
    <t>-894.730394326508 25.4785867649575 782.543617176394</t>
  </si>
  <si>
    <t>-800.416237576672 -78.9636188200441 855.234456410491</t>
  </si>
  <si>
    <t>9763-20170724T111155.780545800.bin</t>
  </si>
  <si>
    <t>-910.944490566649 150.686313909363 -61.7224934852826</t>
  </si>
  <si>
    <t>-945.392650508998 145.182880716422 -172.172806972833</t>
  </si>
  <si>
    <t>-960.473363395857 143.905531326662 -269.628392286902</t>
  </si>
  <si>
    <t>-968.751663858759 143.725550482594 -358.339676534259</t>
  </si>
  <si>
    <t>-971.261464908008 144.254766200148 -447.399473700355</t>
  </si>
  <si>
    <t>-968.685473839118 145.499561396615 -571.949165654086</t>
  </si>
  <si>
    <t>-935.780854481369 143.980599647603 -648.238209904323</t>
  </si>
  <si>
    <t>-965.800678104987 172.3655808065 -516.783876418376</t>
  </si>
  <si>
    <t>-936.940352109639 305.496600580178 -498.328627532997</t>
  </si>
  <si>
    <t>-897.509421001957 325.61315999052 -207.413232001058</t>
  </si>
  <si>
    <t>-658.667102249334 316.544505563058 -237.793863922874</t>
  </si>
  <si>
    <t>-973.83745233809 117.537890470873 -517.498124799807</t>
  </si>
  <si>
    <t>-916.668554496945 244.770218418319 -64.6537122308077</t>
  </si>
  <si>
    <t>-920.972947977519 260.675290896679 338.562271136899</t>
  </si>
  <si>
    <t>-949.900015932091 265.674989429394 785.576083532126</t>
  </si>
  <si>
    <t>-811.743419659192 313.541697153275 846.475586601452</t>
  </si>
  <si>
    <t>-905.655737297015 56.4951224928818 -60.8205290243631</t>
  </si>
  <si>
    <t>-849.795147248371 31.4172356951767 338.059612069652</t>
  </si>
  <si>
    <t>-894.606777072562 25.3883153109368 783.511993990194</t>
  </si>
  <si>
    <t>-800.089825552945 -78.9548500956753 856.081178434249</t>
  </si>
  <si>
    <t>9763-20170724T111155.817140000.bin</t>
  </si>
  <si>
    <t>-910.009370509382 150.116208142067 -61.5418517065333</t>
  </si>
  <si>
    <t>-944.580119978101 144.523985009577 -171.949304068886</t>
  </si>
  <si>
    <t>-959.815680015277 143.241745273419 -269.380787719681</t>
  </si>
  <si>
    <t>-968.25151631761 143.087070597193 -358.077166198906</t>
  </si>
  <si>
    <t>-970.9351570347 143.673245334613 -447.131668565846</t>
  </si>
  <si>
    <t>-968.616522195247 145.031591594082 -571.685158742236</t>
  </si>
  <si>
    <t>-935.820172437608 143.614498799463 -648.022756543029</t>
  </si>
  <si>
    <t>-965.662141555944 171.853672549254 -516.502412442466</t>
  </si>
  <si>
    <t>-936.981043423163 305.017780937943 -498.006031759251</t>
  </si>
  <si>
    <t>-897.208778180448 325.168707565105 -207.139567890017</t>
  </si>
  <si>
    <t>-658.354733136945 316.627798906157 -237.58126582811</t>
  </si>
  <si>
    <t>-973.611564431357 117.013768522047 -517.248371868232</t>
  </si>
  <si>
    <t>-915.904679358213 244.195138565589 -64.4925011642656</t>
  </si>
  <si>
    <t>-920.718137992182 260.03286438981 338.720432947864</t>
  </si>
  <si>
    <t>-950.033717340125 265.617425486259 785.687289904165</t>
  </si>
  <si>
    <t>-811.888632299271 313.638015511603 846.493190630687</t>
  </si>
  <si>
    <t>-904.526984525316 55.9769275420317 -60.5741230897369</t>
  </si>
  <si>
    <t>-850.006462235405 30.9146577913657 338.492359471481</t>
  </si>
  <si>
    <t>-894.468115899919 25.4475058396229 783.978789301452</t>
  </si>
  <si>
    <t>-800.050284844952 -79.0111951198144 856.511307242047</t>
  </si>
  <si>
    <t>9763-20170724T111155.880808300.bin</t>
  </si>
  <si>
    <t>-908.540802221253 149.226432007621 -61.2182810834948</t>
  </si>
  <si>
    <t>-943.16458061425 143.538560549743 -171.604379044599</t>
  </si>
  <si>
    <t>-958.595303389008 142.243701553605 -269.004909835992</t>
  </si>
  <si>
    <t>-967.266393637881 142.107870650373 -357.678621876258</t>
  </si>
  <si>
    <t>-970.242459147695 142.746893287768 -446.723341062234</t>
  </si>
  <si>
    <t>-968.39128781189 144.217503508401 -571.283519589052</t>
  </si>
  <si>
    <t>-935.843508697754 142.905643053751 -647.729362233994</t>
  </si>
  <si>
    <t>-965.313855851078 171.00198189069 -516.08912676301</t>
  </si>
  <si>
    <t>-937.010715860112 304.245713377929 -497.555091931152</t>
  </si>
  <si>
    <t>-896.792759007424 324.302729083252 -206.743450652158</t>
  </si>
  <si>
    <t>-657.916221231505 316.617153246 -237.236382942032</t>
  </si>
  <si>
    <t>-973.097797755747 116.13849346708 -516.852510872573</t>
  </si>
  <si>
    <t>-914.741667553029 243.234289810826 -64.2358752642639</t>
  </si>
  <si>
    <t>-920.367017683771 259.149398416902 338.963463843376</t>
  </si>
  <si>
    <t>-950.283066032387 265.541910750444 785.845189087594</t>
  </si>
  <si>
    <t>-812.115736824075 313.703492270487 846.487592221337</t>
  </si>
  <si>
    <t>-902.703258303098 55.084532765386 -60.1685747831052</t>
  </si>
  <si>
    <t>-850.311170397032 30.0240368526693 339.183060833947</t>
  </si>
  <si>
    <t>-894.312438614919 25.3794003151952 784.808211298135</t>
  </si>
  <si>
    <t>-799.73318847659 -78.9830123532743 857.268665683332</t>
  </si>
  <si>
    <t>9763-20170724T111155.917912400.bin</t>
  </si>
  <si>
    <t>-907.900698340645 148.710092228826 -61.2463089897121</t>
  </si>
  <si>
    <t>-942.565702412773 142.955456698539 -171.615957728399</t>
  </si>
  <si>
    <t>-958.082951503172 141.644995293914 -269.002454425993</t>
  </si>
  <si>
    <t>-966.851826709908 141.512588443832 -357.666601967202</t>
  </si>
  <si>
    <t>-969.944374946879 142.173662249181 -446.707300551149</t>
  </si>
  <si>
    <t>-968.27449921509 143.695264656262 -571.269353318231</t>
  </si>
  <si>
    <t>-935.837649260607 142.411562784229 -647.762956779911</t>
  </si>
  <si>
    <t>-965.165317662059 170.463885118346 -516.069084992215</t>
  </si>
  <si>
    <t>-937.068551881382 303.748747502579 -497.530553566354</t>
  </si>
  <si>
    <t>-896.705632688095 323.730653060565 -206.733751236445</t>
  </si>
  <si>
    <t>-657.832422683228 316.394215414218 -237.338944463668</t>
  </si>
  <si>
    <t>-972.853212411887 115.587069970205 -516.84246421861</t>
  </si>
  <si>
    <t>-914.282702529991 242.698151734049 -64.2779222976284</t>
  </si>
  <si>
    <t>-920.01093446796 258.89034447725 338.908961752564</t>
  </si>
  <si>
    <t>-950.416697288295 265.530616714825 785.741125704249</t>
  </si>
  <si>
    <t>-812.134873130177 313.44615847536 846.318195473413</t>
  </si>
  <si>
    <t>-901.875319046939 54.486254121874 -60.1855877165397</t>
  </si>
  <si>
    <t>-850.308649728609 29.6074402493332 339.284839756689</t>
  </si>
  <si>
    <t>-894.246810490494 25.3340234389229 784.980209994937</t>
  </si>
  <si>
    <t>-799.588676027267 -78.9782494640604 857.410327177356</t>
  </si>
  <si>
    <t>9763-20170724T111155.981083400.bin</t>
  </si>
  <si>
    <t>-906.561446226108 147.50228674641 -61.4106656065059</t>
  </si>
  <si>
    <t>-941.376806134763 141.64298825594 -171.727359548057</t>
  </si>
  <si>
    <t>-957.051373720578 140.29994064991 -269.088381204795</t>
  </si>
  <si>
    <t>-965.971945001274 140.160241481595 -357.737397776319</t>
  </si>
  <si>
    <t>-969.224020056222 140.839448953802 -446.772231693931</t>
  </si>
  <si>
    <t>-967.783665429705 142.41348656563 -571.336463708611</t>
  </si>
  <si>
    <t>-935.465728209369 141.150073653127 -647.880289254129</t>
  </si>
  <si>
    <t>-964.685882936446 169.174645847823 -516.131705130279</t>
  </si>
  <si>
    <t>-937.063389678986 302.558811980664 -497.595886671031</t>
  </si>
  <si>
    <t>-896.467437233184 322.600121319044 -206.83555713236</t>
  </si>
  <si>
    <t>-657.602418068117 315.808009013177 -237.629204476956</t>
  </si>
  <si>
    <t>-972.149274477563 114.266988197859 -516.912053940257</t>
  </si>
  <si>
    <t>-913.140342477833 241.573259067548 -64.4856846604426</t>
  </si>
  <si>
    <t>-918.900894502975 258.310399313044 338.678517784257</t>
  </si>
  <si>
    <t>-950.553561784991 265.33462900728 785.40936424061</t>
  </si>
  <si>
    <t>-812.392280825605 313.727424323802 845.881477529885</t>
  </si>
  <si>
    <t>-900.321968300316 53.2382555579252 -60.3462421413648</t>
  </si>
  <si>
    <t>-849.887589013323 28.6521810146178 339.286787962729</t>
  </si>
  <si>
    <t>-894.14064682424 25.1831695679703 785.068917115654</t>
  </si>
  <si>
    <t>-799.260717224546 -78.9565831634302 857.457086699852</t>
  </si>
  <si>
    <t>9763-20170724T111156.013167400.bin</t>
  </si>
  <si>
    <t>-905.942950600903 147.123539145799 -61.4833277137831</t>
  </si>
  <si>
    <t>-940.835967451714 141.207642065211 -171.772528741147</t>
  </si>
  <si>
    <t>-956.584019041392 139.83513591244 -269.121344312112</t>
  </si>
  <si>
    <t>-965.57298073381 139.676868116679 -357.763241511562</t>
  </si>
  <si>
    <t>-968.895386952549 140.346649088272 -446.795632124764</t>
  </si>
  <si>
    <t>-967.554464884485 141.918453955619 -571.360978097388</t>
  </si>
  <si>
    <t>-935.252824395546 140.658904170374 -647.912025915209</t>
  </si>
  <si>
    <t>-964.472590183686 168.688690044474 -516.159917224487</t>
  </si>
  <si>
    <t>-937.117176507049 302.130890153379 -497.651004710712</t>
  </si>
  <si>
    <t>-896.39355344357 322.357273600748 -206.921524794053</t>
  </si>
  <si>
    <t>-657.521179602507 315.787972314717 -237.707917234522</t>
  </si>
  <si>
    <t>-971.816327144806 113.764652902689 -516.932073448794</t>
  </si>
  <si>
    <t>-912.661094936142 241.281138681447 -64.5767331965186</t>
  </si>
  <si>
    <t>-918.426091629752 258.180262976078 338.580676729822</t>
  </si>
  <si>
    <t>-950.717371302758 265.380358972349 785.236602920513</t>
  </si>
  <si>
    <t>-812.384897110135 313.315191595257 845.681492257023</t>
  </si>
  <si>
    <t>-899.612088219146 52.8491264327463 -60.3925816244273</t>
  </si>
  <si>
    <t>-849.453234390685 28.2268771216945 339.272890645497</t>
  </si>
  <si>
    <t>-894.033718727999 25.1659598960027 785.050633717174</t>
  </si>
  <si>
    <t>-799.080563905345 -78.9067716698414 857.439350652555</t>
  </si>
  <si>
    <t>9763-20170724T111156.082114600.bin</t>
  </si>
  <si>
    <t>-904.690365214849 146.758745633211 -61.6209450906879</t>
  </si>
  <si>
    <t>-939.676796879801 140.696300919103 -171.872514770252</t>
  </si>
  <si>
    <t>-955.551162697941 139.263734731494 -269.199933404179</t>
  </si>
  <si>
    <t>-964.670394100267 139.077351110165 -357.828650512687</t>
  </si>
  <si>
    <t>-968.137941942899 139.747147176311 -446.855481161897</t>
  </si>
  <si>
    <t>-967.013963259234 141.349664424327 -571.422549033346</t>
  </si>
  <si>
    <t>-934.67477694474 140.099607525053 -647.957790813014</t>
  </si>
  <si>
    <t>-963.930467830037 168.118771496792 -516.221028506295</t>
  </si>
  <si>
    <t>-936.946673942194 301.63936882761 -497.740020315306</t>
  </si>
  <si>
    <t>-895.926322655534 322.400664301097 -207.089803989008</t>
  </si>
  <si>
    <t>-657.038155606698 316.089720438129 -237.805225959218</t>
  </si>
  <si>
    <t>-971.086640355468 113.170085164704 -516.992539172924</t>
  </si>
  <si>
    <t>-801.163055635696 0.727422822894368 -340.00639452587</t>
  </si>
  <si>
    <t>-911.645145272421 240.878763230052 -64.7574580132043</t>
  </si>
  <si>
    <t>-917.630724494959 258.047149942695 338.385263863845</t>
  </si>
  <si>
    <t>-950.906716302626 265.349691101645 784.882670450862</t>
  </si>
  <si>
    <t>-812.684677762048 313.6555268212 845.285510696249</t>
  </si>
  <si>
    <t>-898.112514396059 52.521135490023 -60.4607377017068</t>
  </si>
  <si>
    <t>-848.274367651469 27.6774186305011 339.231182962423</t>
  </si>
  <si>
    <t>-893.758151017054 25.2258887422213 784.976839860055</t>
  </si>
  <si>
    <t>-799.043795362608 -79.041511409763 857.397894942602</t>
  </si>
  <si>
    <t>9763-20170724T111156.117712400.bin</t>
  </si>
  <si>
    <t>-904.081342807555 146.645546567572 -61.6743451242813</t>
  </si>
  <si>
    <t>-939.08596864515 140.520731654157 -171.916731043705</t>
  </si>
  <si>
    <t>-954.996466433684 139.058535630564 -269.23776528576</t>
  </si>
  <si>
    <t>-964.156092278382 138.854661660966 -357.862322492423</t>
  </si>
  <si>
    <t>-967.671366713106 139.517818765678 -446.887079022289</t>
  </si>
  <si>
    <t>-966.621375575714 141.12209955069 -571.455025709882</t>
  </si>
  <si>
    <t>-934.238366863943 139.849952776748 -647.971466142379</t>
  </si>
  <si>
    <t>-963.546313268462 167.895797911966 -516.255155309526</t>
  </si>
  <si>
    <t>-936.751569388098 301.457965875423 -497.7893268708</t>
  </si>
  <si>
    <t>-895.513995788115 322.352766160545 -207.179405636209</t>
  </si>
  <si>
    <t>-656.605922393097 316.193973682683 -237.77180258539</t>
  </si>
  <si>
    <t>-970.620676713288 112.936566565968 -517.022547197294</t>
  </si>
  <si>
    <t>-799.447831208422 0.370792337726471 -339.386481473663</t>
  </si>
  <si>
    <t>-911.176249010147 240.822991896311 -64.8497604918726</t>
  </si>
  <si>
    <t>-917.243220302372 258.000357619986 338.291370978262</t>
  </si>
  <si>
    <t>-950.991833768026 265.339109245535 784.720759883434</t>
  </si>
  <si>
    <t>-812.774205700722 313.670385796369 845.113782498093</t>
  </si>
  <si>
    <t>-897.366790566555 52.3391368627017 -60.5079491045653</t>
  </si>
  <si>
    <t>-847.735192357595 27.5007209175669 339.20993645906</t>
  </si>
  <si>
    <t>-893.632248690386 25.2427172867415 784.93944551122</t>
  </si>
  <si>
    <t>-798.963782318061 -79.0629690080323 857.365132989514</t>
  </si>
  <si>
    <t>9763-20170724T111156.184391600.bin</t>
  </si>
  <si>
    <t>-903.008443368116 146.562268957832 -61.7615456190034</t>
  </si>
  <si>
    <t>-938.016652362561 140.322787418026 -171.996547456647</t>
  </si>
  <si>
    <t>-953.93469477986 138.811328268359 -269.315504543396</t>
  </si>
  <si>
    <t>-963.101776031624 138.581590693299 -357.939047670892</t>
  </si>
  <si>
    <t>-966.623988165616 139.239175279953 -446.963792286388</t>
  </si>
  <si>
    <t>-965.582146053085 140.85764528273 -571.531434073474</t>
  </si>
  <si>
    <t>-933.114970787304 139.566037997259 -648.011853354801</t>
  </si>
  <si>
    <t>-962.593634720469 167.636638600617 -516.329523897356</t>
  </si>
  <si>
    <t>-936.238164628188 301.280145353246 -497.814532723982</t>
  </si>
  <si>
    <t>-894.687038433583 322.203280842036 -207.251447692252</t>
  </si>
  <si>
    <t>-655.755672348666 316.466098803738 -237.744621399363</t>
  </si>
  <si>
    <t>-969.48779753094 112.654446245342 -517.101430101199</t>
  </si>
  <si>
    <t>-910.380064518964 240.871365870711 -65.0027759417586</t>
  </si>
  <si>
    <t>-916.514728275168 257.987238374343 338.140022794925</t>
  </si>
  <si>
    <t>-951.240950766483 265.426904321045 784.460408999099</t>
  </si>
  <si>
    <t>-812.955887785304 313.585863615477 844.836044109603</t>
  </si>
  <si>
    <t>-896.054905461318 52.1729536905682 -60.5783842038476</t>
  </si>
  <si>
    <t>-846.744563502134 27.257425818615 339.174479748436</t>
  </si>
  <si>
    <t>-893.433312087392 25.1725369235778 784.848115531806</t>
  </si>
  <si>
    <t>-798.724678137127 -79.0886848503906 857.285649264758</t>
  </si>
  <si>
    <t>9763-20170724T111156.216478000.bin</t>
  </si>
  <si>
    <t>-902.527630408277 146.58262028712 -61.8189186557058</t>
  </si>
  <si>
    <t>-937.534513809205 140.271452827217 -172.050017540687</t>
  </si>
  <si>
    <t>-953.432160546217 138.729179983036 -269.371989601794</t>
  </si>
  <si>
    <t>-962.571043801259 138.482831846562 -357.998433978742</t>
  </si>
  <si>
    <t>-966.05506086178 139.135003740676 -447.024747632434</t>
  </si>
  <si>
    <t>-964.949062304228 140.756600936325 -571.591775198478</t>
  </si>
  <si>
    <t>-932.426096173513 139.470207708261 -648.048368831759</t>
  </si>
  <si>
    <t>-962.031533124102 167.539473127337 -516.387845965452</t>
  </si>
  <si>
    <t>-935.916480222054 301.227078038421 -497.829731473635</t>
  </si>
  <si>
    <t>-894.281488678734 322.110499816258 -207.275938275233</t>
  </si>
  <si>
    <t>-655.320626617681 316.5670523296 -237.573028857707</t>
  </si>
  <si>
    <t>-968.83999316046 112.546725919134 -517.164199705504</t>
  </si>
  <si>
    <t>-910.038096683916 240.841348274309 -65.0612764577634</t>
  </si>
  <si>
    <t>-916.094068475147 258.003172635318 338.080766420173</t>
  </si>
  <si>
    <t>-951.259950766874 265.307977474802 784.361527270875</t>
  </si>
  <si>
    <t>-813.107871918999 313.873387127672 844.715860095522</t>
  </si>
  <si>
    <t>-895.427746363303 52.2331829206341 -60.6058010026853</t>
  </si>
  <si>
    <t>-846.177990452285 27.1709420332245 339.145430694752</t>
  </si>
  <si>
    <t>-893.268707029841 25.2255228390427 784.787883334641</t>
  </si>
  <si>
    <t>-798.720814127064 -79.1623771654949 857.252970787461</t>
  </si>
  <si>
    <t>9763-20170724T111156.282628300.bin</t>
  </si>
  <si>
    <t>-901.71983220258 146.593142650298 -61.9063544091513</t>
  </si>
  <si>
    <t>-936.724806782425 140.16121207715 -172.131211917414</t>
  </si>
  <si>
    <t>-952.544690933754 138.533392015474 -269.464320379401</t>
  </si>
  <si>
    <t>-961.581623623582 138.212383253523 -358.10105721231</t>
  </si>
  <si>
    <t>-964.931452481062 138.791626017542 -447.132967358872</t>
  </si>
  <si>
    <t>-963.604301202768 140.311757011521 -571.699136477178</t>
  </si>
  <si>
    <t>-930.929064897181 139.044508147108 -648.091386178427</t>
  </si>
  <si>
    <t>-960.863069418045 167.149112378866 -516.51261400183</t>
  </si>
  <si>
    <t>-935.25219796913 300.92133268547 -497.903393092277</t>
  </si>
  <si>
    <t>-893.762710342263 321.805970129888 -207.328661753068</t>
  </si>
  <si>
    <t>-654.796903246192 316.734303240566 -237.667132353232</t>
  </si>
  <si>
    <t>-967.513572207569 112.13655403984 -517.25490555511</t>
  </si>
  <si>
    <t>-909.458293466321 240.791431252836 -65.1579637603054</t>
  </si>
  <si>
    <t>-915.492854701871 258.068568224061 337.97941631436</t>
  </si>
  <si>
    <t>-951.336609842608 265.144642647032 784.173192162391</t>
  </si>
  <si>
    <t>-813.265385472281 313.977585600484 844.497030946087</t>
  </si>
  <si>
    <t>-894.358635970081 52.283745402246 -60.6461643363921</t>
  </si>
  <si>
    <t>-845.013933391312 26.9183506298791 339.074206532398</t>
  </si>
  <si>
    <t>-893.027651346851 25.1683200709936 784.668671484789</t>
  </si>
  <si>
    <t>-798.503217184349 -79.2037610364298 857.186707459324</t>
  </si>
  <si>
    <t>9763-20170724T111156.314725000.bin</t>
  </si>
  <si>
    <t>-901.351585686033 146.657967909156 -61.9382151971745</t>
  </si>
  <si>
    <t>-936.347852775011 140.1879804102 -172.1636086343</t>
  </si>
  <si>
    <t>-952.119785219866 138.523932068792 -269.503861655785</t>
  </si>
  <si>
    <t>-961.09722253077 138.166327443404 -358.146426902948</t>
  </si>
  <si>
    <t>-964.370565696258 138.703689895936 -447.181453432229</t>
  </si>
  <si>
    <t>-962.920004625412 140.158996939726 -571.747175588723</t>
  </si>
  <si>
    <t>-930.143002093775 138.891137429765 -648.095560057113</t>
  </si>
  <si>
    <t>-960.252892778227 167.027287684951 -516.572013945093</t>
  </si>
  <si>
    <t>-934.798064917057 300.826954633464 -497.953856359697</t>
  </si>
  <si>
    <t>-893.346622763236 321.780402348782 -207.378620159697</t>
  </si>
  <si>
    <t>-654.39925911929 316.908519612307 -237.896653434563</t>
  </si>
  <si>
    <t>-966.863644535654 112.009709120404 -517.291868798294</t>
  </si>
  <si>
    <t>-909.211926796253 240.886343749438 -65.20279471685</t>
  </si>
  <si>
    <t>-915.362018803706 258.075066452423 337.9366876075</t>
  </si>
  <si>
    <t>-951.393616361961 265.14723560372 784.072923908472</t>
  </si>
  <si>
    <t>-813.41753764102 314.223291867933 844.416872353351</t>
  </si>
  <si>
    <t>-893.856069294045 52.3291106257548 -60.6623280122301</t>
  </si>
  <si>
    <t>-844.343883499653 26.8359229643752 339.029163516255</t>
  </si>
  <si>
    <t>-892.82048741282 25.2768562594629 784.59943355825</t>
  </si>
  <si>
    <t>-798.549962738211 -79.2948432669164 857.160803725174</t>
  </si>
  <si>
    <t>9763-20170724T111156.383694100.bin</t>
  </si>
  <si>
    <t>-900.723887059274 146.540435498176 -62.0456773852343</t>
  </si>
  <si>
    <t>-935.648158222147 140.013464251074 -172.29046152271</t>
  </si>
  <si>
    <t>-951.293620034503 138.312069580352 -269.650594310434</t>
  </si>
  <si>
    <t>-960.128778793403 137.921118432225 -358.30721373437</t>
  </si>
  <si>
    <t>-963.233221478579 138.423702553274 -447.348514860649</t>
  </si>
  <si>
    <t>-961.517337316467 139.825998798173 -571.91146201071</t>
  </si>
  <si>
    <t>-928.506467001858 138.536745341877 -648.158754893884</t>
  </si>
  <si>
    <t>-958.958859933735 166.717009609816 -516.742100462472</t>
  </si>
  <si>
    <t>-933.588059849091 300.528789322821 -498.057646053911</t>
  </si>
  <si>
    <t>-892.12334895749 321.631754093019 -207.495076218481</t>
  </si>
  <si>
    <t>-653.176969911402 317.017136242935 -238.058453462865</t>
  </si>
  <si>
    <t>-965.585856127028 111.70092440113 -517.452749288671</t>
  </si>
  <si>
    <t>-908.685469498473 240.886248212492 -65.4093470913231</t>
  </si>
  <si>
    <t>-915.235349253024 257.923287582724 337.730213644779</t>
  </si>
  <si>
    <t>-951.233281504632 264.976462786774 783.797399831217</t>
  </si>
  <si>
    <t>-813.457433996065 314.336546757151 844.367598978709</t>
  </si>
  <si>
    <t>-893.1166550262 52.0331896105399 -60.7203443177335</t>
  </si>
  <si>
    <t>-843.477824498632 26.6364373125944 338.961618654218</t>
  </si>
  <si>
    <t>-892.609267387093 25.2394646832986 784.490891096203</t>
  </si>
  <si>
    <t>-798.358885747544 -79.3213515957209 857.093971840277</t>
  </si>
  <si>
    <t>9763-20170724T111156.416786900.bin</t>
  </si>
  <si>
    <t>-900.434203985746 146.540373375935 -62.1129178046117</t>
  </si>
  <si>
    <t>-935.318654334864 139.988048739746 -172.36892093693</t>
  </si>
  <si>
    <t>-950.903144497181 138.280854344596 -269.738617872926</t>
  </si>
  <si>
    <t>-959.67229061509 137.889449440218 -358.402053567739</t>
  </si>
  <si>
    <t>-962.698698520743 138.395051050717 -447.445910723753</t>
  </si>
  <si>
    <t>-960.862011502393 139.804364093227 -572.006896900066</t>
  </si>
  <si>
    <t>-927.743141331936 138.482321979165 -648.206824484826</t>
  </si>
  <si>
    <t>-958.339547498206 166.689843409422 -516.833453933686</t>
  </si>
  <si>
    <t>-932.951046860197 300.483979416339 -498.09408360187</t>
  </si>
  <si>
    <t>-891.467015613421 321.561936453712 -207.532555822895</t>
  </si>
  <si>
    <t>-652.516419169583 316.996422071309 -238.071498932953</t>
  </si>
  <si>
    <t>-965.000780787502 111.678333819006 -517.554136617337</t>
  </si>
  <si>
    <t>-908.396992124043 240.996780827695 -65.5281787960558</t>
  </si>
  <si>
    <t>-915.193943432939 257.889188936703 337.613343873257</t>
  </si>
  <si>
    <t>-951.287388227983 265.07698169598 783.689866961369</t>
  </si>
  <si>
    <t>-813.512552775829 314.341944502264 844.339451174285</t>
  </si>
  <si>
    <t>-892.875996319866 52.0382118477701 -60.7481196654447</t>
  </si>
  <si>
    <t>-843.21670834669 26.6069098115522 338.929084661595</t>
  </si>
  <si>
    <t>-892.534661310156 25.1834802466992 784.450560544046</t>
  </si>
  <si>
    <t>-798.23476381692 -79.3216584335157 857.069468948377</t>
  </si>
  <si>
    <t>9763-20170724T111156.482876200.bin</t>
  </si>
  <si>
    <t>-900.024065182888 146.926294940123 -62.1958670378232</t>
  </si>
  <si>
    <t>-934.829825106766 140.451397881601 -172.481251671034</t>
  </si>
  <si>
    <t>-950.292006365508 138.790822881474 -269.871266566656</t>
  </si>
  <si>
    <t>-958.929142901324 138.435096121395 -358.547761217248</t>
  </si>
  <si>
    <t>-961.803505420979 138.970327728786 -447.596554918764</t>
  </si>
  <si>
    <t>-959.733855901772 140.41527056251 -572.153477799629</t>
  </si>
  <si>
    <t>-926.44030281783 139.022662778629 -648.275925198042</t>
  </si>
  <si>
    <t>-957.293786490106 167.28273602965 -516.967430236257</t>
  </si>
  <si>
    <t>-931.969185199255 301.081144341346 -498.107537856353</t>
  </si>
  <si>
    <t>-890.540026868175 321.779453864331 -207.510754960818</t>
  </si>
  <si>
    <t>-651.603739117797 317.527596749187 -238.205916168843</t>
  </si>
  <si>
    <t>-963.995708842569 112.276285906506 -517.716871221101</t>
  </si>
  <si>
    <t>-907.846160875076 241.420633684675 -65.6358471473437</t>
  </si>
  <si>
    <t>-914.947398848156 258.116173432822 337.508712654722</t>
  </si>
  <si>
    <t>-951.352347127242 265.185424912711 783.564009398036</t>
  </si>
  <si>
    <t>-813.642343561179 314.508435125303 844.314174212554</t>
  </si>
  <si>
    <t>-892.66346451457 52.4587425091704 -60.7785189740766</t>
  </si>
  <si>
    <t>-842.812562686374 26.6457741506256 338.850296572611</t>
  </si>
  <si>
    <t>-892.342818784682 25.1518216709587 784.377766307415</t>
  </si>
  <si>
    <t>-797.819794330559 -79.1364541655089 857.018268179515</t>
  </si>
  <si>
    <t>9763-20170724T111156.516966100.bin</t>
  </si>
  <si>
    <t>-899.888683631632 147.238415396118 -62.1979539355272</t>
  </si>
  <si>
    <t>-934.67387032135 140.800272351131 -172.491796839883</t>
  </si>
  <si>
    <t>-950.073477340445 139.157643571841 -269.892255935412</t>
  </si>
  <si>
    <t>-958.636546304568 138.813420081051 -358.575895851142</t>
  </si>
  <si>
    <t>-961.419588722947 139.354520708375 -447.62753505427</t>
  </si>
  <si>
    <t>-959.20450717486 140.802219234524 -572.182031731125</t>
  </si>
  <si>
    <t>-925.830889134959 139.373735990149 -648.268769201399</t>
  </si>
  <si>
    <t>-956.814232842658 167.666365324008 -516.992208272468</t>
  </si>
  <si>
    <t>-931.493527925791 301.451296382347 -498.074914314085</t>
  </si>
  <si>
    <t>-890.189002055632 322.013457445687 -207.451025963383</t>
  </si>
  <si>
    <t>-651.269653898895 317.875223352965 -238.294619895713</t>
  </si>
  <si>
    <t>-963.544065684442 112.663757796944 -517.751153200432</t>
  </si>
  <si>
    <t>-907.641223489373 241.742236789602 -65.6190921065812</t>
  </si>
  <si>
    <t>-914.828732454191 258.367312106494 337.526842427842</t>
  </si>
  <si>
    <t>-951.451602067741 265.256897201561 783.583937808074</t>
  </si>
  <si>
    <t>-813.670087942836 314.375358494668 844.337061263125</t>
  </si>
  <si>
    <t>-892.586486268229 52.7266947700155 -60.780419220458</t>
  </si>
  <si>
    <t>-842.599141674493 26.7330503813105 338.819754439898</t>
  </si>
  <si>
    <t>-892.255804925226 25.1410519739657 784.361449540006</t>
  </si>
  <si>
    <t>-797.808204825578 -79.2047341323901 857.017853905227</t>
  </si>
  <si>
    <t>9763-20170724T111156.581154500.bin</t>
  </si>
  <si>
    <t>-899.656682630911 147.578776765409 -62.0858350172199</t>
  </si>
  <si>
    <t>-934.39021556666 141.23995667154 -172.401745973055</t>
  </si>
  <si>
    <t>-949.625543969927 139.635954476528 -269.828437315824</t>
  </si>
  <si>
    <t>-957.993516775401 139.307146271029 -358.53100008693</t>
  </si>
  <si>
    <t>-960.53554229667 139.842763332937 -447.589827521081</t>
  </si>
  <si>
    <t>-957.937430960593 141.259440793308 -572.137279748294</t>
  </si>
  <si>
    <t>-924.369772018746 139.737154731562 -648.136749504423</t>
  </si>
  <si>
    <t>-955.665902041078 168.13118582083 -516.946058341957</t>
  </si>
  <si>
    <t>-930.251672336502 301.89326036254 -497.988955350054</t>
  </si>
  <si>
    <t>-889.397726092291 322.422755977972 -207.298919645048</t>
  </si>
  <si>
    <t>-650.492740934135 318.150616318028 -238.234044072537</t>
  </si>
  <si>
    <t>-962.495193989316 113.14097529636 -517.714048676437</t>
  </si>
  <si>
    <t>-907.328102736105 242.189565866354 -65.5069208787276</t>
  </si>
  <si>
    <t>-914.791993710809 258.462290801114 337.648292462018</t>
  </si>
  <si>
    <t>-951.640500903137 265.276383688627 783.701553000694</t>
  </si>
  <si>
    <t>-813.814741216145 314.333110520558 844.404205298059</t>
  </si>
  <si>
    <t>-892.415493469935 52.8346289195674 -60.7220737677832</t>
  </si>
  <si>
    <t>-842.374970795004 26.6903478246759 338.861591918895</t>
  </si>
  <si>
    <t>-892.129453263425 25.0629560970087 784.349624679106</t>
  </si>
  <si>
    <t>-797.772191283135 -79.3574433197209 857.015839040373</t>
  </si>
  <si>
    <t>9763-20170724T111156.613241900.bin</t>
  </si>
  <si>
    <t>-899.607445098821 147.728287284735 -62.0416609199392</t>
  </si>
  <si>
    <t>-934.304159146116 141.441008237381 -172.372273674804</t>
  </si>
  <si>
    <t>-949.477503835993 139.841409596415 -269.808691433204</t>
  </si>
  <si>
    <t>-957.777665285534 139.500451426671 -358.517481253047</t>
  </si>
  <si>
    <t>-960.241978994301 140.006236756335 -447.578662415552</t>
  </si>
  <si>
    <t>-957.525114056011 141.362638683041 -572.124272026254</t>
  </si>
  <si>
    <t>-923.868397664655 139.764955851726 -648.082860569092</t>
  </si>
  <si>
    <t>-955.271328232262 168.256713864925 -516.943238977841</t>
  </si>
  <si>
    <t>-929.74167883596 302.00466748442 -497.986769784046</t>
  </si>
  <si>
    <t>-889.115860057301 322.525215550655 -207.264108079148</t>
  </si>
  <si>
    <t>-650.218371447239 318.115762263772 -238.238992741792</t>
  </si>
  <si>
    <t>-962.170120698582 113.274873355042 -517.69251066612</t>
  </si>
  <si>
    <t>-907.338153774995 242.45868407304 -65.4408692836541</t>
  </si>
  <si>
    <t>-914.984303256348 258.534305814841 337.718865471001</t>
  </si>
  <si>
    <t>-951.904759374664 265.488040239264 783.781081981584</t>
  </si>
  <si>
    <t>-813.88331268029 314.051391508527 844.435087620329</t>
  </si>
  <si>
    <t>-892.336303147318 52.9125513691479 -60.6922880457429</t>
  </si>
  <si>
    <t>-842.39876380592 26.6737132622088 338.898078656317</t>
  </si>
  <si>
    <t>-892.051400210807 25.0624817987982 784.358340465461</t>
  </si>
  <si>
    <t>-797.814722734886 -79.4668680468408 857.024799740243</t>
  </si>
  <si>
    <t>9763-20170724T111156.679979300.bin</t>
  </si>
  <si>
    <t>-899.685406029367 147.851455630865 -61.9934376626484</t>
  </si>
  <si>
    <t>-934.364368732887 141.639577639227 -172.3339644501</t>
  </si>
  <si>
    <t>-949.484587349932 140.070932482274 -269.779103265795</t>
  </si>
  <si>
    <t>-957.722433942941 139.741327715145 -358.493646573952</t>
  </si>
  <si>
    <t>-960.109792659808 140.239201640146 -447.557079237343</t>
  </si>
  <si>
    <t>-957.271949383973 141.562367141847 -572.100240060793</t>
  </si>
  <si>
    <t>-923.4284361789 139.78103256975 -647.971680157167</t>
  </si>
  <si>
    <t>-955.007798412227 168.463165204087 -516.923032207944</t>
  </si>
  <si>
    <t>-929.271157128975 302.153720295551 -497.909715664269</t>
  </si>
  <si>
    <t>-888.873830653977 322.266088711918 -207.12670844519</t>
  </si>
  <si>
    <t>-650.028653607841 317.518762789294 -238.451707052941</t>
  </si>
  <si>
    <t>-962.033468258455 113.497197619247 -517.667036167799</t>
  </si>
  <si>
    <t>-907.538774289903 242.721992733972 -65.3518278916821</t>
  </si>
  <si>
    <t>-915.414202498332 258.439887932107 337.817686996997</t>
  </si>
  <si>
    <t>-952.195042329873 265.592919195994 783.908600940675</t>
  </si>
  <si>
    <t>-814.118108455192 314.115307899842 844.469527839939</t>
  </si>
  <si>
    <t>-892.251486133614 52.9160263024837 -60.676398513438</t>
  </si>
  <si>
    <t>-842.485154251186 26.6283439383974 338.932078211016</t>
  </si>
  <si>
    <t>-891.848437281624 25.1479447460379 784.366565277887</t>
  </si>
  <si>
    <t>-797.76789474433 -79.5201606176565 857.035426384238</t>
  </si>
  <si>
    <t>9763-20170724T111156.716073600.bin</t>
  </si>
  <si>
    <t>-899.686385357497 147.835251311285 -61.9663112761132</t>
  </si>
  <si>
    <t>-934.360310147287 141.662778119264 -172.310480772523</t>
  </si>
  <si>
    <t>-949.456153647423 140.128293636917 -269.759993238042</t>
  </si>
  <si>
    <t>-957.663608881351 139.828734285625 -358.477553781979</t>
  </si>
  <si>
    <t>-960.01225523428 140.355650153536 -447.541704136349</t>
  </si>
  <si>
    <t>-957.111441360703 141.716451474347 -572.083096835404</t>
  </si>
  <si>
    <t>-923.167181093348 139.84193141968 -647.907276500555</t>
  </si>
  <si>
    <t>-954.859161146069 168.598444406503 -516.89621807078</t>
  </si>
  <si>
    <t>-929.074768328495 302.262079996986 -497.781280746138</t>
  </si>
  <si>
    <t>-888.69067895045 322.071816209291 -206.975639150699</t>
  </si>
  <si>
    <t>-649.886401769632 317.194238918213 -238.59292910903</t>
  </si>
  <si>
    <t>-961.916995282345 113.63678822675 -517.661195990179</t>
  </si>
  <si>
    <t>-907.546257485184 242.771967946282 -65.3199807742216</t>
  </si>
  <si>
    <t>-915.500756022029 258.352979148782 337.853256135045</t>
  </si>
  <si>
    <t>-952.304187047852 265.622728438965 783.948425365364</t>
  </si>
  <si>
    <t>-814.226531684314 314.178858260444 844.480917144177</t>
  </si>
  <si>
    <t>-892.187813031059 52.8137095334691 -60.6919480915751</t>
  </si>
  <si>
    <t>-842.48819681548 26.5865859090841 338.928805409568</t>
  </si>
  <si>
    <t>-891.770984688035 25.1608433780484 784.368652708089</t>
  </si>
  <si>
    <t>-797.680908868715 -79.5014431435329 857.033525938871</t>
  </si>
  <si>
    <t>9763-20170724T111156.779861300.bin</t>
  </si>
  <si>
    <t>-899.495141255928 147.582481005254 -61.9834397760018</t>
  </si>
  <si>
    <t>-934.257595165557 141.461903831093 -172.302812683992</t>
  </si>
  <si>
    <t>-949.370012498367 140.029218308145 -269.751298807918</t>
  </si>
  <si>
    <t>-957.565914949221 139.843464314853 -358.470086375812</t>
  </si>
  <si>
    <t>-959.875321015913 140.503072143956 -447.534570845674</t>
  </si>
  <si>
    <t>-956.889839669317 142.069025944741 -572.071589963144</t>
  </si>
  <si>
    <t>-922.721787926029 140.048790391607 -647.79129098883</t>
  </si>
  <si>
    <t>-954.66391128282 168.85882247307 -516.838654096149</t>
  </si>
  <si>
    <t>-928.808707974416 302.475468915092 -497.432664443451</t>
  </si>
  <si>
    <t>-888.425326852282 321.329161140176 -206.563339176271</t>
  </si>
  <si>
    <t>-649.669007073388 316.328806181536 -238.520384797708</t>
  </si>
  <si>
    <t>-961.74333618502 113.901417208043 -517.699382289299</t>
  </si>
  <si>
    <t>-907.324177397038 242.590155930787 -65.2707033816098</t>
  </si>
  <si>
    <t>-915.345676042684 258.19171658033 337.900402132451</t>
  </si>
  <si>
    <t>-952.371135706868 265.529583487078 783.979437357579</t>
  </si>
  <si>
    <t>-814.268993805275 313.999712797271 844.524621734554</t>
  </si>
  <si>
    <t>-892.014513727865 52.4541682885379 -60.7070648533819</t>
  </si>
  <si>
    <t>-842.291229652698 26.3615701366498 338.919535335265</t>
  </si>
  <si>
    <t>-891.678993559217 25.1002057108194 784.363894625624</t>
  </si>
  <si>
    <t>-797.501084904283 -79.4851958895849 857.025540001721</t>
  </si>
  <si>
    <t>9763-20170724T111156.819468700.bin</t>
  </si>
  <si>
    <t>-899.327640116392 147.358138265785 -61.9497274365933</t>
  </si>
  <si>
    <t>-934.141039824712 141.240834894467 -172.252982716177</t>
  </si>
  <si>
    <t>-949.267895808133 139.840055286193 -269.699788313049</t>
  </si>
  <si>
    <t>-957.46312595506 139.693127877344 -358.418814128464</t>
  </si>
  <si>
    <t>-959.758107770194 140.401377527886 -447.483279535258</t>
  </si>
  <si>
    <t>-956.737167821584 142.044134325354 -572.018403167037</t>
  </si>
  <si>
    <t>-922.4565220212 139.96907609656 -647.685718644096</t>
  </si>
  <si>
    <t>-954.529542224923 168.799893244988 -516.768357633832</t>
  </si>
  <si>
    <t>-928.700027200315 302.401666576882 -497.238559581064</t>
  </si>
  <si>
    <t>-888.324958111318 320.946056483283 -206.348319735478</t>
  </si>
  <si>
    <t>-649.576850530766 315.940901928741 -238.365807450793</t>
  </si>
  <si>
    <t>-961.603252621505 113.84252232979 -517.664841061766</t>
  </si>
  <si>
    <t>-907.198882379679 242.368618089808 -65.2375396280474</t>
  </si>
  <si>
    <t>-915.139555191169 258.060064061049 337.931662951887</t>
  </si>
  <si>
    <t>-952.3617043634 265.447764207053 783.991918224617</t>
  </si>
  <si>
    <t>-814.390823428708 314.273382140515 844.551433551895</t>
  </si>
  <si>
    <t>-891.821262335822 52.2207593581961 -60.6916250527603</t>
  </si>
  <si>
    <t>-841.987595297579 26.1823749994246 338.924724085458</t>
  </si>
  <si>
    <t>-891.631894754376 25.0744285373462 784.358869085068</t>
  </si>
  <si>
    <t>-797.41754906115 -79.4813239403195 857.015903929001</t>
  </si>
  <si>
    <t>9763-20170724T111156.881144700.bin</t>
  </si>
  <si>
    <t>-898.928965009585 146.913162793268 -61.8756989889247</t>
  </si>
  <si>
    <t>-933.811682284525 140.860398820262 -172.16075796544</t>
  </si>
  <si>
    <t>-948.952636195889 139.512225561411 -269.606033740717</t>
  </si>
  <si>
    <t>-957.142111353915 139.410856435821 -358.325517559702</t>
  </si>
  <si>
    <t>-959.412878857797 140.162602404413 -447.390180379284</t>
  </si>
  <si>
    <t>-956.339005532842 141.862890783446 -571.923304317232</t>
  </si>
  <si>
    <t>-921.837050822196 139.751125774589 -647.489082094407</t>
  </si>
  <si>
    <t>-954.160423804474 168.593906111659 -516.660154844781</t>
  </si>
  <si>
    <t>-928.390480527001 302.189924918409 -497.019637857843</t>
  </si>
  <si>
    <t>-887.788967681355 320.600125127466 -206.152361825544</t>
  </si>
  <si>
    <t>-648.991416180234 315.474044913264 -237.780699992422</t>
  </si>
  <si>
    <t>-961.222901137355 113.635256021563 -517.584734679382</t>
  </si>
  <si>
    <t>-906.818588931901 242.058482244808 -65.1457563586679</t>
  </si>
  <si>
    <t>-914.826360420956 257.712138484356 338.023536635778</t>
  </si>
  <si>
    <t>-952.359606570913 265.312275008721 784.034036666362</t>
  </si>
  <si>
    <t>-814.535384096655 314.507240129036 844.627870272926</t>
  </si>
  <si>
    <t>-891.402442783982 51.6594076521428 -60.6755115411285</t>
  </si>
  <si>
    <t>-841.472896576033 25.8263353546217 338.942249714154</t>
  </si>
  <si>
    <t>-891.499581564548 25.0698136363217 784.327707629098</t>
  </si>
  <si>
    <t>-797.20658154843 -79.4156908987288 856.983822442652</t>
  </si>
  <si>
    <t>9763-20170724T111156.916240700.bin</t>
  </si>
  <si>
    <t>-898.755160154041 146.730707862675 -61.8445123928817</t>
  </si>
  <si>
    <t>-933.67149369298 140.70961742761 -172.12055618304</t>
  </si>
  <si>
    <t>-948.82978542233 139.363966478787 -269.563210627457</t>
  </si>
  <si>
    <t>-957.031038032315 139.254952609158 -358.281729744569</t>
  </si>
  <si>
    <t>-959.309732708876 139.98870981533 -447.346287329555</t>
  </si>
  <si>
    <t>-956.243857169247 141.653323960001 -571.880093635762</t>
  </si>
  <si>
    <t>-921.629574984093 139.528589348602 -647.394131731546</t>
  </si>
  <si>
    <t>-954.054715654565 168.399160200849 -516.624517104447</t>
  </si>
  <si>
    <t>-928.258869618295 301.997992863809 -497.011365046822</t>
  </si>
  <si>
    <t>-887.48259302106 320.448829719102 -206.171103251898</t>
  </si>
  <si>
    <t>-648.657209059679 315.217381282505 -237.571562176979</t>
  </si>
  <si>
    <t>-961.131212574157 113.442459268738 -517.53325981718</t>
  </si>
  <si>
    <t>-906.620757017931 241.968328505276 -65.0814358894662</t>
  </si>
  <si>
    <t>-914.774905250705 257.674594635947 338.082890504123</t>
  </si>
  <si>
    <t>-952.502529752107 265.419721339296 784.080385335451</t>
  </si>
  <si>
    <t>-814.560690289789 314.285457150923 844.673127353327</t>
  </si>
  <si>
    <t>-891.304407837927 51.3976241072078 -60.6551966870383</t>
  </si>
  <si>
    <t>-841.279053989198 25.6173064027885 338.953958068398</t>
  </si>
  <si>
    <t>-891.501754138666 24.9677281210879 784.32479279716</t>
  </si>
  <si>
    <t>-797.009143437026 -79.3442616821653 856.970857562875</t>
  </si>
  <si>
    <t>9763-20170724T111156.984423400.bin</t>
  </si>
  <si>
    <t>-898.578896120365 146.496787952827 -61.7535083967445</t>
  </si>
  <si>
    <t>-933.521316114218 140.557528229187 -172.025812173816</t>
  </si>
  <si>
    <t>-948.723757001429 139.219865955777 -269.461620806326</t>
  </si>
  <si>
    <t>-956.976428510637 139.09582007262 -358.175288269656</t>
  </si>
  <si>
    <t>-959.318388880295 139.792914336851 -447.238572888776</t>
  </si>
  <si>
    <t>-956.354371802399 141.384914010411 -571.775722191016</t>
  </si>
  <si>
    <t>-921.53167031891 139.213823611107 -647.192668247074</t>
  </si>
  <si>
    <t>-954.102418310393 168.160636065213 -516.537243058801</t>
  </si>
  <si>
    <t>-928.254870722875 301.758886205901 -497.061137903717</t>
  </si>
  <si>
    <t>-886.999162155634 320.260021440576 -206.291760985481</t>
  </si>
  <si>
    <t>-648.123792375268 314.831085903917 -237.274340408913</t>
  </si>
  <si>
    <t>-961.214864363057 113.208025847695 -517.409030403575</t>
  </si>
  <si>
    <t>-906.485740393436 241.859010751465 -64.9499410107162</t>
  </si>
  <si>
    <t>-914.603733148914 257.575704300045 338.214761272649</t>
  </si>
  <si>
    <t>-952.665960739819 265.415651478864 784.200381302575</t>
  </si>
  <si>
    <t>-814.671211935726 314.192596055605 844.744789207456</t>
  </si>
  <si>
    <t>-891.135798310304 51.1002001478801 -60.6199833661075</t>
  </si>
  <si>
    <t>-841.068799929591 25.4605523399405 338.99301811685</t>
  </si>
  <si>
    <t>-891.30449530264 25.1084624308087 784.327835650696</t>
  </si>
  <si>
    <t>-797.119679947282 -79.4763788009977 856.981234598313</t>
  </si>
  <si>
    <t>9763-20170724T111157.016509800.bin</t>
  </si>
  <si>
    <t>-898.539913256933 146.445525909616 -61.7110390011969</t>
  </si>
  <si>
    <t>-933.495383113766 140.527029393272 -171.980278039836</t>
  </si>
  <si>
    <t>-948.726329642629 139.222236131706 -269.412105403724</t>
  </si>
  <si>
    <t>-957.011714606586 139.135985439979 -358.122864456352</t>
  </si>
  <si>
    <t>-959.393167069575 139.879722647885 -447.184808150548</t>
  </si>
  <si>
    <t>-956.490785058684 141.547990804569 -571.72239873962</t>
  </si>
  <si>
    <t>-921.563872481841 139.362202439465 -647.090333843642</t>
  </si>
  <si>
    <t>-954.219247174467 168.291153643368 -516.4687808098</t>
  </si>
  <si>
    <t>-928.390657923288 301.892021838423 -496.95713330451</t>
  </si>
  <si>
    <t>-886.79172471961 320.26656640279 -206.228548430403</t>
  </si>
  <si>
    <t>-647.879915915895 314.816506538845 -236.924026621747</t>
  </si>
  <si>
    <t>-961.31641180552 113.336571115739 -517.370377455001</t>
  </si>
  <si>
    <t>-906.440241112128 241.824606875837 -64.887095700645</t>
  </si>
  <si>
    <t>-914.522135163905 257.568646016404 338.277204902908</t>
  </si>
  <si>
    <t>-952.785179360613 265.447178008654 784.257308084655</t>
  </si>
  <si>
    <t>-814.627818994672 313.806032726446 844.76577747032</t>
  </si>
  <si>
    <t>-891.066775428154 51.0359881866261 -60.5878387281532</t>
  </si>
  <si>
    <t>-841.036383452766 25.363213680002 339.027678203068</t>
  </si>
  <si>
    <t>-891.266262453397 25.0940966285643 784.339786331342</t>
  </si>
  <si>
    <t>-797.124812885711 -79.5345035789398 856.986511708178</t>
  </si>
  <si>
    <t>9763-20170724T111157.081416100.bin</t>
  </si>
  <si>
    <t>-898.449735411644 146.385770001128 -61.668562776083</t>
  </si>
  <si>
    <t>-933.473181233574 140.435250512694 -171.914423832991</t>
  </si>
  <si>
    <t>-948.782824316627 139.162120680075 -269.334499825729</t>
  </si>
  <si>
    <t>-957.145085184288 139.129687415399 -358.037899569096</t>
  </si>
  <si>
    <t>-959.609377025209 139.955070512078 -447.096986907807</t>
  </si>
  <si>
    <t>-956.826531078907 141.76643562451 -571.635115734397</t>
  </si>
  <si>
    <t>-921.724835797405 139.526656945526 -646.920480627847</t>
  </si>
  <si>
    <t>-954.543705924049 168.45133071542 -516.353956454121</t>
  </si>
  <si>
    <t>-928.897681690122 302.073913003693 -496.710368807791</t>
  </si>
  <si>
    <t>-886.664964425343 319.963234102418 -206.042911906399</t>
  </si>
  <si>
    <t>-647.651531480544 315.057331605246 -236.032645803837</t>
  </si>
  <si>
    <t>-961.558172180313 113.487179269047 -517.310136179523</t>
  </si>
  <si>
    <t>-906.446407077872 241.736254300486 -64.8208837098754</t>
  </si>
  <si>
    <t>-914.351871670307 257.523288827148 338.345304895554</t>
  </si>
  <si>
    <t>-952.997832682462 265.477560283551 784.320605078347</t>
  </si>
  <si>
    <t>-814.860129938354 313.996300211073 844.74586390397</t>
  </si>
  <si>
    <t>-890.867290534325 50.9592791749401 -60.559214588534</t>
  </si>
  <si>
    <t>-840.975239166714 25.2483102596429 339.071110121652</t>
  </si>
  <si>
    <t>-891.173270166135 25.0822701812363 784.359589537308</t>
  </si>
  <si>
    <t>-796.865360836334 -79.4094233878093 856.987381712209</t>
  </si>
  <si>
    <t>9763-20170724T111157.113494400.bin</t>
  </si>
  <si>
    <t>-898.350581594152 146.332670840556 -61.6724417247376</t>
  </si>
  <si>
    <t>-933.396402052617 140.356865568775 -171.909817167499</t>
  </si>
  <si>
    <t>-948.725100945271 139.088643457716 -269.32702566933</t>
  </si>
  <si>
    <t>-957.104508670089 139.070833261834 -358.02883924763</t>
  </si>
  <si>
    <t>-959.583742567487 139.920906770455 -447.087151953144</t>
  </si>
  <si>
    <t>-956.820889318455 141.777934616246 -571.625208188707</t>
  </si>
  <si>
    <t>-921.624096871825 139.514556570393 -646.865424885795</t>
  </si>
  <si>
    <t>-954.553251837852 168.445438539357 -516.335029700245</t>
  </si>
  <si>
    <t>-928.982587185541 302.075399638695 -496.62337765417</t>
  </si>
  <si>
    <t>-886.556381697164 319.713324099333 -205.968640499232</t>
  </si>
  <si>
    <t>-647.4620843983 315.184296251251 -235.366825413307</t>
  </si>
  <si>
    <t>-961.520241212363 113.475848759796 -517.309230080248</t>
  </si>
  <si>
    <t>-906.376184165568 241.620569496548 -64.8129381194555</t>
  </si>
  <si>
    <t>-914.345586468274 257.486689349108 338.348850006194</t>
  </si>
  <si>
    <t>-952.988625987233 265.357017036542 784.316574863138</t>
  </si>
  <si>
    <t>-814.925120152243 314.12038793418 844.71453355132</t>
  </si>
  <si>
    <t>-890.660077704976 50.9468517171849 -60.5655408306162</t>
  </si>
  <si>
    <t>-840.843594044825 25.2501412835481 339.075140277969</t>
  </si>
  <si>
    <t>-891.036017284096 25.1995359344496 784.355749027339</t>
  </si>
  <si>
    <t>-796.977704122037 -79.5077562946612 856.997136496658</t>
  </si>
  <si>
    <t>9763-20170724T111157.182687800.bin</t>
  </si>
  <si>
    <t>-898.260996877623 146.12215697361 -61.6917535413476</t>
  </si>
  <si>
    <t>-933.305835259848 140.058760041182 -171.924764643336</t>
  </si>
  <si>
    <t>-948.617356832686 138.75172681039 -269.343947340307</t>
  </si>
  <si>
    <t>-956.973114850054 138.710899163126 -358.048102470942</t>
  </si>
  <si>
    <t>-959.420122824543 139.549662644292 -447.107387308483</t>
  </si>
  <si>
    <t>-956.602459017599 141.402046318837 -571.644190857273</t>
  </si>
  <si>
    <t>-921.245803602061 139.109642319894 -646.808767591239</t>
  </si>
  <si>
    <t>-954.414681848781 168.079001575743 -516.355240195524</t>
  </si>
  <si>
    <t>-929.062375535417 301.732840798308 -496.569707991912</t>
  </si>
  <si>
    <t>-886.3053648832 319.481340040694 -205.970282232341</t>
  </si>
  <si>
    <t>-647.16771314978 315.214255888142 -235.053451877699</t>
  </si>
  <si>
    <t>-961.2699179886 113.094845677543 -517.328224854093</t>
  </si>
  <si>
    <t>-906.556352267099 241.514172793528 -64.8486413446838</t>
  </si>
  <si>
    <t>-914.587868110274 257.400605228132 338.311033691094</t>
  </si>
  <si>
    <t>-953.148222402812 265.424877028865 784.265948694081</t>
  </si>
  <si>
    <t>-815.052398260278 314.08323374942 844.673781773454</t>
  </si>
  <si>
    <t>-890.312027806787 50.6183931747669 -60.5938760286073</t>
  </si>
  <si>
    <t>-840.600148474644 25.1174099584364 339.07231757414</t>
  </si>
  <si>
    <t>-890.920386244135 25.2109670120517 784.343655758353</t>
  </si>
  <si>
    <t>-796.789203543645 -79.435366644637 856.978141413311</t>
  </si>
  <si>
    <t>9763-20170724T111157.214768200.bin</t>
  </si>
  <si>
    <t>-898.279735979622 146.019353107729 -61.7263430598455</t>
  </si>
  <si>
    <t>-933.281787389271 139.911049276377 -171.970382729075</t>
  </si>
  <si>
    <t>-948.540368437072 138.563843141463 -269.397276734881</t>
  </si>
  <si>
    <t>-956.841519605837 138.483974176406 -358.106663220004</t>
  </si>
  <si>
    <t>-959.226999898576 139.280648977959 -447.167925777816</t>
  </si>
  <si>
    <t>-956.316103130738 141.070597597572 -571.703530592066</t>
  </si>
  <si>
    <t>-920.890821952195 138.776367496171 -646.835639070694</t>
  </si>
  <si>
    <t>-954.194896398234 167.778205594511 -516.426930747449</t>
  </si>
  <si>
    <t>-928.979827593819 301.466198733319 -496.686187180133</t>
  </si>
  <si>
    <t>-886.178791544644 319.456403578374 -206.108128995637</t>
  </si>
  <si>
    <t>-647.02423643715 315.460403673934 -235.091231993248</t>
  </si>
  <si>
    <t>-960.998954335407 112.787563043068 -517.376376026941</t>
  </si>
  <si>
    <t>-906.707376188748 241.471608982898 -64.8858827015013</t>
  </si>
  <si>
    <t>-914.810109903082 257.355715410157 338.272488939558</t>
  </si>
  <si>
    <t>-953.255977470426 265.51705996237 784.2327259037</t>
  </si>
  <si>
    <t>-815.097075713296 313.968337018327 844.663717056475</t>
  </si>
  <si>
    <t>-890.231883002522 50.480713099983 -60.6134753037005</t>
  </si>
  <si>
    <t>-840.60525293364 25.0383741977084 339.067094504179</t>
  </si>
  <si>
    <t>-890.95004827319 25.0820096164152 784.340226943934</t>
  </si>
  <si>
    <t>-796.533091588556 -79.3158495695511 856.961289942508</t>
  </si>
  <si>
    <t>9763-20170724T111157.282985200.bin</t>
  </si>
  <si>
    <t>-898.258502908117 146.010426094202 -61.8084840820425</t>
  </si>
  <si>
    <t>-933.135327299383 139.842960247952 -172.08905503699</t>
  </si>
  <si>
    <t>-948.292077489054 138.433736297821 -269.530944476484</t>
  </si>
  <si>
    <t>-956.504812971455 138.292880309961 -358.248285017297</t>
  </si>
  <si>
    <t>-958.806035972302 139.024581547195 -447.312371759573</t>
  </si>
  <si>
    <t>-955.782057609082 140.719704219239 -571.84668066665</t>
  </si>
  <si>
    <t>-920.231047526984 138.418764157908 -646.919117873562</t>
  </si>
  <si>
    <t>-953.752003304763 167.474678570209 -516.589433750333</t>
  </si>
  <si>
    <t>-928.838380932088 301.23785162745 -497.033893704764</t>
  </si>
  <si>
    <t>-886.150630563258 319.804406829111 -206.47535496985</t>
  </si>
  <si>
    <t>-646.979899263761 316.485066535141 -235.408953224675</t>
  </si>
  <si>
    <t>-960.473443015198 112.473119651061 -517.501179640265</t>
  </si>
  <si>
    <t>-906.882572526995 241.395364943393 -64.9668475061238</t>
  </si>
  <si>
    <t>-915.099534782534 257.394136286756 338.184713473843</t>
  </si>
  <si>
    <t>-953.381635566636 265.553100012613 784.190991681348</t>
  </si>
  <si>
    <t>-815.221494947286 313.99264516238 844.628113551495</t>
  </si>
  <si>
    <t>-890.064448315835 50.5829474664129 -60.6622025256399</t>
  </si>
  <si>
    <t>-840.535105098793 25.1263567832052 339.029506603319</t>
  </si>
  <si>
    <t>-890.748649717659 25.2480519594988 784.332580101375</t>
  </si>
  <si>
    <t>-796.600627790303 -79.3856964105464 856.963180497216</t>
  </si>
  <si>
    <t>9763-20170724T111157.314067000.bin</t>
  </si>
  <si>
    <t>-898.372383560579 145.963265525225 -61.821741780945</t>
  </si>
  <si>
    <t>-933.213514410059 139.795519726224 -172.113510886842</t>
  </si>
  <si>
    <t>-948.352726205261 138.370993308573 -269.557961036338</t>
  </si>
  <si>
    <t>-956.555099247883 138.211292374095 -358.276303250209</t>
  </si>
  <si>
    <t>-958.852485158084 138.920026986583 -447.340696490956</t>
  </si>
  <si>
    <t>-955.830492150115 140.580606349349 -571.87543673923</t>
  </si>
  <si>
    <t>-920.216739512772 138.23899161799 -646.916817542124</t>
  </si>
  <si>
    <t>-953.814229048439 167.352434474395 -516.625938956078</t>
  </si>
  <si>
    <t>-929.016917268146 301.158337796309 -497.147162167043</t>
  </si>
  <si>
    <t>-886.489560958282 319.924854938782 -206.578125885446</t>
  </si>
  <si>
    <t>-647.333128442616 316.859099718607 -235.657068140613</t>
  </si>
  <si>
    <t>-960.506541436525 112.347333804124 -517.521877346076</t>
  </si>
  <si>
    <t>-907.006583273128 241.311492944295 -64.9903400564708</t>
  </si>
  <si>
    <t>-915.132534367819 257.361396832922 338.16106885053</t>
  </si>
  <si>
    <t>-953.355665339199 265.421719727722 784.192176596547</t>
  </si>
  <si>
    <t>-815.298436363837 314.173600447742 844.613523081727</t>
  </si>
  <si>
    <t>-890.191480484019 50.5374863454063 -60.6699105566034</t>
  </si>
  <si>
    <t>-840.659148269682 25.047646469131 339.019390195926</t>
  </si>
  <si>
    <t>-890.800467253499 25.0957706753247 784.338360254878</t>
  </si>
  <si>
    <t>-796.334455984718 -79.2664205013257 856.946920756288</t>
  </si>
  <si>
    <t>9763-20170724T111157.380806500.bin</t>
  </si>
  <si>
    <t>-898.516872106772 145.866608943228 -61.7865371793732</t>
  </si>
  <si>
    <t>-933.293075336284 139.696908539476 -172.098793384184</t>
  </si>
  <si>
    <t>-948.377185053139 138.266455679887 -269.551744223012</t>
  </si>
  <si>
    <t>-956.530827500575 138.102062969365 -358.274484834642</t>
  </si>
  <si>
    <t>-958.781289086445 138.809075588278 -447.339986965217</t>
  </si>
  <si>
    <t>-955.695556571389 140.470762848126 -571.873193860031</t>
  </si>
  <si>
    <t>-919.921504602341 138.016994433774 -646.834843536578</t>
  </si>
  <si>
    <t>-953.735681184467 167.245600602871 -516.623143214899</t>
  </si>
  <si>
    <t>-929.172195609099 301.105372944272 -497.23806611439</t>
  </si>
  <si>
    <t>-887.305127611512 319.936006282077 -206.577146593773</t>
  </si>
  <si>
    <t>-648.129208295083 317.478775642537 -235.556286178348</t>
  </si>
  <si>
    <t>-960.371333801863 112.233481230462 -517.521623182592</t>
  </si>
  <si>
    <t>-907.142470683446 241.126396868195 -64.9629903990327</t>
  </si>
  <si>
    <t>-915.014759401746 257.35757771767 338.186186940918</t>
  </si>
  <si>
    <t>-953.521944976174 265.422668795553 784.209150862456</t>
  </si>
  <si>
    <t>-815.421889422475 314.109175320873 844.58529623535</t>
  </si>
  <si>
    <t>-890.28112007168 50.5352136739084 -60.6641570421194</t>
  </si>
  <si>
    <t>-840.747464505763 25.0367532725281 339.024330465976</t>
  </si>
  <si>
    <t>-890.623800844046 25.2124154640737 784.333081334523</t>
  </si>
  <si>
    <t>-796.358979223924 -79.3261375448351 856.94960966347</t>
  </si>
  <si>
    <t>9763-20170724T111157.414904900.bin</t>
  </si>
  <si>
    <t>-898.473007054112 145.723227560978 -61.787074391135</t>
  </si>
  <si>
    <t>-933.250577998541 139.549390245951 -172.098509817102</t>
  </si>
  <si>
    <t>-948.319093289645 138.116101793352 -269.553891239259</t>
  </si>
  <si>
    <t>-956.452115589533 137.949864344248 -358.278529147374</t>
  </si>
  <si>
    <t>-958.675441146365 138.656014139094 -447.344836233422</t>
  </si>
  <si>
    <t>-955.544753169929 140.31770509325 -571.877048269258</t>
  </si>
  <si>
    <t>-919.690898133272 137.791782369172 -646.797939060557</t>
  </si>
  <si>
    <t>-953.606420681106 167.092854802111 -516.626130296234</t>
  </si>
  <si>
    <t>-929.126300970524 300.973341635947 -497.23363644482</t>
  </si>
  <si>
    <t>-887.824363017478 319.759066679162 -206.488950273341</t>
  </si>
  <si>
    <t>-648.632810879094 317.784700196665 -235.373271009479</t>
  </si>
  <si>
    <t>-960.238507871228 112.080318691819 -517.526923936157</t>
  </si>
  <si>
    <t>-907.083565777899 240.89547174174 -64.9648483525581</t>
  </si>
  <si>
    <t>-914.840730795377 257.21316750717 338.183081506689</t>
  </si>
  <si>
    <t>-953.458508340378 265.221847581882 784.193952450618</t>
  </si>
  <si>
    <t>-815.487959989831 314.30046895648 844.548693735536</t>
  </si>
  <si>
    <t>-890.245720275616 50.4407822464877 -60.6599120092525</t>
  </si>
  <si>
    <t>-840.728337995188 24.9819743726389 339.033124459082</t>
  </si>
  <si>
    <t>-890.576482719366 25.2009553557732 784.336197846137</t>
  </si>
  <si>
    <t>-796.433330029293 -79.4406676826914 856.961987014755</t>
  </si>
  <si>
    <t>9763-20170724T111157.484606800.bin</t>
  </si>
  <si>
    <t>-898.404718041726 145.534032144848 -61.8170366366136</t>
  </si>
  <si>
    <t>-933.215569389945 139.325176060613 -172.116007788403</t>
  </si>
  <si>
    <t>-948.318848256629 137.871304855058 -269.565762217668</t>
  </si>
  <si>
    <t>-956.485629601832 137.690451272577 -358.287275334021</t>
  </si>
  <si>
    <t>-958.743466468929 138.385061008284 -447.352827878078</t>
  </si>
  <si>
    <t>-955.66268540632 140.03410030999 -571.886286079295</t>
  </si>
  <si>
    <t>-919.679710068676 137.368189932663 -646.740338522191</t>
  </si>
  <si>
    <t>-953.669297661546 166.810849255864 -516.638186182297</t>
  </si>
  <si>
    <t>-929.186946855732 300.690665435148 -497.288272962027</t>
  </si>
  <si>
    <t>-889.396053941721 318.909782409858 -206.296982135107</t>
  </si>
  <si>
    <t>-650.124559818682 319.500725036286 -234.575702167284</t>
  </si>
  <si>
    <t>-960.367879681777 111.806295312205 -517.532330487553</t>
  </si>
  <si>
    <t>-906.983073190446 240.739945274355 -65.0287081770289</t>
  </si>
  <si>
    <t>-914.755295839181 257.169187850869 338.114336744121</t>
  </si>
  <si>
    <t>-953.695676907673 265.36779687191 784.107682345827</t>
  </si>
  <si>
    <t>-815.625831108767 314.17406578021 844.455824345102</t>
  </si>
  <si>
    <t>-890.226712734745 50.2220591803857 -60.6427741894391</t>
  </si>
  <si>
    <t>-840.752714370268 24.8273154351896 339.059683313602</t>
  </si>
  <si>
    <t>-890.490754877723 25.1814062602116 784.352556528574</t>
  </si>
  <si>
    <t>-796.230802293382 -79.3632447287341 856.966381784223</t>
  </si>
  <si>
    <t>9763-20170724T111157.515689300.bin</t>
  </si>
  <si>
    <t>-898.391393792232 145.427669959533 -61.8436182558509</t>
  </si>
  <si>
    <t>-933.251773461255 139.206733618933 -172.126390845311</t>
  </si>
  <si>
    <t>-948.410469773884 137.748151628385 -269.567373887362</t>
  </si>
  <si>
    <t>-956.63167206288 137.56643257374 -358.283909744084</t>
  </si>
  <si>
    <t>-958.948836248795 138.263759113935 -447.347822111333</t>
  </si>
  <si>
    <t>-955.95577313711 139.920056107314 -571.88340183384</t>
  </si>
  <si>
    <t>-919.950519623847 137.200260010056 -646.725065689757</t>
  </si>
  <si>
    <t>-953.908866701145 166.691775361018 -516.634849965742</t>
  </si>
  <si>
    <t>-929.399258783654 300.569311084119 -497.32297657782</t>
  </si>
  <si>
    <t>-890.108861593867 318.542501562664 -206.248324814865</t>
  </si>
  <si>
    <t>-650.8179380184 321.000717754334 -234.261135162827</t>
  </si>
  <si>
    <t>-960.636537814995 111.690612317578 -517.528060605364</t>
  </si>
  <si>
    <t>-907.003743661112 240.675279784115 -65.088658572902</t>
  </si>
  <si>
    <t>-914.763912421848 257.09721119756 338.054937814683</t>
  </si>
  <si>
    <t>-953.776955894574 265.415744450299 784.042908287389</t>
  </si>
  <si>
    <t>-815.71242935194 314.214228267437 844.409877469967</t>
  </si>
  <si>
    <t>-890.20723106611 50.1014895698199 -60.6553565680476</t>
  </si>
  <si>
    <t>-840.8245884751 24.8209618940418 339.065648768089</t>
  </si>
  <si>
    <t>-890.415968700835 25.2306057061264 784.357615654057</t>
  </si>
  <si>
    <t>-796.200314074195 -79.3543531313687 856.970815174177</t>
  </si>
  <si>
    <t>9763-20170724T111157.580884000.bin</t>
  </si>
  <si>
    <t>-898.574438334539 145.308313765795 -61.9582612641019</t>
  </si>
  <si>
    <t>-933.561839676992 139.067829040683 -172.199524925412</t>
  </si>
  <si>
    <t>-948.870884246565 137.607822034874 -269.617014646516</t>
  </si>
  <si>
    <t>-957.243722217393 137.432031497238 -358.319355299329</t>
  </si>
  <si>
    <t>-959.727859420603 138.142177719754 -447.378723621744</t>
  </si>
  <si>
    <t>-956.982089629635 139.823864405877 -571.919599867778</t>
  </si>
  <si>
    <t>-920.964751038331 137.03292062396 -646.752740446071</t>
  </si>
  <si>
    <t>-954.797894463789 166.580845641467 -516.669132000188</t>
  </si>
  <si>
    <t>-930.191781494363 300.460377638605 -497.445473195563</t>
  </si>
  <si>
    <t>-890.930712527231 318.227580876589 -206.354260449609</t>
  </si>
  <si>
    <t>-651.571349614431 324.831621287487 -233.080493718858</t>
  </si>
  <si>
    <t>-961.582758630729 111.586829469623 -517.561496093031</t>
  </si>
  <si>
    <t>-907.175731933222 240.556862698752 -65.2360888474406</t>
  </si>
  <si>
    <t>-914.964519888141 256.972532317982 337.90719425597</t>
  </si>
  <si>
    <t>-953.874584838266 265.47245960261 783.908924603769</t>
  </si>
  <si>
    <t>-815.743423433337 313.989117869824 844.350783548022</t>
  </si>
  <si>
    <t>-890.39000298364 50.0217147858757 -60.7093349772655</t>
  </si>
  <si>
    <t>-841.08766024046 24.8342324441464 339.027477437621</t>
  </si>
  <si>
    <t>-890.376143693486 25.1814821463518 784.37412392119</t>
  </si>
  <si>
    <t>-796.128096982288 -79.3842435410488 856.973295852375</t>
  </si>
  <si>
    <t>9763-20170724T111157.615977500.bin</t>
  </si>
  <si>
    <t>-898.678285126593 145.206257130313 -62.0079779621641</t>
  </si>
  <si>
    <t>-933.745527295866 138.954258250225 -172.223322824602</t>
  </si>
  <si>
    <t>-949.146220424573 137.486166389695 -269.626172082294</t>
  </si>
  <si>
    <t>-957.610767538181 137.30360527273 -358.31976693474</t>
  </si>
  <si>
    <t>-960.195058474543 138.007898047089 -447.376225829025</t>
  </si>
  <si>
    <t>-957.598423746492 139.682013844105 -571.920503147912</t>
  </si>
  <si>
    <t>-921.597168792672 136.847454749494 -646.759714391164</t>
  </si>
  <si>
    <t>-955.329585997093 166.439844759572 -516.674113274835</t>
  </si>
  <si>
    <t>-930.64034356615 300.31264433721 -497.538232952917</t>
  </si>
  <si>
    <t>-891.172707446795 318.374260982312 -206.493070375306</t>
  </si>
  <si>
    <t>-651.785717211644 326.527037347722 -232.535986420811</t>
  </si>
  <si>
    <t>-962.152396818578 111.450623484713 -517.555371797708</t>
  </si>
  <si>
    <t>-907.246407985067 240.367474285695 -65.2812893985281</t>
  </si>
  <si>
    <t>-915.024924632274 256.877497465458 337.858353972287</t>
  </si>
  <si>
    <t>-953.808524778239 265.320758744601 783.869075876513</t>
  </si>
  <si>
    <t>-815.768730783147 314.091954968251 844.314060831357</t>
  </si>
  <si>
    <t>-890.509211836179 49.937772864896 -60.7359259585355</t>
  </si>
  <si>
    <t>-841.163989133595 24.8090852164873 338.999357899623</t>
  </si>
  <si>
    <t>-890.338519553306 25.175266917835 784.372556242878</t>
  </si>
  <si>
    <t>-796.119973345511 -79.4159735849494 856.973150868854</t>
  </si>
  <si>
    <t>9763-20170724T111157.681660300.bin</t>
  </si>
  <si>
    <t>-898.953568468748 144.855255220291 -62.0521025410617</t>
  </si>
  <si>
    <t>-934.149735110653 138.616746780886 -172.227228352596</t>
  </si>
  <si>
    <t>-949.715601980565 137.132950285279 -269.603518392344</t>
  </si>
  <si>
    <t>-958.351842707078 136.926706690709 -358.280516848166</t>
  </si>
  <si>
    <t>-961.130322756659 137.597079513394 -447.33156149391</t>
  </si>
  <si>
    <t>-958.828053697904 139.213834335326 -571.882235450864</t>
  </si>
  <si>
    <t>-922.880211761954 136.274120397052 -646.74316001746</t>
  </si>
  <si>
    <t>-956.379113669773 165.991191554083 -516.652878694965</t>
  </si>
  <si>
    <t>-931.348358534619 299.825902687759 -497.708219059385</t>
  </si>
  <si>
    <t>-891.374203845991 318.419217105006 -206.765577931263</t>
  </si>
  <si>
    <t>-651.980347769327 328.975019959563 -231.865145013052</t>
  </si>
  <si>
    <t>-963.303043708879 111.013805605514 -517.49436062179</t>
  </si>
  <si>
    <t>-907.461618904547 240.032331896429 -65.353558265905</t>
  </si>
  <si>
    <t>-915.145787790891 256.752250059871 337.779191625727</t>
  </si>
  <si>
    <t>-953.88647686139 265.317249427978 783.792620358683</t>
  </si>
  <si>
    <t>-815.883940442503 314.175022571671 844.253162109205</t>
  </si>
  <si>
    <t>-890.833691840706 49.5638754310198 -60.7808881735403</t>
  </si>
  <si>
    <t>-841.421710342653 24.7634459053597 338.966652977012</t>
  </si>
  <si>
    <t>-890.241354431954 25.209460131633 784.372022301204</t>
  </si>
  <si>
    <t>-796.013473656843 -79.3740169154914 856.971654506349</t>
  </si>
  <si>
    <t>9763-20170724T111157.714750600.bin</t>
  </si>
  <si>
    <t>-899.162440779047 144.736287316997 -62.0638312744472</t>
  </si>
  <si>
    <t>-934.41645928337 138.494937013582 -172.220188494254</t>
  </si>
  <si>
    <t>-950.057644696212 136.990333052055 -269.584175174524</t>
  </si>
  <si>
    <t>-958.772811771448 136.758113379051 -358.253383093172</t>
  </si>
  <si>
    <t>-961.640966398156 137.39484130697 -447.301694752619</t>
  </si>
  <si>
    <t>-959.474683492355 138.956101798281 -571.855548045702</t>
  </si>
  <si>
    <t>-923.559232784862 135.94426285825 -646.728974878295</t>
  </si>
  <si>
    <t>-956.931161385264 165.753541437512 -516.640249695417</t>
  </si>
  <si>
    <t>-931.676135564194 299.563271211774 -497.788099231993</t>
  </si>
  <si>
    <t>-891.351047130414 318.423180787303 -206.911146338654</t>
  </si>
  <si>
    <t>-651.961380818882 329.729342072463 -231.722576757504</t>
  </si>
  <si>
    <t>-963.924695919646 110.784501402167 -517.451035000879</t>
  </si>
  <si>
    <t>-907.669188559383 239.94520159307 -65.3851089135043</t>
  </si>
  <si>
    <t>-915.255321960245 256.730267336035 337.746901319981</t>
  </si>
  <si>
    <t>-953.97746733601 265.39930661992 783.754912440488</t>
  </si>
  <si>
    <t>-815.907651994179 314.044762479012 844.232888989283</t>
  </si>
  <si>
    <t>-891.094770438729 49.4438124356202 -60.7792198367896</t>
  </si>
  <si>
    <t>-841.631976141684 24.7226251732041 338.96687166183</t>
  </si>
  <si>
    <t>-890.280766641882 25.0955440350558 784.384992720544</t>
  </si>
  <si>
    <t>-795.913640867095 -79.3703417977829 856.973104901992</t>
  </si>
  <si>
    <t>9763-20170724T111157.781485100.bin</t>
  </si>
  <si>
    <t>-899.561067103723 144.729847156696 -62.1185941478311</t>
  </si>
  <si>
    <t>-934.892007479539 138.456830959589 -172.248459344194</t>
  </si>
  <si>
    <t>-950.666337336375 136.889802686722 -269.590019618624</t>
  </si>
  <si>
    <t>-959.529455505002 136.586964693822 -358.244269854263</t>
  </si>
  <si>
    <t>-962.573438441082 137.137640507388 -447.287391444244</t>
  </si>
  <si>
    <t>-960.682397080596 138.562469327304 -571.847478960099</t>
  </si>
  <si>
    <t>-924.854668432609 135.368990901424 -646.755436665093</t>
  </si>
  <si>
    <t>-957.943409013974 165.411064701165 -516.666284085693</t>
  </si>
  <si>
    <t>-932.269254858044 299.16785905659 -498.03397289278</t>
  </si>
  <si>
    <t>-891.424825728694 318.710189631503 -207.274543095133</t>
  </si>
  <si>
    <t>-652.007241257435 330.476046821394 -231.598816837419</t>
  </si>
  <si>
    <t>-965.085443004936 110.45997963568 -517.403286417914</t>
  </si>
  <si>
    <t>-908.00684893616 239.849961048004 -65.4819867748175</t>
  </si>
  <si>
    <t>-915.494043785748 256.80426403796 337.644756288401</t>
  </si>
  <si>
    <t>-954.027867592197 265.415105827101 783.65877965566</t>
  </si>
  <si>
    <t>-815.996613446192 314.108210429073 844.186301605515</t>
  </si>
  <si>
    <t>-891.518269546765 49.5386885286089 -60.7696091207622</t>
  </si>
  <si>
    <t>-841.893620335448 24.8030123963645 338.955541283153</t>
  </si>
  <si>
    <t>-890.185794566881 25.1366037016719 784.394104095194</t>
  </si>
  <si>
    <t>-795.924165086942 -79.4245284863975 856.981691059968</t>
  </si>
  <si>
    <t>9763-20170724T111157.814589900.bin</t>
  </si>
  <si>
    <t>-899.75312462697 144.743234294043 -62.1473981655536</t>
  </si>
  <si>
    <t>-935.113440814695 138.465414379701 -172.267566947835</t>
  </si>
  <si>
    <t>-950.947528543672 136.86935756808 -269.598877432883</t>
  </si>
  <si>
    <t>-959.879054697471 136.53064168147 -358.246318211999</t>
  </si>
  <si>
    <t>-963.006062363676 137.035601719961 -447.286766682172</t>
  </si>
  <si>
    <t>-961.246760571594 138.385873277338 -571.849716552152</t>
  </si>
  <si>
    <t>-925.470595347598 135.092989384731 -646.77788202862</t>
  </si>
  <si>
    <t>-958.41543744982 165.262994769931 -516.686984036631</t>
  </si>
  <si>
    <t>-932.536165722044 298.99932432399 -498.176313039383</t>
  </si>
  <si>
    <t>-891.567846349554 318.914274606784 -207.459632220258</t>
  </si>
  <si>
    <t>-652.104533401607 330.608712117311 -231.366389478094</t>
  </si>
  <si>
    <t>-965.62651429639 110.320567205796 -517.38451993568</t>
  </si>
  <si>
    <t>-908.186428456511 239.854152799791 -65.5367214591922</t>
  </si>
  <si>
    <t>-915.612041215308 256.865164308097 337.588745744746</t>
  </si>
  <si>
    <t>-954.023044176721 265.396703927761 783.614403130913</t>
  </si>
  <si>
    <t>-815.961445487976 313.972175217278 844.167544599997</t>
  </si>
  <si>
    <t>-891.723574797383 49.5367985995149 -60.7815104608113</t>
  </si>
  <si>
    <t>-842.0236918151 24.8993761505303 338.940384126617</t>
  </si>
  <si>
    <t>-890.127226008745 25.1742011049391 784.396500427562</t>
  </si>
  <si>
    <t>-795.836565399721 -79.3649095949024 856.978940580923</t>
  </si>
  <si>
    <t>9763-20170724T111157.879763800.bin</t>
  </si>
  <si>
    <t>-900.059666447312 144.852421821522 -62.1783281329801</t>
  </si>
  <si>
    <t>-935.462833618273 138.576148961542 -172.284819246882</t>
  </si>
  <si>
    <t>-951.403980067795 136.917185762887 -269.597779767481</t>
  </si>
  <si>
    <t>-960.46228787232 136.496635692603 -358.231828402825</t>
  </si>
  <si>
    <t>-963.747169122404 136.893764974593 -447.267182521453</t>
  </si>
  <si>
    <t>-962.242087518214 138.066908153742 -571.835130206911</t>
  </si>
  <si>
    <t>-926.589922789461 134.558372675564 -646.812711768142</t>
  </si>
  <si>
    <t>-959.227806756807 165.013096700169 -516.715787118451</t>
  </si>
  <si>
    <t>-932.950125775085 298.706955028257 -498.475192050674</t>
  </si>
  <si>
    <t>-891.968862046282 319.188616727223 -207.799678069221</t>
  </si>
  <si>
    <t>-652.472923228482 330.253854198715 -231.6764538264</t>
  </si>
  <si>
    <t>-966.580957449278 110.088234893333 -517.321916620272</t>
  </si>
  <si>
    <t>-908.430743092851 239.991816097843 -65.6286180959584</t>
  </si>
  <si>
    <t>-915.879906983 256.91076215334 337.500286106959</t>
  </si>
  <si>
    <t>-954.057780910614 265.389657401608 783.564236126928</t>
  </si>
  <si>
    <t>-816.094640534707 314.219139179086 844.138085345344</t>
  </si>
  <si>
    <t>-892.107361099903 49.6222992819094 -60.7825886645333</t>
  </si>
  <si>
    <t>-842.216916650344 25.0920886632848 338.922210361946</t>
  </si>
  <si>
    <t>-890.103567681641 25.1028195501003 784.40683954999</t>
  </si>
  <si>
    <t>-795.883188079761 -79.5022249172364 856.985349854835</t>
  </si>
  <si>
    <t>9763-20170724T111157.916857700.bin</t>
  </si>
  <si>
    <t>-900.210739765649 144.942433853894 -62.2008436019496</t>
  </si>
  <si>
    <t>-935.62317710081 138.678307420088 -172.305046962949</t>
  </si>
  <si>
    <t>-951.610636948937 136.99285845686 -269.609755726003</t>
  </si>
  <si>
    <t>-960.72775340464 136.534478735873 -358.237771407276</t>
  </si>
  <si>
    <t>-964.088958736608 136.879218751508 -447.270401447551</t>
  </si>
  <si>
    <t>-962.708332833705 137.964464700761 -571.840529439691</t>
  </si>
  <si>
    <t>-927.116128644564 134.334702118633 -646.840913714563</t>
  </si>
  <si>
    <t>-959.603493726229 164.944656904238 -516.743141418734</t>
  </si>
  <si>
    <t>-933.109578241229 298.613379413279 -498.637900897387</t>
  </si>
  <si>
    <t>-892.071287367031 319.237136390186 -207.980555285123</t>
  </si>
  <si>
    <t>-652.557226933692 330.025973154343 -231.803810416252</t>
  </si>
  <si>
    <t>-967.028372432115 110.029128890714 -517.303862475467</t>
  </si>
  <si>
    <t>-908.546048985343 240.087123284436 -65.6469533910361</t>
  </si>
  <si>
    <t>-916.036565928667 257.022632582461 337.480547821551</t>
  </si>
  <si>
    <t>-954.156476582264 265.489847777988 783.551043006826</t>
  </si>
  <si>
    <t>-816.12957478476 314.142379332799 844.12198219702</t>
  </si>
  <si>
    <t>-892.297111940937 49.7099741813872 -60.7795037210243</t>
  </si>
  <si>
    <t>-842.312027067357 25.1462192315507 338.911383287325</t>
  </si>
  <si>
    <t>-890.074661249379 25.0824562471521 784.399484455858</t>
  </si>
  <si>
    <t>-795.661476369773 -79.3523248342442 856.972458042364</t>
  </si>
  <si>
    <t>9763-20170724T111157.982562700.bin</t>
  </si>
  <si>
    <t>-900.541347579178 145.250257508997 -62.1994328949004</t>
  </si>
  <si>
    <t>-935.973872922262 139.004465533912 -172.298189216442</t>
  </si>
  <si>
    <t>-952.062928524771 137.269293064634 -269.585305090119</t>
  </si>
  <si>
    <t>-961.30791507861 136.740237851164 -358.199674278182</t>
  </si>
  <si>
    <t>-964.833662001035 136.988753103092 -447.226282848843</t>
  </si>
  <si>
    <t>-963.722883613335 137.91218362292 -571.800503334816</t>
  </si>
  <si>
    <t>-928.25404730068 134.005000326334 -646.845274625518</t>
  </si>
  <si>
    <t>-960.417235488189 164.952625373769 -516.744225272019</t>
  </si>
  <si>
    <t>-933.442223322365 298.563760952323 -498.894109070259</t>
  </si>
  <si>
    <t>-892.134447438656 319.290438059105 -208.282170076505</t>
  </si>
  <si>
    <t>-652.676065758623 329.67929188619 -232.829245765665</t>
  </si>
  <si>
    <t>-968.006276521519 110.058906097033 -517.218858562537</t>
  </si>
  <si>
    <t>-908.882306434609 240.385283502309 -65.6688736013283</t>
  </si>
  <si>
    <t>-916.166581289803 257.290002782926 337.46365768298</t>
  </si>
  <si>
    <t>-954.259230432531 265.517628260188 783.567143226907</t>
  </si>
  <si>
    <t>-816.190861004025 314.105225380771 844.095037133754</t>
  </si>
  <si>
    <t>-892.637878229754 50.0379965777788 -60.7674181149193</t>
  </si>
  <si>
    <t>-842.473740987744 25.3399779630995 338.892754909105</t>
  </si>
  <si>
    <t>-889.989758559009 25.0856678548757 784.388612112639</t>
  </si>
  <si>
    <t>-795.704420204923 -79.4527027302654 856.978741948536</t>
  </si>
  <si>
    <t>9763-20170724T111158.022680600.bin</t>
  </si>
  <si>
    <t>-900.7189870004 145.387995098627 -62.188768617517</t>
  </si>
  <si>
    <t>-936.169220527587 139.167513258711 -172.283125525712</t>
  </si>
  <si>
    <t>-952.307907773485 137.416861352845 -269.56189802056</t>
  </si>
  <si>
    <t>-961.612405263469 136.859999825528 -358.16972131977</t>
  </si>
  <si>
    <t>-965.213857315875 137.067233488803 -447.193532059209</t>
  </si>
  <si>
    <t>-964.225196157358 137.918628557705 -571.769302154429</t>
  </si>
  <si>
    <t>-928.8117597029 133.878093164614 -646.833074087715</t>
  </si>
  <si>
    <t>-960.82984581436 164.985886678505 -516.731719257402</t>
  </si>
  <si>
    <t>-933.645619030209 298.57011649292 -499.008482963994</t>
  </si>
  <si>
    <t>-892.154168332013 319.29853034694 -208.422797768787</t>
  </si>
  <si>
    <t>-652.742930252574 329.746219410009 -233.403649918073</t>
  </si>
  <si>
    <t>-968.490570445465 110.101677530185 -517.167669923293</t>
  </si>
  <si>
    <t>-909.048972875403 240.525888690986 -65.6617172804472</t>
  </si>
  <si>
    <t>-916.153955829627 257.45295993575 337.47304484579</t>
  </si>
  <si>
    <t>-954.416914916276 265.66331199539 783.585827834698</t>
  </si>
  <si>
    <t>-816.227888610365 313.947737648458 844.080911060304</t>
  </si>
  <si>
    <t>-892.820961759553 50.1567826177534 -60.7603772983589</t>
  </si>
  <si>
    <t>-842.62036372233 25.4518330979736 338.894842187334</t>
  </si>
  <si>
    <t>-889.951173425725 25.0990682137995 784.394198862843</t>
  </si>
  <si>
    <t>-795.717071618192 -79.4854094597054 856.984382894413</t>
  </si>
  <si>
    <t>9763-20170724T111158.081331100.bin</t>
  </si>
  <si>
    <t>-900.935241563916 145.444754651867 -62.1736785486202</t>
  </si>
  <si>
    <t>-936.449483071931 139.263256405942 -172.249767353788</t>
  </si>
  <si>
    <t>-952.685762862036 137.486026499791 -269.511651874151</t>
  </si>
  <si>
    <t>-962.098519906276 136.88349200725 -358.107857374885</t>
  </si>
  <si>
    <t>-965.828273791607 137.023414696288 -447.126519170506</t>
  </si>
  <si>
    <t>-965.041209854697 137.759195245249 -571.704396307757</t>
  </si>
  <si>
    <t>-929.716597207676 133.524945628571 -646.799555678023</t>
  </si>
  <si>
    <t>-961.505234705412 164.870490651131 -516.697238468765</t>
  </si>
  <si>
    <t>-933.999536941313 298.424113110865 -499.223229959213</t>
  </si>
  <si>
    <t>-892.097949895231 319.517031479324 -208.722842331277</t>
  </si>
  <si>
    <t>-652.907069171954 329.82174555557 -235.784734479599</t>
  </si>
  <si>
    <t>-969.269532733905 110.000472684416 -517.070414237232</t>
  </si>
  <si>
    <t>-909.117222358794 240.492366567839 -65.6270524771064</t>
  </si>
  <si>
    <t>-915.906654474309 257.600981976698 337.505508283753</t>
  </si>
  <si>
    <t>-954.484197860869 265.575037040866 783.614273724485</t>
  </si>
  <si>
    <t>-816.348899203479 314.125141227091 844.020407256407</t>
  </si>
  <si>
    <t>-893.139038648744 50.2904888833887 -60.722959128194</t>
  </si>
  <si>
    <t>-842.739200529754 25.537212776801 338.904057931378</t>
  </si>
  <si>
    <t>-889.813530554304 25.207578386503 784.39900424131</t>
  </si>
  <si>
    <t>-795.705949722675 -79.4877189242332 856.993783139896</t>
  </si>
  <si>
    <t>9763-20170724T111158.115423200.bin</t>
  </si>
  <si>
    <t>-901.106597039858 145.347210758429 -62.1466770756663</t>
  </si>
  <si>
    <t>-936.65940542034 139.171333938787 -172.210620276464</t>
  </si>
  <si>
    <t>-952.947680480067 137.369431487759 -269.463365678371</t>
  </si>
  <si>
    <t>-962.415844038318 136.733640068232 -358.053524372081</t>
  </si>
  <si>
    <t>-966.209334043355 136.829255152707 -447.069488329311</t>
  </si>
  <si>
    <t>-965.520703998504 137.491534679124 -571.648362859689</t>
  </si>
  <si>
    <t>-930.220348691673 133.186222354345 -646.750714313774</t>
  </si>
  <si>
    <t>-961.923453121786 164.632579588301 -516.659833766842</t>
  </si>
  <si>
    <t>-934.313698943266 298.182102567652 -499.325104436368</t>
  </si>
  <si>
    <t>-892.183537229151 319.523434629927 -208.875788990485</t>
  </si>
  <si>
    <t>-653.147930049227 329.749661993045 -237.305610587802</t>
  </si>
  <si>
    <t>-969.724067038316 109.767462098968 -516.994717127369</t>
  </si>
  <si>
    <t>-909.254000536375 240.404777592415 -65.6090163833692</t>
  </si>
  <si>
    <t>-915.850584846214 257.608684046143 337.522726761263</t>
  </si>
  <si>
    <t>-954.529082502429 265.542879186081 783.631013980621</t>
  </si>
  <si>
    <t>-816.37594749146 314.086771489754 844.000768014754</t>
  </si>
  <si>
    <t>-893.353682922863 50.1678611380239 -60.6971315765821</t>
  </si>
  <si>
    <t>-842.805044878912 25.4089206959525 338.9107124001</t>
  </si>
  <si>
    <t>-889.90534651315 25.0158282021966 784.405473207026</t>
  </si>
  <si>
    <t>-795.536962320489 -79.4527963731132 856.987837124298</t>
  </si>
  <si>
    <t>9763-20170724T111158.181602100.bin</t>
  </si>
  <si>
    <t>-901.364019027863 145.146447065785 -62.1172640223309</t>
  </si>
  <si>
    <t>-937.031148931464 138.989124537968 -172.145287489989</t>
  </si>
  <si>
    <t>-953.444368960076 137.148144830778 -269.376218586786</t>
  </si>
  <si>
    <t>-963.037237666973 136.456098173054 -357.952460321702</t>
  </si>
  <si>
    <t>-966.968841894672 136.474350895259 -446.962442727054</t>
  </si>
  <si>
    <t>-966.487232570171 137.008312794776 -571.542924678142</t>
  </si>
  <si>
    <t>-931.187473361428 132.614225757458 -646.640522312332</t>
  </si>
  <si>
    <t>-962.779886260914 164.203548175815 -516.588522435942</t>
  </si>
  <si>
    <t>-935.038444022262 297.759226486543 -499.525999434571</t>
  </si>
  <si>
    <t>-892.451892004412 319.738978497329 -209.190933279124</t>
  </si>
  <si>
    <t>-653.800980157623 329.653110000834 -240.787400157151</t>
  </si>
  <si>
    <t>-970.618265434408 109.343239584055 -516.853904312798</t>
  </si>
  <si>
    <t>-909.524808079401 240.231454923865 -65.5846927478279</t>
  </si>
  <si>
    <t>-915.809183538083 257.558142076377 337.546766897944</t>
  </si>
  <si>
    <t>-954.625197169145 265.531335618883 783.624597232423</t>
  </si>
  <si>
    <t>-816.483476744269 314.158665761768 843.953655338732</t>
  </si>
  <si>
    <t>-893.603641927731 49.9696936658884 -60.6801997031416</t>
  </si>
  <si>
    <t>-842.831954960325 25.4167729249471 338.912133011156</t>
  </si>
  <si>
    <t>-889.803938704602 25.0623035394656 784.407163894496</t>
  </si>
  <si>
    <t>-795.76846984462 -79.6883358216401 857.014921809008</t>
  </si>
  <si>
    <t>9763-20170724T111158.212684600.bin</t>
  </si>
  <si>
    <t>-901.523733755466 145.036458185617 -62.1168788078867</t>
  </si>
  <si>
    <t>-937.242999231682 138.875069871066 -172.127769720397</t>
  </si>
  <si>
    <t>-953.707794612508 137.013667744489 -269.349680126625</t>
  </si>
  <si>
    <t>-963.351085985795 136.29657725424 -357.920127521077</t>
  </si>
  <si>
    <t>-967.336308953816 136.283500040884 -446.927838065523</t>
  </si>
  <si>
    <t>-966.93359371543 136.767444373113 -571.508862925637</t>
  </si>
  <si>
    <t>-931.614223611918 132.349876932581 -646.595698481523</t>
  </si>
  <si>
    <t>-963.189426530965 163.984198757553 -516.567635470107</t>
  </si>
  <si>
    <t>-935.411461535955 297.546393556554 -499.617366057296</t>
  </si>
  <si>
    <t>-892.614457513786 319.703889278997 -209.326737282544</t>
  </si>
  <si>
    <t>-654.131840181675 329.56490477342 -242.184267284164</t>
  </si>
  <si>
    <t>-971.032269946171 109.124470626207 -516.805995670654</t>
  </si>
  <si>
    <t>-909.685709218207 240.119975155671 -65.5935765400325</t>
  </si>
  <si>
    <t>-915.894420907313 257.539240716431 337.535056262906</t>
  </si>
  <si>
    <t>-954.64793936767 265.520360540992 783.608088649096</t>
  </si>
  <si>
    <t>-816.52480440828 314.21352283267 843.926196941839</t>
  </si>
  <si>
    <t>-893.76046081445 49.8609522329421 -60.6776246874675</t>
  </si>
  <si>
    <t>-842.869939118154 25.4192643312867 338.906496215515</t>
  </si>
  <si>
    <t>-889.774651476568 25.0595355187866 784.402863390466</t>
  </si>
  <si>
    <t>-795.656971295539 -79.617499331034 857.010657673124</t>
  </si>
  <si>
    <t>9763-20170724T111158.282213300.bin</t>
  </si>
  <si>
    <t>-901.952487532813 144.93562037203 -62.151912223362</t>
  </si>
  <si>
    <t>-937.742694642634 138.744013748514 -172.138021589395</t>
  </si>
  <si>
    <t>-954.278764536384 136.843132707634 -269.3471919522</t>
  </si>
  <si>
    <t>-963.989990723889 136.084745310834 -357.909858865734</t>
  </si>
  <si>
    <t>-968.047775538625 136.024813688841 -446.914256643607</t>
  </si>
  <si>
    <t>-967.750669697513 136.436963680585 -571.495703287315</t>
  </si>
  <si>
    <t>-932.390541702581 132.000592424153 -646.562366641794</t>
  </si>
  <si>
    <t>-963.966532092113 163.686545666325 -516.573412710178</t>
  </si>
  <si>
    <t>-936.172724405859 297.26545779531 -499.768523116966</t>
  </si>
  <si>
    <t>-893.079748674518 319.618600510933 -209.536631174933</t>
  </si>
  <si>
    <t>-654.924899815821 329.162550013619 -244.779859605625</t>
  </si>
  <si>
    <t>-971.796084623478 108.824601982391 -516.773696175544</t>
  </si>
  <si>
    <t>-910.221414359268 240.061831865334 -65.6514509395834</t>
  </si>
  <si>
    <t>-916.243350516945 257.604673916862 337.474664105759</t>
  </si>
  <si>
    <t>-954.74872804249 265.605134955109 783.562692086605</t>
  </si>
  <si>
    <t>-816.519632201487 313.987380801706 843.887855164173</t>
  </si>
  <si>
    <t>-894.096923728728 49.7769977549879 -60.7043213801616</t>
  </si>
  <si>
    <t>-843.085148688899 25.5429052080895 338.876970371883</t>
  </si>
  <si>
    <t>-889.709246276672 25.0693974613487 784.398580864861</t>
  </si>
  <si>
    <t>-795.63584382614 -79.6392744677173 857.017533695152</t>
  </si>
  <si>
    <t>9763-20170724T111158.316303300.bin</t>
  </si>
  <si>
    <t>-902.207140175385 144.869966100936 -62.1874124701288</t>
  </si>
  <si>
    <t>-938.027365813878 138.661866228763 -172.162845600361</t>
  </si>
  <si>
    <t>-954.597373300846 136.741076262389 -269.365701194803</t>
  </si>
  <si>
    <t>-964.342937107833 135.962016010881 -357.924464336048</t>
  </si>
  <si>
    <t>-968.438536982126 135.87924104923 -446.927105286959</t>
  </si>
  <si>
    <t>-968.197366315437 136.257393365969 -571.508944169071</t>
  </si>
  <si>
    <t>-932.82443011651 131.819438247521 -646.569418625778</t>
  </si>
  <si>
    <t>-964.395979992441 163.522931332769 -516.595831963167</t>
  </si>
  <si>
    <t>-936.623243322384 297.112223369999 -499.836643970972</t>
  </si>
  <si>
    <t>-893.460553402453 319.345062216638 -209.605839487813</t>
  </si>
  <si>
    <t>-655.477966254447 328.830541320196 -246.008084800593</t>
  </si>
  <si>
    <t>-972.211143318835 108.658860807151 -516.777383860151</t>
  </si>
  <si>
    <t>-910.53424882164 239.942263948215 -65.6878172684977</t>
  </si>
  <si>
    <t>-916.427913230625 257.548245355642 337.437466972625</t>
  </si>
  <si>
    <t>-954.696161163186 265.529380187701 783.531800413605</t>
  </si>
  <si>
    <t>-816.572483569893 314.193657250319 843.872131235828</t>
  </si>
  <si>
    <t>-894.291384505735 49.7409821236552 -60.7310412142327</t>
  </si>
  <si>
    <t>-843.208244364215 25.6153613802881 338.847674632906</t>
  </si>
  <si>
    <t>-889.636391668883 25.1296995563048 784.38568199436</t>
  </si>
  <si>
    <t>-795.508587820474 -79.5271662453581 857.008943253877</t>
  </si>
  <si>
    <t>9763-20170724T111158.379567400.bin</t>
  </si>
  <si>
    <t>-902.696373717944 144.782748938184 -62.2519434595976</t>
  </si>
  <si>
    <t>-938.567712775809 138.528450440178 -172.208151565345</t>
  </si>
  <si>
    <t>-955.183701201955 136.58445933207 -269.402602841764</t>
  </si>
  <si>
    <t>-964.971272938669 135.791271555683 -357.956743071214</t>
  </si>
  <si>
    <t>-969.107852217143 135.700578553046 -446.95727007877</t>
  </si>
  <si>
    <t>-968.924280577397 136.074725012803 -571.539197777273</t>
  </si>
  <si>
    <t>-933.548917426185 131.668779180887 -646.600538454944</t>
  </si>
  <si>
    <t>-965.114203818503 163.34460486166 -516.628816673656</t>
  </si>
  <si>
    <t>-937.382391352956 296.941973777453 -499.892221188788</t>
  </si>
  <si>
    <t>-894.090840390586 318.979118666198 -209.665784992804</t>
  </si>
  <si>
    <t>-656.444699302658 328.318059634823 -248.239372929311</t>
  </si>
  <si>
    <t>-972.895793865809 108.47576959037 -516.805071965962</t>
  </si>
  <si>
    <t>-911.078961254883 239.773368848612 -65.7887966226562</t>
  </si>
  <si>
    <t>-916.925113287677 257.475425396191 337.332909646469</t>
  </si>
  <si>
    <t>-954.659590106416 265.529502850058 783.463296989461</t>
  </si>
  <si>
    <t>-816.64069308474 314.40244991111 843.874636982532</t>
  </si>
  <si>
    <t>-894.703297411537 49.7220640053361 -60.7786817868381</t>
  </si>
  <si>
    <t>-843.501691702845 25.7161878780994 338.792116081812</t>
  </si>
  <si>
    <t>-889.606209085053 25.1036705970187 784.382101326903</t>
  </si>
  <si>
    <t>-795.616356380435 -79.6716108052617 857.013904176975</t>
  </si>
  <si>
    <t>9763-20170724T111158.418671200.bin</t>
  </si>
  <si>
    <t>-902.966370560637 144.714242438661 -62.2900757135337</t>
  </si>
  <si>
    <t>-938.855281711025 138.456569275083 -172.240333633985</t>
  </si>
  <si>
    <t>-955.478638841174 136.507205273618 -269.433540997351</t>
  </si>
  <si>
    <t>-965.269484833786 135.708096719233 -357.98717791463</t>
  </si>
  <si>
    <t>-969.407182130762 135.611131709365 -446.987757104647</t>
  </si>
  <si>
    <t>-969.221151242039 135.975464546903 -571.569653344409</t>
  </si>
  <si>
    <t>-933.842488142267 131.580141039393 -646.630024652062</t>
  </si>
  <si>
    <t>-965.42166194212 163.25062739186 -516.661352700351</t>
  </si>
  <si>
    <t>-937.709244975179 296.857802505969 -499.932260654965</t>
  </si>
  <si>
    <t>-894.323959620028 318.785639003479 -209.711562920744</t>
  </si>
  <si>
    <t>-656.794082501744 328.140658670491 -248.992330805274</t>
  </si>
  <si>
    <t>-973.184449480741 108.379436922787 -516.833442438115</t>
  </si>
  <si>
    <t>-911.375304559111 239.720908804188 -65.833303230786</t>
  </si>
  <si>
    <t>-917.231259873689 257.490603328335 337.285322770384</t>
  </si>
  <si>
    <t>-954.716635263622 265.627453100553 783.446931556824</t>
  </si>
  <si>
    <t>-816.627447162933 314.265283048958 843.887268539174</t>
  </si>
  <si>
    <t>-894.973524315415 49.6185444437115 -60.8146683536748</t>
  </si>
  <si>
    <t>-843.787618965586 25.7594423491869 338.766901517698</t>
  </si>
  <si>
    <t>-889.686607830991 24.953729897913 784.39255720151</t>
  </si>
  <si>
    <t>-795.521899173282 -79.6753242168111 857.008578999439</t>
  </si>
  <si>
    <t>9763-20170724T111158.482847600.bin</t>
  </si>
  <si>
    <t>-903.44193356036 144.477541678638 -62.3288927377013</t>
  </si>
  <si>
    <t>-939.360437716724 138.207742358097 -172.268779173242</t>
  </si>
  <si>
    <t>-955.974853222833 136.232678451762 -269.463015580522</t>
  </si>
  <si>
    <t>-965.743557781719 135.402731985092 -358.018750432628</t>
  </si>
  <si>
    <t>-969.845362224511 135.267446942878 -447.020992324166</t>
  </si>
  <si>
    <t>-969.595830922083 135.569427575797 -571.602852183963</t>
  </si>
  <si>
    <t>-934.19242419625 131.182277962373 -646.652069522078</t>
  </si>
  <si>
    <t>-965.833380783741 162.873323941612 -516.706299045486</t>
  </si>
  <si>
    <t>-938.126237654119 296.476201708776 -499.982782507079</t>
  </si>
  <si>
    <t>-894.393028155085 318.376856619602 -209.812187788012</t>
  </si>
  <si>
    <t>-657.041513334094 327.595822783127 -250.18657557011</t>
  </si>
  <si>
    <t>-973.577759702981 107.999374070248 -516.854894974609</t>
  </si>
  <si>
    <t>-911.889331243844 239.453482494955 -65.8736915949116</t>
  </si>
  <si>
    <t>-917.634327271913 257.372579599052 337.23985359083</t>
  </si>
  <si>
    <t>-954.681922521233 265.584255077354 783.446582258528</t>
  </si>
  <si>
    <t>-816.682418324042 314.443980233277 843.913579638583</t>
  </si>
  <si>
    <t>-895.409683917749 49.407282318643 -60.8445480295758</t>
  </si>
  <si>
    <t>-844.212311485239 25.7460043450478 338.747308837865</t>
  </si>
  <si>
    <t>-889.70445639479 24.8644039767537 784.404433468221</t>
  </si>
  <si>
    <t>-795.336061141772 -79.5924553388752 857.003911052838</t>
  </si>
  <si>
    <t>9763-20170724T111158.517942500.bin</t>
  </si>
  <si>
    <t>-903.638717875968 144.398186914392 -62.3470203271197</t>
  </si>
  <si>
    <t>-939.586095859788 138.118637194545 -172.276801676849</t>
  </si>
  <si>
    <t>-956.196464030186 136.127698148086 -269.471525047854</t>
  </si>
  <si>
    <t>-965.950264145202 135.280286486809 -358.028698326996</t>
  </si>
  <si>
    <t>-970.02530658711 135.12330186711 -447.032200882729</t>
  </si>
  <si>
    <t>-969.726197869549 135.390690427632 -571.613971182204</t>
  </si>
  <si>
    <t>-934.310982601507 131.004488780331 -646.657759586347</t>
  </si>
  <si>
    <t>-965.988379614004 162.710474200761 -516.723420792785</t>
  </si>
  <si>
    <t>-938.268171573347 296.312205806357 -499.99471246109</t>
  </si>
  <si>
    <t>-894.290859740404 318.170625953161 -209.857763006524</t>
  </si>
  <si>
    <t>-657.020491266917 327.401646975531 -250.703794697714</t>
  </si>
  <si>
    <t>-973.727070299456 107.835442396993 -516.859848773479</t>
  </si>
  <si>
    <t>-912.112397317133 239.395322933058 -65.8893411765249</t>
  </si>
  <si>
    <t>-917.84472125551 257.353375255811 337.222688051102</t>
  </si>
  <si>
    <t>-954.752318440134 265.684605466795 783.442590859144</t>
  </si>
  <si>
    <t>-816.71326874766 314.407703235589 843.929139702368</t>
  </si>
  <si>
    <t>-895.568370496192 49.3110125091061 -60.8546135995755</t>
  </si>
  <si>
    <t>-844.333722922074 25.7571514502288 338.738877741159</t>
  </si>
  <si>
    <t>-889.652068036234 24.9123491855944 784.403967700027</t>
  </si>
  <si>
    <t>-795.230549318381 -79.4999598791026 856.998248734256</t>
  </si>
  <si>
    <t>9763-20170724T111158.578735900.bin</t>
  </si>
  <si>
    <t>-903.878291687342 144.15234568452 -62.370340385952</t>
  </si>
  <si>
    <t>-939.894388818753 137.880565087684 -172.278177922701</t>
  </si>
  <si>
    <t>-956.505480016623 135.857450263652 -269.471968366523</t>
  </si>
  <si>
    <t>-966.23692326756 134.964089111856 -358.031122563545</t>
  </si>
  <si>
    <t>-970.267041412058 134.743712556838 -447.036480066016</t>
  </si>
  <si>
    <t>-969.882703927357 134.90328100751 -571.618351980862</t>
  </si>
  <si>
    <t>-934.442410694248 130.503538506019 -646.649612725119</t>
  </si>
  <si>
    <t>-966.176037462433 162.269605847861 -516.748986581251</t>
  </si>
  <si>
    <t>-938.409903226347 295.870274728869 -500.054112907087</t>
  </si>
  <si>
    <t>-894.031977187915 317.615250124036 -209.969689700434</t>
  </si>
  <si>
    <t>-656.930245290344 326.698599938871 -251.816173291964</t>
  </si>
  <si>
    <t>-973.927668410065 107.396292064418 -516.843218381442</t>
  </si>
  <si>
    <t>-912.339337103779 239.121241307789 -65.8904817711475</t>
  </si>
  <si>
    <t>-918.019164646146 257.291062317764 337.212771735123</t>
  </si>
  <si>
    <t>-954.766041936218 265.686680689786 783.459598187324</t>
  </si>
  <si>
    <t>-816.698803979389 314.324166988545 843.95069600888</t>
  </si>
  <si>
    <t>-895.843994823849 49.0967434594513 -60.8679756707684</t>
  </si>
  <si>
    <t>-844.501519727802 25.7098009394135 338.721399585152</t>
  </si>
  <si>
    <t>-889.643815628709 24.8631537626065 784.416044612577</t>
  </si>
  <si>
    <t>-795.301313052778 -79.6220300785617 857.00817246384</t>
  </si>
  <si>
    <t>9763-20170724T111158.615834000.bin</t>
  </si>
  <si>
    <t>-904.025411029628 144.006870173373 -62.3569443192162</t>
  </si>
  <si>
    <t>-940.084085947606 137.736859751401 -172.250935908879</t>
  </si>
  <si>
    <t>-956.710455065567 135.694966363147 -269.441779179642</t>
  </si>
  <si>
    <t>-966.447172703826 134.775520740719 -358.000112297082</t>
  </si>
  <si>
    <t>-970.474713509906 134.519427184489 -447.005421014367</t>
  </si>
  <si>
    <t>-970.078950064393 134.618838101524 -571.587445414176</t>
  </si>
  <si>
    <t>-934.632929262638 130.198886816483 -646.61462533699</t>
  </si>
  <si>
    <t>-966.367960454576 162.010518327827 -516.730823810391</t>
  </si>
  <si>
    <t>-938.570839727758 295.603210406298 -500.062618374167</t>
  </si>
  <si>
    <t>-894.028811447737 317.33767299187 -210.002610745086</t>
  </si>
  <si>
    <t>-657.039391793079 326.212562284891 -252.523806653174</t>
  </si>
  <si>
    <t>-974.138126244068 107.139876081781 -516.799303856675</t>
  </si>
  <si>
    <t>-912.505201473827 238.969892206735 -65.8768982252293</t>
  </si>
  <si>
    <t>-918.068847944179 257.25232265653 337.222906563836</t>
  </si>
  <si>
    <t>-954.800812961143 265.697602102025 783.481638079875</t>
  </si>
  <si>
    <t>-816.73626638547 314.365767489212 843.954425823317</t>
  </si>
  <si>
    <t>-895.990833315697 48.940271879756 -60.8650729213568</t>
  </si>
  <si>
    <t>-844.624040651416 25.655927228333 338.727240308057</t>
  </si>
  <si>
    <t>-889.620577189108 24.8667555519451 784.42512534974</t>
  </si>
  <si>
    <t>-795.213615482944 -79.565362901395 857.009934962043</t>
  </si>
  <si>
    <t>9763-20170724T111158.681013600.bin</t>
  </si>
  <si>
    <t>-904.175670837385 143.665768966564 -62.3158760762612</t>
  </si>
  <si>
    <t>-940.341212261939 137.400785544916 -172.174977828955</t>
  </si>
  <si>
    <t>-957.015064047724 135.31548783467 -269.356748922254</t>
  </si>
  <si>
    <t>-966.777700483409 134.336852401512 -357.911631788534</t>
  </si>
  <si>
    <t>-970.81440944393 134.00093585269 -446.91638202882</t>
  </si>
  <si>
    <t>-970.414785342543 133.966702331452 -571.498333303159</t>
  </si>
  <si>
    <t>-934.969967923347 129.504468821408 -646.523461525221</t>
  </si>
  <si>
    <t>-966.697288319185 161.41594908662 -516.670957352298</t>
  </si>
  <si>
    <t>-938.879467132272 295.014475116724 -500.063486428916</t>
  </si>
  <si>
    <t>-893.955764056924 316.662155682803 -210.055871972749</t>
  </si>
  <si>
    <t>-657.227313569596 324.972866926342 -254.117117526936</t>
  </si>
  <si>
    <t>-974.483724524333 106.5476867661 -516.680890918697</t>
  </si>
  <si>
    <t>-912.631778499068 238.606248856615 -65.838611927708</t>
  </si>
  <si>
    <t>-917.99466413216 257.102291121606 337.254155744422</t>
  </si>
  <si>
    <t>-954.872244709507 265.703428191305 783.516713496039</t>
  </si>
  <si>
    <t>-816.831049237057 314.501314463105 843.938050767975</t>
  </si>
  <si>
    <t>-896.145439685876 48.6481709006903 -60.8512568609018</t>
  </si>
  <si>
    <t>-844.761081780381 25.5398754066332 338.748973869177</t>
  </si>
  <si>
    <t>-889.588312413672 24.8405660191443 784.440780468415</t>
  </si>
  <si>
    <t>-795.294008521432 -79.6875694389134 857.033668964447</t>
  </si>
  <si>
    <t>9763-20170724T111158.714100300.bin</t>
  </si>
  <si>
    <t>-904.248652328943 143.496799646417 -62.3058410267503</t>
  </si>
  <si>
    <t>-940.459175870263 137.218776856418 -172.149429473921</t>
  </si>
  <si>
    <t>-957.158844650051 135.101815992001 -269.325982236507</t>
  </si>
  <si>
    <t>-966.940292407664 134.086332821027 -357.878330804832</t>
  </si>
  <si>
    <t>-970.991314661506 133.705098169877 -446.882329856539</t>
  </si>
  <si>
    <t>-970.607233357352 133.598653462911 -571.46417445369</t>
  </si>
  <si>
    <t>-935.170577576888 129.127069325485 -646.492699015539</t>
  </si>
  <si>
    <t>-966.884391286326 161.079799611375 -516.653281013722</t>
  </si>
  <si>
    <t>-939.090599273859 294.690257105114 -500.081549528995</t>
  </si>
  <si>
    <t>-893.949153629433 316.235688309675 -210.100062564567</t>
  </si>
  <si>
    <t>-657.359121300589 324.198576767724 -254.962439929966</t>
  </si>
  <si>
    <t>-974.667846635804 106.211051617535 -516.630440150493</t>
  </si>
  <si>
    <t>-912.712858819115 238.427520590306 -65.8287887346361</t>
  </si>
  <si>
    <t>-917.979106751738 257.027302388911 337.26045219879</t>
  </si>
  <si>
    <t>-954.918264691395 265.717700799174 783.52224946294</t>
  </si>
  <si>
    <t>-816.919802082454 314.666138474861 843.91920393696</t>
  </si>
  <si>
    <t>-896.206137810397 48.4657036466874 -60.8372895300978</t>
  </si>
  <si>
    <t>-844.792401484044 25.4859090536006 338.766597249119</t>
  </si>
  <si>
    <t>-889.568555104839 24.8338065946027 784.457620108771</t>
  </si>
  <si>
    <t>-795.40799542873 -79.8129554113243 857.053184920909</t>
  </si>
  <si>
    <t>9763-20170724T111158.781970300.bin</t>
  </si>
  <si>
    <t>-904.490737428653 143.086538529852 -62.3023337875323</t>
  </si>
  <si>
    <t>-940.797007276376 136.76027778042 -172.111525733324</t>
  </si>
  <si>
    <t>-957.556296340285 134.573330380107 -269.276344914567</t>
  </si>
  <si>
    <t>-967.381998664311 133.481392996162 -357.822837079684</t>
  </si>
  <si>
    <t>-971.468890734281 133.010503206774 -446.824615883211</t>
  </si>
  <si>
    <t>-971.125786114046 132.763919697438 -571.40649480282</t>
  </si>
  <si>
    <t>-935.708810761889 128.300020842927 -646.444782513803</t>
  </si>
  <si>
    <t>-967.395739945089 160.308125566274 -516.627815627224</t>
  </si>
  <si>
    <t>-939.678331427411 293.936389626899 -500.119461093881</t>
  </si>
  <si>
    <t>-894.164328532481 315.318804272479 -210.184155681374</t>
  </si>
  <si>
    <t>-657.844495604557 322.716914339857 -256.543970829008</t>
  </si>
  <si>
    <t>-975.157986178727 105.436620282585 -516.540648174965</t>
  </si>
  <si>
    <t>-913.023383919901 238.047478527203 -65.833402238677</t>
  </si>
  <si>
    <t>-918.142274411621 256.844793148378 337.248677615813</t>
  </si>
  <si>
    <t>-954.966470217264 265.717138838414 783.498503375771</t>
  </si>
  <si>
    <t>-816.901903087004 314.502666214595 843.876254924374</t>
  </si>
  <si>
    <t>-896.388059751601 48.0059084609043 -60.8171423085387</t>
  </si>
  <si>
    <t>-844.942442928099 25.3074971065121 338.798676830954</t>
  </si>
  <si>
    <t>-889.607836689562 24.7117613530813 784.491990481486</t>
  </si>
  <si>
    <t>-795.180930543435 -79.7142111230726 857.059813781343</t>
  </si>
  <si>
    <t>9763-20170724T111158.816062800.bin</t>
  </si>
  <si>
    <t>-904.644263380629 142.908373434717 -62.3177891265418</t>
  </si>
  <si>
    <t>-940.986100994889 136.548338732634 -172.113184358584</t>
  </si>
  <si>
    <t>-957.771953762727 134.324652237327 -269.272635202315</t>
  </si>
  <si>
    <t>-967.620602898345 133.196160226687 -357.816333539554</t>
  </si>
  <si>
    <t>-971.728902639598 132.684961895025 -446.81686901029</t>
  </si>
  <si>
    <t>-971.414105405527 132.378473073279 -571.398617821008</t>
  </si>
  <si>
    <t>-936.012827071549 127.927189784571 -646.444973331871</t>
  </si>
  <si>
    <t>-967.680271443236 159.950502850172 -516.634067989543</t>
  </si>
  <si>
    <t>-940.017881771047 293.596056515331 -500.149504538714</t>
  </si>
  <si>
    <t>-894.323193827302 314.834220378577 -210.232019512348</t>
  </si>
  <si>
    <t>-658.120015005091 322.035146787304 -257.211933394987</t>
  </si>
  <si>
    <t>-975.425168899104 105.076353895623 -516.518607455211</t>
  </si>
  <si>
    <t>-913.223288943495 237.883593520268 -65.8619418726489</t>
  </si>
  <si>
    <t>-918.301992111732 256.760044943663 337.216862924017</t>
  </si>
  <si>
    <t>-954.985662117631 265.738166191113 783.462846312068</t>
  </si>
  <si>
    <t>-816.923156283141 314.513694227939 843.85316647271</t>
  </si>
  <si>
    <t>-896.493116355118 47.8348204506583 -60.820718673502</t>
  </si>
  <si>
    <t>-845.067794302093 25.2572182792387 338.804589788348</t>
  </si>
  <si>
    <t>-889.60885908307 24.6779553160654 784.503817245342</t>
  </si>
  <si>
    <t>-795.152834495024 -79.725143320745 857.06656532912</t>
  </si>
  <si>
    <t>9763-20170724T111158.880238400.bin</t>
  </si>
  <si>
    <t>-904.99619657085 142.703177437439 -62.3729969403818</t>
  </si>
  <si>
    <t>-941.394041484905 136.261338337088 -172.145194580432</t>
  </si>
  <si>
    <t>-958.220695251115 133.967808932043 -269.295894383531</t>
  </si>
  <si>
    <t>-968.102341088568 132.775215736181 -357.834919984508</t>
  </si>
  <si>
    <t>-972.240396209462 132.198901643885 -446.833681377441</t>
  </si>
  <si>
    <t>-971.963035490668 131.800032201677 -571.415287921462</t>
  </si>
  <si>
    <t>-936.602610625305 127.379194946072 -646.482707412007</t>
  </si>
  <si>
    <t>-968.238989598435 159.416357109072 -516.672370390533</t>
  </si>
  <si>
    <t>-940.748670740023 293.099578046371 -500.21240392202</t>
  </si>
  <si>
    <t>-894.793614568136 314.060608372315 -210.315945083267</t>
  </si>
  <si>
    <t>-658.819707055622 320.914336187248 -258.484811089434</t>
  </si>
  <si>
    <t>-975.931442545142 104.534668054404 -516.513840022624</t>
  </si>
  <si>
    <t>-913.684225941191 237.619914064191 -65.949544910267</t>
  </si>
  <si>
    <t>-918.634566721602 256.653110760541 337.123513893341</t>
  </si>
  <si>
    <t>-954.9972327895 265.754180338517 783.397607304177</t>
  </si>
  <si>
    <t>-816.967604917466 314.600222351845 843.806243344205</t>
  </si>
  <si>
    <t>-896.71363505354 47.7213164212653 -60.8450028601319</t>
  </si>
  <si>
    <t>-845.30634404719 25.3038640222485 338.79162669069</t>
  </si>
  <si>
    <t>-889.510460221408 24.7780315378354 784.520394288496</t>
  </si>
  <si>
    <t>-795.16159797197 -79.7272266883801 857.075224997873</t>
  </si>
  <si>
    <t>9763-20170724T111158.914329100.bin</t>
  </si>
  <si>
    <t>-905.212521212086 142.651502979114 -62.4050461318215</t>
  </si>
  <si>
    <t>-941.649940034109 136.179632654453 -172.162237720857</t>
  </si>
  <si>
    <t>-958.503888833132 133.859254149906 -269.307540706273</t>
  </si>
  <si>
    <t>-968.407563994607 132.641793978768 -357.843845497675</t>
  </si>
  <si>
    <t>-972.564077963614 132.040086650366 -446.841708531344</t>
  </si>
  <si>
    <t>-972.309649832173 131.605689970234 -571.423234810838</t>
  </si>
  <si>
    <t>-936.975250959804 127.198845772438 -646.50352641759</t>
  </si>
  <si>
    <t>-968.593194516806 159.239824161851 -516.689039491361</t>
  </si>
  <si>
    <t>-941.213737593206 292.946712674945 -500.230786437456</t>
  </si>
  <si>
    <t>-895.211073942225 313.794091970551 -210.333583193256</t>
  </si>
  <si>
    <t>-659.345176718212 320.491332570284 -259.049435134915</t>
  </si>
  <si>
    <t>-976.25017917564 104.353644265273 -516.513067305776</t>
  </si>
  <si>
    <t>-913.975296991659 237.540709378081 -65.9839305367919</t>
  </si>
  <si>
    <t>-918.846902469936 256.675477574917 337.08524146887</t>
  </si>
  <si>
    <t>-955.081566553172 265.86281926005 783.377421402464</t>
  </si>
  <si>
    <t>-817.03901339905 314.670568735592 843.787617327838</t>
  </si>
  <si>
    <t>-896.874079831804 47.6933779423939 -60.8619899930884</t>
  </si>
  <si>
    <t>-845.42522864669 25.401694366964 338.776287196462</t>
  </si>
  <si>
    <t>-889.459551971438 24.8270909555317 784.523839926786</t>
  </si>
  <si>
    <t>-795.292374962143 -79.8379827223466 857.084627093638</t>
  </si>
  <si>
    <t>9763-20170724T111158.979094300.bin</t>
  </si>
  <si>
    <t>-905.705582847442 142.375253652881 -62.4455240433525</t>
  </si>
  <si>
    <t>-942.236213884819 135.843607486611 -172.168248194448</t>
  </si>
  <si>
    <t>-959.162886191659 133.488697463795 -269.30014819486</t>
  </si>
  <si>
    <t>-969.128549652282 132.245415200213 -357.829135884473</t>
  </si>
  <si>
    <t>-973.342599746891 131.624564669445 -446.824032410998</t>
  </si>
  <si>
    <t>-973.163646036498 131.16939692531 -571.405713251108</t>
  </si>
  <si>
    <t>-937.888885903527 126.797174803533 -646.516288872777</t>
  </si>
  <si>
    <t>-969.4518445388 158.818158939292 -516.678310195684</t>
  </si>
  <si>
    <t>-942.34040517448 292.578841088887 -500.217503317784</t>
  </si>
  <si>
    <t>-896.45558657563 313.122391997451 -210.27993040142</t>
  </si>
  <si>
    <t>-660.908525893868 319.34892199138 -260.575067495787</t>
  </si>
  <si>
    <t>-977.033117251426 103.921196868179 -516.488714624568</t>
  </si>
  <si>
    <t>-914.594200658184 237.261950202748 -66.036627673294</t>
  </si>
  <si>
    <t>-919.238776871517 256.582972451406 337.026417915821</t>
  </si>
  <si>
    <t>-955.139192461399 265.921086200781 783.344084389407</t>
  </si>
  <si>
    <t>-817.145846058437 314.881616194648 843.742902152787</t>
  </si>
  <si>
    <t>-897.266608687426 47.3871024564814 -60.8969394454086</t>
  </si>
  <si>
    <t>-845.771380848128 25.3776407611185 338.751093654054</t>
  </si>
  <si>
    <t>-889.545666951198 24.6303754975984 784.539677030295</t>
  </si>
  <si>
    <t>-795.077664321711 -79.777987880509 857.079264309889</t>
  </si>
  <si>
    <t>9763-20170724T111159.016192800.bin</t>
  </si>
  <si>
    <t>-905.942752986471 142.279318962934 -62.4620189712726</t>
  </si>
  <si>
    <t>-942.534336467456 135.720071004485 -172.162757030473</t>
  </si>
  <si>
    <t>-959.494827842 133.351375060844 -269.288373698978</t>
  </si>
  <si>
    <t>-969.482894882551 132.099211635083 -357.814773388205</t>
  </si>
  <si>
    <t>-973.710545712062 131.472236860202 -446.809045165066</t>
  </si>
  <si>
    <t>-973.541451145425 131.011668660313 -571.390494027562</t>
  </si>
  <si>
    <t>-938.290086855581 126.654921367323 -646.513092393412</t>
  </si>
  <si>
    <t>-969.842238780115 158.665187687466 -516.664722104389</t>
  </si>
  <si>
    <t>-942.887378263896 292.457400021032 -500.208866006544</t>
  </si>
  <si>
    <t>-897.237267008879 312.736334857301 -210.215701284385</t>
  </si>
  <si>
    <t>-661.847592858952 318.706576772769 -261.273833075327</t>
  </si>
  <si>
    <t>-977.38949331091 103.763723156191 -516.472051138427</t>
  </si>
  <si>
    <t>-914.894661564702 237.127219354903 -66.0536294000674</t>
  </si>
  <si>
    <t>-919.445828749655 256.55424810186 337.005336020743</t>
  </si>
  <si>
    <t>-955.135560942953 265.904468353663 783.333084325202</t>
  </si>
  <si>
    <t>-817.132839235142 314.845253935729 843.725947438876</t>
  </si>
  <si>
    <t>-897.435941950743 47.3281003444804 -60.9108416718025</t>
  </si>
  <si>
    <t>-845.866130603734 25.4277433645666 338.73351016363</t>
  </si>
  <si>
    <t>-889.513239299908 24.6435610435515 784.537740951283</t>
  </si>
  <si>
    <t>-795.181917554084 -79.8842849066966 857.082909589306</t>
  </si>
  <si>
    <t>9763-20170724T111159.085109100.bin</t>
  </si>
  <si>
    <t>-906.430057433031 142.119432368146 -62.5161684848332</t>
  </si>
  <si>
    <t>-943.123799868383 135.50824266004 -172.179629746829</t>
  </si>
  <si>
    <t>-960.12988597411 133.107845707028 -269.29664809187</t>
  </si>
  <si>
    <t>-970.140769966921 131.830168274245 -357.819917110893</t>
  </si>
  <si>
    <t>-974.373348039254 131.180743061531 -446.813835196488</t>
  </si>
  <si>
    <t>-974.190717254762 130.690981753303 -571.395288742159</t>
  </si>
  <si>
    <t>-938.96871742201 126.392376300376 -646.534774868074</t>
  </si>
  <si>
    <t>-970.530969431221 158.36185009682 -516.675647872417</t>
  </si>
  <si>
    <t>-943.830824982377 292.204710950893 -500.221291393205</t>
  </si>
  <si>
    <t>-898.905143184091 311.584525761369 -210.053551042144</t>
  </si>
  <si>
    <t>-663.689607597613 317.20706045269 -261.947246204384</t>
  </si>
  <si>
    <t>-978.011224557982 103.45128626266 -516.470678520793</t>
  </si>
  <si>
    <t>-915.502753803996 236.932305703187 -66.1064297266438</t>
  </si>
  <si>
    <t>-919.832419038421 256.494407437826 336.948462764062</t>
  </si>
  <si>
    <t>-955.081752167488 265.853418833697 783.294826183987</t>
  </si>
  <si>
    <t>-817.194486895499 315.094548017059 843.707915273425</t>
  </si>
  <si>
    <t>-897.780532053447 47.1974635856732 -60.9461947086389</t>
  </si>
  <si>
    <t>-846.054525043192 25.531675889521 338.690699435514</t>
  </si>
  <si>
    <t>-889.447001469077 24.672109002498 784.524412847194</t>
  </si>
  <si>
    <t>-795.186339124423 -79.9143281441848 857.076798822066</t>
  </si>
  <si>
    <t>9763-20170724T111159.113184100.bin</t>
  </si>
  <si>
    <t>-906.726564097892 142.079342567972 -62.5356798697693</t>
  </si>
  <si>
    <t>-943.446385964862 135.452101438983 -172.189468591876</t>
  </si>
  <si>
    <t>-960.472228408823 133.036952490674 -269.302626306146</t>
  </si>
  <si>
    <t>-970.499409098948 131.745356765252 -357.823886471566</t>
  </si>
  <si>
    <t>-974.74688936379 131.081598341289 -446.816933932362</t>
  </si>
  <si>
    <t>-974.584193565855 130.571598329679 -571.398296459294</t>
  </si>
  <si>
    <t>-939.377763467499 126.30703190699 -646.547233094802</t>
  </si>
  <si>
    <t>-970.930646390814 158.253365442981 -516.683836595204</t>
  </si>
  <si>
    <t>-944.336472681854 292.11807753838 -500.226188491663</t>
  </si>
  <si>
    <t>-899.736431526705 311.069630540399 -209.979922577456</t>
  </si>
  <si>
    <t>-664.606282016323 316.517339382251 -262.276284042555</t>
  </si>
  <si>
    <t>-978.381022986558 103.338783198447 -516.468694689744</t>
  </si>
  <si>
    <t>-915.879257798609 236.916074500599 -66.1302649396885</t>
  </si>
  <si>
    <t>-920.086003645933 256.52711173607 336.923536341446</t>
  </si>
  <si>
    <t>-955.137353229499 265.95321755952 783.279457159837</t>
  </si>
  <si>
    <t>-817.200824425899 315.015410199207 843.725484476919</t>
  </si>
  <si>
    <t>-898.012766916831 47.1417341348761 -60.9643934010395</t>
  </si>
  <si>
    <t>-846.19240341828 25.5872013842181 338.666365534085</t>
  </si>
  <si>
    <t>-889.480455193621 24.5863539841098 784.5210316717</t>
  </si>
  <si>
    <t>-795.124453965711 -79.9167119431579 857.069755803588</t>
  </si>
  <si>
    <t>9763-20170724T111159.180928900.bin</t>
  </si>
  <si>
    <t>-907.273448318539 142.050634033745 -62.5368847012282</t>
  </si>
  <si>
    <t>-944.065997090237 135.384450058272 -172.163844883065</t>
  </si>
  <si>
    <t>-961.145513777489 132.942244589486 -269.266891345169</t>
  </si>
  <si>
    <t>-971.21835064925 131.629176516976 -357.782610910742</t>
  </si>
  <si>
    <t>-975.506735430652 130.948411278765 -446.77356953027</t>
  </si>
  <si>
    <t>-975.396701878884 130.419926735848 -571.355084282905</t>
  </si>
  <si>
    <t>-940.257848008203 126.240302228303 -646.540143242376</t>
  </si>
  <si>
    <t>-971.757961816119 158.115027901943 -516.646175049725</t>
  </si>
  <si>
    <t>-945.379903004069 292.024468189925 -500.177546567272</t>
  </si>
  <si>
    <t>-901.203976699707 310.512538858956 -209.836480592975</t>
  </si>
  <si>
    <t>-666.208686603069 315.700540599078 -262.762507710717</t>
  </si>
  <si>
    <t>-979.132412374307 103.190071410304 -516.419626458884</t>
  </si>
  <si>
    <t>-916.498681250319 236.911960028706 -66.1578204043021</t>
  </si>
  <si>
    <t>-920.591770220344 256.630193661777 336.891897237423</t>
  </si>
  <si>
    <t>-955.22847050114 266.13008567966 783.279308367923</t>
  </si>
  <si>
    <t>-817.245658432916 314.996757290925 843.777873720469</t>
  </si>
  <si>
    <t>-898.509940669087 47.0980036801802 -60.9761321081234</t>
  </si>
  <si>
    <t>-846.557964445024 25.6606086524166 338.643808380487</t>
  </si>
  <si>
    <t>-889.58054526492 24.3706393493667 784.527710420406</t>
  </si>
  <si>
    <t>-794.852486733418 -79.8108789103469 857.054014996945</t>
  </si>
  <si>
    <t>9763-20170724T111159.216021400.bin</t>
  </si>
  <si>
    <t>-907.534712099174 142.0997454046 -62.5463041389784</t>
  </si>
  <si>
    <t>-944.384595511828 135.410715287594 -172.15274255141</t>
  </si>
  <si>
    <t>-961.509647865779 132.959622010379 -269.247383130953</t>
  </si>
  <si>
    <t>-971.620729982618 131.643210431864 -357.758874523924</t>
  </si>
  <si>
    <t>-975.94562279016 130.96499865524 -446.748008892422</t>
  </si>
  <si>
    <t>-975.88320840366 130.446375045714 -571.32944443334</t>
  </si>
  <si>
    <t>-940.794981037731 126.314208263801 -646.541017142307</t>
  </si>
  <si>
    <t>-972.248723019893 158.14044250111 -516.619872571344</t>
  </si>
  <si>
    <t>-945.99469446748 292.069682326274 -500.153502572695</t>
  </si>
  <si>
    <t>-901.996390861782 310.489537391531 -209.781228126737</t>
  </si>
  <si>
    <t>-667.067841090371 315.536345089074 -263.017070247905</t>
  </si>
  <si>
    <t>-979.572335388521 103.20882631845 -516.394815633874</t>
  </si>
  <si>
    <t>-916.832832912593 236.930349543242 -66.1630266120051</t>
  </si>
  <si>
    <t>-920.780234156802 256.704345130518 336.885431766758</t>
  </si>
  <si>
    <t>-955.220665957706 266.11854687471 783.29803397179</t>
  </si>
  <si>
    <t>-817.209952132188 314.901829444642 843.800621062157</t>
  </si>
  <si>
    <t>-898.689909202465 47.1870523133748 -60.9859460873322</t>
  </si>
  <si>
    <t>-846.704513368322 25.8143122860547 338.633080983631</t>
  </si>
  <si>
    <t>-889.515605801556 24.443033057702 784.528744502806</t>
  </si>
  <si>
    <t>-794.984330875133 -79.9105744251096 857.064627634914</t>
  </si>
  <si>
    <t>9763-20170724T111159.284110400.bin</t>
  </si>
  <si>
    <t>-908.074317495213 141.995256178348 -62.5593532643492</t>
  </si>
  <si>
    <t>-945.108705003358 135.304104110375 -172.103456055547</t>
  </si>
  <si>
    <t>-962.409250767207 132.88027730952 -269.167705139028</t>
  </si>
  <si>
    <t>-972.685015433309 131.602494639611 -357.660700842824</t>
  </si>
  <si>
    <t>-977.179511546705 130.978564396775 -446.641935092314</t>
  </si>
  <si>
    <t>-977.358089595751 130.554300438944 -571.22372888912</t>
  </si>
  <si>
    <t>-942.427445144673 126.524233439444 -646.513904755621</t>
  </si>
  <si>
    <t>-973.673516982666 158.214358098666 -516.500170843513</t>
  </si>
  <si>
    <t>-947.64559390428 292.188454088047 -500.036036603152</t>
  </si>
  <si>
    <t>-904.148816220182 310.618226989485 -209.588810208467</t>
  </si>
  <si>
    <t>-669.319671988321 315.320205166547 -263.291955310487</t>
  </si>
  <si>
    <t>-980.885617426942 103.267764821312 -516.302714473304</t>
  </si>
  <si>
    <t>-917.469516275514 236.75984753749 -66.1281253979373</t>
  </si>
  <si>
    <t>-921.03754055521 256.74649833668 336.913370256461</t>
  </si>
  <si>
    <t>-955.225215065169 266.103160230914 783.363866743887</t>
  </si>
  <si>
    <t>-817.258687583748 315.022348221121 843.857383557603</t>
  </si>
  <si>
    <t>-899.127964647094 47.1021666533666 -61.0011283778393</t>
  </si>
  <si>
    <t>-846.857916701119 25.9605149109625 338.593086191359</t>
  </si>
  <si>
    <t>-889.429983406303 24.4988482596009 784.514592670444</t>
  </si>
  <si>
    <t>-794.896511502946 -79.8475235992444 857.058108809199</t>
  </si>
  <si>
    <t>9763-20170724T111159.317194000.bin</t>
  </si>
  <si>
    <t>-908.33028122283 141.886824810094 -62.5492894734751</t>
  </si>
  <si>
    <t>-945.46844409924 135.189615544528 -172.057790034814</t>
  </si>
  <si>
    <t>-962.88050367634 132.790842266907 -269.102748429352</t>
  </si>
  <si>
    <t>-973.264647755877 131.549750286983 -357.58368920169</t>
  </si>
  <si>
    <t>-977.87479148606 130.977896547125 -446.559343572568</t>
  </si>
  <si>
    <t>-978.221622393314 130.643645103689 -571.140876674089</t>
  </si>
  <si>
    <t>-943.389303094846 126.659988102062 -646.479332786354</t>
  </si>
  <si>
    <t>-974.494222657878 158.267981294246 -516.402426067233</t>
  </si>
  <si>
    <t>-948.581131681035 292.264651565609 -499.922856643218</t>
  </si>
  <si>
    <t>-905.424244377339 310.653410441216 -209.42231043037</t>
  </si>
  <si>
    <t>-670.630145313461 315.169826439144 -263.294542224023</t>
  </si>
  <si>
    <t>-981.643536206496 103.313367589776 -516.234947315768</t>
  </si>
  <si>
    <t>-917.773633210646 236.632608893849 -66.0917891087836</t>
  </si>
  <si>
    <t>-921.122550509542 256.747685573122 336.945207575858</t>
  </si>
  <si>
    <t>-955.1990339883 266.049448983025 783.405163265116</t>
  </si>
  <si>
    <t>-817.26315172114 315.071686571534 843.885887655549</t>
  </si>
  <si>
    <t>-899.32523665004 47.0088566147347 -61.006557950194</t>
  </si>
  <si>
    <t>-846.872350690735 26.022092075953 338.571866334578</t>
  </si>
  <si>
    <t>-889.377381142393 24.5444395216141 784.505272940941</t>
  </si>
  <si>
    <t>-795.126407244822 -80.0440648805084 857.06802095751</t>
  </si>
  <si>
    <t>9763-20170724T111159.382374200.bin</t>
  </si>
  <si>
    <t>-908.868620852778 141.557180321214 -62.4822336034873</t>
  </si>
  <si>
    <t>-946.225456557565 134.858370425088 -171.916343206866</t>
  </si>
  <si>
    <t>-963.86538843925 132.512425173502 -268.921517733146</t>
  </si>
  <si>
    <t>-974.470063094018 131.34340446552 -357.377085235283</t>
  </si>
  <si>
    <t>-979.3135057548 130.870153588034 -446.340885618924</t>
  </si>
  <si>
    <t>-979.998830557803 130.703249426213 -570.921518366212</t>
  </si>
  <si>
    <t>-945.393578595406 126.819349353816 -646.369570121559</t>
  </si>
  <si>
    <t>-976.179413989425 158.261701092684 -516.155839915456</t>
  </si>
  <si>
    <t>-950.469886896203 292.297266206343 -499.653979060985</t>
  </si>
  <si>
    <t>-908.190017787683 310.638912541134 -209.021571169936</t>
  </si>
  <si>
    <t>-673.468002688318 314.861011542144 -263.230605011395</t>
  </si>
  <si>
    <t>-983.215169038823 103.292118363398 -516.043646382567</t>
  </si>
  <si>
    <t>-918.418846939836 236.280562822558 -65.9965655044709</t>
  </si>
  <si>
    <t>-921.271727186123 256.74653010666 337.026567247936</t>
  </si>
  <si>
    <t>-955.204250766435 266.023389111967 783.490744910166</t>
  </si>
  <si>
    <t>-817.335192314414 315.259004751148 843.949678181919</t>
  </si>
  <si>
    <t>-899.767368809484 46.7233307442784 -60.992385669765</t>
  </si>
  <si>
    <t>-846.983043705283 26.0245268404437 338.55740870146</t>
  </si>
  <si>
    <t>-889.320743151132 24.5500512502031 784.493527471984</t>
  </si>
  <si>
    <t>-795.217974080158 -80.1576188654178 857.076405710504</t>
  </si>
  <si>
    <t>9763-20170724T111159.413453900.bin</t>
  </si>
  <si>
    <t>-909.258310648972 141.360772306718 -62.4572243416191</t>
  </si>
  <si>
    <t>-946.724890304576 134.64430722727 -171.852735311927</t>
  </si>
  <si>
    <t>-964.494028529275 132.319504490587 -268.834728741984</t>
  </si>
  <si>
    <t>-975.228521935818 131.185330029554 -357.275125700138</t>
  </si>
  <si>
    <t>-980.213810638004 130.764219842837 -446.231454885011</t>
  </si>
  <si>
    <t>-981.108747749456 130.68825347742 -570.810770867029</t>
  </si>
  <si>
    <t>-946.628705141404 126.865836666218 -646.319482641969</t>
  </si>
  <si>
    <t>-977.22915395106 158.210585648749 -516.031407299864</t>
  </si>
  <si>
    <t>-951.627800331389 292.260100343915 -499.509368317546</t>
  </si>
  <si>
    <t>-909.742456213698 310.597412776909 -208.819572453424</t>
  </si>
  <si>
    <t>-675.040139582937 314.712823555962 -263.122325327122</t>
  </si>
  <si>
    <t>-984.200383300365 103.23272731947 -515.947779740613</t>
  </si>
  <si>
    <t>-918.906686342945 236.10475042856 -65.9503633534598</t>
  </si>
  <si>
    <t>-921.452691313702 256.808122552226 337.062787533276</t>
  </si>
  <si>
    <t>-955.336561463177 266.199134585802 783.53324561171</t>
  </si>
  <si>
    <t>-817.373173850395 315.169457621524 843.99232563707</t>
  </si>
  <si>
    <t>-900.080855988466 46.506970540815 -60.9860464956353</t>
  </si>
  <si>
    <t>-847.13606110302 26.0055230894518 338.552711852137</t>
  </si>
  <si>
    <t>-889.349407376989 24.481224029968 784.502493988555</t>
  </si>
  <si>
    <t>-795.072584894916 -80.0790997015765 857.071676614148</t>
  </si>
  <si>
    <t>9763-20170724T111159.483675200.bin</t>
  </si>
  <si>
    <t>-909.94007383517 140.901492810945 -62.4249388984202</t>
  </si>
  <si>
    <t>-947.616229426469 134.129055793184 -171.744988364682</t>
  </si>
  <si>
    <t>-965.638233341999 131.853206479088 -268.681464942849</t>
  </si>
  <si>
    <t>-976.628399676724 130.803913230141 -357.091663591733</t>
  </si>
  <si>
    <t>-981.893254126871 130.510994251289 -446.03231208109</t>
  </si>
  <si>
    <t>-983.202187065112 130.661577429134 -570.607824205866</t>
  </si>
  <si>
    <t>-948.956065368863 127.02226279761 -646.231958762498</t>
  </si>
  <si>
    <t>-979.211130818533 158.093072600771 -515.791039910483</t>
  </si>
  <si>
    <t>-953.87604629189 292.180483369922 -499.179004939054</t>
  </si>
  <si>
    <t>-912.472014072944 310.264370073541 -208.404380497922</t>
  </si>
  <si>
    <t>-677.854836015326 314.512500993965 -263.063800850776</t>
  </si>
  <si>
    <t>-986.041104367394 103.097480973524 -515.785712689883</t>
  </si>
  <si>
    <t>-919.694840967697 235.551602161574 -65.8899539964912</t>
  </si>
  <si>
    <t>-921.823746574302 256.670209537369 337.104044840275</t>
  </si>
  <si>
    <t>-955.213743817501 266.073285144481 783.574278093243</t>
  </si>
  <si>
    <t>-817.413924827298 315.453309735303 844.073135382905</t>
  </si>
  <si>
    <t>-900.598796749113 46.1474509217096 -60.9851962830252</t>
  </si>
  <si>
    <t>-847.331911223682 26.0377573359892 338.530666764901</t>
  </si>
  <si>
    <t>-889.309694569525 24.4859479514566 784.508970960302</t>
  </si>
  <si>
    <t>-795.171134920432 -80.1983710364325 857.079118139196</t>
  </si>
  <si>
    <t>9763-20170724T111159.514756300.bin</t>
  </si>
  <si>
    <t>-910.32824710843 140.699764632123 -62.4049232687771</t>
  </si>
  <si>
    <t>-948.077022396689 133.899296512143 -171.698108867707</t>
  </si>
  <si>
    <t>-966.205937346109 131.650375133823 -268.615379166826</t>
  </si>
  <si>
    <t>-977.30914421 130.647114196934 -357.011877526684</t>
  </si>
  <si>
    <t>-982.703108551669 130.423242247125 -445.944935121609</t>
  </si>
  <si>
    <t>-984.207678124987 130.696295401251 -570.518189334914</t>
  </si>
  <si>
    <t>-950.073728783922 127.163827438005 -646.197826913199</t>
  </si>
  <si>
    <t>-980.168790937659 158.078622461256 -515.680127822803</t>
  </si>
  <si>
    <t>-954.963690569971 292.187391747759 -499.009090769867</t>
  </si>
  <si>
    <t>-913.699451401496 310.168017469613 -208.208244886639</t>
  </si>
  <si>
    <t>-679.12126479038 314.468469631288 -263.030691905766</t>
  </si>
  <si>
    <t>-986.922575304221 103.073776766603 -515.719145066278</t>
  </si>
  <si>
    <t>-920.166471248381 235.354196720472 -65.883011250506</t>
  </si>
  <si>
    <t>-922.210651028108 256.598263154044 337.104842142706</t>
  </si>
  <si>
    <t>-955.206757225541 266.116021442486 783.582604807122</t>
  </si>
  <si>
    <t>-817.41155025055 315.448088618899 844.131989096408</t>
  </si>
  <si>
    <t>-900.921880282507 45.951617351499 -60.9896526496925</t>
  </si>
  <si>
    <t>-847.530212287303 26.0370288796876 338.519225414052</t>
  </si>
  <si>
    <t>-889.339301869869 24.4225991423882 784.51743196505</t>
  </si>
  <si>
    <t>-795.10368745765 -80.1828189565144 857.074898341598</t>
  </si>
  <si>
    <t>9763-20170724T111159.581659100.bin</t>
  </si>
  <si>
    <t>-911.202292712253 140.408693464754 -62.4301384678918</t>
  </si>
  <si>
    <t>-949.017801561126 133.555670998913 -171.696922477353</t>
  </si>
  <si>
    <t>-967.309694112903 131.344049996507 -268.584483563332</t>
  </si>
  <si>
    <t>-978.601064851253 130.410822004293 -356.958033858372</t>
  </si>
  <si>
    <t>-984.222206681123 130.297031596298 -445.877165779949</t>
  </si>
  <si>
    <t>-986.084237559348 130.767289147799 -570.444942864733</t>
  </si>
  <si>
    <t>-952.154276943642 127.437699572525 -646.225648359619</t>
  </si>
  <si>
    <t>-981.961237740716 158.071653863239 -515.574317404919</t>
  </si>
  <si>
    <t>-957.024272038461 292.220375429193 -498.81656826295</t>
  </si>
  <si>
    <t>-916.214491154735 310.005544702352 -207.939600712684</t>
  </si>
  <si>
    <t>-681.706522866467 314.498946333933 -263.044588030128</t>
  </si>
  <si>
    <t>-988.568592082572 103.049038973495 -515.683384410963</t>
  </si>
  <si>
    <t>-921.191810022365 235.120473773439 -65.8750775004141</t>
  </si>
  <si>
    <t>-923.045379957817 256.55332882804 337.103706027193</t>
  </si>
  <si>
    <t>-955.128571046686 266.111166687677 783.623953611882</t>
  </si>
  <si>
    <t>-817.311073191549 315.261124005409 844.269793659548</t>
  </si>
  <si>
    <t>-901.681851625026 45.6648497553624 -61.0152324203664</t>
  </si>
  <si>
    <t>-848.051626654832 26.1791988432692 338.482902516953</t>
  </si>
  <si>
    <t>-889.400250256761 24.2784110137995 784.53466590383</t>
  </si>
  <si>
    <t>-795.020645137 -80.2076354485507 857.077661526107</t>
  </si>
  <si>
    <t>9763-20170724T111159.614751100.bin</t>
  </si>
  <si>
    <t>-911.748337792741 140.279340866403 -62.4290989492758</t>
  </si>
  <si>
    <t>-949.561890020125 133.451587492432 -171.698095466657</t>
  </si>
  <si>
    <t>-967.903814717838 131.272028408078 -268.57687141345</t>
  </si>
  <si>
    <t>-979.261356194617 130.374157642532 -356.942252723085</t>
  </si>
  <si>
    <t>-984.969817942656 130.303627486513 -445.855968476091</t>
  </si>
  <si>
    <t>-986.975476216079 130.844226464507 -570.421177140152</t>
  </si>
  <si>
    <t>-953.136157009656 127.597341611376 -646.245941433055</t>
  </si>
  <si>
    <t>-982.826771112732 158.12206756626 -515.539317357844</t>
  </si>
  <si>
    <t>-958.041535692962 292.29456233808 -498.757053392587</t>
  </si>
  <si>
    <t>-917.519178882518 310.021486051688 -207.836364804812</t>
  </si>
  <si>
    <t>-683.03253724408 314.654646676573 -263.021725958452</t>
  </si>
  <si>
    <t>-989.35898581579 103.090483126582 -515.673027933424</t>
  </si>
  <si>
    <t>-921.836004928719 235.022472691587 -65.863187605746</t>
  </si>
  <si>
    <t>-923.537415042765 256.52488051685 337.112552032031</t>
  </si>
  <si>
    <t>-955.213546940574 266.246845416884 783.682311073789</t>
  </si>
  <si>
    <t>-817.380649425815 315.331232596254 844.346015549246</t>
  </si>
  <si>
    <t>-902.117402335872 45.4999605576654 -61.0477927023047</t>
  </si>
  <si>
    <t>-848.380268260431 26.3279745269729 338.451167430813</t>
  </si>
  <si>
    <t>-889.346725376697 24.3391013009068 784.537621630587</t>
  </si>
  <si>
    <t>-795.063970213486 -80.2310003527839 857.085201952786</t>
  </si>
  <si>
    <t>9763-20170724T111159.683942700.bin</t>
  </si>
  <si>
    <t>-912.83398275372 140.191356400463 -62.4427756404239</t>
  </si>
  <si>
    <t>-950.636951402493 133.38278500748 -171.716886589257</t>
  </si>
  <si>
    <t>-969.046934113497 131.242933736864 -268.583379652604</t>
  </si>
  <si>
    <t>-980.498422788334 130.393691371086 -356.937135210467</t>
  </si>
  <si>
    <t>-986.332659182383 130.388578338636 -445.842799272151</t>
  </si>
  <si>
    <t>-988.546527525423 131.040668731819 -570.403943036487</t>
  </si>
  <si>
    <t>-954.857183277094 127.930768836319 -646.301097082264</t>
  </si>
  <si>
    <t>-984.378922547821 158.277898027514 -515.503302883897</t>
  </si>
  <si>
    <t>-959.89538401503 292.499429422208 -498.682737039508</t>
  </si>
  <si>
    <t>-920.084667387781 310.261546406905 -207.665954242589</t>
  </si>
  <si>
    <t>-685.628951407409 315.22153280216 -262.954980792461</t>
  </si>
  <si>
    <t>-990.765890251621 103.229349446296 -515.677962421515</t>
  </si>
  <si>
    <t>-922.913629196902 234.970195070027 -65.80006466315</t>
  </si>
  <si>
    <t>-924.140230836588 256.552748177921 337.173072108686</t>
  </si>
  <si>
    <t>-955.206322773996 266.3301560884 783.747178665861</t>
  </si>
  <si>
    <t>-817.343369461846 315.209109387232 844.508133326001</t>
  </si>
  <si>
    <t>-903.173098106009 45.3727829909285 -61.0847124319986</t>
  </si>
  <si>
    <t>-849.079651285618 26.5714105551756 338.383769441286</t>
  </si>
  <si>
    <t>-889.404439247903 24.2342374080054 784.563946501261</t>
  </si>
  <si>
    <t>-794.959553519513 -80.1978468854468 857.099489288139</t>
  </si>
  <si>
    <t>9763-20170724T111159.717032400.bin</t>
  </si>
  <si>
    <t>-913.235183363779 140.051073277451 -62.4833681275933</t>
  </si>
  <si>
    <t>-950.961350635943 133.213245382462 -171.782052005457</t>
  </si>
  <si>
    <t>-969.358196673734 131.068098944652 -268.651074090863</t>
  </si>
  <si>
    <t>-980.818748881526 130.223588974917 -357.003651025382</t>
  </si>
  <si>
    <t>-986.683717441041 130.23457619016 -445.907290278869</t>
  </si>
  <si>
    <t>-988.962498061695 130.9220790963 -570.46703034494</t>
  </si>
  <si>
    <t>-955.327210803235 127.869547387703 -646.390698025613</t>
  </si>
  <si>
    <t>-984.803658968973 158.148195299479 -515.560314443384</t>
  </si>
  <si>
    <t>-960.489210382928 292.400981153026 -498.728494109714</t>
  </si>
  <si>
    <t>-921.0420178917 310.207194472445 -207.664775012851</t>
  </si>
  <si>
    <t>-686.588644877516 315.381700291411 -262.943806121959</t>
  </si>
  <si>
    <t>-991.115831919838 103.091017754782 -515.748617509534</t>
  </si>
  <si>
    <t>-923.131454993901 234.715399213726 -65.8518444441187</t>
  </si>
  <si>
    <t>-924.392639032625 256.558915275553 337.107149726287</t>
  </si>
  <si>
    <t>-955.122948654117 266.491718977482 783.596269674979</t>
  </si>
  <si>
    <t>-817.333006550499 315.336150848947 844.55052788339</t>
  </si>
  <si>
    <t>-903.656204434554 45.2499545394112 -61.0931790158741</t>
  </si>
  <si>
    <t>-849.286946102579 26.57593141389 338.343862725337</t>
  </si>
  <si>
    <t>-889.472657433879 24.1132507232046 784.573338652524</t>
  </si>
  <si>
    <t>-794.833344826671 -80.1518950846742 857.095463723653</t>
  </si>
  <si>
    <t>9763-20170724T111159.782795800.bin</t>
  </si>
  <si>
    <t>-913.694592198905 139.602053933091 -62.6200153553999</t>
  </si>
  <si>
    <t>-951.262631701816 132.599261434877 -171.962777593496</t>
  </si>
  <si>
    <t>-969.600628780326 130.385203031522 -268.841459482406</t>
  </si>
  <si>
    <t>-981.038512399737 129.507946151351 -357.196717074782</t>
  </si>
  <si>
    <t>-986.909415567783 129.518309011249 -446.099767172981</t>
  </si>
  <si>
    <t>-989.226016166004 130.239878854954 -570.658773002077</t>
  </si>
  <si>
    <t>-955.673073984471 127.300378936614 -646.622886841711</t>
  </si>
  <si>
    <t>-985.141517656775 157.461294192236 -515.743968726905</t>
  </si>
  <si>
    <t>-961.247923638432 291.788644937273 -498.917467978243</t>
  </si>
  <si>
    <t>-922.564747848437 309.607648271658 -207.752100883964</t>
  </si>
  <si>
    <t>-688.118449775474 315.389180492062 -263.000007876156</t>
  </si>
  <si>
    <t>-991.27192852361 102.3836028115 -515.949118526835</t>
  </si>
  <si>
    <t>-923.552714862493 234.008973377132 -66.0718778093517</t>
  </si>
  <si>
    <t>-924.609270383474 257.084980302464 336.819027572476</t>
  </si>
  <si>
    <t>-955.095216865701 267.04359537644 783.330562584902</t>
  </si>
  <si>
    <t>-817.288314413078 315.429642823693 844.611592624905</t>
  </si>
  <si>
    <t>-904.183598526721 44.9590276221079 -61.1479825046338</t>
  </si>
  <si>
    <t>-849.324682650421 26.7205241773522 338.24225713293</t>
  </si>
  <si>
    <t>-889.362041831097 24.205951679407 784.557917030296</t>
  </si>
  <si>
    <t>-794.939345556281 -80.2433269709993 857.097927087961</t>
  </si>
  <si>
    <t>9763-20170724T111159.813869900.bin</t>
  </si>
  <si>
    <t>-913.987015375613 139.278923788224 -62.5746015571748</t>
  </si>
  <si>
    <t>-951.466720098205 132.212923503794 -171.943649074592</t>
  </si>
  <si>
    <t>-969.754360261874 129.962604837068 -268.830902778895</t>
  </si>
  <si>
    <t>-981.156677089461 129.059381262232 -357.190434693589</t>
  </si>
  <si>
    <t>-987.002879468762 129.052160562091 -446.095262637819</t>
  </si>
  <si>
    <t>-989.295038054439 129.758049497954 -570.65473972585</t>
  </si>
  <si>
    <t>-955.771848224014 126.874805465252 -646.634337738518</t>
  </si>
  <si>
    <t>-985.276799740365 156.992472082691 -515.741480944526</t>
  </si>
  <si>
    <t>-961.66525903172 291.368044160755 -498.941978642028</t>
  </si>
  <si>
    <t>-923.318107082169 309.283169272801 -207.738015289934</t>
  </si>
  <si>
    <t>-688.862371797739 315.42059261194 -262.907458418556</t>
  </si>
  <si>
    <t>-991.29589660834 101.902411105308 -515.9430096738</t>
  </si>
  <si>
    <t>-923.966434709992 233.74481056438 -66.0798684606644</t>
  </si>
  <si>
    <t>-924.626540307447 257.191913196757 336.790446156675</t>
  </si>
  <si>
    <t>-955.082127525852 267.157165854671 783.339566093774</t>
  </si>
  <si>
    <t>-817.294923885145 315.50645672182 844.693716927669</t>
  </si>
  <si>
    <t>-904.477355163431 44.6833522813331 -61.1305604433468</t>
  </si>
  <si>
    <t>-849.354990989158 26.6583490924563 338.233104620972</t>
  </si>
  <si>
    <t>-889.437872102638 24.0307127893348 784.575062094802</t>
  </si>
  <si>
    <t>-794.832912503884 -80.2559402299407 857.110727883459</t>
  </si>
  <si>
    <t>9763-20170724T111159.880643200.bin</t>
  </si>
  <si>
    <t>-914.500802480181 138.849242164654 -62.434668780042</t>
  </si>
  <si>
    <t>-951.946066221125 131.669648587996 -171.807950293066</t>
  </si>
  <si>
    <t>-970.167451232148 129.343881949147 -268.706184844876</t>
  </si>
  <si>
    <t>-981.494599183565 128.380092926006 -357.07468440437</t>
  </si>
  <si>
    <t>-987.248960734106 128.320931495382 -445.985363304007</t>
  </si>
  <si>
    <t>-989.39691541958 128.964876078731 -570.547878310677</t>
  </si>
  <si>
    <t>-955.870321986333 126.185530229994 -646.530009456185</t>
  </si>
  <si>
    <t>-985.546925483714 156.237568646081 -515.641648522481</t>
  </si>
  <si>
    <t>-962.449658271343 290.713768919658 -498.939161633625</t>
  </si>
  <si>
    <t>-924.810820716801 309.004145530208 -207.666093390722</t>
  </si>
  <si>
    <t>-690.27805091694 315.811899614462 -262.427447215576</t>
  </si>
  <si>
    <t>-991.356576061097 101.125318977044 -515.826373185391</t>
  </si>
  <si>
    <t>-924.684528980304 233.258104560409 -65.9408125435177</t>
  </si>
  <si>
    <t>-925.104703375966 257.459241271693 336.885177653088</t>
  </si>
  <si>
    <t>-955.255326432293 267.544281633798 783.424222177079</t>
  </si>
  <si>
    <t>-817.386859270449 315.5399534 844.874049417173</t>
  </si>
  <si>
    <t>-904.902250979422 44.3640958802316 -61.0415143187444</t>
  </si>
  <si>
    <t>-849.357274587724 26.6335301813151 338.276736977253</t>
  </si>
  <si>
    <t>-889.343005523903 24.0405611064384 784.608695692681</t>
  </si>
  <si>
    <t>-794.833622517673 -80.3332145550582 857.14466586599</t>
  </si>
  <si>
    <t>9763-20170724T111159.912723700.bin</t>
  </si>
  <si>
    <t>-914.826822575084 138.764313232923 -62.3712314339618</t>
  </si>
  <si>
    <t>-952.231244053688 131.545027618798 -171.755845229815</t>
  </si>
  <si>
    <t>-970.403752212292 129.182790610593 -268.662228207344</t>
  </si>
  <si>
    <t>-981.681137048686 128.185815058236 -357.036788065684</t>
  </si>
  <si>
    <t>-987.381370004402 128.094578218945 -445.951018944249</t>
  </si>
  <si>
    <t>-989.447800322583 128.694961446438 -570.51507482321</t>
  </si>
  <si>
    <t>-955.908421131252 125.946268233339 -646.49241415639</t>
  </si>
  <si>
    <t>-985.678841532433 155.991678779801 -515.615274965851</t>
  </si>
  <si>
    <t>-962.785013810937 290.515484546423 -498.973796827385</t>
  </si>
  <si>
    <t>-925.458984023182 309.013000889297 -207.673595522099</t>
  </si>
  <si>
    <t>-690.854777058401 316.172955233263 -262.084142930375</t>
  </si>
  <si>
    <t>-991.398168387553 100.869792453903 -515.785937330219</t>
  </si>
  <si>
    <t>-925.146069470293 233.244431226767 -65.8925231874701</t>
  </si>
  <si>
    <t>-925.422149237342 257.448019348134 336.933442659669</t>
  </si>
  <si>
    <t>-955.286510723412 267.628963673549 783.481387517207</t>
  </si>
  <si>
    <t>-817.444357642003 315.641270087367 844.976891267983</t>
  </si>
  <si>
    <t>-905.111868653164 44.2522630289614 -60.984786468895</t>
  </si>
  <si>
    <t>-849.47121435473 26.5472449035301 338.321250703242</t>
  </si>
  <si>
    <t>-889.374624882487 23.9065544487053 784.628504956925</t>
  </si>
  <si>
    <t>-794.693173554919 -80.3168361304345 857.155908217692</t>
  </si>
  <si>
    <t>9763-20170724T111159.981953700.bin</t>
  </si>
  <si>
    <t>-915.159695831368 138.703780906524 -62.3593441019502</t>
  </si>
  <si>
    <t>-952.434180619957 131.374293156138 -171.781118285471</t>
  </si>
  <si>
    <t>-970.485919249744 128.895273504981 -268.707075320426</t>
  </si>
  <si>
    <t>-981.651718258302 127.78322444822 -357.094454457348</t>
  </si>
  <si>
    <t>-987.238593096102 127.568187279643 -446.015733168358</t>
  </si>
  <si>
    <t>-989.145251863504 127.987037380246 -570.582895135823</t>
  </si>
  <si>
    <t>-955.582396612107 125.22160103401 -646.549405377284</t>
  </si>
  <si>
    <t>-985.503841681742 155.369767757177 -515.717270348661</t>
  </si>
  <si>
    <t>-962.962181874001 289.968146730612 -499.180768282527</t>
  </si>
  <si>
    <t>-926.253563819638 308.642901128211 -207.813469940726</t>
  </si>
  <si>
    <t>-691.506231549286 316.45006541958 -261.512953181146</t>
  </si>
  <si>
    <t>-991.108646630417 100.235847121936 -515.816865738825</t>
  </si>
  <si>
    <t>-925.512784898099 233.111907319306 -65.8626675704318</t>
  </si>
  <si>
    <t>-926.10996242057 257.438547940508 336.955569603627</t>
  </si>
  <si>
    <t>-955.351039360776 267.773949953149 783.558734085053</t>
  </si>
  <si>
    <t>-817.552230909137 315.818289928212 845.125352469499</t>
  </si>
  <si>
    <t>-905.311266678655 44.1795459724494 -60.914892154307</t>
  </si>
  <si>
    <t>-849.66025367217 26.5094608572626 338.391213169301</t>
  </si>
  <si>
    <t>-889.376704434704 23.746829177388 784.684419132764</t>
  </si>
  <si>
    <t>-794.57593738094 -80.3780743981856 857.197089511154</t>
  </si>
  <si>
    <t>9763-20170724T111200.017047900.bin</t>
  </si>
  <si>
    <t>-915.310957252689 138.693013058444 -62.3352853407382</t>
  </si>
  <si>
    <t>-952.52862538011 131.315739653255 -171.773212021413</t>
  </si>
  <si>
    <t>-970.503391933447 128.785682968227 -268.712097753819</t>
  </si>
  <si>
    <t>-981.588950760231 127.62224706027 -357.108967990467</t>
  </si>
  <si>
    <t>-987.084165352148 127.350879348408 -446.035739819547</t>
  </si>
  <si>
    <t>-988.852287099844 127.685173355545 -570.60518968837</t>
  </si>
  <si>
    <t>-955.286245071318 124.899352435487 -646.569725296272</t>
  </si>
  <si>
    <t>-985.297956847108 155.107649218273 -515.75374248185</t>
  </si>
  <si>
    <t>-962.932910630795 289.731995036146 -499.255077318696</t>
  </si>
  <si>
    <t>-926.519631787159 308.439360453907 -207.852719338</t>
  </si>
  <si>
    <t>-691.717921142935 316.552667831267 -261.267730633821</t>
  </si>
  <si>
    <t>-990.850496541748 99.9685503509713 -515.82302627375</t>
  </si>
  <si>
    <t>-925.789825535529 233.130198844475 -65.8626582982907</t>
  </si>
  <si>
    <t>-926.45650708456 257.499219469169 336.952940951069</t>
  </si>
  <si>
    <t>-955.509775283556 268.002848730079 783.591895517622</t>
  </si>
  <si>
    <t>-817.676909104638 315.930630739889 845.174237292573</t>
  </si>
  <si>
    <t>-905.336722417848 44.1627834998226 -60.906506951604</t>
  </si>
  <si>
    <t>-849.780178099207 26.566544672597 338.416002692677</t>
  </si>
  <si>
    <t>-889.286769555856 23.8068034016319 784.707104698697</t>
  </si>
  <si>
    <t>-794.573274952598 -80.3979691239899 857.219188399938</t>
  </si>
  <si>
    <t>9763-20170724T111200.080906900.bin</t>
  </si>
  <si>
    <t>-915.404040378398 138.559568902615 -62.297435652512</t>
  </si>
  <si>
    <t>-952.566004860066 131.135492825745 -171.751011210974</t>
  </si>
  <si>
    <t>-970.397208074203 128.531787476086 -268.714497178621</t>
  </si>
  <si>
    <t>-981.314168976653 127.285734543168 -357.131247512487</t>
  </si>
  <si>
    <t>-986.603438985738 126.914778514933 -446.070115254621</t>
  </si>
  <si>
    <t>-988.044949188407 127.091756399233 -570.644082777535</t>
  </si>
  <si>
    <t>-954.453714678358 124.22898772337 -646.594424643647</t>
  </si>
  <si>
    <t>-984.670491889705 154.587132641974 -515.817942226208</t>
  </si>
  <si>
    <t>-962.581821761187 289.26327779598 -499.303431283255</t>
  </si>
  <si>
    <t>-926.781086121036 307.947174126493 -207.823748528645</t>
  </si>
  <si>
    <t>-691.899427715375 316.567500251642 -260.806503438513</t>
  </si>
  <si>
    <t>-990.150799039892 99.4407003157939 -515.832634556173</t>
  </si>
  <si>
    <t>-925.993045105753 232.941582621922 -65.8040352003663</t>
  </si>
  <si>
    <t>-926.682808824396 257.426073856991 337.004542277532</t>
  </si>
  <si>
    <t>-955.571474356223 267.967668302261 783.704774038677</t>
  </si>
  <si>
    <t>-817.746119329515 315.932420876319 845.274925801247</t>
  </si>
  <si>
    <t>-905.234125178128 44.0383634848931 -60.8726605902344</t>
  </si>
  <si>
    <t>-849.910511000987 26.4489930251711 338.482562222839</t>
  </si>
  <si>
    <t>-889.229748756593 23.7489376322019 784.765904924953</t>
  </si>
  <si>
    <t>-794.389174690849 -80.3558658983241 857.255892319031</t>
  </si>
  <si>
    <t>9763-20170724T111200.119006900.bin</t>
  </si>
  <si>
    <t>-915.274054805836 138.432879312144 -62.3051772279124</t>
  </si>
  <si>
    <t>-952.446580358583 130.959726597929 -171.751870807084</t>
  </si>
  <si>
    <t>-970.230738143243 128.308339249526 -268.722800961933</t>
  </si>
  <si>
    <t>-981.081699534383 127.015068218186 -357.146813842285</t>
  </si>
  <si>
    <t>-986.281898282647 126.591238331807 -446.090802078765</t>
  </si>
  <si>
    <t>-987.574911910368 126.687354182248 -570.666518245434</t>
  </si>
  <si>
    <t>-953.968156306901 123.768079707862 -646.607959069411</t>
  </si>
  <si>
    <t>-984.274839790744 154.219149287781 -515.854062382443</t>
  </si>
  <si>
    <t>-962.318705638712 288.914967240397 -499.323671169307</t>
  </si>
  <si>
    <t>-926.901824642742 307.521166332219 -207.79214665526</t>
  </si>
  <si>
    <t>-691.987609883932 316.376060667951 -260.591040702728</t>
  </si>
  <si>
    <t>-989.736964444728 99.0708655730564 -515.839899198085</t>
  </si>
  <si>
    <t>-925.966932130484 232.808654855663 -65.7786103535866</t>
  </si>
  <si>
    <t>-926.609736682607 257.424494706505 337.022004125931</t>
  </si>
  <si>
    <t>-955.633335481933 267.973040768571 783.748697330759</t>
  </si>
  <si>
    <t>-817.793716486832 315.915843136209 845.303913608654</t>
  </si>
  <si>
    <t>-905.028798949299 43.9295415386246 -60.852803472469</t>
  </si>
  <si>
    <t>-849.770156557083 26.3259605952276 338.510717948822</t>
  </si>
  <si>
    <t>-889.158355840176 23.7815709556357 784.785354596465</t>
  </si>
  <si>
    <t>-794.330564268572 -80.3371511920936 857.272184266139</t>
  </si>
  <si>
    <t>9763-20170724T111200.181189900.bin</t>
  </si>
  <si>
    <t>-914.773673114316 138.246173042223 -62.2506598923138</t>
  </si>
  <si>
    <t>-952.011205774546 130.715744683918 -171.671324585326</t>
  </si>
  <si>
    <t>-969.729116852003 128.000951604689 -268.652674002118</t>
  </si>
  <si>
    <t>-980.470472604695 126.641532213495 -357.089042983886</t>
  </si>
  <si>
    <t>-985.510874352605 126.141664664752 -446.04176810394</t>
  </si>
  <si>
    <t>-986.528865824102 126.118867731765 -570.620159324563</t>
  </si>
  <si>
    <t>-952.906509907715 123.093932787126 -646.550524451375</t>
  </si>
  <si>
    <t>-983.360551923975 153.704261369266 -515.826644932258</t>
  </si>
  <si>
    <t>-961.633224400432 288.423830468677 -499.211131249549</t>
  </si>
  <si>
    <t>-927.184793617739 306.714494879888 -207.543495572169</t>
  </si>
  <si>
    <t>-692.189525669349 315.911768443731 -259.922402740639</t>
  </si>
  <si>
    <t>-988.801211517171 98.5537542960446 -515.772124643812</t>
  </si>
  <si>
    <t>-925.586465959923 232.674354707571 -65.7526438700339</t>
  </si>
  <si>
    <t>-926.300060058522 257.339558020236 337.044779488367</t>
  </si>
  <si>
    <t>-955.8334707857 268.076315316079 783.777162719736</t>
  </si>
  <si>
    <t>-817.943501995729 315.887226409554 845.322400196801</t>
  </si>
  <si>
    <t>-904.401922490893 43.6874337477789 -60.7922512077629</t>
  </si>
  <si>
    <t>-849.38456729089 26.0466077899687 338.603030861242</t>
  </si>
  <si>
    <t>-889.050771700755 23.7932443832296 784.819484341896</t>
  </si>
  <si>
    <t>-794.336567347314 -80.4300253425108 857.304416221668</t>
  </si>
  <si>
    <t>9763-20170724T111200.214273800.bin</t>
  </si>
  <si>
    <t>-914.463787537311 138.081955044192 -62.2274836641219</t>
  </si>
  <si>
    <t>-951.751358540335 130.511004815709 -171.628366393653</t>
  </si>
  <si>
    <t>-969.459011422379 127.758979520696 -268.610387148336</t>
  </si>
  <si>
    <t>-980.16917420603 126.363868389018 -357.050029304619</t>
  </si>
  <si>
    <t>-985.155652555544 125.824724424036 -446.005634716427</t>
  </si>
  <si>
    <t>-986.075469170398 125.742879574707 -570.584670927174</t>
  </si>
  <si>
    <t>-952.474908221717 122.669322661216 -646.522862007109</t>
  </si>
  <si>
    <t>-982.953974348717 153.354568677254 -515.80176970066</t>
  </si>
  <si>
    <t>-961.352319554258 288.091466110572 -499.133293079609</t>
  </si>
  <si>
    <t>-927.418813600957 306.199641946368 -207.393970697824</t>
  </si>
  <si>
    <t>-692.381211637526 315.522870806026 -259.559216418203</t>
  </si>
  <si>
    <t>-988.387601815086 98.203482335894 -515.725488382325</t>
  </si>
  <si>
    <t>-925.351632095929 232.546865288466 -65.7344006478214</t>
  </si>
  <si>
    <t>-926.092097862864 257.185805890036 337.064541713319</t>
  </si>
  <si>
    <t>-955.816112164239 267.938048069903 783.791309695184</t>
  </si>
  <si>
    <t>-817.993282011661 315.978849004814 845.307287003216</t>
  </si>
  <si>
    <t>-904.067653628238 43.4793599795562 -60.7680011078362</t>
  </si>
  <si>
    <t>-849.21013078125 25.8312437319532 338.648866331605</t>
  </si>
  <si>
    <t>-889.070403115822 23.6833413193531 784.839630288592</t>
  </si>
  <si>
    <t>-794.211182848767 -80.4143818595014 857.315137637629</t>
  </si>
  <si>
    <t>9763-20170724T111200.281459400.bin</t>
  </si>
  <si>
    <t>-913.844149392107 137.853800264767 -62.1982974752734</t>
  </si>
  <si>
    <t>-951.199464469725 130.252571773916 -171.574020200728</t>
  </si>
  <si>
    <t>-968.88240160465 127.439125249011 -268.558826229676</t>
  </si>
  <si>
    <t>-979.536674137162 125.971210630052 -357.004142188323</t>
  </si>
  <si>
    <t>-984.43491504277 125.34101247954 -445.964029074056</t>
  </si>
  <si>
    <t>-985.196936269793 125.11126812001 -570.543991044184</t>
  </si>
  <si>
    <t>-951.672304674946 121.915698883502 -646.510516736855</t>
  </si>
  <si>
    <t>-982.152075428012 152.788507034711 -515.789824454774</t>
  </si>
  <si>
    <t>-960.735585116901 287.546917427076 -499.076304935925</t>
  </si>
  <si>
    <t>-928.016236046623 305.267135995472 -207.174512064362</t>
  </si>
  <si>
    <t>-692.84727025695 314.7059920426 -258.723069316933</t>
  </si>
  <si>
    <t>-987.571162458259 97.6361426365729 -515.655006515348</t>
  </si>
  <si>
    <t>-924.872898199334 232.340952746378 -65.675236944759</t>
  </si>
  <si>
    <t>-925.804435602863 256.720399135254 337.139099290957</t>
  </si>
  <si>
    <t>-955.856924974006 267.633242657768 783.893599536467</t>
  </si>
  <si>
    <t>-818.079048000398 316.003216318009 845.252323056277</t>
  </si>
  <si>
    <t>-903.275912043558 43.2251081214677 -60.7260476501399</t>
  </si>
  <si>
    <t>-848.836963864827 25.524286181319 338.745769367407</t>
  </si>
  <si>
    <t>-888.958139094486 23.7172601141697 784.873977443923</t>
  </si>
  <si>
    <t>-794.260319406776 -80.5270955528711 857.349991107338</t>
  </si>
  <si>
    <t>9763-20170724T111200.317555100.bin</t>
  </si>
  <si>
    <t>-913.615608687945 137.72072014118 -62.1828134926014</t>
  </si>
  <si>
    <t>-950.961129752415 130.102639917747 -171.560483046319</t>
  </si>
  <si>
    <t>-968.609513329076 127.265862094665 -268.551058502439</t>
  </si>
  <si>
    <t>-979.221802317666 125.772441239306 -357.001006422576</t>
  </si>
  <si>
    <t>-984.067157425499 125.112158239472 -445.963473005501</t>
  </si>
  <si>
    <t>-984.744954173135 124.836038727351 -570.543901875113</t>
  </si>
  <si>
    <t>-951.281238347344 121.588990564387 -646.534899610096</t>
  </si>
  <si>
    <t>-981.756308064589 152.535659218895 -515.797969698864</t>
  </si>
  <si>
    <t>-960.492760068993 287.312571120001 -499.050845086941</t>
  </si>
  <si>
    <t>-928.267177755384 304.872799136635 -207.084518748419</t>
  </si>
  <si>
    <t>-693.04875859665 314.598498671848 -258.354069876743</t>
  </si>
  <si>
    <t>-987.137164975095 97.3796186516556 -515.646315059603</t>
  </si>
  <si>
    <t>-924.767441376152 232.235536291502 -65.649468564382</t>
  </si>
  <si>
    <t>-925.883989735742 256.339695264088 337.181046223427</t>
  </si>
  <si>
    <t>-955.893663369777 267.488748249888 783.924030555773</t>
  </si>
  <si>
    <t>-818.177625663153 316.139600991359 845.199709347086</t>
  </si>
  <si>
    <t>-902.948275253299 43.0958344714413 -60.7246268342502</t>
  </si>
  <si>
    <t>-848.751850331844 25.3335507982329 338.777447035387</t>
  </si>
  <si>
    <t>-888.927265056697 23.6996440278881 784.888517321385</t>
  </si>
  <si>
    <t>-794.140882286156 -80.4740998650636 857.350148088421</t>
  </si>
  <si>
    <t>9763-20170724T111200.379285000.bin</t>
  </si>
  <si>
    <t>-913.139869883236 137.503589983684 -62.24178701105</t>
  </si>
  <si>
    <t>-950.449427139198 129.817813373362 -171.627002386625</t>
  </si>
  <si>
    <t>-968.003003205713 126.927549219012 -268.633147041381</t>
  </si>
  <si>
    <t>-978.502748324982 125.385229708011 -357.095730472982</t>
  </si>
  <si>
    <t>-983.209706777621 124.674999578116 -446.06523473075</t>
  </si>
  <si>
    <t>-983.666176362788 124.326800070942 -570.646506079401</t>
  </si>
  <si>
    <t>-950.370103899625 120.986996661618 -646.707333159425</t>
  </si>
  <si>
    <t>-980.831054086849 152.063379204005 -515.911262105781</t>
  </si>
  <si>
    <t>-959.938158161512 286.88890538798 -499.086028404942</t>
  </si>
  <si>
    <t>-928.508667024866 304.209346130834 -207.018586933188</t>
  </si>
  <si>
    <t>-693.223901054062 315.041012241402 -257.75908756909</t>
  </si>
  <si>
    <t>-986.099347907052 96.8965845147409 -515.737620124511</t>
  </si>
  <si>
    <t>-924.470722824382 232.0374756346 -65.7160921277934</t>
  </si>
  <si>
    <t>-926.063893927823 256.045266932373 337.118523485228</t>
  </si>
  <si>
    <t>-955.952887379439 267.408491693277 783.828428130036</t>
  </si>
  <si>
    <t>-818.238898609178 316.12303111671 845.057180029174</t>
  </si>
  <si>
    <t>-902.201992021978 42.9355126621608 -60.775808035353</t>
  </si>
  <si>
    <t>-848.53271460273 25.1080626833104 338.794599175249</t>
  </si>
  <si>
    <t>-888.79380209202 23.7838677964228 784.892091469618</t>
  </si>
  <si>
    <t>-794.200757536951 -80.5675694631607 857.350551189246</t>
  </si>
  <si>
    <t>9763-20170724T111200.416383100.bin</t>
  </si>
  <si>
    <t>-912.936297477625 137.366377823262 -62.2869700967326</t>
  </si>
  <si>
    <t>-950.214035243324 129.637966353176 -171.680198288538</t>
  </si>
  <si>
    <t>-967.709749500933 126.725518073142 -268.69600935246</t>
  </si>
  <si>
    <t>-978.144566151651 125.167129251876 -357.165967410444</t>
  </si>
  <si>
    <t>-982.773034733651 124.445230824438 -446.139395623753</t>
  </si>
  <si>
    <t>-983.10632454321 124.084357580418 -570.721118531412</t>
  </si>
  <si>
    <t>-949.899434231769 120.709250337288 -646.81938693463</t>
  </si>
  <si>
    <t>-980.359921319509 151.829707776431 -515.98567660083</t>
  </si>
  <si>
    <t>-959.674115967801 286.681846161591 -499.133452051345</t>
  </si>
  <si>
    <t>-928.593994510088 303.946641267929 -207.025320087712</t>
  </si>
  <si>
    <t>-693.280108730166 315.444951707703 -257.483768660024</t>
  </si>
  <si>
    <t>-985.559140411082 96.6564583796062 -515.811969246015</t>
  </si>
  <si>
    <t>-924.398582863448 231.922451218013 -65.756918837144</t>
  </si>
  <si>
    <t>-925.886176080601 255.912735898918 337.079200063324</t>
  </si>
  <si>
    <t>-955.983240845137 267.344201637344 783.809271789386</t>
  </si>
  <si>
    <t>-818.270471832912 316.090415710054 845.016621537059</t>
  </si>
  <si>
    <t>-901.904029662638 42.7075384511054 -60.810588609162</t>
  </si>
  <si>
    <t>-848.482066607038 24.9119884357101 338.794317122114</t>
  </si>
  <si>
    <t>-888.85280136861 23.6304948391544 784.899287033121</t>
  </si>
  <si>
    <t>-793.812716994956 -80.3344731873167 857.328409440536</t>
  </si>
  <si>
    <t>9763-20170724T111200.482095500.bin</t>
  </si>
  <si>
    <t>-912.315869016376 136.978935085034 -62.3037117755636</t>
  </si>
  <si>
    <t>-949.526164775294 129.219720373104 -171.717727025057</t>
  </si>
  <si>
    <t>-966.896528161838 126.266559587731 -268.754884907268</t>
  </si>
  <si>
    <t>-977.191376026328 124.664457467529 -357.240396074615</t>
  </si>
  <si>
    <t>-981.65421246847 123.892836020769 -446.221941290259</t>
  </si>
  <si>
    <t>-981.729211954798 123.456129102353 -570.803751727218</t>
  </si>
  <si>
    <t>-948.66547478126 119.998799114756 -646.960622049127</t>
  </si>
  <si>
    <t>-979.160421796983 151.240798978826 -516.07968007386</t>
  </si>
  <si>
    <t>-958.891386098742 286.162183317914 -499.241829405175</t>
  </si>
  <si>
    <t>-928.524904143604 303.441879233108 -207.059519320736</t>
  </si>
  <si>
    <t>-693.186662918811 316.093346037632 -257.126544653451</t>
  </si>
  <si>
    <t>-984.23194076791 96.0556915014463 -515.88314335956</t>
  </si>
  <si>
    <t>-923.86784992471 231.479626721193 -65.780415008066</t>
  </si>
  <si>
    <t>-925.546549597605 255.549258702448 337.050181365476</t>
  </si>
  <si>
    <t>-955.982610422809 267.15332485527 783.734491730555</t>
  </si>
  <si>
    <t>-818.338098004039 316.118214854614 844.920137181554</t>
  </si>
  <si>
    <t>-901.215911904319 42.3521930487791 -60.8446521008506</t>
  </si>
  <si>
    <t>-848.105944984764 24.5749065322793 338.802660069012</t>
  </si>
  <si>
    <t>-888.797990650711 23.5979430465309 784.903076627208</t>
  </si>
  <si>
    <t>-793.983679502021 -80.5714268265419 857.334457794536</t>
  </si>
  <si>
    <t>9763-20170724T111200.516189300.bin</t>
  </si>
  <si>
    <t>-912.082119187332 136.903758324779 -62.3055847308511</t>
  </si>
  <si>
    <t>-949.254183175092 129.128045072623 -171.731346159958</t>
  </si>
  <si>
    <t>-966.568358182735 126.148091310868 -268.777755103023</t>
  </si>
  <si>
    <t>-976.803218146779 124.516940376112 -357.269540496962</t>
  </si>
  <si>
    <t>-981.197622682186 123.711347279835 -446.254358106308</t>
  </si>
  <si>
    <t>-981.167829164076 123.222572954803 -570.835871204749</t>
  </si>
  <si>
    <t>-948.158554261696 119.71591366857 -647.014070474875</t>
  </si>
  <si>
    <t>-978.671915517117 151.032828840295 -516.121362705407</t>
  </si>
  <si>
    <t>-958.566948086646 285.983742145963 -499.316376111487</t>
  </si>
  <si>
    <t>-928.508343119401 303.269946395567 -207.102573947107</t>
  </si>
  <si>
    <t>-693.154112181469 316.423746174745 -256.964938592289</t>
  </si>
  <si>
    <t>-983.690057240685 95.8427221893826 -515.906164829956</t>
  </si>
  <si>
    <t>-923.711692155323 231.446962462745 -65.8000413327436</t>
  </si>
  <si>
    <t>-925.491680979814 255.500112386211 337.031136716134</t>
  </si>
  <si>
    <t>-956.092097487531 267.223787132275 783.699507722237</t>
  </si>
  <si>
    <t>-818.330000211776 315.872410171971 844.873521232037</t>
  </si>
  <si>
    <t>-900.931627518238 42.2407670829289 -60.8496662871623</t>
  </si>
  <si>
    <t>-847.991657783735 24.3967634364508 338.817188471199</t>
  </si>
  <si>
    <t>-888.787245066864 23.561535794649 784.907316456508</t>
  </si>
  <si>
    <t>-793.84276730123 -80.4992324818381 857.324678839534</t>
  </si>
  <si>
    <t>9763-20170724T111200.582419300.bin</t>
  </si>
  <si>
    <t>-911.492254426731 136.81036731056 -62.336989570145</t>
  </si>
  <si>
    <t>-948.585261794339 129.000884100816 -171.787170367521</t>
  </si>
  <si>
    <t>-965.790412402307 125.952987046702 -268.850758530176</t>
  </si>
  <si>
    <t>-975.911610745806 124.244502249168 -357.354402145332</t>
  </si>
  <si>
    <t>-980.177632432241 123.347050734169 -446.344517831914</t>
  </si>
  <si>
    <t>-979.954702252783 122.714663770979 -570.925241724394</t>
  </si>
  <si>
    <t>-947.022544347378 119.078654060803 -647.130699700732</t>
  </si>
  <si>
    <t>-977.57929568393 150.591011823671 -516.239047697945</t>
  </si>
  <si>
    <t>-957.696731953332 285.581711069342 -499.525861225615</t>
  </si>
  <si>
    <t>-928.273977099637 302.991479012517 -207.254859004996</t>
  </si>
  <si>
    <t>-692.884193785745 317.007830353591 -256.713354840817</t>
  </si>
  <si>
    <t>-982.526255529057 95.3948243570317 -515.9676638724</t>
  </si>
  <si>
    <t>-923.144394301509 231.330977590738 -65.8371314791846</t>
  </si>
  <si>
    <t>-925.195464631138 255.326055827341 336.996261624535</t>
  </si>
  <si>
    <t>-956.131849701742 267.10399663727 783.636972746518</t>
  </si>
  <si>
    <t>-818.447917508726 316.013213347436 844.778788389792</t>
  </si>
  <si>
    <t>-900.296997234369 42.1914506222479 -60.8625128706503</t>
  </si>
  <si>
    <t>-847.769052768054 24.1711468531075 338.850839159406</t>
  </si>
  <si>
    <t>-888.68738613323 23.6025848993386 784.915760969095</t>
  </si>
  <si>
    <t>-793.800371405125 -80.5184912302548 857.32112085688</t>
  </si>
  <si>
    <t>9763-20170724T111200.616510300.bin</t>
  </si>
  <si>
    <t>-911.246086390219 136.825520212617 -62.3471830184162</t>
  </si>
  <si>
    <t>-948.275811541435 129.010058378446 -171.818367181413</t>
  </si>
  <si>
    <t>-965.41680632993 125.926947161638 -268.892134495422</t>
  </si>
  <si>
    <t>-975.477955906613 124.175179183477 -357.401829152899</t>
  </si>
  <si>
    <t>-979.681573946909 123.222409996406 -446.394363306205</t>
  </si>
  <si>
    <t>-979.370294443632 122.500936609177 -570.974411191852</t>
  </si>
  <si>
    <t>-946.469434473622 118.785651887145 -647.18966928471</t>
  </si>
  <si>
    <t>-977.04230657728 150.417292790866 -516.306475004733</t>
  </si>
  <si>
    <t>-957.229725656958 285.427943588154 -499.662684017835</t>
  </si>
  <si>
    <t>-928.127274401764 302.890289849269 -207.36271288795</t>
  </si>
  <si>
    <t>-692.726055510124 317.297715106211 -256.653259520094</t>
  </si>
  <si>
    <t>-981.972026805075 95.2197905323205 -515.999129310632</t>
  </si>
  <si>
    <t>-922.915671694573 231.34147143066 -65.8561928239343</t>
  </si>
  <si>
    <t>-925.048011079792 255.241154387548 336.982368830939</t>
  </si>
  <si>
    <t>-956.157620502995 267.016873152478 783.624933654292</t>
  </si>
  <si>
    <t>-818.423590796335 315.812788975199 844.744849996214</t>
  </si>
  <si>
    <t>-900.024360357773 42.1847799287102 -60.875053342226</t>
  </si>
  <si>
    <t>-847.742110704925 24.0986350502767 338.867490370008</t>
  </si>
  <si>
    <t>-888.693999018463 23.5404386462737 784.925603668486</t>
  </si>
  <si>
    <t>-793.662436262194 -80.4583571231501 857.317164042645</t>
  </si>
  <si>
    <t>9763-20170724T111200.683657500.bin</t>
  </si>
  <si>
    <t>-910.792712424515 136.914467425262 -62.3565215630015</t>
  </si>
  <si>
    <t>-947.683898983506 129.100450765908 -171.874734387296</t>
  </si>
  <si>
    <t>-964.692274583656 125.951001970794 -268.969721290407</t>
  </si>
  <si>
    <t>-974.631077095625 124.113059881595 -357.491484031247</t>
  </si>
  <si>
    <t>-978.711415896625 123.048959515767 -446.488418193712</t>
  </si>
  <si>
    <t>-978.228454775573 122.145647549931 -571.06672708852</t>
  </si>
  <si>
    <t>-945.354583374332 118.254159644505 -647.284804582325</t>
  </si>
  <si>
    <t>-975.975012241284 150.141577288096 -516.43649355267</t>
  </si>
  <si>
    <t>-956.198687333492 285.179295007388 -499.97158057658</t>
  </si>
  <si>
    <t>-927.782727082463 302.833745108188 -207.615412718779</t>
  </si>
  <si>
    <t>-692.348722953475 317.882079923937 -256.556818392388</t>
  </si>
  <si>
    <t>-980.906932083749 94.9447517100289 -516.055412279013</t>
  </si>
  <si>
    <t>-922.501194376413 231.371854280925 -65.8856515054322</t>
  </si>
  <si>
    <t>-924.840659356086 255.111847104698 336.961235852241</t>
  </si>
  <si>
    <t>-956.296081657145 266.917772279781 783.611405031062</t>
  </si>
  <si>
    <t>-818.538016346565 315.754281218237 844.643916003752</t>
  </si>
  <si>
    <t>-899.545821591269 42.3166276710022 -60.8761774675841</t>
  </si>
  <si>
    <t>-847.641152459724 24.0372354958722 338.906819859611</t>
  </si>
  <si>
    <t>-888.577882468002 23.6144200223366 784.940480471864</t>
  </si>
  <si>
    <t>-793.721352698015 -80.5476200465546 857.326607896382</t>
  </si>
  <si>
    <t>9763-20170724T111200.715742100.bin</t>
  </si>
  <si>
    <t>-910.661040189753 137.044034015688 -62.3658738781641</t>
  </si>
  <si>
    <t>-947.502228170127 129.252423106026 -171.902386482196</t>
  </si>
  <si>
    <t>-964.445774059338 126.079584509654 -269.007986923984</t>
  </si>
  <si>
    <t>-974.3180850335 124.20408672306 -357.53641001633</t>
  </si>
  <si>
    <t>-978.325804544349 123.086232114763 -446.53591340987</t>
  </si>
  <si>
    <t>-977.735043020209 122.091802307387 -571.113076744924</t>
  </si>
  <si>
    <t>-944.848800596408 118.09435256594 -647.320324888633</t>
  </si>
  <si>
    <t>-975.523916724186 150.127347247073 -516.501514111236</t>
  </si>
  <si>
    <t>-955.750841819563 285.178912331112 -500.141290507563</t>
  </si>
  <si>
    <t>-927.698353871585 302.945649196272 -207.756958201935</t>
  </si>
  <si>
    <t>-692.242547047586 318.212869021393 -256.52535160228</t>
  </si>
  <si>
    <t>-980.466091671022 94.9315633973697 -516.084178668992</t>
  </si>
  <si>
    <t>-922.390176682486 231.543649656696 -65.8972068054737</t>
  </si>
  <si>
    <t>-924.781633239583 255.133662197854 336.95815205438</t>
  </si>
  <si>
    <t>-956.383689028994 266.883035653634 783.613114986385</t>
  </si>
  <si>
    <t>-818.538360548177 315.561690106314 844.574618367548</t>
  </si>
  <si>
    <t>-899.414341320901 42.4487573828965 -60.8690911900251</t>
  </si>
  <si>
    <t>-847.643027461084 24.0176599658307 338.924285349152</t>
  </si>
  <si>
    <t>-888.549815688963 23.6013516779258 784.945332200973</t>
  </si>
  <si>
    <t>-793.695162951671 -80.5641151395041 857.329537515689</t>
  </si>
  <si>
    <t>9763-20170724T111200.784934800.bin</t>
  </si>
  <si>
    <t>-910.320347145418 137.214068567665 -62.3749040385859</t>
  </si>
  <si>
    <t>-947.086211157627 129.46833410736 -171.940032459733</t>
  </si>
  <si>
    <t>-963.889280940086 126.24943941092 -269.068599595673</t>
  </si>
  <si>
    <t>-973.606765504501 124.299438727194 -357.612343317589</t>
  </si>
  <si>
    <t>-977.433699716569 123.074080796231 -446.618471752009</t>
  </si>
  <si>
    <t>-976.564922882576 121.895320532562 -571.192541399067</t>
  </si>
  <si>
    <t>-943.593007864449 117.665002217248 -647.350058574055</t>
  </si>
  <si>
    <t>-974.468017177756 150.01095793268 -516.617429913567</t>
  </si>
  <si>
    <t>-954.696223933759 285.092861368279 -500.450093114523</t>
  </si>
  <si>
    <t>-927.293986001786 303.180990864239 -208.023761147961</t>
  </si>
  <si>
    <t>-691.778394582934 318.821310628211 -256.384392568084</t>
  </si>
  <si>
    <t>-979.426599035861 94.8172810882211 -516.1298071681</t>
  </si>
  <si>
    <t>-921.963469824343 231.695788269509 -65.9088056222803</t>
  </si>
  <si>
    <t>-924.51702784176 255.071929584868 336.958049437954</t>
  </si>
  <si>
    <t>-956.463828641188 266.681514047183 783.600965138582</t>
  </si>
  <si>
    <t>-818.684124170197 315.7200920255 844.422612414529</t>
  </si>
  <si>
    <t>-899.085186437084 42.6221675008051 -60.8507374568417</t>
  </si>
  <si>
    <t>-847.492903523815 23.89671915904 338.952048643706</t>
  </si>
  <si>
    <t>-888.502449218631 23.5678317104453 784.949634640465</t>
  </si>
  <si>
    <t>-793.61651081839 -80.5709864774171 857.330994665325</t>
  </si>
  <si>
    <t>9763-20170724T111200.815014100.bin</t>
  </si>
  <si>
    <t>-910.113485417897 137.284101564507 -62.3957546225499</t>
  </si>
  <si>
    <t>-946.820565518289 129.548562346994 -171.981085527313</t>
  </si>
  <si>
    <t>-963.546336354085 126.29150462792 -269.121807434921</t>
  </si>
  <si>
    <t>-973.184716004491 124.287951380599 -357.673117000298</t>
  </si>
  <si>
    <t>-976.923761954168 122.989658293157 -446.681879953113</t>
  </si>
  <si>
    <t>-975.924252046014 121.688461327596 -571.253741171901</t>
  </si>
  <si>
    <t>-942.880833865615 117.318158111817 -647.372463345242</t>
  </si>
  <si>
    <t>-973.873513127955 149.856544862352 -516.704077054803</t>
  </si>
  <si>
    <t>-954.083177128423 284.947878333916 -500.652224320604</t>
  </si>
  <si>
    <t>-927.020988960149 303.122857431623 -208.199635906772</t>
  </si>
  <si>
    <t>-691.474204995427 318.948406662607 -256.346319588699</t>
  </si>
  <si>
    <t>-978.854804809982 94.6653691617371 -516.167582453654</t>
  </si>
  <si>
    <t>-921.714277606671 231.763700761358 -65.9349322787258</t>
  </si>
  <si>
    <t>-924.299386640714 255.126041398846 336.932506889034</t>
  </si>
  <si>
    <t>-956.462718389796 266.581769628211 783.548379803259</t>
  </si>
  <si>
    <t>-818.648396337766 315.57524172418 844.327294546451</t>
  </si>
  <si>
    <t>-898.900860995838 42.6733104647033 -60.8499351662588</t>
  </si>
  <si>
    <t>-847.366599218022 23.8427350217717 338.95542873162</t>
  </si>
  <si>
    <t>-888.486566223675 23.5323317522189 784.942997228097</t>
  </si>
  <si>
    <t>-793.515637859624 -80.52937455816 857.323598091027</t>
  </si>
  <si>
    <t>9763-20170724T111200.883771700.bin</t>
  </si>
  <si>
    <t>-909.593419615074 137.441288260281 -62.4280275009495</t>
  </si>
  <si>
    <t>-946.204955954917 129.711967768663 -172.045927869994</t>
  </si>
  <si>
    <t>-962.809566369661 126.388434122468 -269.205021968414</t>
  </si>
  <si>
    <t>-972.3247150084 124.294963591701 -357.767483857248</t>
  </si>
  <si>
    <t>-975.92857393325 122.876569487902 -446.780115728723</t>
  </si>
  <si>
    <t>-974.729169130081 121.375351356101 -571.347847573606</t>
  </si>
  <si>
    <t>-941.545199995688 116.747621113625 -647.390177352683</t>
  </si>
  <si>
    <t>-972.749514340392 149.629544289453 -516.840076402204</t>
  </si>
  <si>
    <t>-952.959373963082 284.73592142486 -500.953650827184</t>
  </si>
  <si>
    <t>-926.35894527855 303.147985434832 -208.473487615126</t>
  </si>
  <si>
    <t>-690.763126541032 319.251881747365 -256.286450333124</t>
  </si>
  <si>
    <t>-977.76463384767 94.4422292947306 -516.223320630408</t>
  </si>
  <si>
    <t>-921.182363071016 231.948753464869 -66.0128955748797</t>
  </si>
  <si>
    <t>-923.783420210387 255.185739876101 336.861704285766</t>
  </si>
  <si>
    <t>-956.494359528421 266.464155671144 783.434176912986</t>
  </si>
  <si>
    <t>-818.756078025898 315.759628703025 844.141900096939</t>
  </si>
  <si>
    <t>-898.420727403231 42.8250064827698 -60.8553260843005</t>
  </si>
  <si>
    <t>-846.950791449439 23.7831694465031 338.948279291446</t>
  </si>
  <si>
    <t>-888.420771497391 23.5076939777346 784.913037630448</t>
  </si>
  <si>
    <t>-793.521247166263 -80.6081169792074 857.309496821312</t>
  </si>
  <si>
    <t>9763-20170724T111200.917862300.bin</t>
  </si>
  <si>
    <t>-909.37028990934 137.603855429141 -62.4437026255639</t>
  </si>
  <si>
    <t>-945.909530043746 129.888903038099 -172.086716931031</t>
  </si>
  <si>
    <t>-962.449924123644 126.548059747051 -269.256185021791</t>
  </si>
  <si>
    <t>-971.907311679833 124.427618868223 -357.824283160838</t>
  </si>
  <si>
    <t>-975.454405191669 122.970932089979 -446.838452472495</t>
  </si>
  <si>
    <t>-974.177250028314 121.404523828476 -571.404621687289</t>
  </si>
  <si>
    <t>-940.923697684301 116.674858273526 -647.41024006272</t>
  </si>
  <si>
    <t>-972.225191991394 149.68671323861 -516.910376143658</t>
  </si>
  <si>
    <t>-952.438917582617 284.801145822751 -501.092067038903</t>
  </si>
  <si>
    <t>-926.020231993901 303.284755754363 -208.599968997024</t>
  </si>
  <si>
    <t>-690.419531490783 319.525366965274 -256.342275844558</t>
  </si>
  <si>
    <t>-977.253309723293 94.5010272281038 -516.268036630054</t>
  </si>
  <si>
    <t>-920.970576858208 232.113765890637 -66.0603065780832</t>
  </si>
  <si>
    <t>-923.68561493572 255.330121342183 336.814747727823</t>
  </si>
  <si>
    <t>-956.605059696467 266.573047999917 783.364827130006</t>
  </si>
  <si>
    <t>-818.762115083538 315.586963730326 844.062905083928</t>
  </si>
  <si>
    <t>-898.180218445492 42.9875028829874 -60.8647646105092</t>
  </si>
  <si>
    <t>-846.779203045561 23.8173246564079 338.941633035377</t>
  </si>
  <si>
    <t>-888.341685966371 23.5673415068077 784.889933433065</t>
  </si>
  <si>
    <t>-793.504189693911 -80.5977695570737 857.296535071136</t>
  </si>
  <si>
    <t>9763-20170724T111200.983044000.bin</t>
  </si>
  <si>
    <t>-908.925608369107 137.915580906939 -62.5126687406629</t>
  </si>
  <si>
    <t>-945.343180498531 130.240905260212 -172.198916012125</t>
  </si>
  <si>
    <t>-961.791841853614 126.879538795774 -269.383306571499</t>
  </si>
  <si>
    <t>-971.173842182759 124.71979345591 -357.958455389452</t>
  </si>
  <si>
    <t>-974.654495845621 123.203728128962 -446.974351980854</t>
  </si>
  <si>
    <t>-973.29520091129 121.534658304212 -571.538197182157</t>
  </si>
  <si>
    <t>-939.929798289585 116.644528192466 -647.484793090042</t>
  </si>
  <si>
    <t>-971.371117131734 149.861086089261 -517.066046713533</t>
  </si>
  <si>
    <t>-951.622683130714 284.99447020424 -501.344745128144</t>
  </si>
  <si>
    <t>-925.448625594904 303.597630613092 -208.838220623389</t>
  </si>
  <si>
    <t>-689.843854296147 320.065349032886 -256.483581728674</t>
  </si>
  <si>
    <t>-976.41560697072 94.6772082168468 -516.381637664556</t>
  </si>
  <si>
    <t>-920.548092596761 232.483018955768 -66.1427915527579</t>
  </si>
  <si>
    <t>-923.452850467305 255.446800016295 336.745363383161</t>
  </si>
  <si>
    <t>-956.589930245193 266.468204716762 783.27584823439</t>
  </si>
  <si>
    <t>-818.84246991589 315.80445640446 843.929415657452</t>
  </si>
  <si>
    <t>-897.752926532868 43.2790396208893 -60.900802045404</t>
  </si>
  <si>
    <t>-846.450562795817 23.8506101453227 338.905755995199</t>
  </si>
  <si>
    <t>-888.267742348287 23.5705051986715 784.851694800987</t>
  </si>
  <si>
    <t>-793.578755337161 -80.7182479193477 857.275240048441</t>
  </si>
  <si>
    <t>9763-20170724T111201.016131500.bin</t>
  </si>
  <si>
    <t>-908.695131532452 138.027948785743 -62.5334841748549</t>
  </si>
  <si>
    <t>-945.071285133641 130.364727882005 -172.234287369498</t>
  </si>
  <si>
    <t>-961.484386625117 127.002503616966 -269.424664602981</t>
  </si>
  <si>
    <t>-970.834496853395 124.838658971822 -358.003026927831</t>
  </si>
  <si>
    <t>-974.284567124619 123.314513099445 -447.019917095925</t>
  </si>
  <si>
    <t>-972.883052574031 121.630486611959 -571.583284075024</t>
  </si>
  <si>
    <t>-939.479053997358 116.700032396842 -647.510206510865</t>
  </si>
  <si>
    <t>-970.977546530455 149.963464180111 -517.113698877905</t>
  </si>
  <si>
    <t>-951.248546966248 285.102621993902 -501.403832907445</t>
  </si>
  <si>
    <t>-925.198821102864 303.685770923386 -208.884900189917</t>
  </si>
  <si>
    <t>-689.618494343916 320.25757480259 -256.616008735268</t>
  </si>
  <si>
    <t>-976.022108715702 94.7797296095346 -516.424403552927</t>
  </si>
  <si>
    <t>-920.274025858095 232.558550743784 -66.1595879918856</t>
  </si>
  <si>
    <t>-923.290695528989 255.520362300501 336.727882615428</t>
  </si>
  <si>
    <t>-956.571744571563 266.389237478165 783.254376669093</t>
  </si>
  <si>
    <t>-818.871935842585 315.894795500727 843.878615252117</t>
  </si>
  <si>
    <t>-897.523654616049 43.3843964789635 -60.9220762186168</t>
  </si>
  <si>
    <t>-846.28848147308 23.8424327016114 338.887524170633</t>
  </si>
  <si>
    <t>-888.236422295684 23.5618892891466 784.829696302587</t>
  </si>
  <si>
    <t>-793.548730492656 -80.7227133922938 857.26107953483</t>
  </si>
  <si>
    <t>9763-20170724T111201.083995900.bin</t>
  </si>
  <si>
    <t>-908.327215763504 138.149150107522 -62.5294444162276</t>
  </si>
  <si>
    <t>-944.624609841988 130.547125518088 -172.260579278032</t>
  </si>
  <si>
    <t>-960.938286129772 127.227827543627 -269.469162889576</t>
  </si>
  <si>
    <t>-970.186837979207 125.099031997929 -358.05901604873</t>
  </si>
  <si>
    <t>-973.52328556684 123.608187082562 -447.080933786908</t>
  </si>
  <si>
    <t>-971.952099398745 121.968427617469 -571.642757487058</t>
  </si>
  <si>
    <t>-938.46049498117 117.037388458553 -647.531063033015</t>
  </si>
  <si>
    <t>-970.137077680318 150.283571188761 -517.160778132876</t>
  </si>
  <si>
    <t>-950.564925593559 285.437566192672 -501.412926999815</t>
  </si>
  <si>
    <t>-924.84642910299 303.881968492437 -208.855940957462</t>
  </si>
  <si>
    <t>-689.345676269909 320.688153547563 -256.895565832355</t>
  </si>
  <si>
    <t>-975.149933347622 95.0964649143543 -516.497677720187</t>
  </si>
  <si>
    <t>-919.937435846318 232.735086904461 -66.1259922763211</t>
  </si>
  <si>
    <t>-922.948025304643 255.590935559886 336.76757918664</t>
  </si>
  <si>
    <t>-956.615649551622 266.270326167838 783.2879386388</t>
  </si>
  <si>
    <t>-818.95439373062 316.005616491871 843.811274605509</t>
  </si>
  <si>
    <t>-897.109555771856 43.4442477342591 -60.9478425422977</t>
  </si>
  <si>
    <t>-845.95640540503 23.7992399399636 338.867200548083</t>
  </si>
  <si>
    <t>-888.121472490169 23.6412732878289 784.792112085751</t>
  </si>
  <si>
    <t>-793.615811548519 -80.7956663277107 857.241190130067</t>
  </si>
  <si>
    <t>9763-20170724T111201.116081200.bin</t>
  </si>
  <si>
    <t>-908.228577065752 138.15777314755 -62.5043890317171</t>
  </si>
  <si>
    <t>-944.505251634101 130.606913910047 -172.245927443514</t>
  </si>
  <si>
    <t>-960.770751583332 127.335719992723 -269.464210926625</t>
  </si>
  <si>
    <t>-969.964305885488 125.253575038239 -358.060912295995</t>
  </si>
  <si>
    <t>-973.233807347289 123.812348367348 -447.086136226032</t>
  </si>
  <si>
    <t>-971.556111126283 122.246013640948 -571.647487234181</t>
  </si>
  <si>
    <t>-937.998832257302 117.351931103204 -647.509177597948</t>
  </si>
  <si>
    <t>-969.808593691685 150.530771835742 -517.147745600029</t>
  </si>
  <si>
    <t>-950.442830087363 285.704052804035 -501.351489779884</t>
  </si>
  <si>
    <t>-924.909889127557 304.128253048336 -208.777019211303</t>
  </si>
  <si>
    <t>-689.469208891404 320.986698668249 -257.091828034458</t>
  </si>
  <si>
    <t>-974.780060084826 95.3396761884505 -516.520693490848</t>
  </si>
  <si>
    <t>-919.887745803585 232.831972893863 -66.0575181616529</t>
  </si>
  <si>
    <t>-922.816568899458 255.697902928931 336.836004602347</t>
  </si>
  <si>
    <t>-956.799193140511 266.40944734954 783.331726177192</t>
  </si>
  <si>
    <t>-818.957127904375 315.708608094079 843.799936602067</t>
  </si>
  <si>
    <t>-896.993066887477 43.4069065270951 -60.9500850125876</t>
  </si>
  <si>
    <t>-845.857464784645 23.7405976797063 338.866213444421</t>
  </si>
  <si>
    <t>-888.103539305192 23.6283460478544 784.779308014771</t>
  </si>
  <si>
    <t>-793.537490949855 -80.7559818651969 857.225579602476</t>
  </si>
  <si>
    <t>9763-20170724T111201.184288000.bin</t>
  </si>
  <si>
    <t>-908.105052956386 137.877552008776 -62.4212248894979</t>
  </si>
  <si>
    <t>-944.311831866147 130.411753718889 -172.191596204586</t>
  </si>
  <si>
    <t>-960.490671161088 127.267321746337 -269.428464842309</t>
  </si>
  <si>
    <t>-969.593436551017 125.324334761077 -358.037844811864</t>
  </si>
  <si>
    <t>-972.760225475223 124.048634261855 -447.069232457182</t>
  </si>
  <si>
    <t>-970.925486736207 122.742864809172 -571.631313407115</t>
  </si>
  <si>
    <t>-937.201545009373 117.992420600824 -647.428169948717</t>
  </si>
  <si>
    <t>-969.307615458836 150.919029903209 -517.071363995173</t>
  </si>
  <si>
    <t>-950.39115309931 286.141161813719 -501.026990659949</t>
  </si>
  <si>
    <t>-925.456790334532 304.853916141642 -208.419343904697</t>
  </si>
  <si>
    <t>-690.196059237606 321.438988913837 -257.697052141755</t>
  </si>
  <si>
    <t>-974.158236848564 95.7159708334452 -516.564070194888</t>
  </si>
  <si>
    <t>-919.763171352407 232.488352931117 -65.8986179618913</t>
  </si>
  <si>
    <t>-922.522688126 255.593923552353 336.982527759116</t>
  </si>
  <si>
    <t>-956.95309021074 266.367913905451 783.444583252301</t>
  </si>
  <si>
    <t>-819.075671499273 315.719545688082 843.789751419442</t>
  </si>
  <si>
    <t>-896.825108588077 43.1408920814624 -60.9481769904468</t>
  </si>
  <si>
    <t>-845.792389728182 23.4507215015319 338.880057482987</t>
  </si>
  <si>
    <t>-888.104336466802 23.5613306539049 784.771548641174</t>
  </si>
  <si>
    <t>-793.491270647288 -80.7816782077346 857.215936083504</t>
  </si>
  <si>
    <t>9763-20170724T111201.215376100.bin</t>
  </si>
  <si>
    <t>-908.075442621152 137.65953234963 -62.3896908090663</t>
  </si>
  <si>
    <t>-944.274915963382 130.198949793319 -172.162766168353</t>
  </si>
  <si>
    <t>-960.433451809997 127.109672432593 -269.404867414631</t>
  </si>
  <si>
    <t>-969.511647492292 125.23715875006 -358.018292493196</t>
  </si>
  <si>
    <t>-972.645734497191 124.053875014293 -447.052101472209</t>
  </si>
  <si>
    <t>-970.757020504874 122.900682696908 -571.614905949018</t>
  </si>
  <si>
    <t>-936.930400344787 118.256291795533 -647.372487933277</t>
  </si>
  <si>
    <t>-969.202507698796 151.013633726893 -517.020409788462</t>
  </si>
  <si>
    <t>-950.54007874761 286.247000682237 -500.812997184048</t>
  </si>
  <si>
    <t>-926.158631257011 305.053808033391 -208.164500915194</t>
  </si>
  <si>
    <t>-691.007288985116 321.394444804414 -258.0412483291</t>
  </si>
  <si>
    <t>-973.973395469779 95.802875547879 -516.581569770746</t>
  </si>
  <si>
    <t>-919.820411832505 232.256442294067 -65.845627177936</t>
  </si>
  <si>
    <t>-922.396864116033 255.503992751809 337.028527032815</t>
  </si>
  <si>
    <t>-956.962656006802 266.277154138119 783.474005369528</t>
  </si>
  <si>
    <t>-819.086614058342 315.69549382146 843.768554603698</t>
  </si>
  <si>
    <t>-896.759494987434 42.9516047021839 -60.9468873098629</t>
  </si>
  <si>
    <t>-845.797513162095 23.277532386137 338.891184400257</t>
  </si>
  <si>
    <t>-888.158246869862 23.4517425449067 784.77833749764</t>
  </si>
  <si>
    <t>-793.455588359996 -80.815041807924 857.215247918223</t>
  </si>
  <si>
    <t>9763-20170724T111201.280127200.bin</t>
  </si>
  <si>
    <t>-908.035676713717 137.090924841505 -62.375000104889</t>
  </si>
  <si>
    <t>-944.282736737089 129.625545364277 -172.132244730976</t>
  </si>
  <si>
    <t>-960.437950185832 126.624815113617 -269.377601149473</t>
  </si>
  <si>
    <t>-969.491860453179 124.86941208057 -357.995833380115</t>
  </si>
  <si>
    <t>-972.579887482276 123.841494316408 -447.033211917217</t>
  </si>
  <si>
    <t>-970.602386126644 122.946284987208 -571.596741915537</t>
  </si>
  <si>
    <t>-936.541093631528 118.575692258661 -647.265476145441</t>
  </si>
  <si>
    <t>-969.17608646143 150.953501102805 -516.944479266981</t>
  </si>
  <si>
    <t>-951.05637342615 286.222024207324 -500.413263803645</t>
  </si>
  <si>
    <t>-928.120096515998 305.102823895296 -207.652908351965</t>
  </si>
  <si>
    <t>-693.180293242531 320.807928612596 -258.715976260891</t>
  </si>
  <si>
    <t>-973.769383182001 95.7271480701984 -516.620571790621</t>
  </si>
  <si>
    <t>-919.854242461519 231.622589427471 -65.7954936687779</t>
  </si>
  <si>
    <t>-922.354450336697 255.192684368737 337.060424938671</t>
  </si>
  <si>
    <t>-956.951108495673 266.154369681102 783.450689268113</t>
  </si>
  <si>
    <t>-819.248179191333 316.116704139262 843.691189082477</t>
  </si>
  <si>
    <t>-896.600455508777 42.4078575173198 -60.9866989466707</t>
  </si>
  <si>
    <t>-845.761766504094 23.0068040207175 338.880477577235</t>
  </si>
  <si>
    <t>-888.132493461311 23.4164020688572 784.772786923878</t>
  </si>
  <si>
    <t>-793.353338978053 -80.7802367882371 857.210659314289</t>
  </si>
  <si>
    <t>9763-20170724T111201.319232500.bin</t>
  </si>
  <si>
    <t>-908.029959127575 136.715983334009 -62.4008072825663</t>
  </si>
  <si>
    <t>-944.296989799587 129.229855783493 -172.149944343042</t>
  </si>
  <si>
    <t>-960.453215877021 126.261106482278 -269.396168284413</t>
  </si>
  <si>
    <t>-969.499931516332 124.553785395407 -358.016070061786</t>
  </si>
  <si>
    <t>-972.571835059319 123.594430672353 -447.054708319122</t>
  </si>
  <si>
    <t>-970.561388032885 122.815597788396 -571.618687272726</t>
  </si>
  <si>
    <t>-936.374216006145 118.606185883965 -647.239673672514</t>
  </si>
  <si>
    <t>-969.19030124499 150.775124760421 -516.940361094486</t>
  </si>
  <si>
    <t>-951.319160591356 286.061571718072 -500.294966392407</t>
  </si>
  <si>
    <t>-929.309145296949 304.943101011891 -207.463409268316</t>
  </si>
  <si>
    <t>-694.47085230373 320.323482359967 -259.089987477311</t>
  </si>
  <si>
    <t>-973.701786877619 95.5415870465567 -516.667887188686</t>
  </si>
  <si>
    <t>-919.859913541334 231.224915947524 -65.7923073847297</t>
  </si>
  <si>
    <t>-922.460654766874 255.019793276776 337.049724010436</t>
  </si>
  <si>
    <t>-956.944443838517 266.114159027552 783.431675216715</t>
  </si>
  <si>
    <t>-819.279297027481 316.186606115214 843.6673593534</t>
  </si>
  <si>
    <t>-896.550953447908 42.0598803216567 -61.0169546720748</t>
  </si>
  <si>
    <t>-845.747603951143 22.8489749499113 338.863859038582</t>
  </si>
  <si>
    <t>-888.097801917737 23.4375805437135 784.770668249718</t>
  </si>
  <si>
    <t>-793.340157793436 -80.7797998103472 857.207020898727</t>
  </si>
  <si>
    <t>9763-20170724T111201.380406300.bin</t>
  </si>
  <si>
    <t>-908.301323247013 136.010586853657 -62.4531560749538</t>
  </si>
  <si>
    <t>-944.5692015107 128.490500748141 -172.199723979072</t>
  </si>
  <si>
    <t>-960.723350446998 125.575238572023 -269.447937145315</t>
  </si>
  <si>
    <t>-969.765076824292 123.948116316097 -358.069726727785</t>
  </si>
  <si>
    <t>-972.827009463452 123.101607411004 -447.110002034447</t>
  </si>
  <si>
    <t>-970.79683436972 122.515919351626 -571.674620361295</t>
  </si>
  <si>
    <t>-936.358131919503 118.60601821813 -647.197468191623</t>
  </si>
  <si>
    <t>-969.508587716358 150.39657391634 -516.954208840774</t>
  </si>
  <si>
    <t>-951.996936204817 285.713656359209 -500.202187998029</t>
  </si>
  <si>
    <t>-931.873151026655 304.781796005397 -207.247208862876</t>
  </si>
  <si>
    <t>-697.23776802408 319.648793912788 -259.935222966972</t>
  </si>
  <si>
    <t>-973.871581740257 95.1506960017573 -516.765429195597</t>
  </si>
  <si>
    <t>-920.333431693257 230.533413087424 -65.8382370412891</t>
  </si>
  <si>
    <t>-922.96780454881 254.707459409377 336.981051436371</t>
  </si>
  <si>
    <t>-957.000668757044 266.202054979066 783.365661385021</t>
  </si>
  <si>
    <t>-819.301479869807 316.132383518905 843.642125862885</t>
  </si>
  <si>
    <t>-896.692097795852 41.4263321025924 -61.0897806546909</t>
  </si>
  <si>
    <t>-845.940465513719 22.5292653214906 338.812547271373</t>
  </si>
  <si>
    <t>-888.067163373314 23.4244349876508 784.76425242384</t>
  </si>
  <si>
    <t>-793.2465380539 -80.7436416935602 857.189566329206</t>
  </si>
  <si>
    <t>9763-20170724T111201.418503800.bin</t>
  </si>
  <si>
    <t>-908.510448300004 135.623363159631 -62.4880783739303</t>
  </si>
  <si>
    <t>-944.793612278806 128.118521770845 -172.230574517352</t>
  </si>
  <si>
    <t>-960.981948109501 125.240510156721 -269.474226136592</t>
  </si>
  <si>
    <t>-970.062937500304 123.65686389379 -358.093017131441</t>
  </si>
  <si>
    <t>-973.17123370423 122.864424226355 -447.132014880311</t>
  </si>
  <si>
    <t>-971.213818096365 122.364418542146 -571.698137404686</t>
  </si>
  <si>
    <t>-936.652969853734 118.56765951019 -647.170956758424</t>
  </si>
  <si>
    <t>-969.915313407173 150.209100617791 -516.959612070711</t>
  </si>
  <si>
    <t>-952.486285695414 285.532008598204 -500.176989057723</t>
  </si>
  <si>
    <t>-933.153968613231 304.815895455154 -207.182759931909</t>
  </si>
  <si>
    <t>-698.608666707286 319.593582510859 -260.295035059395</t>
  </si>
  <si>
    <t>-974.235338965094 94.95996489256 -516.805854138532</t>
  </si>
  <si>
    <t>-920.58345186365 230.118853042878 -65.8542020230642</t>
  </si>
  <si>
    <t>-923.221235450399 254.496595057236 336.952779922452</t>
  </si>
  <si>
    <t>-956.983377801578 266.201147139698 783.34154421283</t>
  </si>
  <si>
    <t>-819.325238199865 316.217374592356 843.639827405846</t>
  </si>
  <si>
    <t>-896.862554610961 41.066181384283 -61.1433927568843</t>
  </si>
  <si>
    <t>-846.149685790188 22.3835676924623 338.773931376973</t>
  </si>
  <si>
    <t>-888.075443338162 23.3849460073525 784.766590117159</t>
  </si>
  <si>
    <t>-793.248160584559 -80.7807740591486 857.185583079483</t>
  </si>
  <si>
    <t>9763-20170724T111201.481310900.bin</t>
  </si>
  <si>
    <t>-908.99742274933 134.765641742144 -62.5665009639109</t>
  </si>
  <si>
    <t>-945.347956192423 127.292558677296 -172.288907896493</t>
  </si>
  <si>
    <t>-961.632518754082 124.486293284853 -269.51848612061</t>
  </si>
  <si>
    <t>-970.814799795748 122.986779746979 -358.128216367698</t>
  </si>
  <si>
    <t>-974.038057797667 122.298431251887 -447.164149806483</t>
  </si>
  <si>
    <t>-972.254253077818 121.96630320825 -571.73343580833</t>
  </si>
  <si>
    <t>-937.45996959758 118.298998930218 -647.105409939475</t>
  </si>
  <si>
    <t>-970.912594731825 149.73996131171 -516.959862888003</t>
  </si>
  <si>
    <t>-953.612938348419 285.080036550551 -500.169595157366</t>
  </si>
  <si>
    <t>-935.323877481701 304.550740612215 -207.120624818327</t>
  </si>
  <si>
    <t>-700.903991881238 319.562378401533 -260.719410224637</t>
  </si>
  <si>
    <t>-975.165888805985 94.4853016933534 -516.873424426458</t>
  </si>
  <si>
    <t>-921.053276861848 229.233283503861 -65.8935682336177</t>
  </si>
  <si>
    <t>-923.739597238499 254.041381036212 336.886826422136</t>
  </si>
  <si>
    <t>-956.998860398256 266.355324166427 783.253245143817</t>
  </si>
  <si>
    <t>-819.363482432667 316.264824832143 843.692180562147</t>
  </si>
  <si>
    <t>-897.381323764424 40.2012235055818 -61.2639631051776</t>
  </si>
  <si>
    <t>-846.734527552955 22.097703876304 338.688328190647</t>
  </si>
  <si>
    <t>-888.100050343638 23.3118464939221 784.777542785939</t>
  </si>
  <si>
    <t>-793.304627179369 -80.8947478591708 857.180050478457</t>
  </si>
  <si>
    <t>9763-20170724T111201.515401600.bin</t>
  </si>
  <si>
    <t>-909.250019454212 134.260875151328 -62.5964849592743</t>
  </si>
  <si>
    <t>-945.664966473557 126.787263282616 -172.297629042472</t>
  </si>
  <si>
    <t>-962.010618156423 124.015269324047 -269.517967527292</t>
  </si>
  <si>
    <t>-971.248896627519 122.560576661286 -358.122558921288</t>
  </si>
  <si>
    <t>-974.529258969259 121.931667133055 -447.156726217605</t>
  </si>
  <si>
    <t>-972.824799332506 121.697902482983 -571.727351509192</t>
  </si>
  <si>
    <t>-937.940962145477 118.076465470364 -647.060200278305</t>
  </si>
  <si>
    <t>-971.475284346957 149.430373897158 -516.933132132537</t>
  </si>
  <si>
    <t>-954.305971486162 284.778668553853 -500.107476516105</t>
  </si>
  <si>
    <t>-936.269839743917 304.255886965339 -207.043351635179</t>
  </si>
  <si>
    <t>-701.907963691034 319.552144145976 -260.815179505604</t>
  </si>
  <si>
    <t>-975.674352134066 94.1713239266637 -516.886846177507</t>
  </si>
  <si>
    <t>-921.300923276013 228.678904735952 -65.8985054640714</t>
  </si>
  <si>
    <t>-923.930661524514 253.807280015661 336.862318893477</t>
  </si>
  <si>
    <t>-956.977345081404 266.389053924264 783.245285962062</t>
  </si>
  <si>
    <t>-819.319769541215 316.17794428037 843.732654765125</t>
  </si>
  <si>
    <t>-897.643800338655 39.7485854519537 -61.3122241704981</t>
  </si>
  <si>
    <t>-847.012529730868 21.905902422714 338.65372992687</t>
  </si>
  <si>
    <t>-888.11392299118 23.2660771478086 784.785681553234</t>
  </si>
  <si>
    <t>-793.273067620929 -80.9070401447484 857.176695350327</t>
  </si>
  <si>
    <t>9763-20170724T111201.584623200.bin</t>
  </si>
  <si>
    <t>-909.765869962313 133.33613326363 -62.5798323841019</t>
  </si>
  <si>
    <t>-946.286612009402 125.868425990745 -172.246023313336</t>
  </si>
  <si>
    <t>-962.751607589799 123.183815522729 -269.448685662044</t>
  </si>
  <si>
    <t>-972.106610929967 121.840219291588 -358.042869103011</t>
  </si>
  <si>
    <t>-975.510869835838 121.356060822281 -447.073308491091</t>
  </si>
  <si>
    <t>-973.985322423054 121.359922651518 -571.646537661535</t>
  </si>
  <si>
    <t>-939.000851744337 117.842852232807 -646.93743343726</t>
  </si>
  <si>
    <t>-972.618140441458 148.992279521529 -516.802230039006</t>
  </si>
  <si>
    <t>-955.735978433202 284.360978205373 -499.848523043648</t>
  </si>
  <si>
    <t>-938.277814425973 303.591422032317 -206.733131089322</t>
  </si>
  <si>
    <t>-704.042133111129 319.652594147293 -260.831639886</t>
  </si>
  <si>
    <t>-976.69510138319 93.7243279084259 -516.853828620945</t>
  </si>
  <si>
    <t>-921.908474992242 227.736060545134 -65.8305560524451</t>
  </si>
  <si>
    <t>-924.463842730975 253.263806649367 336.905701977251</t>
  </si>
  <si>
    <t>-957.016770062276 266.482192347837 783.29486594561</t>
  </si>
  <si>
    <t>-819.416815614955 316.368275783999 843.833539014481</t>
  </si>
  <si>
    <t>-898.055300476883 38.8638301468045 -61.3797950413806</t>
  </si>
  <si>
    <t>-847.473933049421 21.5451087032675 338.615553703077</t>
  </si>
  <si>
    <t>-888.066201651732 23.2771862225709 784.807491817195</t>
  </si>
  <si>
    <t>-793.17418778705 -80.8669656872348 857.17311338812</t>
  </si>
  <si>
    <t>9763-20170724T111201.614700000.bin</t>
  </si>
  <si>
    <t>-910.019539381528 132.907331642574 -62.5737572092594</t>
  </si>
  <si>
    <t>-946.60458009789 125.415079561173 -172.217003390202</t>
  </si>
  <si>
    <t>-963.1333892331 122.766745980896 -269.40976885291</t>
  </si>
  <si>
    <t>-972.547735717266 121.478618610986 -357.998467749406</t>
  </si>
  <si>
    <t>-976.011684564618 121.072200297838 -447.026886514269</t>
  </si>
  <si>
    <t>-974.569027166189 121.207674007754 -571.601043144202</t>
  </si>
  <si>
    <t>-939.549597862478 117.751327027289 -646.878759303192</t>
  </si>
  <si>
    <t>-973.192769259708 148.784078506081 -516.728806881281</t>
  </si>
  <si>
    <t>-956.428285455579 284.162930843511 -499.695850015994</t>
  </si>
  <si>
    <t>-939.312597723027 303.102130214345 -206.541465644283</t>
  </si>
  <si>
    <t>-705.122093448024 319.65139998427 -260.687454455242</t>
  </si>
  <si>
    <t>-977.215211415264 93.5121507058211 -516.835484402447</t>
  </si>
  <si>
    <t>-922.265434072595 227.307274362892 -65.7850118877495</t>
  </si>
  <si>
    <t>-924.809937359506 253.056891254234 336.937202927892</t>
  </si>
  <si>
    <t>-957.071788292955 266.580718797687 783.323981556801</t>
  </si>
  <si>
    <t>-819.418155317891 316.294437810949 843.882874845748</t>
  </si>
  <si>
    <t>-898.231678685399 38.4130910948197 -61.3981220427667</t>
  </si>
  <si>
    <t>-847.70232107939 21.371827135863 338.615607306252</t>
  </si>
  <si>
    <t>-888.081565692649 23.2238020546488 784.823314006425</t>
  </si>
  <si>
    <t>-793.071499873989 -80.8275583873976 857.167898838981</t>
  </si>
  <si>
    <t>9763-20170724T111201.682886000.bin</t>
  </si>
  <si>
    <t>-910.583451444394 132.131325165089 -62.5510533376195</t>
  </si>
  <si>
    <t>-947.291151263547 124.578336114249 -172.149005177475</t>
  </si>
  <si>
    <t>-963.947244723935 121.968799319875 -269.321164763395</t>
  </si>
  <si>
    <t>-973.482187671682 120.749980441784 -357.897933744562</t>
  </si>
  <si>
    <t>-977.070132142245 120.447722855538 -446.92199678382</t>
  </si>
  <si>
    <t>-975.803133025702 120.76445402032 -571.497617082428</t>
  </si>
  <si>
    <t>-940.751344463993 117.42262042892 -646.765453007328</t>
  </si>
  <si>
    <t>-974.418169681761 148.265816160402 -516.588053980113</t>
  </si>
  <si>
    <t>-957.965815226105 283.669267138037 -499.453155180095</t>
  </si>
  <si>
    <t>-941.505754841297 302.179054309177 -206.233733746412</t>
  </si>
  <si>
    <t>-707.351019245155 319.873723294873 -260.171602243271</t>
  </si>
  <si>
    <t>-978.303281641889 92.9844115526948 -516.768086801185</t>
  </si>
  <si>
    <t>-923.090458860707 226.556437366721 -65.7011995443265</t>
  </si>
  <si>
    <t>-925.449386721051 252.554571112405 337.006142520024</t>
  </si>
  <si>
    <t>-957.072388567024 266.556365368782 783.425518690017</t>
  </si>
  <si>
    <t>-819.483704352572 316.458156460737 843.977096040667</t>
  </si>
  <si>
    <t>-898.538456733464 37.6181641315588 -61.4421605019778</t>
  </si>
  <si>
    <t>-848.177764721301 21.0847402272707 338.614181771418</t>
  </si>
  <si>
    <t>-888.097813902966 23.1097050864441 784.854677148315</t>
  </si>
  <si>
    <t>-792.959016631352 -80.8429873817845 857.171563285409</t>
  </si>
  <si>
    <t>9763-20170724T111201.716977300.bin</t>
  </si>
  <si>
    <t>-910.897511271471 131.820279484282 -62.5362125240096</t>
  </si>
  <si>
    <t>-947.662688809022 124.237851933773 -172.112926845771</t>
  </si>
  <si>
    <t>-964.383215752776 121.630937831221 -269.274101948429</t>
  </si>
  <si>
    <t>-973.981696757045 120.425089536779 -357.844080146701</t>
  </si>
  <si>
    <t>-977.63809927648 120.146852892483 -446.865360047034</t>
  </si>
  <si>
    <t>-976.470388401733 120.509563908931 -571.442054510521</t>
  </si>
  <si>
    <t>-941.417654211469 117.227097199644 -646.711861479112</t>
  </si>
  <si>
    <t>-975.089526094587 147.99402703721 -516.523749428046</t>
  </si>
  <si>
    <t>-958.881482055389 283.427389925575 -499.384220742738</t>
  </si>
  <si>
    <t>-942.678312823043 301.840662962746 -206.144303186211</t>
  </si>
  <si>
    <t>-708.528425342756 320.127279762175 -259.906094783214</t>
  </si>
  <si>
    <t>-978.87886906073 92.7060137153471 -516.720285068026</t>
  </si>
  <si>
    <t>-923.570236207358 226.274043699386 -65.6464459786191</t>
  </si>
  <si>
    <t>-925.833911139789 252.377695298168 337.054625245636</t>
  </si>
  <si>
    <t>-957.145730257666 266.620323059566 783.487839751278</t>
  </si>
  <si>
    <t>-819.521847249924 316.43807224428 844.028266972615</t>
  </si>
  <si>
    <t>-898.698221507225 37.2904015914305 -61.4625428811626</t>
  </si>
  <si>
    <t>-848.405059135953 20.9629183399647 338.610863837043</t>
  </si>
  <si>
    <t>-888.106830690517 23.045589081612 784.864575568766</t>
  </si>
  <si>
    <t>-792.834249914589 -80.7959755269535 857.165236968702</t>
  </si>
  <si>
    <t>9763-20170724T111201.781177300.bin</t>
  </si>
  <si>
    <t>-911.33863703861 131.358659095275 -62.5097736881584</t>
  </si>
  <si>
    <t>-948.188414964965 123.646725809518 -172.04896978448</t>
  </si>
  <si>
    <t>-965.027398139665 121.001923502009 -269.188708523125</t>
  </si>
  <si>
    <t>-974.748851934739 119.789335560914 -357.745183812098</t>
  </si>
  <si>
    <t>-978.542442099428 119.534257298307 -446.760891390693</t>
  </si>
  <si>
    <t>-977.58055423006 119.960335553746 -571.339027329757</t>
  </si>
  <si>
    <t>-942.544072511626 116.809673363413 -646.62199161523</t>
  </si>
  <si>
    <t>-976.221999038162 147.424356718358 -516.409913617633</t>
  </si>
  <si>
    <t>-960.558775191348 282.91911791623 -499.280581556458</t>
  </si>
  <si>
    <t>-944.708202601645 301.478437411778 -206.030686904253</t>
  </si>
  <si>
    <t>-710.634703142873 320.966386098913 -259.70282001068</t>
  </si>
  <si>
    <t>-979.785933383253 92.1213629645977 -516.626666728324</t>
  </si>
  <si>
    <t>-924.329892631923 225.710050348141 -65.5747328227875</t>
  </si>
  <si>
    <t>-926.596425933835 252.053572528868 337.110685836467</t>
  </si>
  <si>
    <t>-957.148502823312 266.571228163856 783.583336819743</t>
  </si>
  <si>
    <t>-819.60456121397 316.615642240443 844.118334107339</t>
  </si>
  <si>
    <t>-898.758883385939 36.878608736562 -61.4916676653031</t>
  </si>
  <si>
    <t>-848.610889380388 20.7776625348151 338.609077540105</t>
  </si>
  <si>
    <t>-888.089248212177 22.9755356844885 784.887824322638</t>
  </si>
  <si>
    <t>-792.730037851906 -80.7988833477755 857.170564752134</t>
  </si>
  <si>
    <t>9763-20170724T111201.814263700.bin</t>
  </si>
  <si>
    <t>-911.526956325583 131.23448884959 -62.5076151271099</t>
  </si>
  <si>
    <t>-948.427906617261 123.442593925087 -172.024010833587</t>
  </si>
  <si>
    <t>-965.334206014696 120.768474283509 -269.151029364368</t>
  </si>
  <si>
    <t>-975.12438053406 119.543740935382 -357.700041819661</t>
  </si>
  <si>
    <t>-978.993388776935 119.291914205248 -446.71233821276</t>
  </si>
  <si>
    <t>-978.143373377144 119.738596270807 -571.291222194458</t>
  </si>
  <si>
    <t>-943.113090725692 116.650724921432 -646.579901253731</t>
  </si>
  <si>
    <t>-976.793867145012 147.19708841886 -516.359213690607</t>
  </si>
  <si>
    <t>-961.404657856772 282.726757632643 -499.248161099771</t>
  </si>
  <si>
    <t>-945.592048816371 301.389344765972 -206.002759789075</t>
  </si>
  <si>
    <t>-711.568566342756 321.464339254857 -259.6763577747</t>
  </si>
  <si>
    <t>-980.240863854029 91.8868157633615 -516.581097009505</t>
  </si>
  <si>
    <t>-924.745145031935 225.586261702682 -65.5620270774529</t>
  </si>
  <si>
    <t>-927.002441629165 252.024416112622 337.117276484124</t>
  </si>
  <si>
    <t>-957.235091290258 266.677161997023 783.607807863578</t>
  </si>
  <si>
    <t>-819.618862152521 316.506684590063 844.156078618268</t>
  </si>
  <si>
    <t>-898.72960835866 36.7609065188362 -61.4987364612921</t>
  </si>
  <si>
    <t>-848.646834683665 20.7407177710934 338.613434722015</t>
  </si>
  <si>
    <t>-888.071819756209 22.9479307089259 784.896961178568</t>
  </si>
  <si>
    <t>-792.774981532521 -80.8851699095271 857.17782880329</t>
  </si>
  <si>
    <t>9763-20170724T111201.880452100.bin</t>
  </si>
  <si>
    <t>-911.897472613152 130.984222884138 -62.4978445944867</t>
  </si>
  <si>
    <t>-948.866570093802 123.016722197944 -171.978615210998</t>
  </si>
  <si>
    <t>-965.888249766643 120.25891251857 -269.083186735574</t>
  </si>
  <si>
    <t>-975.803454698583 118.984237629711 -357.617447548545</t>
  </si>
  <si>
    <t>-979.817630324349 118.709749111853 -446.623385122569</t>
  </si>
  <si>
    <t>-979.189502383711 119.154635867034 -571.203513385116</t>
  </si>
  <si>
    <t>-944.195948569427 116.195555989174 -646.514335203932</t>
  </si>
  <si>
    <t>-977.871887803753 146.6219420875 -516.275248562919</t>
  </si>
  <si>
    <t>-963.135965896952 282.230145175657 -499.225880141229</t>
  </si>
  <si>
    <t>-947.430036195901 301.178533818276 -205.993014003073</t>
  </si>
  <si>
    <t>-713.504438470647 322.392718343893 -259.654958351095</t>
  </si>
  <si>
    <t>-981.059731691168 91.295871403674 -516.488696296369</t>
  </si>
  <si>
    <t>-925.565582346172 225.314352296979 -65.5374119089687</t>
  </si>
  <si>
    <t>-927.693383607444 251.962434891364 337.128698701493</t>
  </si>
  <si>
    <t>-957.32580797992 266.799948197385 783.649934203061</t>
  </si>
  <si>
    <t>-819.708757357602 316.594094133185 844.226261455619</t>
  </si>
  <si>
    <t>-898.644520509956 36.5147573523063 -61.5093237969777</t>
  </si>
  <si>
    <t>-848.612880247887 20.6910791036275 338.617064403402</t>
  </si>
  <si>
    <t>-887.978564364118 22.9745641675904 784.897512035048</t>
  </si>
  <si>
    <t>-792.652287288113 -80.8365047524649 857.170641093423</t>
  </si>
  <si>
    <t>9763-20170724T111201.914541400.bin</t>
  </si>
  <si>
    <t>-912.024980491713 130.915932118295 -62.503023782456</t>
  </si>
  <si>
    <t>-949.006794085865 122.854162986557 -171.972557175373</t>
  </si>
  <si>
    <t>-966.066251306182 120.04974678766 -269.06929492</t>
  </si>
  <si>
    <t>-976.025400713322 118.746187002224 -357.598138350033</t>
  </si>
  <si>
    <t>-980.092691887891 118.457629395543 -446.601509934271</t>
  </si>
  <si>
    <t>-979.547495127774 118.89817820943 -571.182177730854</t>
  </si>
  <si>
    <t>-944.574556528157 116.004610982839 -646.504996996692</t>
  </si>
  <si>
    <t>-978.260320551854 146.371016457417 -516.255794475158</t>
  </si>
  <si>
    <t>-963.833668974287 282.019251331328 -499.245102566341</t>
  </si>
  <si>
    <t>-948.311879496267 301.10243579091 -206.01129203656</t>
  </si>
  <si>
    <t>-714.427443737028 322.845831406688 -259.640243350904</t>
  </si>
  <si>
    <t>-981.314246363737 91.0374790682722 -516.464942315698</t>
  </si>
  <si>
    <t>-925.920915990689 225.222304742731 -65.5383266853539</t>
  </si>
  <si>
    <t>-927.956232395547 251.962698866147 337.122176566085</t>
  </si>
  <si>
    <t>-957.362408710639 266.850064207701 783.654052204506</t>
  </si>
  <si>
    <t>-819.763048280877 316.670033590033 844.24886045281</t>
  </si>
  <si>
    <t>-898.550872118928 36.4725419295328 -61.5120542568357</t>
  </si>
  <si>
    <t>-848.524797962154 20.7174908857287 338.617740342065</t>
  </si>
  <si>
    <t>-887.932955706684 22.9775758223482 784.894271752034</t>
  </si>
  <si>
    <t>-792.685685706579 -80.9033736957235 857.171445545955</t>
  </si>
  <si>
    <t>9763-20170724T111201.978313600.bin</t>
  </si>
  <si>
    <t>-912.24164792478 130.845897577869 -62.534612785826</t>
  </si>
  <si>
    <t>-949.245836106672 122.619756231636 -171.984384475186</t>
  </si>
  <si>
    <t>-966.376732047716 119.724162326015 -269.065892545495</t>
  </si>
  <si>
    <t>-976.420318162817 118.358186333817 -357.584274953831</t>
  </si>
  <si>
    <t>-980.590956343214 118.031133847212 -446.582851230511</t>
  </si>
  <si>
    <t>-980.209592372253 118.443800415296 -571.164077962615</t>
  </si>
  <si>
    <t>-945.271519261953 115.655212415602 -646.507057614698</t>
  </si>
  <si>
    <t>-978.97970115217 145.935689791724 -516.24593265733</t>
  </si>
  <si>
    <t>-965.173039853299 281.663282370734 -499.347469700635</t>
  </si>
  <si>
    <t>-950.113400741727 300.980856062446 -206.104942986357</t>
  </si>
  <si>
    <t>-716.274009461269 323.969021934133 -259.40984873378</t>
  </si>
  <si>
    <t>-981.775444199064 90.5885354809157 -516.43786721842</t>
  </si>
  <si>
    <t>-926.495132270938 225.148826427624 -65.5784753167354</t>
  </si>
  <si>
    <t>-928.467536741856 252.048378761515 337.071728983178</t>
  </si>
  <si>
    <t>-957.474763879672 267.067235364186 783.624559606585</t>
  </si>
  <si>
    <t>-819.868559275336 316.789657153146 844.283568537581</t>
  </si>
  <si>
    <t>-898.436498329862 36.4523446876537 -61.5186733206828</t>
  </si>
  <si>
    <t>-848.362224758994 20.7098023938174 338.605588451534</t>
  </si>
  <si>
    <t>-887.888971573484 22.9064048928449 784.887355224233</t>
  </si>
  <si>
    <t>-792.549406861555 -80.8888905917554 857.165940608618</t>
  </si>
  <si>
    <t>9763-20170724T111202.014405800.bin</t>
  </si>
  <si>
    <t>-912.362981889021 130.868840054164 -62.5466334319161</t>
  </si>
  <si>
    <t>-949.356541457185 122.55375351917 -171.993200079925</t>
  </si>
  <si>
    <t>-966.512074674743 119.611057086984 -269.068909770341</t>
  </si>
  <si>
    <t>-976.590690629165 118.214799821832 -357.582763112366</t>
  </si>
  <si>
    <t>-980.809127960218 117.870446937097 -446.579002465156</t>
  </si>
  <si>
    <t>-980.506469197107 118.274314271815 -571.160563124957</t>
  </si>
  <si>
    <t>-945.590085331089 115.528039810176 -646.515180715635</t>
  </si>
  <si>
    <t>-979.311036642592 145.773693109457 -516.245550742206</t>
  </si>
  <si>
    <t>-965.814655329449 281.539756228253 -499.39693157165</t>
  </si>
  <si>
    <t>-951.002801089594 300.960269329658 -206.148381799256</t>
  </si>
  <si>
    <t>-717.193220810933 324.629216293948 -259.286815316711</t>
  </si>
  <si>
    <t>-981.968334621168 90.4195369568197 -516.431277863367</t>
  </si>
  <si>
    <t>-926.797886233185 225.14011374005 -65.5994507487998</t>
  </si>
  <si>
    <t>-928.723988098114 252.109088017705 337.04640234085</t>
  </si>
  <si>
    <t>-957.458475871634 267.069018648849 783.614195345583</t>
  </si>
  <si>
    <t>-819.892001435175 316.859171115526 844.30826090133</t>
  </si>
  <si>
    <t>-898.367820729695 36.4933528963174 -61.5253730782001</t>
  </si>
  <si>
    <t>-848.25975366525 20.7489451649276 338.594515604377</t>
  </si>
  <si>
    <t>-887.856170651942 22.8948019947384 784.882315262736</t>
  </si>
  <si>
    <t>-792.554803068684 -80.9344728572955 857.162406227856</t>
  </si>
  <si>
    <t>9763-20170724T111202.083216200.bin</t>
  </si>
  <si>
    <t>-912.605085738252 130.774885841636 -62.5623934058059</t>
  </si>
  <si>
    <t>-949.56408027711 122.251086588611 -172.004583979419</t>
  </si>
  <si>
    <t>-966.748321589766 119.18998311938 -269.071634895914</t>
  </si>
  <si>
    <t>-976.875008329473 117.708226768852 -357.578666775524</t>
  </si>
  <si>
    <t>-981.162029177895 117.302646572112 -446.571259319011</t>
  </si>
  <si>
    <t>-980.9763235397 117.64651588461 -571.153255539756</t>
  </si>
  <si>
    <t>-946.107965704162 114.973256470269 -646.53278021548</t>
  </si>
  <si>
    <t>-979.862581079334 145.178228808584 -516.252672505547</t>
  </si>
  <si>
    <t>-967.010017702751 281.018602773027 -499.50885088334</t>
  </si>
  <si>
    <t>-952.685815590354 300.653722636691 -206.250455260376</t>
  </si>
  <si>
    <t>-718.942578081485 325.789876827308 -259.005261883024</t>
  </si>
  <si>
    <t>-982.253530572882 89.8120732630773 -516.409048686975</t>
  </si>
  <si>
    <t>-927.452662694165 224.867791869511 -65.6275927672938</t>
  </si>
  <si>
    <t>-929.217605170419 252.019067658873 337.006651367908</t>
  </si>
  <si>
    <t>-957.302522647368 266.911595757354 783.608465379304</t>
  </si>
  <si>
    <t>-819.981600838465 317.298379599018 844.365712055534</t>
  </si>
  <si>
    <t>-898.172749914129 36.5501114934691 -61.5359574707422</t>
  </si>
  <si>
    <t>-848.058062895292 20.7912701993582 338.582647165985</t>
  </si>
  <si>
    <t>-887.771673177533 22.8811926101739 784.865262297361</t>
  </si>
  <si>
    <t>-792.400624716195 -80.8826322572857 857.147408719674</t>
  </si>
  <si>
    <t>9763-20170724T111202.117307600.bin</t>
  </si>
  <si>
    <t>-912.776293440833 130.785845889522 -62.5691410217424</t>
  </si>
  <si>
    <t>-949.707930306792 122.160156882071 -172.01261035337</t>
  </si>
  <si>
    <t>-966.88944904804 119.037225895944 -269.078124876125</t>
  </si>
  <si>
    <t>-977.021284226311 117.508283833244 -357.583702768138</t>
  </si>
  <si>
    <t>-981.320567962562 117.065649258784 -446.575573142707</t>
  </si>
  <si>
    <t>-981.159402809863 117.36776476835 -571.157647454281</t>
  </si>
  <si>
    <t>-946.301673173392 114.732803417616 -646.543600390183</t>
  </si>
  <si>
    <t>-980.099832659805 144.920637173723 -516.266684359252</t>
  </si>
  <si>
    <t>-967.548427422346 280.795387527226 -499.581600178139</t>
  </si>
  <si>
    <t>-953.416167466272 300.538373900045 -206.321085778597</t>
  </si>
  <si>
    <t>-719.693823056312 326.334470467313 -258.850576109619</t>
  </si>
  <si>
    <t>-982.360853820829 89.5489280513334 -516.403884019719</t>
  </si>
  <si>
    <t>-927.886270718548 224.885514711178 -65.6394484845925</t>
  </si>
  <si>
    <t>-929.635676153535 252.100421822829 336.990622287365</t>
  </si>
  <si>
    <t>-957.458296331204 267.145534991704 783.604020456922</t>
  </si>
  <si>
    <t>-820.083194086727 317.343347224873 844.395003980674</t>
  </si>
  <si>
    <t>-898.104078816158 36.5596543310767 -61.5445157569089</t>
  </si>
  <si>
    <t>-848.010750776736 20.8485739038856 338.578556513783</t>
  </si>
  <si>
    <t>-887.755831687943 22.8322589114905 784.860794636215</t>
  </si>
  <si>
    <t>-792.336783223436 -80.8881070988689 857.142064246621</t>
  </si>
  <si>
    <t>9763-20170724T111202.182986100.bin</t>
  </si>
  <si>
    <t>-913.023409364324 130.740039579222 -62.59225467803</t>
  </si>
  <si>
    <t>-949.902630520845 121.919397950025 -172.037927929833</t>
  </si>
  <si>
    <t>-967.068250219838 118.672345320751 -269.102067552032</t>
  </si>
  <si>
    <t>-977.195805502051 117.04558235062 -357.606384419514</t>
  </si>
  <si>
    <t>-981.500802957895 116.520821699911 -446.597638619087</t>
  </si>
  <si>
    <t>-981.356616135388 116.724108946334 -571.179883760137</t>
  </si>
  <si>
    <t>-946.50649359693 114.145092410211 -646.571212961996</t>
  </si>
  <si>
    <t>-980.408833672785 144.325083639832 -516.310991584561</t>
  </si>
  <si>
    <t>-968.443160330851 280.265635164067 -499.7376584907</t>
  </si>
  <si>
    <t>-954.550953814541 300.299621099963 -206.485390100535</t>
  </si>
  <si>
    <t>-720.874912967066 327.297844238669 -258.613875343104</t>
  </si>
  <si>
    <t>-982.430983036303 88.9440188857343 -516.403771727376</t>
  </si>
  <si>
    <t>-928.511889913471 224.710304505962 -65.6726294856372</t>
  </si>
  <si>
    <t>-930.249520983723 252.103853698909 336.945399034921</t>
  </si>
  <si>
    <t>-957.379951434395 267.068889646329 783.60614741239</t>
  </si>
  <si>
    <t>-820.184506187319 317.696433310949 844.446920068325</t>
  </si>
  <si>
    <t>-897.948998875758 36.6341213691558 -61.5634208393724</t>
  </si>
  <si>
    <t>-847.874267215556 20.925314049734 338.562078460685</t>
  </si>
  <si>
    <t>-887.658094186204 22.8301260506978 784.85336135379</t>
  </si>
  <si>
    <t>-792.255709650321 -80.9016853248286 857.140412350457</t>
  </si>
  <si>
    <t>9763-20170724T111202.216075000.bin</t>
  </si>
  <si>
    <t>-913.179862676393 130.763921517706 -62.5849882899399</t>
  </si>
  <si>
    <t>-949.990783597341 121.863058584112 -172.047156564681</t>
  </si>
  <si>
    <t>-967.115775517907 118.557365175516 -269.116415880085</t>
  </si>
  <si>
    <t>-977.213576760844 116.880226105832 -357.623230621265</t>
  </si>
  <si>
    <t>-981.496020172932 116.30866852546 -446.615352310376</t>
  </si>
  <si>
    <t>-981.327557457412 116.45016273353 -571.197670293939</t>
  </si>
  <si>
    <t>-946.467808566696 113.885153703664 -646.585034934454</t>
  </si>
  <si>
    <t>-980.44407993287 144.080303974842 -516.342393627975</t>
  </si>
  <si>
    <t>-968.756063257907 280.051604356112 -499.826209176785</t>
  </si>
  <si>
    <t>-954.994198913524 300.121395203915 -206.570260385105</t>
  </si>
  <si>
    <t>-721.353554040363 327.810840226511 -258.494456968394</t>
  </si>
  <si>
    <t>-982.35895330246 88.6952899746225 -516.407914016724</t>
  </si>
  <si>
    <t>-928.902382461455 224.702617336713 -65.6772464030315</t>
  </si>
  <si>
    <t>-930.533029473183 252.135845159422 336.938518809893</t>
  </si>
  <si>
    <t>-957.383389518111 267.074951094562 783.617719148014</t>
  </si>
  <si>
    <t>-820.178355786847 317.651793891764 844.478529193428</t>
  </si>
  <si>
    <t>-897.894851933192 36.7033536086519 -61.5599775625973</t>
  </si>
  <si>
    <t>-847.856029859315 20.9656693246861 338.568886541037</t>
  </si>
  <si>
    <t>-887.615877736333 22.8267631169051 784.855939190755</t>
  </si>
  <si>
    <t>-792.19791467758 -80.8928267213819 857.139196041962</t>
  </si>
  <si>
    <t>9763-20170724T111202.254192900.bin</t>
  </si>
  <si>
    <t>-913.292545885982 130.841761059125 -62.5823401884744</t>
  </si>
  <si>
    <t>-950.044854864485 121.858302777311 -172.057247015682</t>
  </si>
  <si>
    <t>-967.119881720351 118.489685803007 -269.133313913852</t>
  </si>
  <si>
    <t>-977.171983541666 116.757722889704 -357.644419113395</t>
  </si>
  <si>
    <t>-981.408199006329 116.133325671099 -446.638210182202</t>
  </si>
  <si>
    <t>-981.175201750983 116.20316063008 -571.220545077575</t>
  </si>
  <si>
    <t>-946.299310738404 113.642530198422 -646.600516698555</t>
  </si>
  <si>
    <t>-980.365044672708 143.866249170542 -516.380860454371</t>
  </si>
  <si>
    <t>-968.938899130017 279.865886941291 -499.934779840507</t>
  </si>
  <si>
    <t>-955.38066936745 300.077271433389 -206.679204143352</t>
  </si>
  <si>
    <t>-721.766037511827 328.439782294961 -258.356844202207</t>
  </si>
  <si>
    <t>-982.190328292952 88.4784020538245 -516.415353624913</t>
  </si>
  <si>
    <t>-929.200875767744 224.671912244737 -65.6884869712426</t>
  </si>
  <si>
    <t>-930.805800209837 252.220428198005 336.919410834592</t>
  </si>
  <si>
    <t>-957.419565431107 267.128561557467 783.616635934599</t>
  </si>
  <si>
    <t>-820.245149250969 317.766385739131 844.496366129637</t>
  </si>
  <si>
    <t>-897.816437194783 36.8634076981107 -61.5492140257611</t>
  </si>
  <si>
    <t>-847.829949288485 21.0477926341346 338.583136863117</t>
  </si>
  <si>
    <t>-887.547551745836 22.8622123210466 784.855473575883</t>
  </si>
  <si>
    <t>-792.309960267867 -81.0172444232892 857.147498222758</t>
  </si>
  <si>
    <t>9763-20170724T111202.315354400.bin</t>
  </si>
  <si>
    <t>-913.424361687087 131.079901477729 -62.5800655873898</t>
  </si>
  <si>
    <t>-950.074047624195 121.958894499454 -172.078231599443</t>
  </si>
  <si>
    <t>-967.011374637738 118.473530413331 -269.174220647203</t>
  </si>
  <si>
    <t>-976.918572968593 116.633598807741 -357.699360589953</t>
  </si>
  <si>
    <t>-980.989802104193 115.898463809025 -446.70012313354</t>
  </si>
  <si>
    <t>-980.505688573919 115.810368798388 -571.281634720419</t>
  </si>
  <si>
    <t>-945.549531704712 113.222498309841 -646.623548438125</t>
  </si>
  <si>
    <t>-979.867705533525 143.545113475834 -516.475803715701</t>
  </si>
  <si>
    <t>-968.832518854314 279.594378207627 -500.141409591738</t>
  </si>
  <si>
    <t>-955.74545013949 300.001751432571 -206.877942493434</t>
  </si>
  <si>
    <t>-722.215885049339 329.825271793178 -258.117268203423</t>
  </si>
  <si>
    <t>-981.569467233983 88.1530686686615 -516.443156776388</t>
  </si>
  <si>
    <t>-929.612935811777 224.855981730955 -65.7138313788935</t>
  </si>
  <si>
    <t>-931.139121538125 252.57752052717 336.88257052932</t>
  </si>
  <si>
    <t>-957.608078306073 267.349420774478 783.634425109721</t>
  </si>
  <si>
    <t>-820.357062300914 317.764060244275 844.526940275698</t>
  </si>
  <si>
    <t>-897.660324889056 37.1601138788624 -61.5157277502157</t>
  </si>
  <si>
    <t>-847.755197578371 21.1821934249028 338.620312692177</t>
  </si>
  <si>
    <t>-887.42955269237 22.8913186508203 784.869562653999</t>
  </si>
  <si>
    <t>-792.181172864326 -80.9817333392371 857.156653544229</t>
  </si>
  <si>
    <t>9763-20170724T111202.398470900.bin</t>
  </si>
  <si>
    <t>-913.316830942554 131.179362860038 -62.5751936546484</t>
  </si>
  <si>
    <t>-949.907163807814 121.94801514569 -172.083919525503</t>
  </si>
  <si>
    <t>-966.741553904197 118.347302234447 -269.193640727888</t>
  </si>
  <si>
    <t>-976.535842348306 116.392365985736 -357.728837729518</t>
  </si>
  <si>
    <t>-980.473546183488 115.530639700229 -446.73447449678</t>
  </si>
  <si>
    <t>-979.781756546626 115.252593565902 -571.314818059673</t>
  </si>
  <si>
    <t>-944.739858469868 112.580016947258 -646.613796888145</t>
  </si>
  <si>
    <t>-979.261422771242 143.071560587172 -516.550306462701</t>
  </si>
  <si>
    <t>-968.499792066969 279.15440587066 -500.306628854042</t>
  </si>
  <si>
    <t>-955.735627369837 299.629046614274 -207.033520837947</t>
  </si>
  <si>
    <t>-722.373432338819 330.963455848441 -258.133073091088</t>
  </si>
  <si>
    <t>-980.911313234513 87.6782617327863 -516.435991687295</t>
  </si>
  <si>
    <t>-929.671027704377 224.887695167594 -65.7329188621288</t>
  </si>
  <si>
    <t>-931.140226979978 252.760635749394 336.853275044151</t>
  </si>
  <si>
    <t>-957.64841970782 267.305416350887 783.638474429296</t>
  </si>
  <si>
    <t>-820.506449858624 318.058695216108 844.495023628541</t>
  </si>
  <si>
    <t>-897.401488208356 37.3408545759085 -61.4704152863327</t>
  </si>
  <si>
    <t>-847.602319525414 21.2064620405035 338.672536535583</t>
  </si>
  <si>
    <t>-887.330722596601 22.8885117224531 784.890255133595</t>
  </si>
  <si>
    <t>-792.023513686216 -80.93774909596 857.167109334129</t>
  </si>
  <si>
    <t>9763-20170724T111202.416518500.bin</t>
  </si>
  <si>
    <t>-913.287946279031 131.368857757428 -62.5774689626049</t>
  </si>
  <si>
    <t>-949.855436422299 122.122440132764 -172.092428730067</t>
  </si>
  <si>
    <t>-966.646485777115 118.478256913236 -269.208101311422</t>
  </si>
  <si>
    <t>-976.391602081935 116.471342307363 -357.74765740021</t>
  </si>
  <si>
    <t>-980.271993310292 115.544879865661 -446.755060452398</t>
  </si>
  <si>
    <t>-979.49210827812 115.162808558046 -571.334476628927</t>
  </si>
  <si>
    <t>-944.406222330994 112.434228943949 -646.611266193899</t>
  </si>
  <si>
    <t>-979.012142905218 143.027580198306 -516.593009253051</t>
  </si>
  <si>
    <t>-968.366574016341 279.123483998991 -500.380294393406</t>
  </si>
  <si>
    <t>-955.723367521159 299.665064811619 -207.106671032465</t>
  </si>
  <si>
    <t>-722.426449600636 331.561746091001 -258.15560061295</t>
  </si>
  <si>
    <t>-980.658351028428 87.6343180099393 -516.433494832864</t>
  </si>
  <si>
    <t>-929.696017809525 225.161204436034 -65.7472142006237</t>
  </si>
  <si>
    <t>-931.189912716753 252.952068594175 336.844534284109</t>
  </si>
  <si>
    <t>-957.802601146351 267.441304827073 783.643935100584</t>
  </si>
  <si>
    <t>-820.549353823204 317.922749714239 844.475701204401</t>
  </si>
  <si>
    <t>-897.318677839686 37.5078226935575 -61.4513603586696</t>
  </si>
  <si>
    <t>-847.517710787404 21.2576448802465 338.686718875186</t>
  </si>
  <si>
    <t>-887.289869679515 22.8671901099642 784.890867767204</t>
  </si>
  <si>
    <t>-791.959737023572 -80.9366152405275 857.169706022561</t>
  </si>
  <si>
    <t>9763-20170724T111202.482698100.bin</t>
  </si>
  <si>
    <t>-913.214069385393 131.580879331872 -62.5938400899412</t>
  </si>
  <si>
    <t>-949.767159149765 122.330210687287 -172.113414515527</t>
  </si>
  <si>
    <t>-966.519538976021 118.652117827442 -269.234375562126</t>
  </si>
  <si>
    <t>-976.22094703143 116.602248023582 -357.777709185636</t>
  </si>
  <si>
    <t>-980.04849162399 115.620446587924 -446.786951876102</t>
  </si>
  <si>
    <t>-979.185803026651 115.147757124395 -571.365460870303</t>
  </si>
  <si>
    <t>-944.061436006772 112.370165049108 -646.622116484678</t>
  </si>
  <si>
    <t>-978.738598455809 143.052390288564 -516.643981749742</t>
  </si>
  <si>
    <t>-968.184418514886 279.15901162592 -500.458758281156</t>
  </si>
  <si>
    <t>-955.710940489183 299.813056842726 -207.185859488173</t>
  </si>
  <si>
    <t>-722.389583495936 331.883047507434 -258.014571837444</t>
  </si>
  <si>
    <t>-980.392368228256 87.6591279286126 -516.445227312914</t>
  </si>
  <si>
    <t>-929.612132090032 225.396028028854 -65.7597266434583</t>
  </si>
  <si>
    <t>-931.172932011221 253.097459840267 336.837886901645</t>
  </si>
  <si>
    <t>-957.856757494203 267.444952371468 783.635658467311</t>
  </si>
  <si>
    <t>-820.598418790153 317.944068640756 844.441470314123</t>
  </si>
  <si>
    <t>-897.231309200959 37.6710783847029 -61.4392773152182</t>
  </si>
  <si>
    <t>-847.364661598001 21.3738795804525 338.688674448363</t>
  </si>
  <si>
    <t>-887.218966729029 22.8952819821716 784.886520827992</t>
  </si>
  <si>
    <t>-792.086469134489 -81.0787685719436 857.180846251458</t>
  </si>
  <si>
    <t>9763-20170724T111202.514784500.bin</t>
  </si>
  <si>
    <t>-913.243726228886 131.739239582286 -62.6175016167444</t>
  </si>
  <si>
    <t>-949.731867975757 122.482060037112 -172.158063530554</t>
  </si>
  <si>
    <t>-966.370622906483 118.750283994105 -269.296590489004</t>
  </si>
  <si>
    <t>-975.946792869799 116.630891554539 -357.851888808956</t>
  </si>
  <si>
    <t>-979.627606126026 115.556529698439 -446.866198312733</t>
  </si>
  <si>
    <t>-978.538422229492 114.929611846524 -571.442380957365</t>
  </si>
  <si>
    <t>-943.337221633965 112.092843448455 -646.661056550693</t>
  </si>
  <si>
    <t>-978.168363747711 142.901181336181 -516.754539673749</t>
  </si>
  <si>
    <t>-967.701629069887 279.019530493841 -500.599413684769</t>
  </si>
  <si>
    <t>-955.848281206152 299.931636598139 -207.319087618316</t>
  </si>
  <si>
    <t>-722.378616720439 331.894231131226 -257.530291040873</t>
  </si>
  <si>
    <t>-979.86721929894 87.5096496450005 -516.490595693775</t>
  </si>
  <si>
    <t>-929.667055727798 225.645851616113 -65.8141837668459</t>
  </si>
  <si>
    <t>-931.134577344862 253.188430409339 336.794800297575</t>
  </si>
  <si>
    <t>-957.882702611155 267.406319296188 783.575249235691</t>
  </si>
  <si>
    <t>-820.743655441027 318.235110245208 844.374583079855</t>
  </si>
  <si>
    <t>-897.240489335712 37.7155076338463 -61.4275175856857</t>
  </si>
  <si>
    <t>-847.194144237508 21.3818499188696 338.676534699107</t>
  </si>
  <si>
    <t>-887.194189313538 22.7821904290117 784.870432318486</t>
  </si>
  <si>
    <t>-791.848535471264 -80.9931376174291 857.169367007181</t>
  </si>
  <si>
    <t>9763-20170724T111202.581965100.bin</t>
  </si>
  <si>
    <t>-913.39948809158 131.864269026677 -62.6726584816341</t>
  </si>
  <si>
    <t>-949.809868098683 122.572140546628 -172.236099562043</t>
  </si>
  <si>
    <t>-966.345132404147 118.797788134049 -269.390643283732</t>
  </si>
  <si>
    <t>-975.812359300067 116.632117810705 -357.956560374486</t>
  </si>
  <si>
    <t>-979.369761043532 115.501880453141 -446.975162130797</t>
  </si>
  <si>
    <t>-978.092863607272 114.784814975576 -571.549105466634</t>
  </si>
  <si>
    <t>-942.840627420993 111.949923081887 -646.744074317308</t>
  </si>
  <si>
    <t>-977.793420264951 142.795581893925 -516.880768770105</t>
  </si>
  <si>
    <t>-967.488542260202 278.913576871418 -500.651679193898</t>
  </si>
  <si>
    <t>-956.117009749606 299.527621159845 -207.331235227828</t>
  </si>
  <si>
    <t>-722.576947889928 331.755124890905 -257.042725361838</t>
  </si>
  <si>
    <t>-979.516004606802 87.4050966462669 -516.579733389203</t>
  </si>
  <si>
    <t>-929.87348625994 225.76171847865 -65.9198232718605</t>
  </si>
  <si>
    <t>-931.253475977593 253.270439261288 336.691632734471</t>
  </si>
  <si>
    <t>-957.866814457402 267.440640018339 783.445237641028</t>
  </si>
  <si>
    <t>-820.740789550804 318.174610121148 844.353803090399</t>
  </si>
  <si>
    <t>-897.309620387621 37.8341514294093 -61.4487080385048</t>
  </si>
  <si>
    <t>-847.086070782038 21.4781693007039 338.632225364294</t>
  </si>
  <si>
    <t>-887.106390839402 22.7876183539629 784.843673860009</t>
  </si>
  <si>
    <t>-791.839505897701 -81.0491872000307 857.158411668348</t>
  </si>
  <si>
    <t>9763-20170724T111202.615054000.bin</t>
  </si>
  <si>
    <t>-913.46290674258 131.855713532201 -62.7245431435474</t>
  </si>
  <si>
    <t>-949.852329388785 122.526428984456 -172.292024714526</t>
  </si>
  <si>
    <t>-966.362922287012 118.739721331881 -269.450183426625</t>
  </si>
  <si>
    <t>-975.804958110621 116.56903568073 -358.01869103802</t>
  </si>
  <si>
    <t>-979.333312465847 115.439948832277 -447.038335868488</t>
  </si>
  <si>
    <t>-978.012456419313 114.730330537564 -571.611919949498</t>
  </si>
  <si>
    <t>-942.757351268424 111.931600442153 -646.806894388836</t>
  </si>
  <si>
    <t>-977.739050606894 142.737947056195 -516.941985623185</t>
  </si>
  <si>
    <t>-967.545822488872 278.85780601 -500.619114894185</t>
  </si>
  <si>
    <t>-956.231528743291 299.208609049013 -207.277904267691</t>
  </si>
  <si>
    <t>-722.718459834328 331.718398249922 -256.933640926429</t>
  </si>
  <si>
    <t>-979.448780889581 87.3470727384902 -516.644566607024</t>
  </si>
  <si>
    <t>-929.937911323244 225.768400251724 -65.9965420648873</t>
  </si>
  <si>
    <t>-931.338979739925 253.340436566086 336.610500467519</t>
  </si>
  <si>
    <t>-957.907826339937 267.606088481983 783.34503953541</t>
  </si>
  <si>
    <t>-820.737777966333 318.132332378978 844.326922282915</t>
  </si>
  <si>
    <t>-897.368885421115 37.8310005686467 -61.4724626576738</t>
  </si>
  <si>
    <t>-847.09349503691 21.496982898313 338.602885298358</t>
  </si>
  <si>
    <t>-887.105348167943 22.7254733710802 784.832264410234</t>
  </si>
  <si>
    <t>-791.658214403058 -80.9490153961474 857.142046702683</t>
  </si>
  <si>
    <t>9763-20170724T111202.686785500.bin</t>
  </si>
  <si>
    <t>-913.598535583224 131.836984025552 -62.8294930221397</t>
  </si>
  <si>
    <t>-949.965905798345 122.459050195471 -172.400039686496</t>
  </si>
  <si>
    <t>-966.463167510329 118.691311807922 -269.561204384537</t>
  </si>
  <si>
    <t>-975.893177262004 116.560729030317 -358.131966484325</t>
  </si>
  <si>
    <t>-979.408679699583 115.494512422778 -447.152984287997</t>
  </si>
  <si>
    <t>-978.067938159516 114.895814593403 -571.726916501487</t>
  </si>
  <si>
    <t>-942.833411147861 112.275013080688 -646.937733634463</t>
  </si>
  <si>
    <t>-977.834322116885 142.855774530301 -517.032313630088</t>
  </si>
  <si>
    <t>-967.900717001921 278.965490144582 -500.479097692513</t>
  </si>
  <si>
    <t>-956.442274559891 298.845319813974 -207.111388770368</t>
  </si>
  <si>
    <t>-723.192814400923 332.334258532145 -257.352770040096</t>
  </si>
  <si>
    <t>-979.481783526369 87.4627841726774 -516.783814169264</t>
  </si>
  <si>
    <t>-930.193666507454 225.753074997399 -66.1146050801999</t>
  </si>
  <si>
    <t>-931.521137076433 253.322025810246 336.492934523396</t>
  </si>
  <si>
    <t>-957.881963345189 267.699154345177 783.235970992275</t>
  </si>
  <si>
    <t>-820.774007239822 318.284616206522 844.308503089361</t>
  </si>
  <si>
    <t>-897.406317998265 37.8316156903206 -61.5610950201552</t>
  </si>
  <si>
    <t>-847.098827254779 21.6830080848604 338.51770749778</t>
  </si>
  <si>
    <t>-886.974225373361 22.8037017899501 784.79734289845</t>
  </si>
  <si>
    <t>-791.761319544321 -81.0722598286379 857.127270689908</t>
  </si>
  <si>
    <t>9763-20170724T111202.713855600.bin</t>
  </si>
  <si>
    <t>-913.802925422709 131.813349075415 -62.8522583528065</t>
  </si>
  <si>
    <t>-950.147748809621 122.427357852407 -172.429444127833</t>
  </si>
  <si>
    <t>-966.63644019876 118.684840565253 -269.593112351902</t>
  </si>
  <si>
    <t>-976.061550560537 116.589076058325 -358.165262182721</t>
  </si>
  <si>
    <t>-979.575059502869 115.570134889378 -447.186892835922</t>
  </si>
  <si>
    <t>-978.234464796736 115.051327021199 -571.761181853655</t>
  </si>
  <si>
    <t>-943.026180676699 112.549360261774 -646.988400390017</t>
  </si>
  <si>
    <t>-978.020894149108 142.976823566169 -517.048909306162</t>
  </si>
  <si>
    <t>-968.230912872869 279.078570968994 -500.36609985452</t>
  </si>
  <si>
    <t>-956.670942181937 298.754759431636 -206.988536750176</t>
  </si>
  <si>
    <t>-723.613368201344 332.847092575151 -257.711395220326</t>
  </si>
  <si>
    <t>-979.627902022674 87.5824203233301 -516.835388719146</t>
  </si>
  <si>
    <t>-930.548888232317 225.767213078642 -66.1357100796413</t>
  </si>
  <si>
    <t>-931.745060505059 253.28280928948 336.475875009242</t>
  </si>
  <si>
    <t>-957.940141228485 267.814660241672 783.229082696462</t>
  </si>
  <si>
    <t>-820.809263940652 318.299817393864 844.332681461876</t>
  </si>
  <si>
    <t>-897.538885834996 37.7649748129902 -61.591062634489</t>
  </si>
  <si>
    <t>-847.186044343655 21.7026312667049 338.48551549406</t>
  </si>
  <si>
    <t>-886.965323339072 22.7562519955582 784.786292803043</t>
  </si>
  <si>
    <t>-791.698733386778 -81.0710370195991 857.115626883033</t>
  </si>
  <si>
    <t>9763-20170724T111202.782105000.bin</t>
  </si>
  <si>
    <t>-914.365278041974 131.626561640167 -62.8519959734997</t>
  </si>
  <si>
    <t>-950.720245121245 122.241172953832 -172.425909664223</t>
  </si>
  <si>
    <t>-967.211029920731 118.581982637942 -269.592394202504</t>
  </si>
  <si>
    <t>-976.632854632477 116.593926154064 -358.16728823233</t>
  </si>
  <si>
    <t>-980.136570130353 115.715695351739 -447.190863425563</t>
  </si>
  <si>
    <t>-978.773556951575 115.426828454265 -571.765684470572</t>
  </si>
  <si>
    <t>-943.636795659825 113.213593410013 -647.035450740182</t>
  </si>
  <si>
    <t>-978.61909805619 143.252460499337 -517.002357477919</t>
  </si>
  <si>
    <t>-969.13420973492 279.337048073172 -500.009002392952</t>
  </si>
  <si>
    <t>-957.326677388537 298.506932572119 -206.607814181372</t>
  </si>
  <si>
    <t>-724.608780894064 333.700674878282 -258.131804880756</t>
  </si>
  <si>
    <t>-980.127818668475 87.855209594446 -516.890435425335</t>
  </si>
  <si>
    <t>-931.297077821683 225.535236411561 -66.0952896486791</t>
  </si>
  <si>
    <t>-932.373300496038 253.095109763713 336.513650096427</t>
  </si>
  <si>
    <t>-957.955125392012 267.853679240529 783.290332316771</t>
  </si>
  <si>
    <t>-820.850005610982 318.363773393781 844.431264237152</t>
  </si>
  <si>
    <t>-897.894337841878 37.5828547491947 -61.6365086997899</t>
  </si>
  <si>
    <t>-847.498418336641 21.6789948015162 338.440926481379</t>
  </si>
  <si>
    <t>-886.94265357107 22.6906399381114 784.771180667872</t>
  </si>
  <si>
    <t>-791.565525129087 -81.0400289538347 857.093354281393</t>
  </si>
  <si>
    <t>9763-20170724T111202.816197800.bin</t>
  </si>
  <si>
    <t>-914.655042313322 131.445893132184 -62.8370327415537</t>
  </si>
  <si>
    <t>-951.045727997408 122.052724042679 -172.398451004078</t>
  </si>
  <si>
    <t>-967.539972676924 118.435449730609 -269.565837907626</t>
  </si>
  <si>
    <t>-976.952330853955 116.503699821242 -358.143048195015</t>
  </si>
  <si>
    <t>-980.43248833781 115.699790090965 -447.16828345553</t>
  </si>
  <si>
    <t>-979.021966366558 115.532755610632 -571.742729345758</t>
  </si>
  <si>
    <t>-943.905230510757 113.470218165568 -647.025982317272</t>
  </si>
  <si>
    <t>-978.913612625707 143.305770888604 -516.952559326391</t>
  </si>
  <si>
    <t>-969.569924104335 279.381111903999 -499.796430946782</t>
  </si>
  <si>
    <t>-957.728472065306 298.237469676248 -206.376189435425</t>
  </si>
  <si>
    <t>-725.167004518301 333.85759047314 -258.311130949829</t>
  </si>
  <si>
    <t>-980.371987216494 87.9067004636049 -516.894767787186</t>
  </si>
  <si>
    <t>-931.671756150693 225.349894989346 -66.0426679651176</t>
  </si>
  <si>
    <t>-932.599682507681 253.015674026614 336.559420906813</t>
  </si>
  <si>
    <t>-957.981831903234 267.87349605227 783.351933406411</t>
  </si>
  <si>
    <t>-820.881470446849 318.39105511153 844.497276517561</t>
  </si>
  <si>
    <t>-898.073030930465 37.3867559223409 -61.6537624543396</t>
  </si>
  <si>
    <t>-847.686748671305 21.6471481334588 338.431423657191</t>
  </si>
  <si>
    <t>-886.94137542835 22.6419189034013 784.771149400595</t>
  </si>
  <si>
    <t>-791.469487687443 -81.0055090482997 857.087334525417</t>
  </si>
  <si>
    <t>9763-20170724T111202.878836100.bin</t>
  </si>
  <si>
    <t>-915.181319491295 131.08594542697 -62.7666040662365</t>
  </si>
  <si>
    <t>-951.666336040181 121.724615086883 -172.299356660735</t>
  </si>
  <si>
    <t>-968.198505579325 118.226123629443 -269.464774873448</t>
  </si>
  <si>
    <t>-977.624400500021 116.43728083721 -358.043412476149</t>
  </si>
  <si>
    <t>-981.096146161034 115.81189336914 -447.07048962186</t>
  </si>
  <si>
    <t>-979.648822260646 115.932554272627 -571.644447697675</t>
  </si>
  <si>
    <t>-944.553762209238 114.175492986347 -646.945641275893</t>
  </si>
  <si>
    <t>-979.609840386666 143.580062810161 -516.790998069096</t>
  </si>
  <si>
    <t>-970.539755728754 279.624352351787 -499.279633846225</t>
  </si>
  <si>
    <t>-958.784129504538 297.771682660847 -205.811349321992</t>
  </si>
  <si>
    <t>-726.574771721867 334.150603686741 -258.785186390485</t>
  </si>
  <si>
    <t>-980.961613443714 88.1787029616553 -516.860156351009</t>
  </si>
  <si>
    <t>-932.381209367765 225.030663147574 -65.8871705136302</t>
  </si>
  <si>
    <t>-932.870139852717 252.885879528341 336.702651585052</t>
  </si>
  <si>
    <t>-958.103913729177 267.942850047511 783.514364937714</t>
  </si>
  <si>
    <t>-820.950913025283 318.329277123994 844.649865529828</t>
  </si>
  <si>
    <t>-898.390132596807 37.0068523041477 -61.6723225510711</t>
  </si>
  <si>
    <t>-847.953513576625 21.6268145518993 338.420470674275</t>
  </si>
  <si>
    <t>-886.846208096144 22.6996851312106 784.77278251024</t>
  </si>
  <si>
    <t>-791.441008284294 -81.0086313149643 857.089475862156</t>
  </si>
  <si>
    <t>9763-20170724T111202.917939600.bin</t>
  </si>
  <si>
    <t>-915.403286599014 130.878824182051 -62.7295387395106</t>
  </si>
  <si>
    <t>-951.941749006707 121.529987504101 -172.245639428024</t>
  </si>
  <si>
    <t>-968.507926568158 118.095454961869 -269.407398716058</t>
  </si>
  <si>
    <t>-977.958233585334 116.386479186165 -357.985178131017</t>
  </si>
  <si>
    <t>-981.447251348909 115.863549626455 -447.012075890365</t>
  </si>
  <si>
    <t>-980.015503277263 116.15054875998 -571.586129318538</t>
  </si>
  <si>
    <t>-944.920923109319 114.54498140245 -646.891004429169</t>
  </si>
  <si>
    <t>-979.997748875149 143.725832603071 -516.695964061022</t>
  </si>
  <si>
    <t>-971.076227843445 279.762580036632 -499.00438329916</t>
  </si>
  <si>
    <t>-959.373278344399 297.513353081375 -205.509793362512</t>
  </si>
  <si>
    <t>-727.33818862221 334.378642797542 -258.909961954145</t>
  </si>
  <si>
    <t>-981.293383708928 88.3230165074051 -516.838524379276</t>
  </si>
  <si>
    <t>-932.679302717647 224.815510699347 -65.796116273056</t>
  </si>
  <si>
    <t>-932.988394346193 252.783062975196 336.785962345886</t>
  </si>
  <si>
    <t>-958.168202623498 267.99701283989 783.583153115233</t>
  </si>
  <si>
    <t>-821.040271812172 318.45194601685 844.719019956664</t>
  </si>
  <si>
    <t>-898.543399076717 36.8250570366054 -61.6762133072278</t>
  </si>
  <si>
    <t>-848.076286950317 21.5732166696657 338.417699713117</t>
  </si>
  <si>
    <t>-886.821920544195 22.6989322972458 784.774632570526</t>
  </si>
  <si>
    <t>-791.514743580065 -81.0974078854838 857.094656767259</t>
  </si>
  <si>
    <t>9763-20170724T111202.980110200.bin</t>
  </si>
  <si>
    <t>-915.945190014978 130.431829364587 -62.6764767429139</t>
  </si>
  <si>
    <t>-952.578633464336 121.095319947073 -172.161824371091</t>
  </si>
  <si>
    <t>-969.203262401684 117.776796816094 -269.317775486129</t>
  </si>
  <si>
    <t>-978.694075832925 116.214953405627 -357.893821534913</t>
  </si>
  <si>
    <t>-982.208784344941 115.882434951268 -446.920682334743</t>
  </si>
  <si>
    <t>-980.796265077033 116.480963942522 -571.493727216068</t>
  </si>
  <si>
    <t>-945.700740286607 115.154826971393 -646.80350194727</t>
  </si>
  <si>
    <t>-980.825232936284 143.91992920335 -516.535311689615</t>
  </si>
  <si>
    <t>-972.187528984621 279.925355522091 -498.477135322571</t>
  </si>
  <si>
    <t>-960.578137683334 297.039350976945 -204.940883209455</t>
  </si>
  <si>
    <t>-728.933479232056 334.838004516764 -259.372484390433</t>
  </si>
  <si>
    <t>-982.010388475796 88.5152549142581 -516.815231072172</t>
  </si>
  <si>
    <t>-933.345765067594 224.332631660743 -65.6889534022732</t>
  </si>
  <si>
    <t>-933.295432145558 252.484464628088 336.880465856437</t>
  </si>
  <si>
    <t>-958.140928589722 267.945551113631 783.67382462678</t>
  </si>
  <si>
    <t>-821.11715605524 318.655843157256 844.832155735655</t>
  </si>
  <si>
    <t>-898.96248058397 36.3890083260758 -61.6844022886854</t>
  </si>
  <si>
    <t>-848.43619487415 21.3950906729347 338.411715268364</t>
  </si>
  <si>
    <t>-886.854614559973 22.5755287144566 784.796824527473</t>
  </si>
  <si>
    <t>-791.368535683151 -81.0663639990078 857.10214788851</t>
  </si>
  <si>
    <t>9763-20170724T111203.017208400.bin</t>
  </si>
  <si>
    <t>-916.198518435609 130.225219783612 -62.6617868475929</t>
  </si>
  <si>
    <t>-952.877340183758 120.88907359388 -172.13205669474</t>
  </si>
  <si>
    <t>-969.529066946073 117.620310845097 -269.284976813976</t>
  </si>
  <si>
    <t>-979.038225631324 116.12288470292 -357.86024386543</t>
  </si>
  <si>
    <t>-982.563710917336 115.874265975472 -446.886943557967</t>
  </si>
  <si>
    <t>-981.15874656971 116.610997528117 -571.459310664893</t>
  </si>
  <si>
    <t>-946.066490378272 115.418337092312 -646.773084907704</t>
  </si>
  <si>
    <t>-981.207506377187 143.989432229344 -516.470990751286</t>
  </si>
  <si>
    <t>-972.692980553406 279.979594405961 -498.243559582918</t>
  </si>
  <si>
    <t>-961.11730481038 296.843839406972 -204.691479724472</t>
  </si>
  <si>
    <t>-729.6399484607 335.146777000684 -259.480694291694</t>
  </si>
  <si>
    <t>-982.34634271945 88.5840180044561 -516.811401896463</t>
  </si>
  <si>
    <t>-933.643108254035 224.105373308322 -65.6509619183333</t>
  </si>
  <si>
    <t>-933.505384008042 252.378163855804 336.909946116145</t>
  </si>
  <si>
    <t>-958.092721603148 267.894530024579 783.704801522998</t>
  </si>
  <si>
    <t>-821.060951904752 318.561084860638 844.880822003425</t>
  </si>
  <si>
    <t>-899.157035014509 36.184915615117 -61.6968746820833</t>
  </si>
  <si>
    <t>-848.606386316102 21.3774315581904 338.403187175429</t>
  </si>
  <si>
    <t>-886.831837591562 22.571298251969 784.800629712606</t>
  </si>
  <si>
    <t>-791.392106983604 -81.1123666742669 857.107158629213</t>
  </si>
  <si>
    <t>9763-20170724T111203.083843900.bin</t>
  </si>
  <si>
    <t>-916.679869516745 129.761037092081 -62.6189126962134</t>
  </si>
  <si>
    <t>-953.459032438409 120.4243332262 -172.055422923279</t>
  </si>
  <si>
    <t>-970.155141705998 117.245617420387 -269.203614481218</t>
  </si>
  <si>
    <t>-979.684228012154 115.86588143028 -357.778736846247</t>
  </si>
  <si>
    <t>-983.207899168676 115.770956506209 -446.805708679873</t>
  </si>
  <si>
    <t>-981.775503087128 116.760026513179 -571.376153051653</t>
  </si>
  <si>
    <t>-946.70100274868 115.819005669068 -646.701558996033</t>
  </si>
  <si>
    <t>-981.87866147061 144.02793486244 -516.332773306542</t>
  </si>
  <si>
    <t>-973.598488929964 279.993141989284 -497.814916474883</t>
  </si>
  <si>
    <t>-962.205622707137 296.381629143543 -204.228584407129</t>
  </si>
  <si>
    <t>-730.918532977408 335.435706209722 -259.290955237686</t>
  </si>
  <si>
    <t>-982.933325441989 88.6217653639997 -516.78497061756</t>
  </si>
  <si>
    <t>-934.190936571363 223.642789759173 -65.5662172307588</t>
  </si>
  <si>
    <t>-933.890339812092 252.234353371524 336.972115185172</t>
  </si>
  <si>
    <t>-958.232958337561 268.092421281892 783.782921631654</t>
  </si>
  <si>
    <t>-821.191832127883 318.704495580934 844.983436399282</t>
  </si>
  <si>
    <t>-899.575667759334 35.7156684104025 -61.7102557727785</t>
  </si>
  <si>
    <t>-848.927184691825 21.278464770186 338.390910257028</t>
  </si>
  <si>
    <t>-886.819983018335 22.522551650165 784.823970829243</t>
  </si>
  <si>
    <t>-791.298656004144 -81.0962073148837 857.115646214845</t>
  </si>
  <si>
    <t>9763-20170724T111203.116931400.bin</t>
  </si>
  <si>
    <t>-916.961875955678 129.597270128763 -62.5908266751494</t>
  </si>
  <si>
    <t>-953.792218900306 120.266212071392 -172.010596998945</t>
  </si>
  <si>
    <t>-970.509267026916 117.135389053948 -269.156904627797</t>
  </si>
  <si>
    <t>-980.046065172519 115.816176043969 -357.732013209817</t>
  </si>
  <si>
    <t>-983.566332747004 115.799809454693 -446.759311218918</t>
  </si>
  <si>
    <t>-982.11645080448 116.917019744748 -571.32836316808</t>
  </si>
  <si>
    <t>-947.057627274897 116.092410517989 -646.662416610371</t>
  </si>
  <si>
    <t>-982.251804760307 144.128751154836 -516.257317708273</t>
  </si>
  <si>
    <t>-974.097665055664 280.079316485813 -497.584416713156</t>
  </si>
  <si>
    <t>-962.878707594951 296.183732850853 -203.975909461446</t>
  </si>
  <si>
    <t>-731.652276706766 335.548907362039 -259.071979143908</t>
  </si>
  <si>
    <t>-983.257297748776 88.7220409379361 -516.765957134298</t>
  </si>
  <si>
    <t>-934.560006825772 223.534364808407 -65.5165855665172</t>
  </si>
  <si>
    <t>-934.140083030434 252.254753652931 337.012477460784</t>
  </si>
  <si>
    <t>-958.389387718897 268.305521142383 783.829774627551</t>
  </si>
  <si>
    <t>-821.186761621845 318.453056351562 845.049760628815</t>
  </si>
  <si>
    <t>-899.826634243733 35.5659103272924 -61.6991133594389</t>
  </si>
  <si>
    <t>-849.07802143495 21.2444785542334 338.393528381864</t>
  </si>
  <si>
    <t>-886.791917716181 22.5350159544032 784.833529454783</t>
  </si>
  <si>
    <t>-791.35792776939 -81.162784958045 857.127645215724</t>
  </si>
  <si>
    <t>9763-20170724T111203.178097100.bin</t>
  </si>
  <si>
    <t>-917.491100236507 129.247699612669 -62.5371649884329</t>
  </si>
  <si>
    <t>-954.398592847689 119.922398336995 -171.931409989636</t>
  </si>
  <si>
    <t>-971.146004791921 116.852830735662 -269.074486576451</t>
  </si>
  <si>
    <t>-980.693455427998 115.611370238162 -357.649410508058</t>
  </si>
  <si>
    <t>-984.207175037285 115.695219364509 -446.676940182622</t>
  </si>
  <si>
    <t>-982.728669190214 116.975805035629 -571.244138530179</t>
  </si>
  <si>
    <t>-947.702654194039 116.325023195236 -646.595217722823</t>
  </si>
  <si>
    <t>-982.907849983534 144.115660998407 -516.137917731533</t>
  </si>
  <si>
    <t>-974.936833438288 280.043460932333 -497.213822069424</t>
  </si>
  <si>
    <t>-964.403676350119 295.658984701429 -203.553532757438</t>
  </si>
  <si>
    <t>-733.174899813697 335.443446658876 -258.338094960822</t>
  </si>
  <si>
    <t>-983.850656348822 88.7087252677779 -516.718629701063</t>
  </si>
  <si>
    <t>-935.114404647246 223.123751094922 -65.4308640333155</t>
  </si>
  <si>
    <t>-934.453392680212 252.114278946824 337.078476112863</t>
  </si>
  <si>
    <t>-958.377060985128 268.306185410569 783.897321499632</t>
  </si>
  <si>
    <t>-821.278788066517 318.685170219904 845.161801231812</t>
  </si>
  <si>
    <t>-900.308434613522 35.2239945722213 -61.6826060061601</t>
  </si>
  <si>
    <t>-849.384788552137 21.167764128365 338.397262218997</t>
  </si>
  <si>
    <t>-886.76519778356 22.4945688871808 784.850719103759</t>
  </si>
  <si>
    <t>-791.287267334011 -81.1652088112653 857.141472067262</t>
  </si>
  <si>
    <t>9763-20170724T111203.217202000.bin</t>
  </si>
  <si>
    <t>-917.747905900251 129.113695636884 -62.5274249437786</t>
  </si>
  <si>
    <t>-954.693359406287 119.782455514824 -171.908285853962</t>
  </si>
  <si>
    <t>-971.469629803581 116.739664085032 -269.047097923229</t>
  </si>
  <si>
    <t>-981.040907515376 115.53435656097 -357.62011695302</t>
  </si>
  <si>
    <t>-984.574532858975 115.666949275472 -446.646797017603</t>
  </si>
  <si>
    <t>-983.1203516504 117.028367465772 -571.213408165782</t>
  </si>
  <si>
    <t>-948.11226755517 116.439482091645 -646.573435793999</t>
  </si>
  <si>
    <t>-983.287527541154 144.132679700017 -516.089511603999</t>
  </si>
  <si>
    <t>-975.308193901006 280.043937339725 -497.07782101813</t>
  </si>
  <si>
    <t>-965.334056236645 295.316680464376 -203.379977840155</t>
  </si>
  <si>
    <t>-734.03897260036 335.154563815029 -257.844258859496</t>
  </si>
  <si>
    <t>-984.232939944846 88.7261038133333 -516.706184738559</t>
  </si>
  <si>
    <t>-935.402686816488 222.958023208181 -65.4161340514471</t>
  </si>
  <si>
    <t>-934.589904404366 252.075391556424 337.083706772919</t>
  </si>
  <si>
    <t>-958.368913818658 268.315687518425 783.914910570546</t>
  </si>
  <si>
    <t>-821.28378970459 318.689784507993 845.212778536314</t>
  </si>
  <si>
    <t>-900.542220859518 35.1089920639861 -61.6799988803149</t>
  </si>
  <si>
    <t>-849.577605248085 21.1856439434969 338.39928688569</t>
  </si>
  <si>
    <t>-886.729651014611 22.5151658139789 784.861589399879</t>
  </si>
  <si>
    <t>-791.246245250209 -81.1424510666625 857.148014768573</t>
  </si>
  <si>
    <t>9763-20170724T111203.280941400.bin</t>
  </si>
  <si>
    <t>-918.239076206042 128.870874543401 -62.5065336994215</t>
  </si>
  <si>
    <t>-955.294374717419 119.553821666186 -171.851402506682</t>
  </si>
  <si>
    <t>-972.164704274464 116.587342843848 -268.976328396676</t>
  </si>
  <si>
    <t>-981.818205628936 115.478113633939 -357.54161112378</t>
  </si>
  <si>
    <t>-985.430336672332 115.733170914366 -446.564872199984</t>
  </si>
  <si>
    <t>-984.080981110542 117.293585458158 -571.130356978022</t>
  </si>
  <si>
    <t>-949.138587430482 116.77978318861 -646.521322722349</t>
  </si>
  <si>
    <t>-984.200534079228 144.30985595964 -515.962967418391</t>
  </si>
  <si>
    <t>-976.224458256846 280.195389236276 -496.723400233451</t>
  </si>
  <si>
    <t>-967.306516879755 294.674340677322 -202.951312105985</t>
  </si>
  <si>
    <t>-735.86044094734 334.543625832991 -256.748539752905</t>
  </si>
  <si>
    <t>-985.149196228343 88.9042236163727 -516.667398286039</t>
  </si>
  <si>
    <t>-935.906623012729 222.835407357097 -65.3939435942589</t>
  </si>
  <si>
    <t>-934.891841983414 252.126585533695 337.092885280828</t>
  </si>
  <si>
    <t>-958.521664250787 268.609201274497 783.918909245256</t>
  </si>
  <si>
    <t>-821.283015262228 318.439350130842 845.317547416263</t>
  </si>
  <si>
    <t>-901.034270344719 34.8372290615785 -61.6879993104997</t>
  </si>
  <si>
    <t>-849.948682125531 21.1959108106271 338.385611463742</t>
  </si>
  <si>
    <t>-886.697660219432 22.4924187585711 784.880911851634</t>
  </si>
  <si>
    <t>-791.142256910592 -81.1049455226664 857.158430848301</t>
  </si>
  <si>
    <t>9763-20170724T111203.314030300.bin</t>
  </si>
  <si>
    <t>-918.482528930827 128.761814432303 -62.5099040184025</t>
  </si>
  <si>
    <t>-955.588214445989 119.461216705552 -171.839240871003</t>
  </si>
  <si>
    <t>-972.497715240077 116.525890702893 -268.958304740112</t>
  </si>
  <si>
    <t>-982.185108719824 115.452373699249 -357.520342658269</t>
  </si>
  <si>
    <t>-985.828850345378 115.751826747187 -446.542116807071</t>
  </si>
  <si>
    <t>-984.520687632676 117.383940573858 -571.107057274354</t>
  </si>
  <si>
    <t>-949.620236890842 116.896561023691 -646.517606718892</t>
  </si>
  <si>
    <t>-984.632351297313 144.368446654201 -515.924261845623</t>
  </si>
  <si>
    <t>-976.70667799396 280.240627549154 -496.563114337324</t>
  </si>
  <si>
    <t>-968.229804402718 294.320581615571 -202.758542933981</t>
  </si>
  <si>
    <t>-736.741394547615 334.215883774368 -256.352742799575</t>
  </si>
  <si>
    <t>-985.560415964262 88.9629723529233 -516.660083769361</t>
  </si>
  <si>
    <t>-936.082975052515 222.743110737182 -65.3857115249755</t>
  </si>
  <si>
    <t>-934.974620587438 252.077714717148 337.0977039016</t>
  </si>
  <si>
    <t>-958.496059876155 268.638261035943 783.907584113697</t>
  </si>
  <si>
    <t>-821.338748725376 318.604562517143 845.376871078922</t>
  </si>
  <si>
    <t>-901.31767231505 34.6920936570768 -61.6920253742725</t>
  </si>
  <si>
    <t>-850.129292752007 21.139610289029 338.371426438779</t>
  </si>
  <si>
    <t>-886.756951674951 22.3667979478737 784.892167017108</t>
  </si>
  <si>
    <t>-790.987926778591 -81.0415482469168 857.157964196319</t>
  </si>
  <si>
    <t>9763-20170724T111203.381221200.bin</t>
  </si>
  <si>
    <t>-918.976130754654 128.667153384613 -62.5576061912092</t>
  </si>
  <si>
    <t>-956.123123476724 119.39403631631 -171.875113136248</t>
  </si>
  <si>
    <t>-973.066250750619 116.501552709462 -268.989527187298</t>
  </si>
  <si>
    <t>-982.782861804783 115.476396261573 -357.549036773302</t>
  </si>
  <si>
    <t>-986.454807041035 115.834753621794 -446.569430684806</t>
  </si>
  <si>
    <t>-985.184588289998 117.56120152403 -571.133515481418</t>
  </si>
  <si>
    <t>-950.379074892346 117.165283555792 -646.588553931093</t>
  </si>
  <si>
    <t>-985.31149419678 144.504456671536 -515.930608888638</t>
  </si>
  <si>
    <t>-977.545900873184 280.369401013365 -496.449940470163</t>
  </si>
  <si>
    <t>-969.765796865436 294.254424039069 -202.616874421124</t>
  </si>
  <si>
    <t>-738.163731490175 334.224010645602 -255.661179228424</t>
  </si>
  <si>
    <t>-986.175400164987 89.0984932144183 -516.707514343394</t>
  </si>
  <si>
    <t>-936.561504560384 222.697415256724 -65.3842472665702</t>
  </si>
  <si>
    <t>-935.284390477884 252.149343092041 337.090223875305</t>
  </si>
  <si>
    <t>-958.661137180122 269.01102249606 783.893431725802</t>
  </si>
  <si>
    <t>-821.408779930989 318.496506555372 845.540024083117</t>
  </si>
  <si>
    <t>-901.802392471732 34.5005165001667 -61.720505505847</t>
  </si>
  <si>
    <t>-850.423176393279 21.1785509456263 338.326129855838</t>
  </si>
  <si>
    <t>-886.769375171094 22.2846204867046 784.897974875995</t>
  </si>
  <si>
    <t>-791.014828740916 -81.1395879761155 857.159713046505</t>
  </si>
  <si>
    <t>9763-20170724T111203.413305500.bin</t>
  </si>
  <si>
    <t>-919.193374441735 128.581034536848 -62.5651403511883</t>
  </si>
  <si>
    <t>-956.307033880922 119.303582557061 -171.893602892825</t>
  </si>
  <si>
    <t>-973.245480227679 116.414045411054 -269.008985523621</t>
  </si>
  <si>
    <t>-982.967652558185 115.394484834883 -357.567948667782</t>
  </si>
  <si>
    <t>-986.655085366087 115.762244839185 -446.587664400961</t>
  </si>
  <si>
    <t>-985.41651475086 117.506171990458 -571.151925308428</t>
  </si>
  <si>
    <t>-950.663782397975 117.162521659181 -646.63144256347</t>
  </si>
  <si>
    <t>-985.542325003374 144.441939627111 -515.94520877911</t>
  </si>
  <si>
    <t>-977.851916204374 280.301432220005 -496.442353333638</t>
  </si>
  <si>
    <t>-970.306771203096 294.196573796293 -202.603645693074</t>
  </si>
  <si>
    <t>-738.679818132418 334.267235690246 -255.464228254342</t>
  </si>
  <si>
    <t>-986.380729669365 89.0355865361348 -516.729349220973</t>
  </si>
  <si>
    <t>-936.755182386222 222.622669052218 -65.3889116197378</t>
  </si>
  <si>
    <t>-935.381353909035 252.147833575442 337.079781306853</t>
  </si>
  <si>
    <t>-958.678279926572 269.107449784029 783.893433087336</t>
  </si>
  <si>
    <t>-821.431661848883 318.526359286958 845.605429328681</t>
  </si>
  <si>
    <t>-902.010295795209 34.3924000811376 -61.7357097168145</t>
  </si>
  <si>
    <t>-850.546893995367 21.23695805843 338.305690407576</t>
  </si>
  <si>
    <t>-886.71319679159 22.3406878640153 784.898568205728</t>
  </si>
  <si>
    <t>-790.949233500984 -81.0769109468692 857.157862982175</t>
  </si>
  <si>
    <t>9763-20170724T111203.482496000.bin</t>
  </si>
  <si>
    <t>-919.592449396336 128.36112972158 -62.5226739929049</t>
  </si>
  <si>
    <t>-956.697400388793 119.04282748503 -171.850626856167</t>
  </si>
  <si>
    <t>-973.659116755315 116.147486279649 -268.96175579366</t>
  </si>
  <si>
    <t>-983.41418707957 115.136553734192 -357.517092044184</t>
  </si>
  <si>
    <t>-987.146994200554 115.528727492846 -446.53496301192</t>
  </si>
  <si>
    <t>-985.983178557907 117.325450129246 -571.099000280076</t>
  </si>
  <si>
    <t>-951.3736076791 117.111285694857 -646.644853241453</t>
  </si>
  <si>
    <t>-986.132515637751 144.238438043546 -515.881619793823</t>
  </si>
  <si>
    <t>-978.759830573238 280.104441647105 -496.302820865656</t>
  </si>
  <si>
    <t>-971.316512763286 293.911664003699 -202.457309198427</t>
  </si>
  <si>
    <t>-739.764356908102 334.360197528945 -255.357003027431</t>
  </si>
  <si>
    <t>-986.857835306004 88.8309815339899 -516.687523217938</t>
  </si>
  <si>
    <t>-937.204444300425 222.348862811777 -65.3581596724049</t>
  </si>
  <si>
    <t>-935.594664781053 252.134602607685 337.090490261983</t>
  </si>
  <si>
    <t>-958.655326519949 269.142151994137 783.934280015352</t>
  </si>
  <si>
    <t>-821.449081110355 318.603181342094 845.70236380253</t>
  </si>
  <si>
    <t>-902.420368067503 34.2081451090362 -61.7255575681637</t>
  </si>
  <si>
    <t>-850.756289212835 21.2985408014861 338.298002806574</t>
  </si>
  <si>
    <t>-886.651412127121 22.3652534746907 784.911494602086</t>
  </si>
  <si>
    <t>-790.789610066285 -80.9671311521274 857.16286203296</t>
  </si>
  <si>
    <t>9763-20170724T111203.515583500.bin</t>
  </si>
  <si>
    <t>-919.830690618866 128.294955254498 -62.4746132682867</t>
  </si>
  <si>
    <t>-956.934452348497 118.976401605069 -171.802968093272</t>
  </si>
  <si>
    <t>-973.902586749211 116.082827793821 -268.913060646628</t>
  </si>
  <si>
    <t>-983.668253708041 115.076041332744 -357.467272571438</t>
  </si>
  <si>
    <t>-987.415127539385 115.477108180428 -446.4845025699</t>
  </si>
  <si>
    <t>-986.275769550219 117.291955645663 -571.048494237564</t>
  </si>
  <si>
    <t>-951.735714953252 117.149297650502 -646.626286127096</t>
  </si>
  <si>
    <t>-986.453976234744 144.197344063289 -515.827475832171</t>
  </si>
  <si>
    <t>-979.281412199421 280.069310398724 -496.215805156131</t>
  </si>
  <si>
    <t>-971.971419069792 294.020173500415 -202.373784265578</t>
  </si>
  <si>
    <t>-740.403202019373 334.437482484685 -255.227336936899</t>
  </si>
  <si>
    <t>-987.100330399677 88.7890007051265 -516.640637559516</t>
  </si>
  <si>
    <t>-937.474931695281 222.286878034677 -65.3181158719816</t>
  </si>
  <si>
    <t>-935.795990018038 252.157877199787 337.123836735304</t>
  </si>
  <si>
    <t>-958.731165037158 269.260439442722 783.964595269692</t>
  </si>
  <si>
    <t>-821.5010630339 318.625305864167 845.757163055276</t>
  </si>
  <si>
    <t>-902.644673661305 34.1801448026076 -61.6981592368687</t>
  </si>
  <si>
    <t>-850.881415893236 21.318592105818 338.314103662076</t>
  </si>
  <si>
    <t>-886.676575188683 22.2832059230695 784.925235673872</t>
  </si>
  <si>
    <t>-790.75873223565 -81.0002327752795 857.172155662507</t>
  </si>
  <si>
    <t>9763-20170724T111203.578769400.bin</t>
  </si>
  <si>
    <t>-920.225007647296 128.400120286746 -62.4370721251065</t>
  </si>
  <si>
    <t>-957.280009135518 119.08621422505 -171.782455765851</t>
  </si>
  <si>
    <t>-974.249233083539 116.176568904179 -268.891873544432</t>
  </si>
  <si>
    <t>-984.034744917696 115.152174593512 -357.443740382134</t>
  </si>
  <si>
    <t>-987.822555784019 115.535985808032 -446.459118691153</t>
  </si>
  <si>
    <t>-986.76252352874 117.331151362701 -571.024256564089</t>
  </si>
  <si>
    <t>-952.377887571796 117.307286170043 -646.672826430888</t>
  </si>
  <si>
    <t>-986.982134033492 144.246268260489 -515.807893595936</t>
  </si>
  <si>
    <t>-980.179339488436 280.13385638433 -496.140798033511</t>
  </si>
  <si>
    <t>-973.622186733853 294.324442725491 -202.292618403782</t>
  </si>
  <si>
    <t>-741.846904923581 334.206938797486 -254.642217883714</t>
  </si>
  <si>
    <t>-987.475886557051 88.8361435426013 -516.610704927358</t>
  </si>
  <si>
    <t>-937.961051178401 222.379328689522 -65.2564690123872</t>
  </si>
  <si>
    <t>-936.122168237028 252.403289384643 337.173533827935</t>
  </si>
  <si>
    <t>-958.936369620407 269.588894192357 784.014864864046</t>
  </si>
  <si>
    <t>-821.575292379164 318.538445771888 845.84698598137</t>
  </si>
  <si>
    <t>-902.932119651855 34.3187885101829 -61.6699958765039</t>
  </si>
  <si>
    <t>-851.01174964925 21.56862075237 338.325505298802</t>
  </si>
  <si>
    <t>-886.543994819964 22.4070598780263 784.938686234554</t>
  </si>
  <si>
    <t>-790.932872033302 -81.1504980200839 857.199697657327</t>
  </si>
  <si>
    <t>9763-20170724T111203.617873900.bin</t>
  </si>
  <si>
    <t>-920.375136789646 128.374364378792 -62.4228280731382</t>
  </si>
  <si>
    <t>-957.427369624956 119.041186767845 -171.767410362421</t>
  </si>
  <si>
    <t>-974.411429031267 116.122164555656 -268.874003763054</t>
  </si>
  <si>
    <t>-984.217893303602 115.093649530028 -357.423449519867</t>
  </si>
  <si>
    <t>-988.033682935562 115.479640683841 -446.437781217478</t>
  </si>
  <si>
    <t>-987.020525946304 117.284831452321 -571.003114245144</t>
  </si>
  <si>
    <t>-952.737933896684 117.313806868485 -646.698158683209</t>
  </si>
  <si>
    <t>-987.258673583593 144.195576605612 -515.784775008155</t>
  </si>
  <si>
    <t>-980.669250126612 280.089805120861 -496.094257925016</t>
  </si>
  <si>
    <t>-974.743879861176 294.249233505818 -202.231061210002</t>
  </si>
  <si>
    <t>-742.849445850743 333.886005851075 -254.23940624564</t>
  </si>
  <si>
    <t>-987.674041450147 88.7849668744748 -516.591290902677</t>
  </si>
  <si>
    <t>-938.143258717844 222.341309539258 -65.232374189026</t>
  </si>
  <si>
    <t>-936.213914193358 252.455038042078 337.190443552073</t>
  </si>
  <si>
    <t>-958.937043983042 269.614360714681 784.036832066792</t>
  </si>
  <si>
    <t>-821.606784280723 318.615322257368 845.895975575245</t>
  </si>
  <si>
    <t>-903.063587291759 34.2608946111231 -61.6551917103958</t>
  </si>
  <si>
    <t>-851.065159476863 21.538341172562 338.330982018994</t>
  </si>
  <si>
    <t>-886.609261958333 22.2551070307991 784.952602836659</t>
  </si>
  <si>
    <t>-790.735688943584 -81.0705095383539 857.197943312904</t>
  </si>
  <si>
    <t>9763-20170724T111203.680602400.bin</t>
  </si>
  <si>
    <t>-920.576596567745 128.331587251733 -62.3647111009424</t>
  </si>
  <si>
    <t>-957.612124763876 118.94726868718 -171.710644617412</t>
  </si>
  <si>
    <t>-974.599889554067 116.017841639095 -268.816243631981</t>
  </si>
  <si>
    <t>-984.41610631904 114.994611412824 -357.364744539193</t>
  </si>
  <si>
    <t>-988.248753628245 115.403276668099 -446.378185444488</t>
  </si>
  <si>
    <t>-987.265453450955 117.260887433034 -570.942899620737</t>
  </si>
  <si>
    <t>-953.223365734767 117.404605316412 -646.746214198339</t>
  </si>
  <si>
    <t>-987.571284864374 144.149164655259 -515.713949440227</t>
  </si>
  <si>
    <t>-981.473367299735 280.056917978923 -495.968467572573</t>
  </si>
  <si>
    <t>-977.058498153894 294.106815583612 -202.073397282896</t>
  </si>
  <si>
    <t>-744.899798454944 333.126632871004 -253.363476845685</t>
  </si>
  <si>
    <t>-987.825413599499 88.7378482247568 -516.542210090271</t>
  </si>
  <si>
    <t>-938.48556487886 222.254324038072 -65.1727771743633</t>
  </si>
  <si>
    <t>-936.424252151537 252.392493526517 337.247520598013</t>
  </si>
  <si>
    <t>-958.899528785077 269.555968914233 784.108880822728</t>
  </si>
  <si>
    <t>-821.713900770463 318.933571915327 845.989457516215</t>
  </si>
  <si>
    <t>-903.094998686914 34.2670726524184 -61.6285258040964</t>
  </si>
  <si>
    <t>-851.013898373824 21.5888584044137 338.348361845641</t>
  </si>
  <si>
    <t>-886.545912875878 22.2513071064523 784.957179082108</t>
  </si>
  <si>
    <t>-790.706354154715 -81.1037522172394 857.205511222346</t>
  </si>
  <si>
    <t>9763-20170724T111203.717699900.bin</t>
  </si>
  <si>
    <t>-920.634436416237 128.371261267605 -62.3702563461301</t>
  </si>
  <si>
    <t>-957.676497043175 118.946639398084 -171.710457007894</t>
  </si>
  <si>
    <t>-974.682242475291 116.013067800609 -268.812760752373</t>
  </si>
  <si>
    <t>-984.519154893703 114.998202755728 -357.359032178483</t>
  </si>
  <si>
    <t>-988.376100120523 115.428689787325 -446.3713015039</t>
  </si>
  <si>
    <t>-987.430603875935 117.330537243289 -570.935774632239</t>
  </si>
  <si>
    <t>-953.532708605652 117.53370377284 -646.803556946637</t>
  </si>
  <si>
    <t>-987.755512788008 144.199239346174 -515.697493827212</t>
  </si>
  <si>
    <t>-981.871301335056 280.114804143201 -495.927385509391</t>
  </si>
  <si>
    <t>-978.232224897474 294.075368141582 -202.017443647398</t>
  </si>
  <si>
    <t>-745.897305923153 332.638862732281 -252.852914240435</t>
  </si>
  <si>
    <t>-987.937589509349 88.788005115875 -516.544768616231</t>
  </si>
  <si>
    <t>-938.669857474307 222.302318644379 -65.1519310909629</t>
  </si>
  <si>
    <t>-936.61109912368 252.467193133404 337.266460016986</t>
  </si>
  <si>
    <t>-959.008457942466 269.705408689088 784.135773687832</t>
  </si>
  <si>
    <t>-821.751600833122 318.860533226206 846.035437744723</t>
  </si>
  <si>
    <t>-903.013366061595 34.3107179200192 -61.6223637818005</t>
  </si>
  <si>
    <t>-850.914997812381 21.6828087027075 338.353853147803</t>
  </si>
  <si>
    <t>-886.440992039268 22.3596047080664 784.952831639889</t>
  </si>
  <si>
    <t>-790.721044400989 -81.0999620648956 857.210173987076</t>
  </si>
  <si>
    <t>9763-20170724T111203.778868700.bin</t>
  </si>
  <si>
    <t>-920.724363978102 128.252133726394 -62.3623120805422</t>
  </si>
  <si>
    <t>-957.820632156335 118.743266115556 -171.676874816242</t>
  </si>
  <si>
    <t>-974.921396756385 115.801516462851 -268.762218783799</t>
  </si>
  <si>
    <t>-984.862284133993 114.806198272133 -357.297148111442</t>
  </si>
  <si>
    <t>-988.840137603564 115.285232786194 -446.303811950093</t>
  </si>
  <si>
    <t>-988.079936198298 117.285894202461 -570.868010300287</t>
  </si>
  <si>
    <t>-954.549931169047 117.624197969755 -646.898512050351</t>
  </si>
  <si>
    <t>-988.402358357636 144.111015558534 -515.608348232927</t>
  </si>
  <si>
    <t>-982.93131098859 280.03613388313 -495.815361299009</t>
  </si>
  <si>
    <t>-980.60427177483 293.952755744984 -201.889901439994</t>
  </si>
  <si>
    <t>-747.865516891433 331.332551753854 -251.75219735782</t>
  </si>
  <si>
    <t>-988.426492645165 88.7000342300098 -516.498657711479</t>
  </si>
  <si>
    <t>-938.990097579946 222.186687284362 -65.1261278102388</t>
  </si>
  <si>
    <t>-936.829184198515 252.422784450856 337.286344139557</t>
  </si>
  <si>
    <t>-958.972749055484 269.644075462817 784.183933497062</t>
  </si>
  <si>
    <t>-821.812778747245 319.031471644315 846.113604854434</t>
  </si>
  <si>
    <t>-902.90215897511 34.1740615597187 -61.6183928469982</t>
  </si>
  <si>
    <t>-850.700214610034 21.6380871099555 338.347195481044</t>
  </si>
  <si>
    <t>-886.431995381095 22.2721520967862 784.946565319919</t>
  </si>
  <si>
    <t>-790.641628133586 -81.1198013739556 857.20694976683</t>
  </si>
  <si>
    <t>9763-20170724T111203.815967600.bin</t>
  </si>
  <si>
    <t>-920.808560096243 128.240904424929 -62.35042106534</t>
  </si>
  <si>
    <t>-957.945935119981 118.683104952846 -171.646713703105</t>
  </si>
  <si>
    <t>-975.103455157081 115.737551116989 -268.721917670126</t>
  </si>
  <si>
    <t>-985.103040669723 114.754594905196 -357.250332657494</t>
  </si>
  <si>
    <t>-989.14690076636 115.262447310738 -446.253927395446</t>
  </si>
  <si>
    <t>-988.485356361306 117.322320540426 -570.817712271632</t>
  </si>
  <si>
    <t>-955.153691474607 117.760387676621 -646.934988295292</t>
  </si>
  <si>
    <t>-988.814411184822 144.121087099547 -515.545323491456</t>
  </si>
  <si>
    <t>-983.563405392728 280.055599590524 -495.746221084864</t>
  </si>
  <si>
    <t>-981.767267869586 293.974218100638 -201.817165049735</t>
  </si>
  <si>
    <t>-748.821278439999 330.715376292831 -251.184097599617</t>
  </si>
  <si>
    <t>-988.738434779395 88.7106640156558 -516.461381684495</t>
  </si>
  <si>
    <t>-939.242973671976 222.198794427833 -65.1038418749013</t>
  </si>
  <si>
    <t>-936.968466210819 252.442041381995 337.307418622119</t>
  </si>
  <si>
    <t>-959.048016830722 269.738729880093 784.213675566931</t>
  </si>
  <si>
    <t>-821.801082634775 318.8723885457 846.153333173138</t>
  </si>
  <si>
    <t>-902.823575632669 34.1753788534957 -61.6139622132984</t>
  </si>
  <si>
    <t>-850.567759940437 21.6647090171018 338.345399450399</t>
  </si>
  <si>
    <t>-886.354113545136 22.3421349908017 784.937798067818</t>
  </si>
  <si>
    <t>-790.632968168542 -81.1104580331712 857.203043820142</t>
  </si>
  <si>
    <t>9763-20170724T111203.880147800.bin</t>
  </si>
  <si>
    <t>-920.921177512444 128.254220745667 -62.381938097803</t>
  </si>
  <si>
    <t>-958.142596843012 118.538895564416 -171.635832661701</t>
  </si>
  <si>
    <t>-975.469677666925 115.556726814634 -268.679781672295</t>
  </si>
  <si>
    <t>-985.659046754205 114.581220274638 -357.186596550683</t>
  </si>
  <si>
    <t>-989.927454577656 115.140395013469 -446.179443766744</t>
  </si>
  <si>
    <t>-989.615142455394 117.31909330821 -570.742601245979</t>
  </si>
  <si>
    <t>-956.752557201243 117.995688116985 -647.061904668182</t>
  </si>
  <si>
    <t>-989.885310341583 144.064785804202 -515.444216792579</t>
  </si>
  <si>
    <t>-985.035601246066 280.018723319291 -495.657468698765</t>
  </si>
  <si>
    <t>-984.216490501595 293.805679074397 -201.717816423679</t>
  </si>
  <si>
    <t>-750.973074098157 329.714569165661 -250.286878015962</t>
  </si>
  <si>
    <t>-989.619667940272 88.6557618634388 -516.412632294915</t>
  </si>
  <si>
    <t>-939.654589406411 222.146959918562 -65.0942415743275</t>
  </si>
  <si>
    <t>-937.180288845496 252.513992982407 337.306527040482</t>
  </si>
  <si>
    <t>-959.094822163979 269.812823855279 784.223009485383</t>
  </si>
  <si>
    <t>-821.878556039516 318.996672560848 846.190477673214</t>
  </si>
  <si>
    <t>-902.63314513148 34.233192404778 -61.6119477373076</t>
  </si>
  <si>
    <t>-850.287453288832 21.7339400133951 338.335991840167</t>
  </si>
  <si>
    <t>-886.265182843198 22.3921857686992 784.922273910316</t>
  </si>
  <si>
    <t>-790.526437290733 -81.0440926813576 857.188052749483</t>
  </si>
  <si>
    <t>9763-20170724T111203.912230000.bin</t>
  </si>
  <si>
    <t>-920.996565868754 128.299709920356 -62.3863401191312</t>
  </si>
  <si>
    <t>-958.184130878905 118.496755154603 -171.643982380144</t>
  </si>
  <si>
    <t>-975.567971499918 115.473391199296 -268.676511897099</t>
  </si>
  <si>
    <t>-985.843473093379 114.475144295399 -357.173041986226</t>
  </si>
  <si>
    <t>-990.232048247193 115.028682895741 -446.160086493646</t>
  </si>
  <si>
    <t>-990.121920476672 117.218152733796 -570.723284252845</t>
  </si>
  <si>
    <t>-957.507358843051 117.997067314033 -647.147726002344</t>
  </si>
  <si>
    <t>-990.344631700632 143.958861257745 -515.422282223624</t>
  </si>
  <si>
    <t>-985.686793338002 279.923554665042 -495.665624432704</t>
  </si>
  <si>
    <t>-985.226882998212 293.812149901754 -201.730075063976</t>
  </si>
  <si>
    <t>-751.829153501945 329.323998702424 -249.846919956246</t>
  </si>
  <si>
    <t>-989.996367796662 88.5504866054757 -516.395922018495</t>
  </si>
  <si>
    <t>-939.849538835098 222.174881153993 -65.1357618292922</t>
  </si>
  <si>
    <t>-937.292607355452 252.631962077428 337.257721928944</t>
  </si>
  <si>
    <t>-959.116722595771 269.895720788209 784.178567640501</t>
  </si>
  <si>
    <t>-821.887503815771 319.005022637542 846.176570017077</t>
  </si>
  <si>
    <t>-902.580050985708 34.3036757987752 -61.6069709521574</t>
  </si>
  <si>
    <t>-850.205124563204 21.7790727687143 338.33635071167</t>
  </si>
  <si>
    <t>-886.275542360843 22.3302488607146 784.921941016787</t>
  </si>
  <si>
    <t>-790.553301132828 -81.1196729924877 857.190049979447</t>
  </si>
  <si>
    <t>9763-20170724T111203.981417400.bin</t>
  </si>
  <si>
    <t>-921.022554832491 128.376149763249 -62.4083743153366</t>
  </si>
  <si>
    <t>-958.135765678 118.383520129581 -171.674064259031</t>
  </si>
  <si>
    <t>-975.597342908734 115.269279352546 -268.689685209184</t>
  </si>
  <si>
    <t>-985.999244142201 114.219520838443 -357.171010939458</t>
  </si>
  <si>
    <t>-990.568580477631 114.754477942511 -446.149086327312</t>
  </si>
  <si>
    <t>-990.767616926121 116.955112547194 -570.712016896828</t>
  </si>
  <si>
    <t>-958.630180644024 117.923103183753 -647.336142416451</t>
  </si>
  <si>
    <t>-990.946103465649 143.690307755528 -515.408027073715</t>
  </si>
  <si>
    <t>-986.679492356524 279.677873516663 -495.742111183167</t>
  </si>
  <si>
    <t>-986.794563510364 293.748212580433 -201.814854811425</t>
  </si>
  <si>
    <t>-753.175137639016 328.854110099439 -249.146354929855</t>
  </si>
  <si>
    <t>-990.414278260406 88.2833807321917 -516.38787193262</t>
  </si>
  <si>
    <t>-940.078090702069 222.127392307577 -65.2547232986645</t>
  </si>
  <si>
    <t>-937.378001579067 252.905852515195 337.113389031404</t>
  </si>
  <si>
    <t>-959.072104216597 270.007700496065 784.022082986228</t>
  </si>
  <si>
    <t>-821.901959816605 319.127454892241 846.141702569988</t>
  </si>
  <si>
    <t>-902.352677567206 34.4809161471007 -61.6050697557404</t>
  </si>
  <si>
    <t>-850.037411612266 21.9195681378055 338.344960143885</t>
  </si>
  <si>
    <t>-886.178963626495 22.3809257307098 784.920773163905</t>
  </si>
  <si>
    <t>-790.374010337046 -80.9976259593573 857.180969858781</t>
  </si>
  <si>
    <t>9763-20170724T111204.017514800.bin</t>
  </si>
  <si>
    <t>-921.000115134354 128.369228821958 -62.4142432483729</t>
  </si>
  <si>
    <t>-958.095075771896 118.283077282621 -171.677432555564</t>
  </si>
  <si>
    <t>-975.591862176922 115.133374940767 -268.685703725159</t>
  </si>
  <si>
    <t>-986.044561569229 114.069421746328 -357.1607537591</t>
  </si>
  <si>
    <t>-990.683852015268 114.610655419594 -446.135194009197</t>
  </si>
  <si>
    <t>-990.999609131469 116.841863849715 -570.69735824828</t>
  </si>
  <si>
    <t>-959.110923558002 117.896727381361 -647.424264698097</t>
  </si>
  <si>
    <t>-991.18224375385 143.562808126628 -515.386644345124</t>
  </si>
  <si>
    <t>-987.136143847601 279.557921761887 -495.738499007094</t>
  </si>
  <si>
    <t>-987.441537917742 293.647527138107 -201.812271302767</t>
  </si>
  <si>
    <t>-753.776565654022 328.747414586269 -248.924923576341</t>
  </si>
  <si>
    <t>-990.539050654998 88.1572445119618 -516.380677175246</t>
  </si>
  <si>
    <t>-940.199498195395 222.054576581346 -65.2773549095149</t>
  </si>
  <si>
    <t>-937.259963525739 253.084650727866 337.069772547769</t>
  </si>
  <si>
    <t>-959.091280862743 270.070406419459 784.002536194942</t>
  </si>
  <si>
    <t>-821.892534649908 319.073312929773 846.152167813942</t>
  </si>
  <si>
    <t>-902.21857632791 34.5404235640394 -61.5966687345075</t>
  </si>
  <si>
    <t>-849.94726983869 21.9746156188157 338.358915891688</t>
  </si>
  <si>
    <t>-886.160547600963 22.3618434238088 784.926597652963</t>
  </si>
  <si>
    <t>-790.315383399039 -80.9834057520598 857.18134994495</t>
  </si>
  <si>
    <t>9763-20170724T111204.081689400.bin</t>
  </si>
  <si>
    <t>-920.958116937822 128.275627146632 -62.3832469999172</t>
  </si>
  <si>
    <t>-958.078355082992 118.024157895848 -171.622457017851</t>
  </si>
  <si>
    <t>-975.680370797873 114.811809495727 -268.609760516842</t>
  </si>
  <si>
    <t>-986.260091866066 113.724512432791 -357.069416825006</t>
  </si>
  <si>
    <t>-991.057181985695 114.278141506472 -446.035224690243</t>
  </si>
  <si>
    <t>-991.623993998048 116.56610875385 -570.595622390553</t>
  </si>
  <si>
    <t>-960.202951177206 117.754509106547 -647.513246345503</t>
  </si>
  <si>
    <t>-991.808149510168 143.260198760688 -515.271981655924</t>
  </si>
  <si>
    <t>-988.229967107212 279.275396047074 -495.663813197143</t>
  </si>
  <si>
    <t>-988.743146807414 293.311474635572 -201.735371661616</t>
  </si>
  <si>
    <t>-754.957598086206 328.392060780857 -248.258820823659</t>
  </si>
  <si>
    <t>-990.94112357585 87.8582574226771 -516.293595354084</t>
  </si>
  <si>
    <t>-940.450663092248 221.809796971713 -65.2376169290708</t>
  </si>
  <si>
    <t>-937.069345883875 253.259555598488 337.07332054912</t>
  </si>
  <si>
    <t>-959.165766173865 270.084015963474 784.033076322887</t>
  </si>
  <si>
    <t>-821.962434312347 319.077302027179 846.179596308736</t>
  </si>
  <si>
    <t>-901.913436334465 34.5327468235541 -61.5652966286067</t>
  </si>
  <si>
    <t>-849.652626188909 22.001178461071 338.392812340542</t>
  </si>
  <si>
    <t>-886.096189799461 22.328627717086 784.931604756717</t>
  </si>
  <si>
    <t>-790.173685533337 -80.9416711384497 857.190996116008</t>
  </si>
  <si>
    <t>9763-20170724T111204.117786500.bin</t>
  </si>
  <si>
    <t>-920.953535987044 128.205940587952 -62.3532987477305</t>
  </si>
  <si>
    <t>-958.106887130401 117.905292634434 -171.576772318051</t>
  </si>
  <si>
    <t>-975.77537989702 114.67692333407 -268.551220802514</t>
  </si>
  <si>
    <t>-986.430855168951 113.587668767289 -357.001828863912</t>
  </si>
  <si>
    <t>-991.318566300754 114.154070081029 -445.96270492535</t>
  </si>
  <si>
    <t>-992.027668771544 116.476877438945 -570.521546972827</t>
  </si>
  <si>
    <t>-960.825804792621 117.728893033355 -647.527511300269</t>
  </si>
  <si>
    <t>-992.207312076476 143.154544936783 -515.189965583238</t>
  </si>
  <si>
    <t>-988.817204820199 279.178804778457 -495.610756904859</t>
  </si>
  <si>
    <t>-989.448518974533 293.061825807654 -201.675306254606</t>
  </si>
  <si>
    <t>-755.604311587435 328.221338478195 -247.844618889372</t>
  </si>
  <si>
    <t>-991.224004114623 87.7549929522729 -516.228774176857</t>
  </si>
  <si>
    <t>-940.564602450509 221.768102909515 -65.209036798036</t>
  </si>
  <si>
    <t>-937.140980434596 253.299640133669 337.095249339439</t>
  </si>
  <si>
    <t>-959.299113542402 270.204804412651 784.046119400438</t>
  </si>
  <si>
    <t>-822.056461312626 319.097546994721 846.185207332802</t>
  </si>
  <si>
    <t>-901.825766878659 34.4795077197036 -61.5444568182676</t>
  </si>
  <si>
    <t>-849.509093540438 21.9395082742053 338.406041278251</t>
  </si>
  <si>
    <t>-886.092217349132 22.2620205897601 784.933389792834</t>
  </si>
  <si>
    <t>-790.065731625947 -80.9110375638652 857.193449977469</t>
  </si>
  <si>
    <t>9763-20170724T111204.184876500.bin</t>
  </si>
  <si>
    <t>-920.881428867888 128.118542924395 -62.3363961454787</t>
  </si>
  <si>
    <t>-958.041733769513 117.755252215652 -171.551438613365</t>
  </si>
  <si>
    <t>-975.794132292793 114.504938831565 -268.509957041195</t>
  </si>
  <si>
    <t>-986.556628395962 113.411526863916 -356.947560451426</t>
  </si>
  <si>
    <t>-991.583258061226 113.992852216408 -445.900647792602</t>
  </si>
  <si>
    <t>-992.518865931889 116.359945725295 -570.457177005807</t>
  </si>
  <si>
    <t>-961.718262643305 117.670090610669 -647.62330351367</t>
  </si>
  <si>
    <t>-992.696872046334 143.0161463656 -515.115109915366</t>
  </si>
  <si>
    <t>-989.667109319467 279.054503378523 -495.510580665592</t>
  </si>
  <si>
    <t>-990.506434589552 292.314380091754 -201.546906750939</t>
  </si>
  <si>
    <t>-756.571144579724 327.711163085041 -247.069325868613</t>
  </si>
  <si>
    <t>-991.517762132176 87.6206644337403 -516.176743223807</t>
  </si>
  <si>
    <t>-940.712351612445 221.662547234502 -65.1788769869902</t>
  </si>
  <si>
    <t>-937.337756260946 253.230030217325 337.123006947662</t>
  </si>
  <si>
    <t>-959.341258458578 270.167163201122 784.043134982151</t>
  </si>
  <si>
    <t>-822.128259718033 319.151244661243 846.175445236754</t>
  </si>
  <si>
    <t>-901.490684061228 34.4736067562053 -61.5413596472953</t>
  </si>
  <si>
    <t>-849.25534219973 21.9561949889203 338.4205314538</t>
  </si>
  <si>
    <t>-885.928088143811 22.3911623663344 784.926991517547</t>
  </si>
  <si>
    <t>-790.132127133166 -80.9845612533268 857.203950750908</t>
  </si>
  <si>
    <t>9763-20170724T111204.215956500.bin</t>
  </si>
  <si>
    <t>-920.88322214152 128.165014470425 -62.3528627829539</t>
  </si>
  <si>
    <t>-958.014340761964 117.764178187882 -171.574361941846</t>
  </si>
  <si>
    <t>-975.745041001904 114.511125763928 -268.536626224414</t>
  </si>
  <si>
    <t>-986.48991345843 113.427810723967 -356.97655811068</t>
  </si>
  <si>
    <t>-991.499644846986 114.033584659035 -445.930344038655</t>
  </si>
  <si>
    <t>-992.412804265327 116.450757851475 -570.486070045196</t>
  </si>
  <si>
    <t>-961.794439236583 117.80070607858 -647.724263238932</t>
  </si>
  <si>
    <t>-992.659576845305 143.083379032804 -515.13308268222</t>
  </si>
  <si>
    <t>-989.869837967429 279.107257155902 -495.490000740241</t>
  </si>
  <si>
    <t>-991.039671584791 292.161705350233 -201.518315763445</t>
  </si>
  <si>
    <t>-757.053558058584 327.649158391359 -246.706893331964</t>
  </si>
  <si>
    <t>-991.362095411797 87.6909060452472 -516.217497175867</t>
  </si>
  <si>
    <t>-940.845251678971 221.72780014676 -65.1931758214675</t>
  </si>
  <si>
    <t>-937.513184725413 253.264221838164 337.111502250555</t>
  </si>
  <si>
    <t>-959.425513699317 270.257284187292 784.0368536004</t>
  </si>
  <si>
    <t>-822.098646307311 318.917754931697 846.171458516482</t>
  </si>
  <si>
    <t>-901.361256722786 34.5178012967876 -61.5618060560463</t>
  </si>
  <si>
    <t>-849.236756156893 21.9968906335275 338.414367838159</t>
  </si>
  <si>
    <t>-885.874719346395 22.4152600326552 784.924110768365</t>
  </si>
  <si>
    <t>-790.098447199119 -80.9767188890282 857.204065796822</t>
  </si>
  <si>
    <t>9763-20170724T111204.282839900.bin</t>
  </si>
  <si>
    <t>-920.769964008019 128.109056118061 -62.4049376053118</t>
  </si>
  <si>
    <t>-957.833542683283 117.665436875716 -171.645224256555</t>
  </si>
  <si>
    <t>-975.527402551478 114.439698919549 -268.6151851538</t>
  </si>
  <si>
    <t>-986.246121879132 113.408179012648 -357.058883683601</t>
  </si>
  <si>
    <t>-991.237408186955 114.095685027883 -446.013110127759</t>
  </si>
  <si>
    <t>-992.131886613641 116.65993777653 -570.566115104527</t>
  </si>
  <si>
    <t>-961.878560400792 118.12975030693 -647.945739364456</t>
  </si>
  <si>
    <t>-992.484044856045 143.224716409703 -515.181031445523</t>
  </si>
  <si>
    <t>-990.18331968302 279.250487993812 -495.415954761473</t>
  </si>
  <si>
    <t>-991.993501677244 292.052317664671 -201.436376067146</t>
  </si>
  <si>
    <t>-757.969840019404 328.237111670983 -245.871959634154</t>
  </si>
  <si>
    <t>-990.9924367962 87.838696120652 -516.332011134487</t>
  </si>
  <si>
    <t>-940.90938913368 221.545659848912 -65.2104968515123</t>
  </si>
  <si>
    <t>-937.631620750652 253.228010928044 337.083108139804</t>
  </si>
  <si>
    <t>-959.454270742551 270.262360435984 784.020178615027</t>
  </si>
  <si>
    <t>-822.279824137531 319.348071059528 846.157569042223</t>
  </si>
  <si>
    <t>-901.041157293591 34.5215255638773 -61.6187167034012</t>
  </si>
  <si>
    <t>-849.14616692612 22.0081761861588 338.3875292289</t>
  </si>
  <si>
    <t>-885.79785440113 22.4209165612447 784.915231224766</t>
  </si>
  <si>
    <t>-790.068599883654 -81.0091675827325 857.202310646309</t>
  </si>
  <si>
    <t>9763-20170724T111204.315927000.bin</t>
  </si>
  <si>
    <t>-920.652364575812 127.940574698702 -62.4238718975747</t>
  </si>
  <si>
    <t>-957.713220074799 117.464473492419 -171.661994573098</t>
  </si>
  <si>
    <t>-975.421154097383 114.249513022321 -268.629771888175</t>
  </si>
  <si>
    <t>-986.1588208975 113.243971914153 -357.071487647554</t>
  </si>
  <si>
    <t>-991.174488456 113.974430720266 -446.023955824183</t>
  </si>
  <si>
    <t>-992.10846122738 116.617124818446 -570.575052073789</t>
  </si>
  <si>
    <t>-962.005835954915 118.140467290173 -648.012418738701</t>
  </si>
  <si>
    <t>-992.479114221864 143.145922928414 -515.172804610113</t>
  </si>
  <si>
    <t>-990.367289344751 279.172865220157 -495.33969873844</t>
  </si>
  <si>
    <t>-992.502671748313 291.673843160757 -201.349231876592</t>
  </si>
  <si>
    <t>-758.500565814109 328.379289135492 -245.469815714128</t>
  </si>
  <si>
    <t>-990.915992848904 87.7625155307414 -516.359580213038</t>
  </si>
  <si>
    <t>-940.855059226928 221.361411435383 -65.2093024464524</t>
  </si>
  <si>
    <t>-937.643545400889 253.149977143583 337.076449478123</t>
  </si>
  <si>
    <t>-959.480991966691 270.273768366468 784.008951710352</t>
  </si>
  <si>
    <t>-822.356446507677 319.492426517773 846.151779773001</t>
  </si>
  <si>
    <t>-900.87157644689 34.3334066887733 -61.6472351896891</t>
  </si>
  <si>
    <t>-849.037084577928 21.9261095393272 338.370142951443</t>
  </si>
  <si>
    <t>-885.759764123345 22.4185638034146 784.908604630092</t>
  </si>
  <si>
    <t>-790.058693968946 -81.0362935261321 857.197561922329</t>
  </si>
  <si>
    <t>9763-20170724T111204.379683100.bin</t>
  </si>
  <si>
    <t>-920.572577070763 127.731051057478 -62.3851349513481</t>
  </si>
  <si>
    <t>-957.583151648339 117.295786501013 -171.644094290965</t>
  </si>
  <si>
    <t>-975.215956122124 114.107848551994 -268.626397164496</t>
  </si>
  <si>
    <t>-985.873836587657 113.1228601122 -357.078122555711</t>
  </si>
  <si>
    <t>-990.797764633858 113.871480555847 -446.035583696486</t>
  </si>
  <si>
    <t>-991.591930341109 116.537776063804 -570.587131886129</t>
  </si>
  <si>
    <t>-961.782957232125 118.155987517628 -648.136046751483</t>
  </si>
  <si>
    <t>-992.092063708416 143.053980968643 -515.179930448455</t>
  </si>
  <si>
    <t>-990.437921725729 279.067392427278 -495.32378172159</t>
  </si>
  <si>
    <t>-993.804257050654 291.633389787478 -201.347604191479</t>
  </si>
  <si>
    <t>-759.637130692896 328.691320101997 -244.282129284604</t>
  </si>
  <si>
    <t>-990.393067225711 87.6749229614688 -516.376202926519</t>
  </si>
  <si>
    <t>-940.888061318191 221.184577624602 -65.1459795897821</t>
  </si>
  <si>
    <t>-937.913750496672 253.060249604249 337.134754763181</t>
  </si>
  <si>
    <t>-959.692575811577 270.483003185898 784.047417986516</t>
  </si>
  <si>
    <t>-822.385142183597 319.186652362215 846.191806103667</t>
  </si>
  <si>
    <t>-900.68345582116 34.1565414972783 -61.6685511819327</t>
  </si>
  <si>
    <t>-848.979582473885 21.7532985991129 338.365876780043</t>
  </si>
  <si>
    <t>-885.670823582394 22.4712378949826 784.907990916212</t>
  </si>
  <si>
    <t>-790.007659396907 -81.0256806191576 857.18689051917</t>
  </si>
  <si>
    <t>9763-20170724T111204.417790800.bin</t>
  </si>
  <si>
    <t>-920.563200805284 127.514951701251 -62.40046919205</t>
  </si>
  <si>
    <t>-957.546144368528 117.081721748838 -171.668996378043</t>
  </si>
  <si>
    <t>-975.140573559682 113.936754083928 -268.6597982363</t>
  </si>
  <si>
    <t>-985.755934191249 113.00581898882 -357.11713910378</t>
  </si>
  <si>
    <t>-990.629834395336 113.823556287168 -446.076691643301</t>
  </si>
  <si>
    <t>-991.344928316632 116.600266473128 -570.626245211977</t>
  </si>
  <si>
    <t>-961.670696242134 118.306363389991 -648.224890905733</t>
  </si>
  <si>
    <t>-991.889242829173 143.067120333318 -515.195890954332</t>
  </si>
  <si>
    <t>-990.306750869667 279.07134727774 -495.280444507364</t>
  </si>
  <si>
    <t>-994.65139228145 291.705827319401 -201.320138091503</t>
  </si>
  <si>
    <t>-760.32034447913 328.753899321162 -243.35784248411</t>
  </si>
  <si>
    <t>-990.171295036722 87.6895091673323 -516.440389429505</t>
  </si>
  <si>
    <t>-940.944451200226 220.951645973803 -65.1089993344531</t>
  </si>
  <si>
    <t>-937.973917199736 252.932499437049 337.163373491924</t>
  </si>
  <si>
    <t>-959.680415128759 270.416075208838 784.075529685513</t>
  </si>
  <si>
    <t>-822.450298392884 319.339598159032 846.217883748591</t>
  </si>
  <si>
    <t>-900.622619731497 33.9294846109692 -61.6832778886113</t>
  </si>
  <si>
    <t>-849.020054935395 21.6031919313186 338.366617991586</t>
  </si>
  <si>
    <t>-885.678274027327 22.407989779997 784.910551275035</t>
  </si>
  <si>
    <t>-789.777832950277 -80.8804004158005 857.17349385004</t>
  </si>
  <si>
    <t>9763-20170724T111204.480956200.bin</t>
  </si>
  <si>
    <t>-920.487029517962 127.027991501229 -62.3696169685118</t>
  </si>
  <si>
    <t>-957.398353240323 116.587031966145 -171.661595373488</t>
  </si>
  <si>
    <t>-974.943546682049 113.530993397491 -268.664108200217</t>
  </si>
  <si>
    <t>-985.517290906438 112.719099369335 -357.127642020268</t>
  </si>
  <si>
    <t>-990.350899384615 113.694940707978 -446.087819236576</t>
  </si>
  <si>
    <t>-991.010183028625 116.734056055526 -570.631555828543</t>
  </si>
  <si>
    <t>-961.584118000531 118.588158800173 -648.321299671572</t>
  </si>
  <si>
    <t>-991.602230674782 143.083233275749 -515.145711367536</t>
  </si>
  <si>
    <t>-990.213198768376 279.07880887356 -495.068490220321</t>
  </si>
  <si>
    <t>-996.425309585643 291.416186070133 -201.129023267885</t>
  </si>
  <si>
    <t>-761.791192517956 328.602985994223 -241.314753646563</t>
  </si>
  <si>
    <t>-989.837785974712 87.7100610116704 -516.506426669126</t>
  </si>
  <si>
    <t>-940.905718839018 220.421707332455 -65.0710246384165</t>
  </si>
  <si>
    <t>-937.994795973592 252.645492864256 337.182411268272</t>
  </si>
  <si>
    <t>-959.671661535229 270.296313972951 784.115573065267</t>
  </si>
  <si>
    <t>-822.566482994902 319.576350105517 846.252176786091</t>
  </si>
  <si>
    <t>-900.509629752366 33.4683215070086 -61.7014428021071</t>
  </si>
  <si>
    <t>-849.115147380635 21.3560510383722 338.381777616166</t>
  </si>
  <si>
    <t>-885.637046341602 22.3637058591289 784.925158937666</t>
  </si>
  <si>
    <t>-789.666735282457 -80.8642865747545 857.181264746602</t>
  </si>
  <si>
    <t>9763-20170724T111204.514047200.bin</t>
  </si>
  <si>
    <t>-920.502951262413 126.869143993415 -62.3268790121961</t>
  </si>
  <si>
    <t>-957.353092512129 116.471386603409 -171.64385928077</t>
  </si>
  <si>
    <t>-974.843732362774 113.44402006693 -268.657042249092</t>
  </si>
  <si>
    <t>-985.368889819629 112.656000608615 -357.126399895633</t>
  </si>
  <si>
    <t>-990.155249060538 113.65594514013 -446.088938710551</t>
  </si>
  <si>
    <t>-990.750913693654 116.729773777809 -570.63220248266</t>
  </si>
  <si>
    <t>-961.426158581438 118.6434154295 -648.358835571944</t>
  </si>
  <si>
    <t>-991.406963524357 143.062526834507 -515.13919997388</t>
  </si>
  <si>
    <t>-990.265626365675 279.038831193929 -494.980399878</t>
  </si>
  <si>
    <t>-997.433008939229 291.427219382963 -201.064879806951</t>
  </si>
  <si>
    <t>-762.58304207333 328.387324491486 -240.183044526849</t>
  </si>
  <si>
    <t>-989.570583054551 87.6917781518491 -516.514583989144</t>
  </si>
  <si>
    <t>-940.905954199161 220.201898958545 -65.015739404011</t>
  </si>
  <si>
    <t>-938.129319932083 252.526370417753 337.230584054848</t>
  </si>
  <si>
    <t>-959.708081093588 270.249525697358 784.165737783959</t>
  </si>
  <si>
    <t>-822.584817972126 319.502947926546 846.28331430062</t>
  </si>
  <si>
    <t>-900.557081227372 33.4139082870947 -61.6954018544243</t>
  </si>
  <si>
    <t>-849.179660671619 21.2363277551776 338.387993119442</t>
  </si>
  <si>
    <t>-885.593441352934 22.3833095666619 784.937764986456</t>
  </si>
  <si>
    <t>-789.670878623356 -80.891599786029 857.190441892113</t>
  </si>
  <si>
    <t>9763-20170724T111204.583233500.bin</t>
  </si>
  <si>
    <t>-920.635987779 126.492025209453 -62.3326952525917</t>
  </si>
  <si>
    <t>-957.387891094236 116.118550938378 -171.684979379071</t>
  </si>
  <si>
    <t>-974.760043105828 113.124750243425 -268.720471746725</t>
  </si>
  <si>
    <t>-985.163912437222 112.371332011131 -357.204686685704</t>
  </si>
  <si>
    <t>-989.815121119105 113.409277796986 -446.173853139571</t>
  </si>
  <si>
    <t>-990.207291784132 116.539465919509 -570.716561948463</t>
  </si>
  <si>
    <t>-961.019384711353 118.619933807219 -648.49025865757</t>
  </si>
  <si>
    <t>-990.974805318728 142.84635319704 -515.212679760831</t>
  </si>
  <si>
    <t>-989.996209836461 278.812301917126 -494.97646428572</t>
  </si>
  <si>
    <t>-1000.47462326501 291.161136368014 -201.158710935314</t>
  </si>
  <si>
    <t>-765.001326679673 327.22255413454 -237.254444253423</t>
  </si>
  <si>
    <t>-989.094496494133 87.4777654256159 -516.610177928926</t>
  </si>
  <si>
    <t>-941.086424537575 219.738143714572 -64.9387930829784</t>
  </si>
  <si>
    <t>-938.452326840744 252.389394010654 337.282052231752</t>
  </si>
  <si>
    <t>-959.847077298734 270.284971233203 784.21391311359</t>
  </si>
  <si>
    <t>-822.783827996763 319.750939972764 846.295195202995</t>
  </si>
  <si>
    <t>-900.616871614527 33.0600579501001 -61.6942044938983</t>
  </si>
  <si>
    <t>-849.359979248189 20.9579546027662 338.406954295028</t>
  </si>
  <si>
    <t>-885.619028572914 22.2383672071119 784.965236214565</t>
  </si>
  <si>
    <t>-789.573924341864 -80.932846535276 857.20336991083</t>
  </si>
  <si>
    <t>9763-20170724T111204.615317800.bin</t>
  </si>
  <si>
    <t>-920.558449341474 126.108719808272 -62.2983121848415</t>
  </si>
  <si>
    <t>-957.28572472993 115.710924828531 -171.656605664447</t>
  </si>
  <si>
    <t>-974.592602401139 112.738183697646 -268.70454530117</t>
  </si>
  <si>
    <t>-984.917564836839 112.018431648633 -357.198081822745</t>
  </si>
  <si>
    <t>-989.469546575966 113.102766848545 -446.171970160781</t>
  </si>
  <si>
    <t>-989.700583758123 116.309728445065 -570.713019995493</t>
  </si>
  <si>
    <t>-960.547631049449 118.481337320224 -648.497372576493</t>
  </si>
  <si>
    <t>-990.532118063594 142.582623230468 -515.193974997156</t>
  </si>
  <si>
    <t>-989.610414634981 278.551649175106 -494.965376825002</t>
  </si>
  <si>
    <t>-1001.9709501784 290.719667663599 -201.21318661734</t>
  </si>
  <si>
    <t>-766.204831670276 326.600631329617 -235.533223098074</t>
  </si>
  <si>
    <t>-988.665815169793 87.2144111366515 -516.623248760412</t>
  </si>
  <si>
    <t>-805.791216635989 0.0915120243098499 -330.267253634917</t>
  </si>
  <si>
    <t>-940.975636701485 219.235179973486 -64.9191451641934</t>
  </si>
  <si>
    <t>-938.394679367059 252.168379014849 337.279079929185</t>
  </si>
  <si>
    <t>-959.701812391267 269.981222608391 784.230028297044</t>
  </si>
  <si>
    <t>-822.80464217736 319.946646682655 846.277974122732</t>
  </si>
  <si>
    <t>-900.473843300923 32.7312160384099 -61.6925795848666</t>
  </si>
  <si>
    <t>-849.320437960111 20.8648332462985 338.428861081389</t>
  </si>
  <si>
    <t>-885.48736402611 22.380590359925 784.969687117309</t>
  </si>
  <si>
    <t>-789.749273246959 -81.063655390509 857.224658394729</t>
  </si>
  <si>
    <t>9763-20170724T111204.681503700.bin</t>
  </si>
  <si>
    <t>-920.607129706893 125.313344303883 -62.2095670315682</t>
  </si>
  <si>
    <t>-957.248964900627 114.902420683318 -171.595145007671</t>
  </si>
  <si>
    <t>-974.374019885205 111.986729465831 -268.676977461579</t>
  </si>
  <si>
    <t>-984.488390454589 111.343766398982 -357.195508542406</t>
  </si>
  <si>
    <t>-988.782964581467 112.529353252765 -446.180985297214</t>
  </si>
  <si>
    <t>-988.60508449291 115.901820175413 -570.717760549656</t>
  </si>
  <si>
    <t>-959.404228096024 118.209442842493 -648.480227545681</t>
  </si>
  <si>
    <t>-989.644327968941 142.100036388747 -515.167031095458</t>
  </si>
  <si>
    <t>-988.982144089365 278.065062765974 -494.874774232306</t>
  </si>
  <si>
    <t>-1004.03570649719 289.500054895138 -201.218784901116</t>
  </si>
  <si>
    <t>-767.880664651989 325.610017965832 -232.485634284468</t>
  </si>
  <si>
    <t>-987.722160842362 86.7354740154901 -516.663590729971</t>
  </si>
  <si>
    <t>-805.956485935608 1.71019508485824 -328.581172344651</t>
  </si>
  <si>
    <t>-941.139070838461 218.474723365893 -64.8957252167211</t>
  </si>
  <si>
    <t>-938.450677118633 251.736199983687 337.274726072174</t>
  </si>
  <si>
    <t>-959.784884243822 269.903237700098 784.201853540259</t>
  </si>
  <si>
    <t>-822.932793856826 320.01973805465 846.227123754518</t>
  </si>
  <si>
    <t>-900.491396405599 32.0695679015162 -61.6530271603182</t>
  </si>
  <si>
    <t>-849.542622124887 20.4274024336682 338.501124197292</t>
  </si>
  <si>
    <t>-885.450304528013 22.3306335905295 785.01694928427</t>
  </si>
  <si>
    <t>-789.481140029099 -80.9173787168675 857.246329851338</t>
  </si>
  <si>
    <t>9763-20170724T111204.713589000.bin</t>
  </si>
  <si>
    <t>-920.650712034031 125.00305058239 -62.2435991525041</t>
  </si>
  <si>
    <t>-957.249903847711 114.591080913948 -171.643226316967</t>
  </si>
  <si>
    <t>-974.298071655656 111.697825749324 -268.739411598239</t>
  </si>
  <si>
    <t>-984.326122682006 111.084339166433 -357.268031903921</t>
  </si>
  <si>
    <t>-988.517754125078 112.309091366961 -446.257695300051</t>
  </si>
  <si>
    <t>-988.179083391032 115.747336194806 -570.792286810336</t>
  </si>
  <si>
    <t>-958.928528721251 118.08421277439 -648.535334112156</t>
  </si>
  <si>
    <t>-989.334407866596 141.914781975764 -515.229296973714</t>
  </si>
  <si>
    <t>-988.942872015759 277.869263485698 -494.848274364775</t>
  </si>
  <si>
    <t>-1004.55042768841 288.90800694636 -201.206139420056</t>
  </si>
  <si>
    <t>-768.32209805093 325.3174273119 -231.559903598514</t>
  </si>
  <si>
    <t>-987.322129902342 86.5540810270641 -516.752191809017</t>
  </si>
  <si>
    <t>-805.508122635868 2.72631052479028 -327.601310028375</t>
  </si>
  <si>
    <t>-941.221351011644 218.052191673368 -64.8848566557097</t>
  </si>
  <si>
    <t>-938.532834214469 251.60087445529 337.261779087668</t>
  </si>
  <si>
    <t>-959.860033159652 269.951849428407 784.165034734689</t>
  </si>
  <si>
    <t>-822.972822846604 319.962740677991 846.197570254506</t>
  </si>
  <si>
    <t>-900.496031883482 31.8668575326878 -61.6647164876659</t>
  </si>
  <si>
    <t>-849.646071096913 20.2851674337098 338.50381270876</t>
  </si>
  <si>
    <t>-885.415101049196 22.3437554729876 785.040186356065</t>
  </si>
  <si>
    <t>-789.600941403519 -81.0514287506339 857.264584315745</t>
  </si>
  <si>
    <t>9763-20170724T111204.749720300.bin</t>
  </si>
  <si>
    <t>-920.756232088869 124.730004806531 -62.2658687406062</t>
  </si>
  <si>
    <t>-957.2822556567 114.313809607495 -171.689819857745</t>
  </si>
  <si>
    <t>-974.226328766114 111.424121534215 -268.804146922937</t>
  </si>
  <si>
    <t>-984.144538254456 110.815761207478 -357.345038826048</t>
  </si>
  <si>
    <t>-988.210109295219 112.048634480463 -446.34052714975</t>
  </si>
  <si>
    <t>-987.679012505627 115.501027296753 -570.87412393014</t>
  </si>
  <si>
    <t>-958.371836692791 117.842357365173 -648.595677470752</t>
  </si>
  <si>
    <t>-988.979521928106 141.659769012859 -515.310369189328</t>
  </si>
  <si>
    <t>-988.961177203498 277.607666112511 -494.850656516909</t>
  </si>
  <si>
    <t>-1004.77320953017 288.181584392251 -201.202247360059</t>
  </si>
  <si>
    <t>-768.569004433449 325.119456618244 -231.102314664229</t>
  </si>
  <si>
    <t>-986.845835770995 86.3038105385813 -516.835911565641</t>
  </si>
  <si>
    <t>-805.328776008639 3.75464438008294 -326.771303569435</t>
  </si>
  <si>
    <t>-941.404225056008 217.747226650213 -64.8780471318363</t>
  </si>
  <si>
    <t>-938.774354331788 251.47065064004 337.254398278963</t>
  </si>
  <si>
    <t>-960.008182759495 270.104644898354 784.138058982353</t>
  </si>
  <si>
    <t>-823.053004283448 319.907576352653 846.188315020342</t>
  </si>
  <si>
    <t>-900.515780645483 31.6359870909628 -61.692478903969</t>
  </si>
  <si>
    <t>-849.784282866664 20.1236582845318 338.493035979247</t>
  </si>
  <si>
    <t>-885.391470127884 22.3334676260497 785.058633861343</t>
  </si>
  <si>
    <t>-789.481108489848 -80.9848325985863 857.26540726225</t>
  </si>
  <si>
    <t>9763-20170724T111204.818903800.bin</t>
  </si>
  <si>
    <t>-920.8762463588 124.072406303057 -62.2945552699202</t>
  </si>
  <si>
    <t>-957.193638401798 113.595418842856 -171.782043013804</t>
  </si>
  <si>
    <t>-973.846187034173 110.674072867132 -268.945981428422</t>
  </si>
  <si>
    <t>-983.454062893338 110.040360719323 -357.520923589375</t>
  </si>
  <si>
    <t>-987.163706564005 111.251125791776 -446.532218984182</t>
  </si>
  <si>
    <t>-986.087316413012 114.67389541482 -571.063009157347</t>
  </si>
  <si>
    <t>-956.620334124076 117.027391742649 -648.723732824503</t>
  </si>
  <si>
    <t>-987.745567162666 140.841220073813 -515.512865982702</t>
  </si>
  <si>
    <t>-988.442038661049 276.769554843393 -495.000085359372</t>
  </si>
  <si>
    <t>-1004.51862817718 287.296612296015 -201.364380181982</t>
  </si>
  <si>
    <t>-768.453561177389 325.570451556389 -230.678727957539</t>
  </si>
  <si>
    <t>-985.376237193382 85.4942105628561 -517.013505345024</t>
  </si>
  <si>
    <t>-805.026491933621 5.2676959504729 -325.654905327789</t>
  </si>
  <si>
    <t>-941.776445767338 216.913357368913 -64.8826214808514</t>
  </si>
  <si>
    <t>-939.285860433008 251.005076280781 337.219675428765</t>
  </si>
  <si>
    <t>-960.017802969993 270.040753045424 784.083400273361</t>
  </si>
  <si>
    <t>-823.285211450803 320.409262137111 846.167897200512</t>
  </si>
  <si>
    <t>-900.364471463538 31.0690264726454 -61.7780658461139</t>
  </si>
  <si>
    <t>-850.099761848639 19.8242022634827 338.473982543219</t>
  </si>
  <si>
    <t>-885.410985626678 22.1799104756537 785.080314902104</t>
  </si>
  <si>
    <t>-789.295238400565 -80.9656543314386 857.260739032055</t>
  </si>
  <si>
    <t>9763-20170724T111204.883763200.bin</t>
  </si>
  <si>
    <t>-920.987540055553 123.525148524634 -62.423618561642</t>
  </si>
  <si>
    <t>-957.085894042591 112.930940584098 -171.972285032285</t>
  </si>
  <si>
    <t>-973.427331825504 109.953260127905 -269.187260775782</t>
  </si>
  <si>
    <t>-982.701890471294 109.278885510264 -357.797415618207</t>
  </si>
  <si>
    <t>-986.024839603532 110.456037135255 -446.824457028638</t>
  </si>
  <si>
    <t>-984.353383533344 113.835497115363 -571.3500580387</t>
  </si>
  <si>
    <t>-954.656200534591 116.160079934003 -648.923917972829</t>
  </si>
  <si>
    <t>-986.326442983975 140.020040991342 -515.818169780826</t>
  </si>
  <si>
    <t>-987.39302030178 275.946303677129 -495.326861246115</t>
  </si>
  <si>
    <t>-1003.9987127985 286.890804864689 -201.736007425869</t>
  </si>
  <si>
    <t>-768.062613189511 326.59563916028 -230.171388138523</t>
  </si>
  <si>
    <t>-983.851131980888 84.6767051436136 -517.286802985631</t>
  </si>
  <si>
    <t>-804.924294481494 5.86312401915711 -325.485219630258</t>
  </si>
  <si>
    <t>-942.189252908402 216.334383395107 -64.9994585250631</t>
  </si>
  <si>
    <t>-939.756591615521 250.732488337484 337.077100763301</t>
  </si>
  <si>
    <t>-960.159969018666 270.200375960644 783.970353957595</t>
  </si>
  <si>
    <t>-823.366428096616 320.34500854498 846.101816608884</t>
  </si>
  <si>
    <t>-900.230642902991 30.5274864326125 -61.8676945226422</t>
  </si>
  <si>
    <t>-850.350697040737 19.5979940188126 338.441172245489</t>
  </si>
  <si>
    <t>-885.370720196609 22.0802048108035 785.084281947432</t>
  </si>
  <si>
    <t>-789.036206574004 -80.8759946983857 857.244052422176</t>
  </si>
  <si>
    <t>9763-20170724T111204.916845700.bin</t>
  </si>
  <si>
    <t>-921.000692570273 123.355992765969 -62.4679630694205</t>
  </si>
  <si>
    <t>-956.997118645491 112.740533500208 -172.047957300373</t>
  </si>
  <si>
    <t>-973.213910002567 109.749233254784 -269.283328284952</t>
  </si>
  <si>
    <t>-982.360246305511 109.062799831996 -357.906832738541</t>
  </si>
  <si>
    <t>-985.539795709653 110.227349883048 -446.939310345424</t>
  </si>
  <si>
    <t>-983.652216324025 113.587249827724 -571.46221124316</t>
  </si>
  <si>
    <t>-953.827138340815 115.859412020993 -648.988555260868</t>
  </si>
  <si>
    <t>-985.725585803255 139.780140205511 -515.938017965233</t>
  </si>
  <si>
    <t>-986.844685508785 275.710384028383 -495.481259160733</t>
  </si>
  <si>
    <t>-1003.75458318186 286.702331039462 -201.909279944129</t>
  </si>
  <si>
    <t>-767.869267797325 327.028918009112 -229.887178296954</t>
  </si>
  <si>
    <t>-983.240256753269 84.4370347280151 -517.393689102933</t>
  </si>
  <si>
    <t>-804.307957147133 5.2629336804689 -325.594491825408</t>
  </si>
  <si>
    <t>-942.165075580898 216.123259879895 -65.0655867885199</t>
  </si>
  <si>
    <t>-939.842848742123 250.610126020755 337.003989634422</t>
  </si>
  <si>
    <t>-960.15182150305 270.149055747741 783.910208614307</t>
  </si>
  <si>
    <t>-823.326993530862 320.185337556961 846.060261644248</t>
  </si>
  <si>
    <t>-900.256155387451 30.4122479934299 -61.8837220860948</t>
  </si>
  <si>
    <t>-850.43953755838 19.4607459202325 338.432415527557</t>
  </si>
  <si>
    <t>-885.355063413993 22.023147763829 785.09149644186</t>
  </si>
  <si>
    <t>-788.948414146902 -80.8714591123598 857.242498641261</t>
  </si>
  <si>
    <t>9763-20170724T111204.982679700.bin</t>
  </si>
  <si>
    <t>-920.94084670905 123.119700798191 -62.4697228858415</t>
  </si>
  <si>
    <t>-956.769074743155 112.594444038453 -172.113572114018</t>
  </si>
  <si>
    <t>-972.722548581166 109.576914196275 -269.391836648324</t>
  </si>
  <si>
    <t>-981.587466633004 108.826682694591 -358.043166086362</t>
  </si>
  <si>
    <t>-984.444642386671 109.887498807725 -447.087919106626</t>
  </si>
  <si>
    <t>-982.067068322219 113.061770753062 -571.607282130523</t>
  </si>
  <si>
    <t>-951.97870325901 115.119402525867 -649.037889064832</t>
  </si>
  <si>
    <t>-984.349202363767 139.338018694448 -516.130611304213</t>
  </si>
  <si>
    <t>-985.551639817157 275.298960393972 -495.832113736884</t>
  </si>
  <si>
    <t>-1002.99939411566 286.313692747266 -202.292601898924</t>
  </si>
  <si>
    <t>-767.24188493668 327.724722563619 -229.757843275156</t>
  </si>
  <si>
    <t>-981.877625733098 83.9919620920923 -517.494338347978</t>
  </si>
  <si>
    <t>-802.863415420534 4.86663168064842 -324.812647342984</t>
  </si>
  <si>
    <t>-941.932524294931 215.88755128847 -65.1254447754699</t>
  </si>
  <si>
    <t>-939.640696277849 250.541949679986 336.929924450037</t>
  </si>
  <si>
    <t>-960.255856370501 270.160953496282 783.845002133518</t>
  </si>
  <si>
    <t>-823.41802890855 320.149595164717 846.004914153289</t>
  </si>
  <si>
    <t>-900.427400102428 30.2349502090024 -61.8956471127885</t>
  </si>
  <si>
    <t>-850.800144136765 19.3578447427954 338.446061885264</t>
  </si>
  <si>
    <t>-885.267020387688 22.0176031212104 785.121017364052</t>
  </si>
  <si>
    <t>-788.88134322698 -80.9073987333984 857.256255391327</t>
  </si>
  <si>
    <t>9763-20170724T111205.013761500.bin</t>
  </si>
  <si>
    <t>-920.969255593767 123.175699953565 -62.4808492138459</t>
  </si>
  <si>
    <t>-956.714515746783 112.712866957663 -172.157711838157</t>
  </si>
  <si>
    <t>-972.507475807854 109.661354765964 -269.461037609738</t>
  </si>
  <si>
    <t>-981.194592694332 108.846078134396 -358.129576625273</t>
  </si>
  <si>
    <t>-983.842760214754 109.807007119311 -447.181882431431</t>
  </si>
  <si>
    <t>-981.142366187872 112.805874984239 -571.698957816111</t>
  </si>
  <si>
    <t>-950.929967003723 114.72402017138 -649.084797881375</t>
  </si>
  <si>
    <t>-983.549859023563 139.160928107914 -516.265159661192</t>
  </si>
  <si>
    <t>-984.724968112039 275.14407392692 -496.107812130777</t>
  </si>
  <si>
    <t>-1002.55422814508 286.168604310017 -202.591740895505</t>
  </si>
  <si>
    <t>-766.871853341083 328.062474205031 -229.967788248251</t>
  </si>
  <si>
    <t>-981.111505230584 83.8114026430731 -517.545291033022</t>
  </si>
  <si>
    <t>-802.53055871665 5.30521984756342 -324.059012544255</t>
  </si>
  <si>
    <t>-941.872310711253 215.899956334706 -65.1537540274444</t>
  </si>
  <si>
    <t>-939.441477843563 250.519819950617 336.903771242795</t>
  </si>
  <si>
    <t>-960.239974493053 270.068135065758 783.802697321361</t>
  </si>
  <si>
    <t>-823.55375412454 320.468631065858 845.963518747684</t>
  </si>
  <si>
    <t>-900.571274609068 30.3283108758274 -61.8957701780575</t>
  </si>
  <si>
    <t>-850.976192760309 19.3423771105618 338.446970725921</t>
  </si>
  <si>
    <t>-885.203476183043 22.038035800224 785.132784269068</t>
  </si>
  <si>
    <t>-788.871738181199 -80.9412917832278 857.263007046605</t>
  </si>
  <si>
    <t>9763-20170724T111205.079964700.bin</t>
  </si>
  <si>
    <t>-920.763628631036 123.474414425748 -62.5916664517697</t>
  </si>
  <si>
    <t>-956.377301418631 113.094720930394 -172.319325171983</t>
  </si>
  <si>
    <t>-971.892637448885 109.928374092605 -269.66351481021</t>
  </si>
  <si>
    <t>-980.266983035736 108.933048633559 -358.360335687213</t>
  </si>
  <si>
    <t>-982.544755689859 109.63430938864 -447.425231810376</t>
  </si>
  <si>
    <t>-979.268863046311 112.184845995879 -571.938642766287</t>
  </si>
  <si>
    <t>-948.844117383207 113.76077505387 -649.248773624197</t>
  </si>
  <si>
    <t>-981.824095039947 138.744015808708 -516.608641343798</t>
  </si>
  <si>
    <t>-982.680153144463 274.782010206169 -496.848285326877</t>
  </si>
  <si>
    <t>-1001.27749872311 286.350998527995 -203.400650256171</t>
  </si>
  <si>
    <t>-765.739396037365 329.314224412578 -230.361819345523</t>
  </si>
  <si>
    <t>-979.596697587593 83.3810316727604 -517.68411679454</t>
  </si>
  <si>
    <t>-802.679086765751 4.34016674339227 -323.82548791048</t>
  </si>
  <si>
    <t>-941.223174383273 216.085874422749 -65.2606372445808</t>
  </si>
  <si>
    <t>-939.111570655459 250.810456921488 336.789602713105</t>
  </si>
  <si>
    <t>-960.389875159593 270.160984336522 783.679180521807</t>
  </si>
  <si>
    <t>-823.627062006217 320.331798307676 845.857395845799</t>
  </si>
  <si>
    <t>-900.666498002752 30.6399117800188 -61.8842272416521</t>
  </si>
  <si>
    <t>-851.014341249868 19.4403474902733 338.445484421663</t>
  </si>
  <si>
    <t>-885.065918214032 22.0769272968855 785.144622312632</t>
  </si>
  <si>
    <t>-788.98447826333 -81.128825413193 857.284953046601</t>
  </si>
  <si>
    <t>9763-20170724T111205.119067200.bin</t>
  </si>
  <si>
    <t>-920.498389687017 123.487900066716 -62.629304347653</t>
  </si>
  <si>
    <t>-956.041401621025 113.125696119665 -172.381546247249</t>
  </si>
  <si>
    <t>-971.422513487358 109.883715785609 -269.744585361691</t>
  </si>
  <si>
    <t>-979.648094342431 108.781794265644 -358.454143238286</t>
  </si>
  <si>
    <t>-981.750262700306 109.335481680272 -447.524382986651</t>
  </si>
  <si>
    <t>-978.20352429851 111.634889018461 -572.035262649592</t>
  </si>
  <si>
    <t>-947.651959794593 112.993041755424 -649.299545805411</t>
  </si>
  <si>
    <t>-980.792864700643 138.308740012983 -516.76209489909</t>
  </si>
  <si>
    <t>-981.303818100058 274.391647491545 -497.284181396956</t>
  </si>
  <si>
    <t>-1000.21924778081 286.41949092061 -203.875364771817</t>
  </si>
  <si>
    <t>-764.710990426127 329.906366171222 -230.249586747912</t>
  </si>
  <si>
    <t>-978.735514788574 82.9371937241831 -517.726099287556</t>
  </si>
  <si>
    <t>-802.64591616042 3.08565203046328 -323.722224084206</t>
  </si>
  <si>
    <t>-940.683265953964 216.12779836964 -65.3559733040192</t>
  </si>
  <si>
    <t>-938.819055230972 250.839828486619 336.696558736182</t>
  </si>
  <si>
    <t>-960.380701288112 270.122041307491 783.58243990185</t>
  </si>
  <si>
    <t>-823.635875718897 320.334556647362 845.766596245554</t>
  </si>
  <si>
    <t>-900.624254414775 30.5470305087597 -61.8705457884205</t>
  </si>
  <si>
    <t>-850.893732654146 19.3535729266828 338.449741837221</t>
  </si>
  <si>
    <t>-885.055387924816 21.998831055048 785.149284115525</t>
  </si>
  <si>
    <t>-788.794011985559 -81.0444034809095 857.281969726693</t>
  </si>
  <si>
    <t>9763-20170724T111205.183250600.bin</t>
  </si>
  <si>
    <t>-919.854952855457 123.429279001665 -62.6145574753317</t>
  </si>
  <si>
    <t>-955.293729146106 113.130771191106 -172.406451676404</t>
  </si>
  <si>
    <t>-970.462748939361 109.747887764098 -269.798020471082</t>
  </si>
  <si>
    <t>-978.451018737275 108.437194208162 -358.526291005424</t>
  </si>
  <si>
    <t>-980.27350244932 108.693808889896 -447.604060855366</t>
  </si>
  <si>
    <t>-976.293738736257 110.4820494481 -572.110261917897</t>
  </si>
  <si>
    <t>-945.502914169461 111.325823024152 -649.287020733428</t>
  </si>
  <si>
    <t>-978.849623671083 137.390109698497 -516.949178726315</t>
  </si>
  <si>
    <t>-978.276761404539 273.540195015499 -497.986183276603</t>
  </si>
  <si>
    <t>-997.162757574188 287.050652334139 -204.640002685386</t>
  </si>
  <si>
    <t>-761.681749883895 330.903552664388 -230.649311072669</t>
  </si>
  <si>
    <t>-977.240356688791 82.0002399968052 -517.693402680506</t>
  </si>
  <si>
    <t>-802.512898357414 0.270614641523025 -323.810877236697</t>
  </si>
  <si>
    <t>-939.434168750968 216.18944013555 -65.4967314224848</t>
  </si>
  <si>
    <t>-938.061992158997 250.907422739485 336.557331188488</t>
  </si>
  <si>
    <t>-960.44200351515 270.004285483185 783.454859530014</t>
  </si>
  <si>
    <t>-823.710016692011 320.300406762336 845.599302964457</t>
  </si>
  <si>
    <t>-900.641837898249 30.4786111686026 -61.7636129484281</t>
  </si>
  <si>
    <t>-850.658479311283 19.1537811456978 338.521418092053</t>
  </si>
  <si>
    <t>-884.990600699077 21.8929159562517 785.1714916105</t>
  </si>
  <si>
    <t>-788.719967833021 -81.137958024749 857.309380436421</t>
  </si>
  <si>
    <t>9763-20170724T111205.216334500.bin</t>
  </si>
  <si>
    <t>-919.684235415029 123.48842423036 -62.6038227288614</t>
  </si>
  <si>
    <t>-955.111104524283 113.225478735449 -172.402804755907</t>
  </si>
  <si>
    <t>-970.231748621666 109.787961113035 -269.799983965921</t>
  </si>
  <si>
    <t>-978.162569901331 108.392454570834 -358.532223400089</t>
  </si>
  <si>
    <t>-979.914908251255 108.525884928178 -447.611636362705</t>
  </si>
  <si>
    <t>-975.825330184731 110.100573685934 -572.117194427535</t>
  </si>
  <si>
    <t>-944.951879724076 110.669895328125 -649.26326056483</t>
  </si>
  <si>
    <t>-978.313538631746 137.106114795922 -517.000686800532</t>
  </si>
  <si>
    <t>-977.068890192118 273.2854683506 -498.273741855465</t>
  </si>
  <si>
    <t>-995.139512940946 287.480395154188 -204.908372369321</t>
  </si>
  <si>
    <t>-759.724838820566 331.524048662207 -231.194805029326</t>
  </si>
  <si>
    <t>-976.936529539756 81.7091449612053 -517.656226556274</t>
  </si>
  <si>
    <t>-939.07622909846 216.232563534151 -65.5072369287838</t>
  </si>
  <si>
    <t>-937.696675152122 250.902564457004 336.550915947885</t>
  </si>
  <si>
    <t>-960.469334074865 269.807478061455 783.482061823834</t>
  </si>
  <si>
    <t>-823.643598107351 319.91707013536 845.571117689402</t>
  </si>
  <si>
    <t>-900.773864892124 30.5883224836593 -61.6986324152622</t>
  </si>
  <si>
    <t>-850.654800421589 19.0636643120474 338.563626003791</t>
  </si>
  <si>
    <t>-884.926136460595 21.892753631907 785.19166327569</t>
  </si>
  <si>
    <t>-788.551777179793 -81.0459675266391 857.322878085457</t>
  </si>
  <si>
    <t>9763-20170724T111205.280526700.bin</t>
  </si>
  <si>
    <t>-919.752169573757 123.718582532593 -62.5602111381191</t>
  </si>
  <si>
    <t>-955.160224562965 113.614195411175 -172.380032521236</t>
  </si>
  <si>
    <t>-970.166019910433 110.062607447349 -269.790902600784</t>
  </si>
  <si>
    <t>-977.961017878348 108.466305090842 -358.531783212906</t>
  </si>
  <si>
    <t>-979.548606048664 108.298194403555 -447.614112376187</t>
  </si>
  <si>
    <t>-975.203338573337 109.346431684029 -572.116486108259</t>
  </si>
  <si>
    <t>-944.225164338698 109.360200108911 -649.222837072228</t>
  </si>
  <si>
    <t>-977.622054336656 136.588710100391 -517.113750528542</t>
  </si>
  <si>
    <t>-975.218780562438 272.818580423987 -498.860067901532</t>
  </si>
  <si>
    <t>-989.568563691448 288.779358157992 -205.379963271187</t>
  </si>
  <si>
    <t>-754.383256058133 333.131253847211 -233.158226844214</t>
  </si>
  <si>
    <t>-976.608943223474 81.1815537445141 -517.544708344851</t>
  </si>
  <si>
    <t>-938.723456587488 216.434614302607 -65.5751402691191</t>
  </si>
  <si>
    <t>-937.087878770098 250.995866945138 336.491505204796</t>
  </si>
  <si>
    <t>-960.607264827622 269.681549932026 783.370798473956</t>
  </si>
  <si>
    <t>-823.796954320169 319.89700511188 845.408228259066</t>
  </si>
  <si>
    <t>-901.289398721806 30.8447135645756 -61.5872387226289</t>
  </si>
  <si>
    <t>-850.82458531153 19.1156713506875 338.62577533722</t>
  </si>
  <si>
    <t>-884.797713152282 21.8974864908078 785.231160069731</t>
  </si>
  <si>
    <t>-788.637330614365 -81.2352167307863 857.370845488655</t>
  </si>
  <si>
    <t>9763-20170724T111205.315619200.bin</t>
  </si>
  <si>
    <t>-919.736083736058 123.882034433158 -62.6044723149633</t>
  </si>
  <si>
    <t>-955.117553578779 113.829501882436 -172.437607018781</t>
  </si>
  <si>
    <t>-970.05871384022 110.219648862568 -269.856277555944</t>
  </si>
  <si>
    <t>-977.781137098336 108.530396594112 -358.601701336518</t>
  </si>
  <si>
    <t>-979.283982893246 108.227849494248 -447.685420255363</t>
  </si>
  <si>
    <t>-974.808797253558 109.044292351828 -572.184842319721</t>
  </si>
  <si>
    <t>-943.813140741029 108.83455773379 -649.283659970354</t>
  </si>
  <si>
    <t>-977.189809996283 136.39042630588 -517.231899635286</t>
  </si>
  <si>
    <t>-974.115281275944 272.62509776678 -499.178219118594</t>
  </si>
  <si>
    <t>-985.611877677108 290.375496758495 -205.675334123242</t>
  </si>
  <si>
    <t>-750.413379860332 334.139038720093 -234.263807499545</t>
  </si>
  <si>
    <t>-976.366367121346 80.9795600156208 -517.56572534827</t>
  </si>
  <si>
    <t>-938.404671414057 216.706823620921 -65.7030709569414</t>
  </si>
  <si>
    <t>-936.897445869943 251.009946463892 336.386090371969</t>
  </si>
  <si>
    <t>-960.567737285133 269.577080428481 783.223204417255</t>
  </si>
  <si>
    <t>-823.896078480537 320.173515236773 845.256380846341</t>
  </si>
  <si>
    <t>-901.488581491337 30.9038362409583 -61.5677323554494</t>
  </si>
  <si>
    <t>-850.875380987856 19.1430169812979 338.625538704102</t>
  </si>
  <si>
    <t>-884.792168956837 21.7970117456493 785.234144602441</t>
  </si>
  <si>
    <t>-788.469266516766 -81.1865652647555 857.369901917541</t>
  </si>
  <si>
    <t>9763-20170724T111205.378802200.bin</t>
  </si>
  <si>
    <t>-919.647047785362 124.41907362261 -62.7889372178379</t>
  </si>
  <si>
    <t>-954.954075308755 114.266125939186 -172.636883505026</t>
  </si>
  <si>
    <t>-969.797430553753 110.522642865883 -270.06536169912</t>
  </si>
  <si>
    <t>-977.416803415895 108.687080170825 -358.816679251392</t>
  </si>
  <si>
    <t>-978.801875718184 108.204625857266 -447.90158771005</t>
  </si>
  <si>
    <t>-974.147056215013 108.728340748763 -572.395986332245</t>
  </si>
  <si>
    <t>-943.14201230366 108.106142969491 -649.488972663996</t>
  </si>
  <si>
    <t>-976.373746437779 136.206182149771 -517.502234327797</t>
  </si>
  <si>
    <t>-971.562480128275 272.434508342468 -499.732065437344</t>
  </si>
  <si>
    <t>-974.89542153805 295.188545609702 -206.368034420578</t>
  </si>
  <si>
    <t>-739.22629336101 335.243218809756 -236.477119611997</t>
  </si>
  <si>
    <t>-976.017005742866 80.7896335816172 -517.721868666542</t>
  </si>
  <si>
    <t>-938.079141807708 217.401809348531 -66.0744965955</t>
  </si>
  <si>
    <t>-936.996309177533 251.461803935512 336.036712271835</t>
  </si>
  <si>
    <t>-960.708342369114 269.777812683619 782.873511804537</t>
  </si>
  <si>
    <t>-824.025535872961 320.339396974322 844.910971462998</t>
  </si>
  <si>
    <t>-901.525844540496 31.3350087977055 -61.5294276939087</t>
  </si>
  <si>
    <t>-850.630527975388 19.2230316387759 338.617595403534</t>
  </si>
  <si>
    <t>-884.701870067297 21.7317035455776 785.214309933111</t>
  </si>
  <si>
    <t>-788.267309813087 -81.1416803857603 857.358362602246</t>
  </si>
  <si>
    <t>9763-20170724T111205.412895700.bin</t>
  </si>
  <si>
    <t>-919.659172069559 124.644073661514 -62.8778836778235</t>
  </si>
  <si>
    <t>-954.913227528815 114.392171797566 -172.733512478704</t>
  </si>
  <si>
    <t>-969.717668127946 110.569664815059 -270.164842371552</t>
  </si>
  <si>
    <t>-977.302858781972 108.658895057078 -358.917717625524</t>
  </si>
  <si>
    <t>-978.653379253589 108.092043924943 -448.002384004152</t>
  </si>
  <si>
    <t>-973.950040763492 108.483993928957 -572.495505690902</t>
  </si>
  <si>
    <t>-942.947502141101 107.654194347997 -649.58761280463</t>
  </si>
  <si>
    <t>-976.091240956892 136.020158208736 -517.627668593834</t>
  </si>
  <si>
    <t>-970.473019566355 272.224728466857 -499.91859441552</t>
  </si>
  <si>
    <t>-968.206096441795 297.742960141642 -206.772020861179</t>
  </si>
  <si>
    <t>-732.223460538346 335.003888922255 -237.992155571393</t>
  </si>
  <si>
    <t>-975.948502066719 80.6024774167108 -517.796789771427</t>
  </si>
  <si>
    <t>-938.227536183552 217.712059856175 -66.2823328459352</t>
  </si>
  <si>
    <t>-937.071496447231 251.727125123044 335.832424235035</t>
  </si>
  <si>
    <t>-960.809168418736 269.93139286574 782.698994262471</t>
  </si>
  <si>
    <t>-824.049781582991 320.276045129568 844.744564318956</t>
  </si>
  <si>
    <t>-901.434413274072 31.4912342291063 -61.5218356874755</t>
  </si>
  <si>
    <t>-850.512786279774 19.3076605842907 338.619601375594</t>
  </si>
  <si>
    <t>-884.66107976269 21.7013424013603 785.20296549517</t>
  </si>
  <si>
    <t>-788.242054978466 -81.1821172907689 857.353106591405</t>
  </si>
  <si>
    <t>9763-20170724T111205.483101500.bin</t>
  </si>
  <si>
    <t>-919.85087953887 125.002352404578 -63.0173851216384</t>
  </si>
  <si>
    <t>-955.017610148439 114.63984683549 -172.890714913394</t>
  </si>
  <si>
    <t>-969.761028995662 110.692159707917 -270.326374923968</t>
  </si>
  <si>
    <t>-977.294830480351 108.644733589928 -359.08039774533</t>
  </si>
  <si>
    <t>-978.597533481682 107.909838475206 -448.164709740489</t>
  </si>
  <si>
    <t>-973.829907563253 108.027609315863 -572.655950275824</t>
  </si>
  <si>
    <t>-942.847884700011 106.813331011781 -649.751150110161</t>
  </si>
  <si>
    <t>-975.86245487822 135.684723086418 -517.844834517129</t>
  </si>
  <si>
    <t>-969.424763767787 271.867300908576 -500.300578473616</t>
  </si>
  <si>
    <t>-954.711453426379 301.737551579806 -207.926688190499</t>
  </si>
  <si>
    <t>-717.972800620969 332.878895243802 -240.110648850804</t>
  </si>
  <si>
    <t>-975.993745749251 80.2667973860948 -517.902230988494</t>
  </si>
  <si>
    <t>-938.792899269759 218.145585185149 -66.5480074852049</t>
  </si>
  <si>
    <t>-937.774359618438 252.036122089356 335.577709820692</t>
  </si>
  <si>
    <t>-960.970788243119 270.096000266446 782.493274166953</t>
  </si>
  <si>
    <t>-824.157565956565 320.383968821205 844.465828517738</t>
  </si>
  <si>
    <t>-901.361021243158 31.7491551998696 -61.5881828415152</t>
  </si>
  <si>
    <t>-850.588881738897 19.6375149236642 338.574560081847</t>
  </si>
  <si>
    <t>-884.560115703674 21.7106687051332 785.169023502655</t>
  </si>
  <si>
    <t>-788.200077557225 -81.2210488346711 857.329053146313</t>
  </si>
  <si>
    <t>9763-20170724T111205.514185000.bin</t>
  </si>
  <si>
    <t>-919.959637067045 125.219242059849 -63.101474082213</t>
  </si>
  <si>
    <t>-955.098710112238 114.823291265196 -172.980451978249</t>
  </si>
  <si>
    <t>-969.820661202856 110.822896519897 -270.41716377135</t>
  </si>
  <si>
    <t>-977.334654125348 108.713254182291 -359.17145954831</t>
  </si>
  <si>
    <t>-978.617397215106 107.897740300927 -448.255356178534</t>
  </si>
  <si>
    <t>-973.822858962594 107.881332717985 -572.74560549915</t>
  </si>
  <si>
    <t>-942.844990386966 106.487113009495 -649.839566297363</t>
  </si>
  <si>
    <t>-975.801827914762 135.597413560854 -517.96235983032</t>
  </si>
  <si>
    <t>-968.811013259444 271.758373353999 -500.342457513936</t>
  </si>
  <si>
    <t>-949.652729104271 303.536905473909 -208.427540140712</t>
  </si>
  <si>
    <t>-712.356471409588 331.126948682468 -239.736061458674</t>
  </si>
  <si>
    <t>-976.063863888229 80.1798201057181 -517.964979398474</t>
  </si>
  <si>
    <t>-939.0125489864 218.327317968934 -66.6355494789609</t>
  </si>
  <si>
    <t>-938.097430832717 252.075267663055 335.502333016423</t>
  </si>
  <si>
    <t>-960.900480000241 269.957925686131 782.429042660977</t>
  </si>
  <si>
    <t>-824.249317258415 320.743796417235 844.353196746536</t>
  </si>
  <si>
    <t>-901.343513630454 32.0268300110447 -61.6369926679473</t>
  </si>
  <si>
    <t>-850.645976861228 19.797802640267 338.531589280969</t>
  </si>
  <si>
    <t>-884.516447830964 21.7137136256201 785.151287756497</t>
  </si>
  <si>
    <t>-788.209042218036 -81.2644884703323 857.314894571196</t>
  </si>
  <si>
    <t>9763-20170724T111205.584147100.bin</t>
  </si>
  <si>
    <t>-920.065444928954 125.597546842759 -63.2349969110378</t>
  </si>
  <si>
    <t>-955.194154082745 115.251520124596 -173.121970214706</t>
  </si>
  <si>
    <t>-969.874858175757 111.238299492042 -270.56445305593</t>
  </si>
  <si>
    <t>-977.338552294072 109.087640441707 -359.322070893665</t>
  </si>
  <si>
    <t>-978.558216247324 108.195703886733 -448.405939475769</t>
  </si>
  <si>
    <t>-973.662067463788 108.030090651683 -572.892187084084</t>
  </si>
  <si>
    <t>-942.681318360726 106.32006084662 -649.978538914482</t>
  </si>
  <si>
    <t>-975.517231551061 135.810341346359 -518.137070962345</t>
  </si>
  <si>
    <t>-967.340152188923 271.925004955876 -500.553090959526</t>
  </si>
  <si>
    <t>-946.647007280427 303.467216637965 -208.71755905901</t>
  </si>
  <si>
    <t>-708.873477579937 328.151066089721 -238.805347323211</t>
  </si>
  <si>
    <t>-976.115796418797 80.3954427125532 -518.086822113338</t>
  </si>
  <si>
    <t>-939.096879609511 218.727600947958 -66.7497106960611</t>
  </si>
  <si>
    <t>-938.511270184775 252.479643880399 335.388406149478</t>
  </si>
  <si>
    <t>-961.209139296104 270.235277072718 782.383543307958</t>
  </si>
  <si>
    <t>-824.320417122284 320.475168753463 844.228393303841</t>
  </si>
  <si>
    <t>-901.417946848571 32.2508817160438 -61.6990581544216</t>
  </si>
  <si>
    <t>-850.657444020394 19.9525233704903 338.459424905371</t>
  </si>
  <si>
    <t>-884.43523616276 21.7241825378974 785.110333563806</t>
  </si>
  <si>
    <t>-788.219300955996 -81.334462643553 857.28190290443</t>
  </si>
  <si>
    <t>9763-20170724T111205.614226100.bin</t>
  </si>
  <si>
    <t>-920.046432715365 125.636408561568 -63.1997723256734</t>
  </si>
  <si>
    <t>-955.217366649286 115.410215077811 -173.084346877822</t>
  </si>
  <si>
    <t>-969.88866853505 111.440642685782 -270.530056522602</t>
  </si>
  <si>
    <t>-977.327688448852 109.309317278357 -359.290230326588</t>
  </si>
  <si>
    <t>-978.507413026083 108.416852496174 -448.374748507274</t>
  </si>
  <si>
    <t>-973.541346720408 108.230175785071 -572.858159935918</t>
  </si>
  <si>
    <t>-942.547837496374 106.401794050115 -649.936570252913</t>
  </si>
  <si>
    <t>-975.39060811066 136.019297486593 -518.107254245791</t>
  </si>
  <si>
    <t>-967.020120789711 272.129284992852 -500.577813256427</t>
  </si>
  <si>
    <t>-947.331256207809 302.630109238003 -208.561907034034</t>
  </si>
  <si>
    <t>-709.354161181164 327.055138602128 -237.219626453926</t>
  </si>
  <si>
    <t>-976.062775048871 80.6053334516687 -518.051035301302</t>
  </si>
  <si>
    <t>-938.961180278616 218.890084616443 -66.7436961216536</t>
  </si>
  <si>
    <t>-938.380735049978 252.571141440574 335.400427169888</t>
  </si>
  <si>
    <t>-961.291934622206 270.259103369245 782.398966294932</t>
  </si>
  <si>
    <t>-824.375857277476 320.460606422588 844.213823109769</t>
  </si>
  <si>
    <t>-901.581386694446 32.2821095613626 -61.6951480417628</t>
  </si>
  <si>
    <t>-850.679477325827 19.8945937966905 338.442609822013</t>
  </si>
  <si>
    <t>-884.415389769604 21.7096037775304 785.093486252246</t>
  </si>
  <si>
    <t>-788.164247637666 -81.3159554631125 857.264922937401</t>
  </si>
  <si>
    <t>9763-20170724T111205.683417000.bin</t>
  </si>
  <si>
    <t>-920.021110444569 125.82806692921 -63.1370366839125</t>
  </si>
  <si>
    <t>-955.327244833316 115.740263551339 -172.991186288989</t>
  </si>
  <si>
    <t>-970.019410644929 111.802130661115 -270.435101686677</t>
  </si>
  <si>
    <t>-977.441945113778 109.669141125978 -359.196543994871</t>
  </si>
  <si>
    <t>-978.57237331579 108.746765368042 -448.28132143321</t>
  </si>
  <si>
    <t>-973.503997596951 108.491686680501 -572.7605289052</t>
  </si>
  <si>
    <t>-942.371744888623 106.528778996951 -649.779779152277</t>
  </si>
  <si>
    <t>-975.402590903718 136.311098186485 -518.026721688131</t>
  </si>
  <si>
    <t>-967.223271458074 272.415407045289 -500.515753691286</t>
  </si>
  <si>
    <t>-950.353432148346 301.869032454139 -208.215966355546</t>
  </si>
  <si>
    <t>-711.953271834782 326.500530063523 -232.905027317455</t>
  </si>
  <si>
    <t>-976.065687487515 80.8969610999802 -517.940147988831</t>
  </si>
  <si>
    <t>-938.707878282441 219.08357852733 -66.6434589841485</t>
  </si>
  <si>
    <t>-937.752936167572 252.715703078589 335.504045648082</t>
  </si>
  <si>
    <t>-961.343317846456 270.207742041357 782.425726376442</t>
  </si>
  <si>
    <t>-824.363044428106 320.222779143724 844.250024391487</t>
  </si>
  <si>
    <t>-901.701872445027 32.460041726386 -61.6731668977878</t>
  </si>
  <si>
    <t>-850.587634330051 19.8203670989851 338.429666518036</t>
  </si>
  <si>
    <t>-884.36608363009 21.7044901751538 785.062778546794</t>
  </si>
  <si>
    <t>-788.250404304057 -81.4415742701478 857.242646431511</t>
  </si>
  <si>
    <t>9763-20170724T111205.716505500.bin</t>
  </si>
  <si>
    <t>-919.89288056068 125.704156359677 -63.1393476916562</t>
  </si>
  <si>
    <t>-955.247818148833 115.601403787895 -172.97639876674</t>
  </si>
  <si>
    <t>-969.970984493002 111.67345035135 -270.415936178327</t>
  </si>
  <si>
    <t>-977.415704202265 109.558767781271 -359.175950562209</t>
  </si>
  <si>
    <t>-978.562289461791 108.663996815049 -448.26095950791</t>
  </si>
  <si>
    <t>-973.510236216646 108.457144386737 -572.740773941529</t>
  </si>
  <si>
    <t>-942.276449296019 106.487197665316 -649.718681902882</t>
  </si>
  <si>
    <t>-975.413052268181 136.255421250588 -517.996528735384</t>
  </si>
  <si>
    <t>-967.336044697748 272.362899484369 -500.448341079763</t>
  </si>
  <si>
    <t>-951.973523983268 301.619809271592 -208.045875008014</t>
  </si>
  <si>
    <t>-713.438248261277 326.721121961777 -230.887985966207</t>
  </si>
  <si>
    <t>-976.053770962563 80.8409577438761 -517.930400172919</t>
  </si>
  <si>
    <t>-938.569695824671 218.911030259971 -66.6208607177543</t>
  </si>
  <si>
    <t>-937.4604358699 252.549968936475 335.525667112555</t>
  </si>
  <si>
    <t>-961.16592579763 269.956795552151 782.407319205651</t>
  </si>
  <si>
    <t>-824.498401285711 320.79815200894 844.249281656476</t>
  </si>
  <si>
    <t>-901.518632090566 32.3235030109645 -61.6737929354641</t>
  </si>
  <si>
    <t>-850.46845611352 19.7226933455645 338.438455237816</t>
  </si>
  <si>
    <t>-884.353502856349 21.6751302973084 785.048997213133</t>
  </si>
  <si>
    <t>-788.148917132685 -81.3906022774129 857.22543540123</t>
  </si>
  <si>
    <t>9763-20170724T111205.781588800.bin</t>
  </si>
  <si>
    <t>-919.792439078816 125.440790992003 -63.1760758227475</t>
  </si>
  <si>
    <t>-955.216518246629 115.280604397597 -172.985422412116</t>
  </si>
  <si>
    <t>-970.004248934909 111.354390877456 -270.415293210098</t>
  </si>
  <si>
    <t>-977.507922092268 109.26001555602 -359.170811011366</t>
  </si>
  <si>
    <t>-978.711760744082 108.403923184523 -448.255374517275</t>
  </si>
  <si>
    <t>-973.737024212503 108.269653752318 -572.7385355649</t>
  </si>
  <si>
    <t>-942.333008795806 106.322721995092 -649.647689983661</t>
  </si>
  <si>
    <t>-975.647360169515 136.036595543403 -517.978478716205</t>
  </si>
  <si>
    <t>-967.944117622512 272.154466203926 -500.360914610328</t>
  </si>
  <si>
    <t>-954.809792003513 300.255972112859 -207.736556188692</t>
  </si>
  <si>
    <t>-716.204064057964 326.611514493836 -228.316574363027</t>
  </si>
  <si>
    <t>-976.204898450256 80.621217376854 -517.940892397938</t>
  </si>
  <si>
    <t>-938.70453920525 218.776179859839 -66.6626457827889</t>
  </si>
  <si>
    <t>-937.640265190593 252.429596538374 335.482840176313</t>
  </si>
  <si>
    <t>-961.295472441326 270.157339845403 782.345515944044</t>
  </si>
  <si>
    <t>-824.585922483965 320.805434109725 844.253137631987</t>
  </si>
  <si>
    <t>-901.227617680329 31.9097114515785 -61.7299412876731</t>
  </si>
  <si>
    <t>-850.386791413024 19.7151320698699 338.421429972134</t>
  </si>
  <si>
    <t>-884.32086752092 21.6397998858761 785.028574728319</t>
  </si>
  <si>
    <t>-788.14736145337 -81.4513068925633 857.210286428484</t>
  </si>
  <si>
    <t>9763-20170724T111205.814676700.bin</t>
  </si>
  <si>
    <t>-919.836509568109 125.312202692391 -63.2085398391716</t>
  </si>
  <si>
    <t>-955.277954651388 115.120344746557 -173.009419945722</t>
  </si>
  <si>
    <t>-970.072180812266 111.182665876098 -270.437806432057</t>
  </si>
  <si>
    <t>-977.577098295261 109.08314160121 -359.193155056202</t>
  </si>
  <si>
    <t>-978.777922995964 108.22773314711 -448.2777183918</t>
  </si>
  <si>
    <t>-973.794376086275 108.100457291866 -572.760502756376</t>
  </si>
  <si>
    <t>-942.311933414579 106.18885958887 -649.638438569542</t>
  </si>
  <si>
    <t>-975.743054191161 135.864440077311 -518.00037789496</t>
  </si>
  <si>
    <t>-968.228305651455 271.984782746008 -500.306277884682</t>
  </si>
  <si>
    <t>-955.831042019404 299.715794839604 -207.614375570273</t>
  </si>
  <si>
    <t>-717.185811824934 326.37077559043 -227.331321432733</t>
  </si>
  <si>
    <t>-976.231440259318 80.4484754343503 -517.963238710564</t>
  </si>
  <si>
    <t>-938.886587844423 218.704549573547 -66.6815990259339</t>
  </si>
  <si>
    <t>-937.801381241163 252.409280469105 335.459581361507</t>
  </si>
  <si>
    <t>-961.352057962301 270.246050177251 782.333873083918</t>
  </si>
  <si>
    <t>-824.613641802363 320.790046119912 844.263189185036</t>
  </si>
  <si>
    <t>-901.182616392362 31.8088074504917 -61.7653993498382</t>
  </si>
  <si>
    <t>-850.380314209631 19.7273597206931 338.394391827207</t>
  </si>
  <si>
    <t>-884.252965963353 21.7161197360256 785.018069523222</t>
  </si>
  <si>
    <t>-788.221443207188 -81.5050532341786 857.203085791391</t>
  </si>
  <si>
    <t>9763-20170724T111205.880870000.bin</t>
  </si>
  <si>
    <t>-920.103733910192 125.139557344241 -63.2573000963097</t>
  </si>
  <si>
    <t>-955.547996807887 114.905646187784 -173.053634057428</t>
  </si>
  <si>
    <t>-970.345461375774 110.932387304031 -270.480061349978</t>
  </si>
  <si>
    <t>-977.854179300054 108.799280695836 -359.234212996193</t>
  </si>
  <si>
    <t>-979.058739697247 107.908784694368 -448.318522319884</t>
  </si>
  <si>
    <t>-974.08074455809 107.730762889482 -572.801340045266</t>
  </si>
  <si>
    <t>-942.488268734264 105.886814291567 -649.635777508355</t>
  </si>
  <si>
    <t>-976.066359635946 135.517429595095 -518.053918206498</t>
  </si>
  <si>
    <t>-968.798710558856 271.641769327933 -500.308640281624</t>
  </si>
  <si>
    <t>-958.358477713919 298.67600216374 -207.475263394542</t>
  </si>
  <si>
    <t>-719.702213193518 325.674910993363 -226.586175274468</t>
  </si>
  <si>
    <t>-976.476405487714 80.1008198731274 -517.991154646636</t>
  </si>
  <si>
    <t>-939.301326657887 218.512609766682 -66.7083614664928</t>
  </si>
  <si>
    <t>-938.006507063455 252.409679815856 335.415972945356</t>
  </si>
  <si>
    <t>-961.375830450781 270.306999584713 782.314262491887</t>
  </si>
  <si>
    <t>-824.582212601331 320.636670730845 844.295876494678</t>
  </si>
  <si>
    <t>-901.34642513089 31.6449075764808 -61.8162150738164</t>
  </si>
  <si>
    <t>-850.580166029104 19.6355583469335 338.350284142817</t>
  </si>
  <si>
    <t>-884.275719089336 21.6140492792024 785.008779315594</t>
  </si>
  <si>
    <t>-788.050893159311 -81.4365287418173 857.179904054817</t>
  </si>
  <si>
    <t>9763-20170724T111205.912952100.bin</t>
  </si>
  <si>
    <t>-920.257763169031 125.032554404527 -63.2573086207739</t>
  </si>
  <si>
    <t>-955.726245752218 114.812024634058 -173.046830625534</t>
  </si>
  <si>
    <t>-970.559369189858 110.843785777255 -270.467980299368</t>
  </si>
  <si>
    <t>-978.106220456478 108.713793191176 -359.219164956067</t>
  </si>
  <si>
    <t>-979.355384448142 107.826252526692 -448.30272095293</t>
  </si>
  <si>
    <t>-974.445587961341 107.652067259471 -572.788380915489</t>
  </si>
  <si>
    <t>-942.829394835169 105.843693390832 -649.614007997758</t>
  </si>
  <si>
    <t>-976.408492838579 135.437024754463 -518.039389459765</t>
  </si>
  <si>
    <t>-969.234661438636 271.577104035107 -500.343755448263</t>
  </si>
  <si>
    <t>-960.022805767075 298.123004959719 -207.424622928551</t>
  </si>
  <si>
    <t>-721.396178480777 325.506393421468 -226.353526959806</t>
  </si>
  <si>
    <t>-976.803834699714 80.020413677978 -517.977384023007</t>
  </si>
  <si>
    <t>-939.42501528203 218.352281296906 -66.6913284648019</t>
  </si>
  <si>
    <t>-938.044118642815 252.327044823404 335.426146634314</t>
  </si>
  <si>
    <t>-961.337596470544 270.236932156453 782.330963459644</t>
  </si>
  <si>
    <t>-824.68533773411 320.945110527464 844.315687755225</t>
  </si>
  <si>
    <t>-901.499215265345 31.571894345037 -61.829498047687</t>
  </si>
  <si>
    <t>-850.738121440077 19.5841964442834 338.338241454908</t>
  </si>
  <si>
    <t>-884.261930137751 21.6063672796222 785.010982107449</t>
  </si>
  <si>
    <t>-788.098974156308 -81.5012656732199 857.18314158617</t>
  </si>
  <si>
    <t>9763-20170724T111205.980058000.bin</t>
  </si>
  <si>
    <t>-920.641835787327 124.765923623473 -63.2443434531361</t>
  </si>
  <si>
    <t>-956.226219110211 114.595920945066 -173.001114692724</t>
  </si>
  <si>
    <t>-971.208949357851 110.641487880781 -270.400024039308</t>
  </si>
  <si>
    <t>-978.912382306187 108.51728000508 -359.137692424085</t>
  </si>
  <si>
    <t>-980.340691249705 107.631925474569 -448.218707455714</t>
  </si>
  <si>
    <t>-975.704927816709 107.460350868051 -572.714771285494</t>
  </si>
  <si>
    <t>-944.059447004625 105.685967515363 -649.529055970306</t>
  </si>
  <si>
    <t>-977.57131747585 135.244469837868 -517.961923151929</t>
  </si>
  <si>
    <t>-970.582482121007 271.41698306882 -500.423239827135</t>
  </si>
  <si>
    <t>-963.76115558349 297.194851360072 -207.370059827423</t>
  </si>
  <si>
    <t>-725.124626808254 325.221807804379 -225.204516200779</t>
  </si>
  <si>
    <t>-977.918797116189 79.8273409834251 -517.898522970644</t>
  </si>
  <si>
    <t>-939.738424514602 218.054885076996 -66.6379288988848</t>
  </si>
  <si>
    <t>-938.318333428035 252.203540220441 335.464706893991</t>
  </si>
  <si>
    <t>-961.426492327943 270.307403425325 782.378121458746</t>
  </si>
  <si>
    <t>-824.765571227598 321.001056630083 844.356708421869</t>
  </si>
  <si>
    <t>-901.930975585429 31.3225701779352 -61.8489499555075</t>
  </si>
  <si>
    <t>-851.206770594718 19.5228723075807 338.32911223842</t>
  </si>
  <si>
    <t>-884.255721420094 21.5869145919773 785.03509591374</t>
  </si>
  <si>
    <t>-788.125786616302 -81.5633245479298 857.190555174361</t>
  </si>
  <si>
    <t>9763-20170724T111206.013180800.bin</t>
  </si>
  <si>
    <t>-920.813631184858 124.551709312979 -63.2354935855175</t>
  </si>
  <si>
    <t>-956.474815640529 114.383846924668 -172.967579753306</t>
  </si>
  <si>
    <t>-971.545632202489 110.422799642121 -270.352497736249</t>
  </si>
  <si>
    <t>-979.338491749075 108.290346904079 -359.082197174876</t>
  </si>
  <si>
    <t>-980.864674073622 107.395321312449 -448.161511074767</t>
  </si>
  <si>
    <t>-976.375294710467 107.20995752248 -572.662997381342</t>
  </si>
  <si>
    <t>-944.719175750053 105.425077740158 -649.472754664384</t>
  </si>
  <si>
    <t>-978.1935108398 135.00007475993 -517.91161243769</t>
  </si>
  <si>
    <t>-971.306920176983 271.185703853585 -500.432111189432</t>
  </si>
  <si>
    <t>-965.670947648558 296.519954849181 -207.315075098454</t>
  </si>
  <si>
    <t>-727.05562444158 324.978432507679 -224.746719107049</t>
  </si>
  <si>
    <t>-978.508093579009 79.5828606990735 -517.840318269777</t>
  </si>
  <si>
    <t>-939.914086026123 217.85615580593 -66.6067184492109</t>
  </si>
  <si>
    <t>-938.411649960632 252.145306454892 335.483684414953</t>
  </si>
  <si>
    <t>-961.436706311119 270.303919303871 782.384214294303</t>
  </si>
  <si>
    <t>-824.751416074949 320.922213769999 844.3694479273</t>
  </si>
  <si>
    <t>-902.091244749141 31.1221236532256 -61.8600213869984</t>
  </si>
  <si>
    <t>-851.362904507249 19.4222160378736 338.32040854786</t>
  </si>
  <si>
    <t>-884.251606333292 21.5695040836663 785.041402209698</t>
  </si>
  <si>
    <t>-788.075590553223 -81.5422827338464 857.190064876567</t>
  </si>
  <si>
    <t>9763-20170724T111206.082891500.bin</t>
  </si>
  <si>
    <t>-921.046075092109 123.92167425671 -63.1976956795793</t>
  </si>
  <si>
    <t>-956.896112423811 113.724685378366 -172.865535398217</t>
  </si>
  <si>
    <t>-972.145728830353 109.758523231317 -270.222454741465</t>
  </si>
  <si>
    <t>-980.105519577076 107.62861554227 -358.937464096132</t>
  </si>
  <si>
    <t>-981.803102287287 106.744350873572 -448.013739525342</t>
  </si>
  <si>
    <t>-977.556573662191 106.583232220213 -572.523826359282</t>
  </si>
  <si>
    <t>-945.895487010905 104.785784956322 -649.331006802643</t>
  </si>
  <si>
    <t>-979.321342321935 134.362988905672 -517.765381216409</t>
  </si>
  <si>
    <t>-972.793841731939 270.565948711433 -500.360259812961</t>
  </si>
  <si>
    <t>-969.091399356008 295.199678962801 -207.152695438083</t>
  </si>
  <si>
    <t>-730.536636818811 324.314262859479 -224.329075213245</t>
  </si>
  <si>
    <t>-979.529166795481 78.9452268018053 -517.70073641561</t>
  </si>
  <si>
    <t>-940.248017717897 217.187212756971 -66.5283199463742</t>
  </si>
  <si>
    <t>-938.513241494547 251.860356686291 335.528156888916</t>
  </si>
  <si>
    <t>-961.44406185556 270.30159199012 782.406726919416</t>
  </si>
  <si>
    <t>-824.857882516666 321.169371218152 844.406474894476</t>
  </si>
  <si>
    <t>-902.213353698843 30.4496250446987 -61.8847888155757</t>
  </si>
  <si>
    <t>-851.456658330125 19.1253140845106 338.302830903227</t>
  </si>
  <si>
    <t>-884.317659946272 21.4046630232306 785.048001691467</t>
  </si>
  <si>
    <t>-787.970984006664 -81.5604194260436 857.178723556129</t>
  </si>
  <si>
    <t>9763-20170724T111206.114977200.bin</t>
  </si>
  <si>
    <t>-921.194101386 123.607262854412 -63.1773336575743</t>
  </si>
  <si>
    <t>-957.123737976744 113.377965455856 -172.816006305948</t>
  </si>
  <si>
    <t>-972.455128878459 109.424762824964 -270.160732304583</t>
  </si>
  <si>
    <t>-980.492415963825 107.323060859163 -358.869323787379</t>
  </si>
  <si>
    <t>-982.270344370802 106.484440531488 -447.944394742543</t>
  </si>
  <si>
    <t>-978.138227639629 106.405687313156 -572.458481340126</t>
  </si>
  <si>
    <t>-946.464517699108 104.642332272915 -649.261314805496</t>
  </si>
  <si>
    <t>-979.892745212546 134.14924055444 -517.681427778223</t>
  </si>
  <si>
    <t>-973.55246867348 270.353879506977 -500.241337084335</t>
  </si>
  <si>
    <t>-970.471033444271 294.755445195086 -207.007138619763</t>
  </si>
  <si>
    <t>-731.970872237824 324.292304933403 -224.213300876089</t>
  </si>
  <si>
    <t>-980.020657051545 78.7314790866203 -517.650487171551</t>
  </si>
  <si>
    <t>-940.499646797642 216.905479970893 -66.4952388695928</t>
  </si>
  <si>
    <t>-938.660679817625 251.747072093105 335.546276402519</t>
  </si>
  <si>
    <t>-961.436940026442 270.318388347969 782.400608058409</t>
  </si>
  <si>
    <t>-824.825461979975 321.083582794463 844.428487757007</t>
  </si>
  <si>
    <t>-902.271359097492 30.1337633824623 -61.8923397178482</t>
  </si>
  <si>
    <t>-851.490078894025 19.0426023324831 338.298687007158</t>
  </si>
  <si>
    <t>-884.259821443931 21.463666456842 785.045349717238</t>
  </si>
  <si>
    <t>-788.016642606726 -81.5969294489337 857.177453200208</t>
  </si>
  <si>
    <t>9763-20170724T111206.180755100.bin</t>
  </si>
  <si>
    <t>-921.578975481372 123.040273731897 -63.1965947706575</t>
  </si>
  <si>
    <t>-957.643861311484 112.712326597662 -172.781582196555</t>
  </si>
  <si>
    <t>-973.144662968854 108.744965860655 -270.098905592693</t>
  </si>
  <si>
    <t>-981.354075529241 106.659962417976 -358.792115740088</t>
  </si>
  <si>
    <t>-983.321473447967 105.86985516792 -447.863705370907</t>
  </si>
  <si>
    <t>-979.470696436664 105.892278041756 -572.386681287376</t>
  </si>
  <si>
    <t>-947.776432586534 104.234673910149 -649.183650983119</t>
  </si>
  <si>
    <t>-981.191078133024 133.591390665438 -517.586154660447</t>
  </si>
  <si>
    <t>-975.288530219636 269.818578296645 -500.118245723089</t>
  </si>
  <si>
    <t>-972.855783846179 293.918191096765 -206.853031678282</t>
  </si>
  <si>
    <t>-734.475978602788 324.302858312987 -224.252847928892</t>
  </si>
  <si>
    <t>-981.139613766361 78.1734616508943 -517.594588906591</t>
  </si>
  <si>
    <t>-941.05699512835 216.284756594304 -66.4826031211536</t>
  </si>
  <si>
    <t>-939.08338155093 251.472468886338 335.528102531589</t>
  </si>
  <si>
    <t>-961.465604661301 270.422207546786 782.378418964085</t>
  </si>
  <si>
    <t>-824.937885551114 321.356489693525 844.452480984607</t>
  </si>
  <si>
    <t>-902.50441705753 29.6231021207618 -61.9148596775339</t>
  </si>
  <si>
    <t>-851.709803304683 18.9481129685928 338.285823539244</t>
  </si>
  <si>
    <t>-884.247222061037 21.4359993643666 785.05715390679</t>
  </si>
  <si>
    <t>-787.999166192545 -81.6301374577411 857.175045407591</t>
  </si>
  <si>
    <t>9763-20170724T111206.211837900.bin</t>
  </si>
  <si>
    <t>-921.809487040737 122.890251231108 -63.1972791335083</t>
  </si>
  <si>
    <t>-957.888098736026 112.522903597045 -172.774044036309</t>
  </si>
  <si>
    <t>-973.443479195517 108.546831151812 -270.082283315853</t>
  </si>
  <si>
    <t>-981.718920824901 106.464837886629 -358.769472113167</t>
  </si>
  <si>
    <t>-983.769361840292 105.690712389665 -447.839405430427</t>
  </si>
  <si>
    <t>-980.050957987458 105.750767765849 -572.366372006204</t>
  </si>
  <si>
    <t>-948.353870130872 104.175823091963 -649.163869924225</t>
  </si>
  <si>
    <t>-981.760682903713 133.433243728635 -517.557014572561</t>
  </si>
  <si>
    <t>-976.088323608743 269.670490231966 -500.095114304909</t>
  </si>
  <si>
    <t>-973.911964276383 293.743031962898 -206.82565656835</t>
  </si>
  <si>
    <t>-735.593854297865 324.51969568752 -224.380603553556</t>
  </si>
  <si>
    <t>-981.6134320815 78.0154044436367 -517.579305604885</t>
  </si>
  <si>
    <t>-941.373769168984 216.164730545576 -66.487725502496</t>
  </si>
  <si>
    <t>-939.370804898968 251.419811511837 335.516949964642</t>
  </si>
  <si>
    <t>-961.531206110978 270.553975910192 782.365138915332</t>
  </si>
  <si>
    <t>-824.903034927096 321.187480177576 844.464688243945</t>
  </si>
  <si>
    <t>-902.650177034317 29.5273983232728 -61.929239459122</t>
  </si>
  <si>
    <t>-851.853451750397 18.9808901207234 338.274586892611</t>
  </si>
  <si>
    <t>-884.194850765133 21.4968529407606 785.061879401576</t>
  </si>
  <si>
    <t>-788.079490132168 -81.6935086959686 857.179026885892</t>
  </si>
  <si>
    <t>9763-20170724T111206.281032000.bin</t>
  </si>
  <si>
    <t>-922.447229663067 122.55186968164 -63.1708883465329</t>
  </si>
  <si>
    <t>-958.533711734719 112.137760831147 -172.740616361212</t>
  </si>
  <si>
    <t>-974.171451074489 108.136108841469 -270.034601422431</t>
  </si>
  <si>
    <t>-982.552436698656 106.038570086507 -358.711491512363</t>
  </si>
  <si>
    <t>-984.73907814259 105.258850467239 -447.778117439498</t>
  </si>
  <si>
    <t>-981.242602475598 105.323348378047 -572.311610761254</t>
  </si>
  <si>
    <t>-949.564411959972 103.879814415513 -649.119353797512</t>
  </si>
  <si>
    <t>-982.930894699113 133.003513540692 -517.500380022921</t>
  </si>
  <si>
    <t>-977.697685724237 269.271036297935 -500.108301046243</t>
  </si>
  <si>
    <t>-976.387633741766 293.286115972428 -206.829040037068</t>
  </si>
  <si>
    <t>-738.152055421492 324.714973031743 -224.347052544597</t>
  </si>
  <si>
    <t>-982.631565689866 77.5862889342625 -517.520669179913</t>
  </si>
  <si>
    <t>-942.165108265732 215.734942757695 -66.4505595363603</t>
  </si>
  <si>
    <t>-939.89481223015 251.335277457941 335.522295458775</t>
  </si>
  <si>
    <t>-961.549672633513 270.633392982899 782.384142780598</t>
  </si>
  <si>
    <t>-824.950408795677 321.330429734424 844.494536992253</t>
  </si>
  <si>
    <t>-903.169543535362 29.2394946576696 -61.9351582489901</t>
  </si>
  <si>
    <t>-852.377756004209 18.9097472138374 338.275034061081</t>
  </si>
  <si>
    <t>-884.324660937947 21.2418232596001 785.098001354011</t>
  </si>
  <si>
    <t>-787.809404694235 -81.6029922886348 857.175031321756</t>
  </si>
  <si>
    <t>9763-20170724T111206.313114200.bin</t>
  </si>
  <si>
    <t>-922.83875359754 122.524792386831 -63.1704140755635</t>
  </si>
  <si>
    <t>-958.916914815011 112.101217166178 -172.7420955545</t>
  </si>
  <si>
    <t>-974.58334693177 108.088310023217 -270.030893458834</t>
  </si>
  <si>
    <t>-983.005070095585 105.979695208496 -358.703646064014</t>
  </si>
  <si>
    <t>-985.247698023611 105.189473099844 -447.768792382757</t>
  </si>
  <si>
    <t>-981.844975190911 105.240217203222 -572.304783045451</t>
  </si>
  <si>
    <t>-950.173445385842 103.834425516317 -649.116024878781</t>
  </si>
  <si>
    <t>-983.521948402797 132.926431019403 -517.496172562089</t>
  </si>
  <si>
    <t>-978.490615568966 269.21165882786 -500.153675085437</t>
  </si>
  <si>
    <t>-977.923131248593 293.112192823359 -206.862653791424</t>
  </si>
  <si>
    <t>-739.710191664269 324.800569058189 -224.219311217468</t>
  </si>
  <si>
    <t>-983.162712770514 77.5093814362713 -517.509151328342</t>
  </si>
  <si>
    <t>-942.728279179669 215.711331947511 -66.4322594563024</t>
  </si>
  <si>
    <t>-940.149507884024 251.37473199065 335.533103240915</t>
  </si>
  <si>
    <t>-961.585648677451 270.700483316548 782.40072232188</t>
  </si>
  <si>
    <t>-824.886677416199 321.113373630595 844.523097013133</t>
  </si>
  <si>
    <t>-903.407522960844 29.2323705930262 -61.9468897260814</t>
  </si>
  <si>
    <t>-852.610614241223 19.0123723297061 338.265453845086</t>
  </si>
  <si>
    <t>-884.260317612266 21.3118141213731 785.103169812931</t>
  </si>
  <si>
    <t>-787.863626615572 -81.6437553862504 857.180129893321</t>
  </si>
  <si>
    <t>9763-20170724T111206.383303400.bin</t>
  </si>
  <si>
    <t>-923.438801034202 122.412922843481 -63.1473879460714</t>
  </si>
  <si>
    <t>-959.505052086825 111.969096556536 -172.721007211624</t>
  </si>
  <si>
    <t>-975.227133223226 107.919032408282 -269.999256103957</t>
  </si>
  <si>
    <t>-983.726956662303 105.770386315985 -358.663659556306</t>
  </si>
  <si>
    <t>-986.075152498612 104.934723884063 -447.72571830862</t>
  </si>
  <si>
    <t>-982.849628192661 104.918420554466 -572.26634291846</t>
  </si>
  <si>
    <t>-951.208890247068 103.525618770387 -649.09051020991</t>
  </si>
  <si>
    <t>-984.494694843421 132.633735399886 -517.471653684377</t>
  </si>
  <si>
    <t>-979.806934796365 268.941398420074 -500.278000297025</t>
  </si>
  <si>
    <t>-981.304491812398 292.581869473781 -206.969196670045</t>
  </si>
  <si>
    <t>-743.101287323354 324.634906658994 -223.780446730774</t>
  </si>
  <si>
    <t>-984.0435047109 77.2175716468846 -517.452679019932</t>
  </si>
  <si>
    <t>-943.468947345813 215.564746619046 -66.3921704441741</t>
  </si>
  <si>
    <t>-940.626913728054 251.447944877588 335.551785311594</t>
  </si>
  <si>
    <t>-961.74394680954 270.998778823998 782.4157333276</t>
  </si>
  <si>
    <t>-824.934094108211 321.070532430481 844.570227841842</t>
  </si>
  <si>
    <t>-903.828549724877 29.115450058182 -61.959197013464</t>
  </si>
  <si>
    <t>-852.955342491428 19.0788345632591 338.248080800748</t>
  </si>
  <si>
    <t>-884.257735572843 21.2440420710236 785.11106456651</t>
  </si>
  <si>
    <t>-787.810266077107 -81.6664509136588 857.184592451546</t>
  </si>
  <si>
    <t>9763-20170724T111206.415387000.bin</t>
  </si>
  <si>
    <t>-923.631898859121 122.429362699324 -63.149594644018</t>
  </si>
  <si>
    <t>-959.696696721617 111.962616657781 -172.721483354314</t>
  </si>
  <si>
    <t>-975.453855486958 107.898517386443 -269.993643216235</t>
  </si>
  <si>
    <t>-984.000106859839 105.74060249948 -358.653265742054</t>
  </si>
  <si>
    <t>-986.409834984441 104.900270359603 -447.713549130573</t>
  </si>
  <si>
    <t>-983.285334595193 104.883562121837 -572.256987250096</t>
  </si>
  <si>
    <t>-951.660761238159 103.493278388037 -649.087737689158</t>
  </si>
  <si>
    <t>-984.909519376916 132.598797779512 -517.461559573186</t>
  </si>
  <si>
    <t>-980.370440809356 268.91874850653 -500.288057994252</t>
  </si>
  <si>
    <t>-983.036085922853 292.320787109612 -206.968294712573</t>
  </si>
  <si>
    <t>-744.838262943277 324.545330256017 -223.527207497157</t>
  </si>
  <si>
    <t>-984.411128513502 77.1830269937327 -517.44167800805</t>
  </si>
  <si>
    <t>-943.703742473381 215.589514906387 -66.388663838154</t>
  </si>
  <si>
    <t>-940.786735770545 251.557606079759 335.547239767271</t>
  </si>
  <si>
    <t>-961.846830774086 271.183837053891 782.421171725442</t>
  </si>
  <si>
    <t>-825.061002286742 321.305931336156 844.588401707551</t>
  </si>
  <si>
    <t>-903.944230750239 29.1307127494183 -61.9625528444755</t>
  </si>
  <si>
    <t>-853.042492761219 19.1348912394851 338.24212125758</t>
  </si>
  <si>
    <t>-884.235171378881 21.2417786538331 785.109842648049</t>
  </si>
  <si>
    <t>-787.836918012936 -81.7128449442112 857.186654407668</t>
  </si>
  <si>
    <t>9763-20170724T111206.480413100.bin</t>
  </si>
  <si>
    <t>-923.851920607389 122.349879467911 -63.1270149754251</t>
  </si>
  <si>
    <t>-959.958226566835 111.822373835038 -172.679353376833</t>
  </si>
  <si>
    <t>-975.817344008645 107.729454485752 -269.933684879781</t>
  </si>
  <si>
    <t>-984.482029889233 105.556696861395 -358.581475797072</t>
  </si>
  <si>
    <t>-987.035979540419 104.716247249396 -447.637694309741</t>
  </si>
  <si>
    <t>-984.140011093818 104.716197677136 -572.186627015874</t>
  </si>
  <si>
    <t>-952.57420765242 103.345267135864 -649.042065291772</t>
  </si>
  <si>
    <t>-985.731444935517 132.423429408525 -517.386161467661</t>
  </si>
  <si>
    <t>-981.601264868354 268.762372636907 -500.276298465883</t>
  </si>
  <si>
    <t>-986.131956989764 291.549062851746 -206.931080970782</t>
  </si>
  <si>
    <t>-747.987050721103 324.38207936458 -223.049828972052</t>
  </si>
  <si>
    <t>-985.097584555113 77.0089791924956 -517.371412324496</t>
  </si>
  <si>
    <t>-944.032461841424 215.470060603343 -66.36277639743</t>
  </si>
  <si>
    <t>-940.989012938437 251.633996179061 335.554520061544</t>
  </si>
  <si>
    <t>-961.862634436817 271.250449605857 782.448092543378</t>
  </si>
  <si>
    <t>-825.0102329814 321.207764370476 844.601160199711</t>
  </si>
  <si>
    <t>-904.065084456044 29.0728354524113 -61.9535570223799</t>
  </si>
  <si>
    <t>-853.090447688948 19.1751548188881 338.244341263299</t>
  </si>
  <si>
    <t>-884.240440640603 21.1539551499445 785.11895178874</t>
  </si>
  <si>
    <t>-787.730262915747 -81.700124830551 857.188995326692</t>
  </si>
  <si>
    <t>9763-20170724T111206.518510600.bin</t>
  </si>
  <si>
    <t>-923.923426046156 122.279795842419 -63.1256767597345</t>
  </si>
  <si>
    <t>-960.070009624662 111.704486642721 -172.660351397802</t>
  </si>
  <si>
    <t>-975.993474022953 107.585244456392 -269.902872635631</t>
  </si>
  <si>
    <t>-984.728360813497 105.395447636421 -358.543518254358</t>
  </si>
  <si>
    <t>-987.36458804881 104.546384573831 -447.59726241692</t>
  </si>
  <si>
    <t>-984.594446156632 104.543351510186 -572.148934286351</t>
  </si>
  <si>
    <t>-953.063718849564 103.19965082509 -649.019084300909</t>
  </si>
  <si>
    <t>-986.175991146835 132.251320855843 -517.348587923575</t>
  </si>
  <si>
    <t>-982.297200096506 268.600648094111 -500.233370973572</t>
  </si>
  <si>
    <t>-987.435822554233 291.149449064333 -206.879675022037</t>
  </si>
  <si>
    <t>-749.322729077959 324.329216982301 -222.760070061064</t>
  </si>
  <si>
    <t>-985.451350132318 76.8380346072177 -517.331296781165</t>
  </si>
  <si>
    <t>-944.219587405208 215.366879836556 -66.3429669547924</t>
  </si>
  <si>
    <t>-941.043650583315 251.644542997562 335.563136091162</t>
  </si>
  <si>
    <t>-961.889302509354 271.313834177668 782.452761369899</t>
  </si>
  <si>
    <t>-825.10877832859 321.472728456444 844.600697247027</t>
  </si>
  <si>
    <t>-904.035272953959 29.025374293105 -61.9481251981766</t>
  </si>
  <si>
    <t>-853.017601431014 19.1644220687967 338.245173464251</t>
  </si>
  <si>
    <t>-884.210224345003 21.1484929310668 785.113737688123</t>
  </si>
  <si>
    <t>-787.622334494442 -81.6327671316176 857.183745780427</t>
  </si>
  <si>
    <t>9763-20170724T111206.579268700.bin</t>
  </si>
  <si>
    <t>-923.939729924253 122.134974218225 -63.1226101866324</t>
  </si>
  <si>
    <t>-960.17128031365 111.40997389009 -172.614434869847</t>
  </si>
  <si>
    <t>-976.208835123452 107.227742875405 -269.835670440457</t>
  </si>
  <si>
    <t>-985.0607698881 105.007275439412 -358.463902143851</t>
  </si>
  <si>
    <t>-987.826805290165 104.154951200615 -447.513641780832</t>
  </si>
  <si>
    <t>-985.250346184713 104.177930300095 -572.0695663067</t>
  </si>
  <si>
    <t>-953.793100222499 102.944779759859 -648.971736756254</t>
  </si>
  <si>
    <t>-986.84279149432 131.873037316833 -517.263026909813</t>
  </si>
  <si>
    <t>-983.475948390368 268.23018676509 -500.145384832746</t>
  </si>
  <si>
    <t>-989.601597714455 290.462622124133 -206.786497426922</t>
  </si>
  <si>
    <t>-751.555505597921 324.284760297793 -222.310879302927</t>
  </si>
  <si>
    <t>-985.925437738114 76.4626809649035 -517.254373870558</t>
  </si>
  <si>
    <t>-944.486057990412 215.155209196596 -66.331909538066</t>
  </si>
  <si>
    <t>-941.192633236488 251.574269981365 335.560405121756</t>
  </si>
  <si>
    <t>-961.745870499632 271.177802182992 782.456881582414</t>
  </si>
  <si>
    <t>-825.119862722606 321.736053432019 844.622524978843</t>
  </si>
  <si>
    <t>-903.759839369276 28.9092683072254 -61.9543042210258</t>
  </si>
  <si>
    <t>-852.72771508138 19.1951717599482 338.240707960263</t>
  </si>
  <si>
    <t>-884.134938008594 21.1616872508498 785.101140219386</t>
  </si>
  <si>
    <t>-787.726385844341 -81.7748414392802 857.190065307209</t>
  </si>
  <si>
    <t>9763-20170724T111206.617372100.bin</t>
  </si>
  <si>
    <t>-924.007193903224 122.129569143325 -63.1198154254124</t>
  </si>
  <si>
    <t>-960.248160176882 111.328852685914 -172.60109328731</t>
  </si>
  <si>
    <t>-976.307824977121 107.117773839148 -269.81743096847</t>
  </si>
  <si>
    <t>-985.184182659659 104.885319018387 -358.442806099908</t>
  </si>
  <si>
    <t>-987.978546996886 104.036674369687 -447.491767861789</t>
  </si>
  <si>
    <t>-985.44539181678 104.081088117796 -572.048535225648</t>
  </si>
  <si>
    <t>-954.016599638484 102.91629265657 -648.963353881238</t>
  </si>
  <si>
    <t>-987.074334672111 131.765803375512 -517.237901024029</t>
  </si>
  <si>
    <t>-983.990465098624 268.133934947752 -500.121757734213</t>
  </si>
  <si>
    <t>-990.562160940209 290.308930604552 -206.768241280572</t>
  </si>
  <si>
    <t>-752.540331861625 324.337610407574 -222.21507828705</t>
  </si>
  <si>
    <t>-986.046325876841 76.3573138872212 -517.236703373792</t>
  </si>
  <si>
    <t>-944.789807156124 215.191119311482 -66.3315803841402</t>
  </si>
  <si>
    <t>-941.361772747825 251.621607758656 335.558561873163</t>
  </si>
  <si>
    <t>-961.836681895072 271.322970971537 782.465201002319</t>
  </si>
  <si>
    <t>-825.10795245092 321.584807362262 844.644804042769</t>
  </si>
  <si>
    <t>-903.634566175311 28.9227183304361 -61.9478303453905</t>
  </si>
  <si>
    <t>-852.627397809067 19.2255426422475 338.25069531112</t>
  </si>
  <si>
    <t>-884.080380647488 21.1960307101167 785.095844918819</t>
  </si>
  <si>
    <t>-787.645696801019 -81.7134116187622 857.188166909059</t>
  </si>
  <si>
    <t>9763-20170724T111206.680546000.bin</t>
  </si>
  <si>
    <t>-924.238759108437 122.179462044066 -63.1544224627049</t>
  </si>
  <si>
    <t>-960.479623076421 111.214390761581 -172.619290248227</t>
  </si>
  <si>
    <t>-976.605654673511 106.923881135654 -269.821228792523</t>
  </si>
  <si>
    <t>-985.567243406121 104.643426626443 -358.43683362845</t>
  </si>
  <si>
    <t>-988.470462087367 103.772757497527 -447.481942808451</t>
  </si>
  <si>
    <t>-986.112738287645 103.814279748975 -572.042284070251</t>
  </si>
  <si>
    <t>-954.732564547709 102.754806121908 -648.978501450005</t>
  </si>
  <si>
    <t>-987.766543150625 131.498377593144 -517.231865686507</t>
  </si>
  <si>
    <t>-985.237006184385 267.870422377757 -500.091194382644</t>
  </si>
  <si>
    <t>-992.512810783629 289.860897240258 -206.740337166971</t>
  </si>
  <si>
    <t>-754.545188994372 324.345883539903 -222.007160868707</t>
  </si>
  <si>
    <t>-986.533774423573 76.0939326965777 -517.227047469722</t>
  </si>
  <si>
    <t>-945.429338166534 215.249319064296 -66.3608097365407</t>
  </si>
  <si>
    <t>-941.810272443827 251.789947748672 335.517708296056</t>
  </si>
  <si>
    <t>-962.018550651749 271.637588108405 782.445113005138</t>
  </si>
  <si>
    <t>-825.186260248948 321.589157522163 844.646569300689</t>
  </si>
  <si>
    <t>-903.471511829369 28.9823574453485 -61.9553503338462</t>
  </si>
  <si>
    <t>-852.498336095697 19.3216958916096 338.248420055873</t>
  </si>
  <si>
    <t>-884.037483449999 21.166382109463 785.086715635437</t>
  </si>
  <si>
    <t>-787.578818826785 -81.7179607020821 857.182773915407</t>
  </si>
  <si>
    <t>9763-20170724T111206.713635600.bin</t>
  </si>
  <si>
    <t>-924.343304298817 122.20156610217 -63.1458108514289</t>
  </si>
  <si>
    <t>-960.571654511039 111.164047637742 -172.607636766946</t>
  </si>
  <si>
    <t>-976.726796350223 106.842966205686 -269.803291099223</t>
  </si>
  <si>
    <t>-985.730500991322 104.547291282186 -358.414242570471</t>
  </si>
  <si>
    <t>-988.690719762001 103.675554095117 -447.457578314824</t>
  </si>
  <si>
    <t>-986.428368751307 103.731116277778 -572.019572644849</t>
  </si>
  <si>
    <t>-955.056976303994 102.715462113451 -648.960096167771</t>
  </si>
  <si>
    <t>-988.09707112994 131.407570422491 -517.206003482278</t>
  </si>
  <si>
    <t>-985.866848943875 267.782252196688 -500.045529804098</t>
  </si>
  <si>
    <t>-993.366376792647 289.670212025375 -206.692660844799</t>
  </si>
  <si>
    <t>-755.426615782517 324.336680593408 -221.983712201121</t>
  </si>
  <si>
    <t>-986.750543919758 76.0057388303003 -517.2060793333</t>
  </si>
  <si>
    <t>-945.701462783704 215.238420575211 -66.3692399649157</t>
  </si>
  <si>
    <t>-942.010429231116 251.802539169279 335.506495345868</t>
  </si>
  <si>
    <t>-962.038512480691 271.673453014106 782.445981155655</t>
  </si>
  <si>
    <t>-825.175591499258 321.537176149735 844.650905651286</t>
  </si>
  <si>
    <t>-903.389938745338 29.0105051827759 -61.9638972752858</t>
  </si>
  <si>
    <t>-852.482249592559 19.3941253405383 338.24926650124</t>
  </si>
  <si>
    <t>-884.005048256003 21.1761006255228 785.088094095095</t>
  </si>
  <si>
    <t>-787.577287770429 -81.7358033093569 857.186430067122</t>
  </si>
  <si>
    <t>9763-20170724T111206.781381500.bin</t>
  </si>
  <si>
    <t>-924.487252301875 122.259570888756 -63.1379206357844</t>
  </si>
  <si>
    <t>-960.637168758464 111.165883010361 -172.619931900269</t>
  </si>
  <si>
    <t>-976.747987286126 106.806152045972 -269.821200906076</t>
  </si>
  <si>
    <t>-985.721273847263 104.481511795449 -358.434585232605</t>
  </si>
  <si>
    <t>-988.662227247882 103.591414705124 -447.478390313317</t>
  </si>
  <si>
    <t>-986.384185155131 103.634389429214 -572.04013691637</t>
  </si>
  <si>
    <t>-955.00107710694 102.717812233503 -648.977012897176</t>
  </si>
  <si>
    <t>-988.199211706504 131.312390577865 -517.23187798905</t>
  </si>
  <si>
    <t>-986.730291205752 267.694684610853 -500.013832180768</t>
  </si>
  <si>
    <t>-994.742936491167 289.379614916052 -206.659458931883</t>
  </si>
  <si>
    <t>-756.861893399845 324.47662833077 -221.883094587719</t>
  </si>
  <si>
    <t>-986.573932206804 75.9182860948295 -517.221356336591</t>
  </si>
  <si>
    <t>-946.101480772092 215.285871305625 -66.3753588021318</t>
  </si>
  <si>
    <t>-942.357488431805 251.846959376162 335.50012724368</t>
  </si>
  <si>
    <t>-962.041463895049 271.775883845528 782.403485393911</t>
  </si>
  <si>
    <t>-825.189260719017 321.627114550832 844.641736551451</t>
  </si>
  <si>
    <t>-903.265053709051 29.1302114136324 -61.9856618280774</t>
  </si>
  <si>
    <t>-852.422821945865 19.4728922847412 338.234881678827</t>
  </si>
  <si>
    <t>-883.996514293275 21.1044589898293 785.079510699865</t>
  </si>
  <si>
    <t>-787.485165181466 -81.7279202747391 857.179439107289</t>
  </si>
  <si>
    <t>9763-20170724T111206.814469000.bin</t>
  </si>
  <si>
    <t>-924.447950836176 122.228864170024 -63.1713499488263</t>
  </si>
  <si>
    <t>-960.552328017586 111.0856024606 -172.66357784519</t>
  </si>
  <si>
    <t>-976.610174165614 106.690743593857 -269.871949345571</t>
  </si>
  <si>
    <t>-985.530244335727 104.337525265458 -358.489916603192</t>
  </si>
  <si>
    <t>-988.412825257809 103.422839079249 -447.535405451177</t>
  </si>
  <si>
    <t>-986.048056834402 103.436432024052 -572.095433234799</t>
  </si>
  <si>
    <t>-954.65666980558 102.574944357859 -649.029667019979</t>
  </si>
  <si>
    <t>-987.971043000855 131.125334187061 -517.296374889435</t>
  </si>
  <si>
    <t>-986.912418324792 267.507460030407 -500.050670476552</t>
  </si>
  <si>
    <t>-995.265734552873 289.017041581916 -206.692941713203</t>
  </si>
  <si>
    <t>-757.424286053702 324.385083525079 -221.90433833398</t>
  </si>
  <si>
    <t>-986.206109910646 75.7353274910824 -517.26896268791</t>
  </si>
  <si>
    <t>-946.154778433612 215.145605571906 -66.3840009062008</t>
  </si>
  <si>
    <t>-942.395727716412 251.786237833932 335.484190957796</t>
  </si>
  <si>
    <t>-961.893707916623 271.632503432576 782.397027055478</t>
  </si>
  <si>
    <t>-825.26951602823 322.100789262792 844.639271665697</t>
  </si>
  <si>
    <t>-903.103108973549 29.0955004631624 -62.0097778305632</t>
  </si>
  <si>
    <t>-852.28248185771 19.4519356867481 338.213811717088</t>
  </si>
  <si>
    <t>-883.985306499791 21.07330032038 785.066768157985</t>
  </si>
  <si>
    <t>-787.408859847594 -81.6972663370393 857.167290435948</t>
  </si>
  <si>
    <t>9763-20170724T111206.882882400.bin</t>
  </si>
  <si>
    <t>-924.422187064197 122.23227551208 -63.1821690605074</t>
  </si>
  <si>
    <t>-960.409314012926 110.966139186849 -172.700480377208</t>
  </si>
  <si>
    <t>-976.31537069812 106.522886926106 -269.931545924134</t>
  </si>
  <si>
    <t>-985.075596296585 104.145474341118 -358.564771129232</t>
  </si>
  <si>
    <t>-987.775652639848 103.226585823903 -447.615924344149</t>
  </si>
  <si>
    <t>-985.131606526562 103.254829850884 -572.17042925888</t>
  </si>
  <si>
    <t>-953.679311112399 102.543575138232 -649.081257554473</t>
  </si>
  <si>
    <t>-987.287935038991 130.933677424171 -517.374945652846</t>
  </si>
  <si>
    <t>-986.931662001354 267.307709021408 -500.029971228691</t>
  </si>
  <si>
    <t>-996.31013193248 288.436470530186 -206.675630319134</t>
  </si>
  <si>
    <t>-758.572836466212 324.475971324481 -221.939976966859</t>
  </si>
  <si>
    <t>-985.302240166506 75.5511237723872 -517.345410505016</t>
  </si>
  <si>
    <t>-813.377111675859 0.731478832375615 -323.518624285981</t>
  </si>
  <si>
    <t>-946.513638917563 215.147479798604 -66.3737064468768</t>
  </si>
  <si>
    <t>-942.665113274535 251.959686485143 335.477884663614</t>
  </si>
  <si>
    <t>-962.074470095795 271.93313232381 782.416126029475</t>
  </si>
  <si>
    <t>-825.226956200785 321.773077276881 844.673115089827</t>
  </si>
  <si>
    <t>-902.704849020686 29.1307548312652 -62.032007707316</t>
  </si>
  <si>
    <t>-851.960231517459 19.492273352761 338.201383488922</t>
  </si>
  <si>
    <t>-883.915247708032 21.0885281878486 785.038152887279</t>
  </si>
  <si>
    <t>-787.46449022923 -81.7867697746501 857.157734985676</t>
  </si>
  <si>
    <t>9763-20170724T111206.916974800.bin</t>
  </si>
  <si>
    <t>-924.327990676846 122.115876802261 -63.1897054737417</t>
  </si>
  <si>
    <t>-960.251295050554 110.79050410921 -172.722729471107</t>
  </si>
  <si>
    <t>-976.079636437277 106.327952500372 -269.965691754986</t>
  </si>
  <si>
    <t>-984.759061375085 103.943570316411 -358.60657961955</t>
  </si>
  <si>
    <t>-987.367078331377 103.027903904783 -447.660538852688</t>
  </si>
  <si>
    <t>-984.582831862357 103.070236971644 -572.21197834083</t>
  </si>
  <si>
    <t>-953.073519624161 102.431042798019 -649.100166971751</t>
  </si>
  <si>
    <t>-986.842308291146 130.741349693054 -517.416855825726</t>
  </si>
  <si>
    <t>-986.810886409402 267.104849649058 -500.011889458032</t>
  </si>
  <si>
    <t>-996.704267750855 288.104136819105 -206.664985905575</t>
  </si>
  <si>
    <t>-759.021782063646 324.481495342312 -221.986003853218</t>
  </si>
  <si>
    <t>-984.773641162393 75.3619513827466 -517.389441694777</t>
  </si>
  <si>
    <t>-812.994550374242 0.460442479401081 -323.711090692208</t>
  </si>
  <si>
    <t>-946.561538873527 214.998677662905 -66.3789076953092</t>
  </si>
  <si>
    <t>-942.731072475593 251.89565693134 335.465135906408</t>
  </si>
  <si>
    <t>-962.063680296514 271.953847234743 782.405102274335</t>
  </si>
  <si>
    <t>-825.296462860228 321.99866466804 844.674822804291</t>
  </si>
  <si>
    <t>-902.449485186495 29.0135025770446 -62.0403898082485</t>
  </si>
  <si>
    <t>-851.807203411558 19.4615093166326 338.208027992413</t>
  </si>
  <si>
    <t>-883.873594825316 21.1094008030609 785.032125362305</t>
  </si>
  <si>
    <t>-787.431862679864 -81.7715227197721 857.155625141836</t>
  </si>
  <si>
    <t>9763-20170724T111206.980693800.bin</t>
  </si>
  <si>
    <t>-924.249507438457 121.847736884436 -63.1849856273594</t>
  </si>
  <si>
    <t>-960.089655699982 110.472303331638 -172.740036372286</t>
  </si>
  <si>
    <t>-975.80421578578 105.989673541337 -270.00065731842</t>
  </si>
  <si>
    <t>-984.36337141692 103.594073156641 -358.652926880147</t>
  </si>
  <si>
    <t>-986.833139640485 102.67519223537 -447.710783125064</t>
  </si>
  <si>
    <t>-983.837040638842 102.720903538444 -572.257367438585</t>
  </si>
  <si>
    <t>-952.214532258344 102.197579981937 -649.099802181931</t>
  </si>
  <si>
    <t>-986.261573483424 130.387698605789 -517.46700180085</t>
  </si>
  <si>
    <t>-986.73198079948 266.731624533977 -499.905957723226</t>
  </si>
  <si>
    <t>-997.618198245599 287.494470039508 -206.577481274462</t>
  </si>
  <si>
    <t>-759.977605457807 324.207985785536 -221.741396785093</t>
  </si>
  <si>
    <t>-984.049301117425 75.0138983836159 -517.434112493437</t>
  </si>
  <si>
    <t>-946.687552083862 214.755198758131 -66.3595803096788</t>
  </si>
  <si>
    <t>-942.91942354151 251.799339962327 335.47150286437</t>
  </si>
  <si>
    <t>-962.165466950667 272.113863767363 782.422934679588</t>
  </si>
  <si>
    <t>-825.30614733714 321.898680892815 844.698680187239</t>
  </si>
  <si>
    <t>-902.217200866682 28.7669970472011 -62.0526907811694</t>
  </si>
  <si>
    <t>-851.715708934315 19.3105837123608 338.215724063804</t>
  </si>
  <si>
    <t>-883.838060615067 21.0913896826191 785.040204443123</t>
  </si>
  <si>
    <t>-787.249620722284 -81.6573629372047 857.155799941438</t>
  </si>
  <si>
    <t>9763-20170724T111207.013782000.bin</t>
  </si>
  <si>
    <t>-924.177814630116 121.661678272848 -63.165171292212</t>
  </si>
  <si>
    <t>-959.983768931643 110.275469430293 -172.730256306564</t>
  </si>
  <si>
    <t>-975.644740352552 105.793931286705 -269.999496386628</t>
  </si>
  <si>
    <t>-984.144916945394 103.403381366346 -358.657737730935</t>
  </si>
  <si>
    <t>-986.545829806021 102.493719817006 -447.717491931022</t>
  </si>
  <si>
    <t>-983.443543121001 102.557235118364 -572.261501376324</t>
  </si>
  <si>
    <t>-951.772631249511 102.099374542146 -649.084377676464</t>
  </si>
  <si>
    <t>-985.951706978766 130.214649053913 -517.470183710593</t>
  </si>
  <si>
    <t>-986.650058663263 266.54959407961 -499.83302272414</t>
  </si>
  <si>
    <t>-998.1076760726 287.186921877729 -206.517437242146</t>
  </si>
  <si>
    <t>-760.478962916438 324.033197771612 -221.547824443505</t>
  </si>
  <si>
    <t>-983.665627503297 74.843868931167 -517.441535488752</t>
  </si>
  <si>
    <t>-946.644431175216 214.532403508041 -66.3282184677073</t>
  </si>
  <si>
    <t>-942.966894812689 251.652323261333 335.496666158805</t>
  </si>
  <si>
    <t>-962.170908790164 272.109546129897 782.442458493873</t>
  </si>
  <si>
    <t>-825.395599862252 322.135337503802 844.709836950553</t>
  </si>
  <si>
    <t>-902.125882137917 28.6379614977432 -62.0571301632782</t>
  </si>
  <si>
    <t>-851.741797195878 19.1882893416314 338.226280000599</t>
  </si>
  <si>
    <t>-883.840535215717 21.0528224540585 785.052167636584</t>
  </si>
  <si>
    <t>-787.154393759638 -81.612927537911 857.15484696351</t>
  </si>
  <si>
    <t>9763-20170724T111207.081467900.bin</t>
  </si>
  <si>
    <t>-923.988015811976 121.375727169903 -63.1627455566107</t>
  </si>
  <si>
    <t>-959.731836950996 109.991522902876 -172.748255586349</t>
  </si>
  <si>
    <t>-975.288272135291 105.545159563692 -270.035935768079</t>
  </si>
  <si>
    <t>-983.67339904404 103.199598780583 -358.706259843386</t>
  </si>
  <si>
    <t>-985.938647146534 102.349551468768 -447.770254922556</t>
  </si>
  <si>
    <t>-982.624123145658 102.511160825185 -572.308680331458</t>
  </si>
  <si>
    <t>-950.865518357064 102.197418348382 -649.09610876114</t>
  </si>
  <si>
    <t>-985.2890174208 130.122897588399 -517.501607449351</t>
  </si>
  <si>
    <t>-986.427158313288 266.432375354372 -499.699885137433</t>
  </si>
  <si>
    <t>-998.93811236428 286.378977103047 -206.379625963452</t>
  </si>
  <si>
    <t>-761.403254525063 323.855938818348 -221.330738551769</t>
  </si>
  <si>
    <t>-982.87643523436 74.7573818297965 -517.509275161626</t>
  </si>
  <si>
    <t>-810.646950939399 0.45468601040966 -324.053471334087</t>
  </si>
  <si>
    <t>-946.557539207865 214.159878941853 -66.2657128470555</t>
  </si>
  <si>
    <t>-943.037906820673 251.471648021179 335.542778327136</t>
  </si>
  <si>
    <t>-962.220882437588 272.128906507302 782.484448938621</t>
  </si>
  <si>
    <t>-825.394479298786 322.004592299707 844.760203046438</t>
  </si>
  <si>
    <t>-901.82399980576 28.4388242284122 -62.0824273760287</t>
  </si>
  <si>
    <t>-851.704149888363 19.0311817921333 338.235153272274</t>
  </si>
  <si>
    <t>-883.743073938319 21.1217035016289 785.060069944401</t>
  </si>
  <si>
    <t>-787.243967025933 -81.715721862357 857.168901538667</t>
  </si>
  <si>
    <t>9763-20170724T111207.113553600.bin</t>
  </si>
  <si>
    <t>-923.850847143001 121.127404067693 -63.1503579699139</t>
  </si>
  <si>
    <t>-959.579861730998 109.730349810714 -172.739370571931</t>
  </si>
  <si>
    <t>-975.105354203295 105.308247549488 -270.033122756774</t>
  </si>
  <si>
    <t>-983.453210928601 102.998150517796 -358.707814153811</t>
  </si>
  <si>
    <t>-985.671883913043 102.19720460393 -447.773413544735</t>
  </si>
  <si>
    <t>-982.282748820853 102.441693711126 -572.309749363638</t>
  </si>
  <si>
    <t>-950.489421066355 102.205661715937 -649.082938459337</t>
  </si>
  <si>
    <t>-985.008825450001 130.015622563856 -517.486664441258</t>
  </si>
  <si>
    <t>-986.365466349144 266.311443280005 -499.575807799613</t>
  </si>
  <si>
    <t>-999.307090342602 285.779938192463 -206.242023874523</t>
  </si>
  <si>
    <t>-761.853018918809 323.757659100438 -221.211946170305</t>
  </si>
  <si>
    <t>-982.539658129701 74.6525321696172 -517.528135688079</t>
  </si>
  <si>
    <t>-810.387786389542 0.59361677072684 -323.952901219487</t>
  </si>
  <si>
    <t>-946.477882525287 213.906334986796 -66.2394588053166</t>
  </si>
  <si>
    <t>-943.000841062194 251.305542368656 335.561360622921</t>
  </si>
  <si>
    <t>-962.206113910274 272.070873771813 782.49753716729</t>
  </si>
  <si>
    <t>-825.404865192194 322.01410220894 844.77401235999</t>
  </si>
  <si>
    <t>-901.623028758248 28.1688969792813 -62.0950783989814</t>
  </si>
  <si>
    <t>-851.682018368509 18.8602330372305 338.247166949775</t>
  </si>
  <si>
    <t>-883.755374846268 21.0593635225773 785.069215040626</t>
  </si>
  <si>
    <t>-787.213467918062 -81.7411905349747 857.173339089846</t>
  </si>
  <si>
    <t>9763-20170724T111207.181284400.bin</t>
  </si>
  <si>
    <t>-923.450674348847 120.638075733107 -63.1434151001249</t>
  </si>
  <si>
    <t>-959.174944695747 109.199033548971 -172.729552470702</t>
  </si>
  <si>
    <t>-974.667131662432 104.817862487545 -270.030477080732</t>
  </si>
  <si>
    <t>-982.970953994868 102.574666399397 -358.71115051468</t>
  </si>
  <si>
    <t>-985.130472818764 101.870400987882 -447.778977821805</t>
  </si>
  <si>
    <t>-981.641720369907 102.28074159136 -572.311969195353</t>
  </si>
  <si>
    <t>-949.781096309584 102.206074405146 -649.057971423795</t>
  </si>
  <si>
    <t>-984.469267840388 129.779096867533 -517.456125133253</t>
  </si>
  <si>
    <t>-986.197668617005 266.041684360559 -499.325713912795</t>
  </si>
  <si>
    <t>-999.77739617137 284.859666763744 -205.978311037442</t>
  </si>
  <si>
    <t>-762.440807116694 323.609682623204 -220.829437623632</t>
  </si>
  <si>
    <t>-981.884460007165 74.4213228562171 -517.566156401412</t>
  </si>
  <si>
    <t>-946.187054888145 213.35327857212 -66.19891555428</t>
  </si>
  <si>
    <t>-942.955777860745 250.939299962738 335.586504146082</t>
  </si>
  <si>
    <t>-962.245419851597 272.037702764702 782.515313762047</t>
  </si>
  <si>
    <t>-825.499492905598 322.13244461214 844.792524153772</t>
  </si>
  <si>
    <t>-901.089356293141 27.7143171117709 -62.1204673894273</t>
  </si>
  <si>
    <t>-851.53623431351 18.5901167399475 338.274263980807</t>
  </si>
  <si>
    <t>-883.622263183956 21.1826679725473 785.07804047615</t>
  </si>
  <si>
    <t>-787.320428445535 -81.8388161437422 857.18792849349</t>
  </si>
  <si>
    <t>9763-20170724T111207.217380700.bin</t>
  </si>
  <si>
    <t>-923.230297687446 120.330635465261 -63.1387841561487</t>
  </si>
  <si>
    <t>-958.955735049535 108.879359894957 -172.723299202234</t>
  </si>
  <si>
    <t>-974.43283970167 104.517589836395 -270.027545888957</t>
  </si>
  <si>
    <t>-982.71543031235 102.303516420272 -358.7107717909</t>
  </si>
  <si>
    <t>-984.845797640291 101.640882326941 -447.779778767631</t>
  </si>
  <si>
    <t>-981.308568026433 102.123294289733 -572.311214046627</t>
  </si>
  <si>
    <t>-949.417609564973 102.129554782619 -649.044368306553</t>
  </si>
  <si>
    <t>-984.199422986596 129.587913013337 -517.44170451959</t>
  </si>
  <si>
    <t>-986.169821553175 265.830541122113 -499.203383305639</t>
  </si>
  <si>
    <t>-1000.03336887261 284.373344706076 -205.851563459041</t>
  </si>
  <si>
    <t>-762.745584566416 323.478237172532 -220.558876456527</t>
  </si>
  <si>
    <t>-981.530938574912 74.2342060379151 -517.580294802189</t>
  </si>
  <si>
    <t>-946.047625493693 213.079531251371 -66.1749289068325</t>
  </si>
  <si>
    <t>-942.933178636639 250.703527559783 335.607842472565</t>
  </si>
  <si>
    <t>-962.260859900081 272.014515026267 782.526797101578</t>
  </si>
  <si>
    <t>-825.579050522835 322.283697275239 844.803659890794</t>
  </si>
  <si>
    <t>-900.818764094184 27.4213105281824 -62.1332161036287</t>
  </si>
  <si>
    <t>-851.456242805484 18.3714974481036 338.286763622637</t>
  </si>
  <si>
    <t>-883.610450546421 21.1551458160384 785.087852629205</t>
  </si>
  <si>
    <t>-787.237733645452 -81.805443521424 857.190310382051</t>
  </si>
  <si>
    <t>9763-20170724T111207.282597700.bin</t>
  </si>
  <si>
    <t>-922.829668447205 119.804464146058 -63.1180677049847</t>
  </si>
  <si>
    <t>-958.532330535606 108.329689547092 -172.707692158816</t>
  </si>
  <si>
    <t>-973.968463419107 103.992257037191 -270.019340604821</t>
  </si>
  <si>
    <t>-982.205435383063 101.818929381392 -358.707965395755</t>
  </si>
  <si>
    <t>-984.281075894061 101.218212668553 -447.77856348538</t>
  </si>
  <si>
    <t>-980.657212534546 101.810200124849 -572.306903897921</t>
  </si>
  <si>
    <t>-948.755719927289 102.006849944164 -649.035666120878</t>
  </si>
  <si>
    <t>-983.683846238254 129.221520611398 -517.418275413813</t>
  </si>
  <si>
    <t>-986.236446218551 265.430444252906 -499.036484499958</t>
  </si>
  <si>
    <t>-1000.89237560718 283.42851626905 -205.689496697477</t>
  </si>
  <si>
    <t>-763.747463755677 323.497924793428 -220.09304944326</t>
  </si>
  <si>
    <t>-980.819801782198 73.8779001847256 -517.598033826985</t>
  </si>
  <si>
    <t>-945.774358589864 212.552647083304 -66.1205434009682</t>
  </si>
  <si>
    <t>-942.86342927749 250.236888860365 335.658216349304</t>
  </si>
  <si>
    <t>-962.232688406561 271.859833221371 782.553895257933</t>
  </si>
  <si>
    <t>-825.684150554876 322.478416160021 844.839670356194</t>
  </si>
  <si>
    <t>-900.283791917804 26.867684175701 -62.1546442111195</t>
  </si>
  <si>
    <t>-851.297738681644 17.9212100834693 338.313843668185</t>
  </si>
  <si>
    <t>-883.623760484924 21.0516445907369 785.109141033025</t>
  </si>
  <si>
    <t>-786.900424347053 -81.6021286675393 857.179001475661</t>
  </si>
  <si>
    <t>9763-20170724T111207.315684400.bin</t>
  </si>
  <si>
    <t>-922.575499801962 119.550552906128 -63.1291809539307</t>
  </si>
  <si>
    <t>-958.285265823088 108.034332918568 -172.712047253313</t>
  </si>
  <si>
    <t>-973.72266526379 103.713942608862 -270.024311842663</t>
  </si>
  <si>
    <t>-981.957232247128 101.577405535936 -358.714040989958</t>
  </si>
  <si>
    <t>-984.026227133166 101.036144746362 -447.785223113892</t>
  </si>
  <si>
    <t>-980.388695783378 101.735404417937 -572.312750074012</t>
  </si>
  <si>
    <t>-948.47065951679 102.029157711618 -649.034319847061</t>
  </si>
  <si>
    <t>-983.46495929655 129.097266563525 -517.402119753517</t>
  </si>
  <si>
    <t>-986.267609862013 265.28990877846 -498.91467087179</t>
  </si>
  <si>
    <t>-1001.3823309221 283.03710548073 -205.575706078757</t>
  </si>
  <si>
    <t>-764.30368112938 323.531886574629 -219.88640610885</t>
  </si>
  <si>
    <t>-980.513791606658 73.7581501115615 -517.626574014264</t>
  </si>
  <si>
    <t>-945.594298619603 212.268291912702 -66.1129901703483</t>
  </si>
  <si>
    <t>-942.814140003314 250.067272666418 335.655808609368</t>
  </si>
  <si>
    <t>-962.265210345582 271.856885650715 782.544183670655</t>
  </si>
  <si>
    <t>-825.736045938219 322.520497965069 844.835920424285</t>
  </si>
  <si>
    <t>-899.929525105938 26.6587520868152 -62.1695590006346</t>
  </si>
  <si>
    <t>-851.166377546422 17.7766985885692 338.327565349104</t>
  </si>
  <si>
    <t>-883.557655339041 21.1015637265496 785.109247408827</t>
  </si>
  <si>
    <t>-786.970778688209 -81.6768670701995 857.184718079293</t>
  </si>
  <si>
    <t>9763-20170724T111207.379361500.bin</t>
  </si>
  <si>
    <t>-922.138115171883 119.146519590663 -63.1528669957289</t>
  </si>
  <si>
    <t>-957.824808814492 107.563951374222 -172.736202696821</t>
  </si>
  <si>
    <t>-973.235355111459 103.270941334871 -270.053983811364</t>
  </si>
  <si>
    <t>-981.440342215205 101.193583313488 -358.747779599079</t>
  </si>
  <si>
    <t>-983.474350152958 100.747611186204 -447.820311199071</t>
  </si>
  <si>
    <t>-979.7798720477 101.61827138929 -572.345093060062</t>
  </si>
  <si>
    <t>-947.835132174297 102.0503501952 -649.054600478638</t>
  </si>
  <si>
    <t>-982.969378974323 128.899486522037 -517.400924020937</t>
  </si>
  <si>
    <t>-986.276963568675 265.05016618368 -498.708725190077</t>
  </si>
  <si>
    <t>-1002.33847292213 282.246918199847 -205.387262628103</t>
  </si>
  <si>
    <t>-765.380525807883 323.468235758191 -219.620945125428</t>
  </si>
  <si>
    <t>-979.841984149937 73.5704708638154 -517.694950336074</t>
  </si>
  <si>
    <t>-945.335313951448 211.895260316429 -66.1542915349265</t>
  </si>
  <si>
    <t>-942.844917425303 249.76372623324 335.609862579948</t>
  </si>
  <si>
    <t>-962.374851658798 271.96112326673 782.461272048598</t>
  </si>
  <si>
    <t>-825.900869762781 322.742786044926 844.777598642364</t>
  </si>
  <si>
    <t>-899.345906293665 26.2350850656744 -62.203190405354</t>
  </si>
  <si>
    <t>-850.956656298793 17.4578106440276 338.341584035515</t>
  </si>
  <si>
    <t>-883.499659411382 21.0949292338191 785.116424255814</t>
  </si>
  <si>
    <t>-786.920497504201 -81.693266813644 857.188414820436</t>
  </si>
  <si>
    <t>9763-20170724T111207.417462800.bin</t>
  </si>
  <si>
    <t>-921.986220311803 118.979301116976 -63.1854318741085</t>
  </si>
  <si>
    <t>-957.670343594475 107.377855812121 -172.767724562231</t>
  </si>
  <si>
    <t>-973.066871150858 103.100806804281 -270.088340068798</t>
  </si>
  <si>
    <t>-981.254364649492 101.051963144119 -358.784542855247</t>
  </si>
  <si>
    <t>-983.265110565489 100.649936561201 -447.857738283914</t>
  </si>
  <si>
    <t>-979.533712124167 101.599825810145 -572.380857142189</t>
  </si>
  <si>
    <t>-947.571339884126 102.100439541924 -649.082879275223</t>
  </si>
  <si>
    <t>-982.798214342039 128.842968478886 -517.421897482439</t>
  </si>
  <si>
    <t>-986.409028792958 264.979984844103 -498.621757657934</t>
  </si>
  <si>
    <t>-1002.93173778194 281.944884345466 -205.312363788403</t>
  </si>
  <si>
    <t>-766.008446220031 323.410641323984 -219.413593198465</t>
  </si>
  <si>
    <t>-979.553296052752 73.5208753178767 -517.746590482284</t>
  </si>
  <si>
    <t>-945.279139729768 211.733553838752 -66.1655023549769</t>
  </si>
  <si>
    <t>-942.905568641404 249.744264367192 335.585943679231</t>
  </si>
  <si>
    <t>-962.477209609025 272.082464259545 782.436678987465</t>
  </si>
  <si>
    <t>-825.814180666385 322.338497006135 844.765161201216</t>
  </si>
  <si>
    <t>-899.106032039183 26.0909280363971 -62.2279685440262</t>
  </si>
  <si>
    <t>-850.868008989202 17.3638611165825 338.336137109956</t>
  </si>
  <si>
    <t>-883.415234283417 21.1717272902001 785.1068038124</t>
  </si>
  <si>
    <t>-786.950911316208 -81.7191773156912 857.185610383836</t>
  </si>
  <si>
    <t>9763-20170724T111207.484474900.bin</t>
  </si>
  <si>
    <t>-921.523830059248 118.495524517555 -63.2298543018276</t>
  </si>
  <si>
    <t>-957.147462629009 106.853317254515 -172.827438610479</t>
  </si>
  <si>
    <t>-972.490181515754 102.589593993518 -270.157223962156</t>
  </si>
  <si>
    <t>-980.628122599929 100.574117452542 -358.85866078313</t>
  </si>
  <si>
    <t>-982.588860193177 100.230922493307 -447.933207118692</t>
  </si>
  <si>
    <t>-978.786106028749 101.292264838104 -572.453231819609</t>
  </si>
  <si>
    <t>-946.803472873146 101.91667471224 -649.145788490766</t>
  </si>
  <si>
    <t>-982.221233335406 128.477667432573 -517.476270773314</t>
  </si>
  <si>
    <t>-986.627489719627 264.55381155233 -498.484593632645</t>
  </si>
  <si>
    <t>-1004.24778880285 281.268438265031 -205.224694847325</t>
  </si>
  <si>
    <t>-767.334954013563 322.909198382178 -218.983691860975</t>
  </si>
  <si>
    <t>-978.69748821353 73.1728333834385 -517.839962759801</t>
  </si>
  <si>
    <t>-945.018599252986 211.200590363871 -66.1894527756157</t>
  </si>
  <si>
    <t>-942.817430097567 249.344831355239 335.550340259474</t>
  </si>
  <si>
    <t>-962.500519775902 272.073030196197 782.367767458907</t>
  </si>
  <si>
    <t>-826.01416094397 322.790855383679 844.709379403274</t>
  </si>
  <si>
    <t>-898.399672630948 25.6105450606519 -62.3292602619547</t>
  </si>
  <si>
    <t>-850.82066591018 17.0129547790552 338.316413730043</t>
  </si>
  <si>
    <t>-883.384781097718 21.1204182125693 785.090917811622</t>
  </si>
  <si>
    <t>-786.745351843485 -81.6135865182541 857.159114921973</t>
  </si>
  <si>
    <t>9763-20170724T111207.516559200.bin</t>
  </si>
  <si>
    <t>-921.291204622051 118.283754200909 -63.2626863239408</t>
  </si>
  <si>
    <t>-956.880010019548 106.604275212148 -172.867725293073</t>
  </si>
  <si>
    <t>-972.198693679436 102.346535177454 -270.201428906668</t>
  </si>
  <si>
    <t>-980.316951570066 100.351993573829 -358.905286386734</t>
  </si>
  <si>
    <t>-982.259620661523 100.047372423634 -447.980306121777</t>
  </si>
  <si>
    <t>-978.432924547225 101.18099452953 -572.499022124931</t>
  </si>
  <si>
    <t>-946.442943360493 101.880370755214 -649.187923133911</t>
  </si>
  <si>
    <t>-981.939442745462 128.33050304828 -517.508793576671</t>
  </si>
  <si>
    <t>-986.692722643225 264.386443282593 -498.407241150996</t>
  </si>
  <si>
    <t>-1005.10751283457 280.968087133697 -205.188665719748</t>
  </si>
  <si>
    <t>-768.190199806784 322.613687645947 -218.854957516915</t>
  </si>
  <si>
    <t>-978.29403870321 73.0337357585745 -517.900270155913</t>
  </si>
  <si>
    <t>-944.877541587304 211.010249814447 -66.2050687829252</t>
  </si>
  <si>
    <t>-942.931747404186 249.226934215877 335.529172342397</t>
  </si>
  <si>
    <t>-962.641074252936 272.252190541853 782.32743548387</t>
  </si>
  <si>
    <t>-826.127111289679 322.884577698169 844.677749561277</t>
  </si>
  <si>
    <t>-898.108196460912 25.4082093520797 -62.3477012658295</t>
  </si>
  <si>
    <t>-850.707192883349 16.8279443160177 338.319408837807</t>
  </si>
  <si>
    <t>-883.343523610272 21.1259140938409 785.082133317865</t>
  </si>
  <si>
    <t>-786.662713207428 -81.5696101355177 857.149899973066</t>
  </si>
  <si>
    <t>9763-20170724T111207.581240500.bin</t>
  </si>
  <si>
    <t>-920.890358141393 117.662754026024 -63.3371019565459</t>
  </si>
  <si>
    <t>-956.440301610703 105.888806906372 -172.944552664272</t>
  </si>
  <si>
    <t>-971.738174071113 101.626593865258 -270.281317899958</t>
  </si>
  <si>
    <t>-979.84027585271 99.6593578725488 -358.987261772755</t>
  </si>
  <si>
    <t>-981.769343909841 99.4149808900347 -448.062761280645</t>
  </si>
  <si>
    <t>-977.92522109015 100.668659104677 -572.579763260463</t>
  </si>
  <si>
    <t>-945.920688431115 101.513942517121 -649.261005258716</t>
  </si>
  <si>
    <t>-981.547983744886 127.757873354255 -517.567262108176</t>
  </si>
  <si>
    <t>-986.991354866759 263.767124212121 -498.316442518903</t>
  </si>
  <si>
    <t>-1007.00153708901 279.621077621076 -205.162175957957</t>
  </si>
  <si>
    <t>-770.130773417537 321.605623644789 -218.596617990141</t>
  </si>
  <si>
    <t>-977.68556659071 72.4761797972506 -518.004687986547</t>
  </si>
  <si>
    <t>-944.715315943663 210.380999477692 -66.2546338230794</t>
  </si>
  <si>
    <t>-943.052338793045 248.774897390615 335.463903935793</t>
  </si>
  <si>
    <t>-962.628817615709 272.194276210974 782.247789094512</t>
  </si>
  <si>
    <t>-826.19207835779 323.034328003274 844.598626174157</t>
  </si>
  <si>
    <t>-897.445100789293 24.7634474679148 -62.4374815133657</t>
  </si>
  <si>
    <t>-850.55063314309 16.4488134776461 338.29496982444</t>
  </si>
  <si>
    <t>-883.295870560354 21.0922389050761 785.073073604915</t>
  </si>
  <si>
    <t>-786.492319768745 -81.4976419613542 857.126441096559</t>
  </si>
  <si>
    <t>9763-20170724T111207.615331200.bin</t>
  </si>
  <si>
    <t>-920.743695184409 117.322658347681 -63.3477307093377</t>
  </si>
  <si>
    <t>-956.266673354731 105.513022097522 -172.960139647417</t>
  </si>
  <si>
    <t>-971.54955355491 101.254287552213 -270.299468566103</t>
  </si>
  <si>
    <t>-979.640972785937 99.3035086874793 -359.006676193082</t>
  </si>
  <si>
    <t>-981.562039706486 99.0902377342823 -448.08248156029</t>
  </si>
  <si>
    <t>-977.708338145936 100.402755763485 -572.598566669114</t>
  </si>
  <si>
    <t>-945.703559626717 101.341188285944 -649.278547979819</t>
  </si>
  <si>
    <t>-981.389452496601 127.462082509297 -517.575232987701</t>
  </si>
  <si>
    <t>-987.178733494031 263.443702757096 -498.248117723836</t>
  </si>
  <si>
    <t>-1007.90009875971 278.719972790502 -205.11256764825</t>
  </si>
  <si>
    <t>-771.100834181518 321.130335599638 -218.465592024175</t>
  </si>
  <si>
    <t>-977.41895923455 72.1883519325002 -518.035079061877</t>
  </si>
  <si>
    <t>-944.712664895895 210.014042492261 -66.2557870834112</t>
  </si>
  <si>
    <t>-943.068327137939 248.560558972458 335.448252288015</t>
  </si>
  <si>
    <t>-962.63912491571 272.177257323479 782.217011441369</t>
  </si>
  <si>
    <t>-826.235743562497 323.106254425953 844.567728591155</t>
  </si>
  <si>
    <t>-897.182504313043 24.4703309784104 -62.4693138678549</t>
  </si>
  <si>
    <t>-850.454621412478 16.2775603574405 338.284982570338</t>
  </si>
  <si>
    <t>-883.238378423022 21.134349411886 785.066271969979</t>
  </si>
  <si>
    <t>-786.54593163541 -81.5586191210184 857.121689422265</t>
  </si>
  <si>
    <t>9763-20170724T111207.681015000.bin</t>
  </si>
  <si>
    <t>-920.472917876396 116.597533928821 -63.3660037652562</t>
  </si>
  <si>
    <t>-955.912455424835 104.717637705256 -172.997695936043</t>
  </si>
  <si>
    <t>-971.135106683227 100.465440329304 -270.346864221706</t>
  </si>
  <si>
    <t>-979.175603485296 98.5494861529792 -359.059389337387</t>
  </si>
  <si>
    <t>-981.049722664977 98.4036975209451 -448.136405487454</t>
  </si>
  <si>
    <t>-977.134455532115 99.847543175993 -572.649050803252</t>
  </si>
  <si>
    <t>-945.126973745827 100.986690420777 -649.325351599316</t>
  </si>
  <si>
    <t>-980.985188180619 126.838221003828 -517.603696990216</t>
  </si>
  <si>
    <t>-987.658759548468 262.76193234125 -498.108769841066</t>
  </si>
  <si>
    <t>-1009.64555038473 276.910086784723 -205.008737930995</t>
  </si>
  <si>
    <t>-773.045825588093 320.500495563035 -218.098670953298</t>
  </si>
  <si>
    <t>-976.72980524712 71.5860810851577 -518.110557057245</t>
  </si>
  <si>
    <t>-944.647225866295 209.20930610071 -66.2524791293212</t>
  </si>
  <si>
    <t>-943.090837382067 248.18206765472 335.410750188231</t>
  </si>
  <si>
    <t>-962.758760185246 272.272350439776 782.14921946453</t>
  </si>
  <si>
    <t>-826.313639193369 323.087571003932 844.501794024776</t>
  </si>
  <si>
    <t>-896.696704583174 23.8378004213268 -62.5153824810001</t>
  </si>
  <si>
    <t>-850.371241154137 15.8614477735186 338.290089112687</t>
  </si>
  <si>
    <t>-883.11130510773 21.2409035933342 785.069096619731</t>
  </si>
  <si>
    <t>-786.494168532618 -81.5263565403739 857.119885358983</t>
  </si>
  <si>
    <t>9763-20170724T111207.715107400.bin</t>
  </si>
  <si>
    <t>-920.360166872794 116.213822359584 -63.3798809425138</t>
  </si>
  <si>
    <t>-955.729022408543 104.305773544495 -173.031438462607</t>
  </si>
  <si>
    <t>-970.891793893261 100.05145514445 -270.389733824225</t>
  </si>
  <si>
    <t>-978.878666735531 98.1431904674942 -359.107374940489</t>
  </si>
  <si>
    <t>-980.699572687906 98.0169010636332 -448.185504700075</t>
  </si>
  <si>
    <t>-976.711211527867 99.5010928395882 -572.695335619712</t>
  </si>
  <si>
    <t>-944.701076774704 100.754547771343 -649.368777105142</t>
  </si>
  <si>
    <t>-980.674203513787 126.46762631639 -517.646202857491</t>
  </si>
  <si>
    <t>-987.864501614132 262.350359094595 -498.115969525307</t>
  </si>
  <si>
    <t>-1010.51079591724 276.233516862712 -205.053379052676</t>
  </si>
  <si>
    <t>-774.012011622614 320.462939748938 -217.816698534184</t>
  </si>
  <si>
    <t>-976.25856722615 71.2282066126504 -518.163249442702</t>
  </si>
  <si>
    <t>-944.62122343507 208.772222769066 -66.2565851126509</t>
  </si>
  <si>
    <t>-943.151327076543 247.894009659943 335.392527398988</t>
  </si>
  <si>
    <t>-962.696538199465 272.165256954195 782.111233687786</t>
  </si>
  <si>
    <t>-826.362802165678 323.27575114951 844.466251730368</t>
  </si>
  <si>
    <t>-896.493689746816 23.5139211726373 -62.5413273896771</t>
  </si>
  <si>
    <t>-850.38938117423 15.590711650158 338.290612271719</t>
  </si>
  <si>
    <t>-883.146884683882 21.1376265390622 785.076717421622</t>
  </si>
  <si>
    <t>-786.335064141763 -81.4587848428096 857.110003570539</t>
  </si>
  <si>
    <t>9763-20170724T111207.779966800.bin</t>
  </si>
  <si>
    <t>-920.085752426847 115.361195896658 -63.4162447330148</t>
  </si>
  <si>
    <t>-955.343204296377 103.334619316858 -173.090732967174</t>
  </si>
  <si>
    <t>-970.44720290645 99.0868708444996 -270.458451073403</t>
  </si>
  <si>
    <t>-978.39356308628 97.2269938910913 -359.180766133132</t>
  </si>
  <si>
    <t>-980.185787220408 97.1940602275158 -448.259489140394</t>
  </si>
  <si>
    <t>-976.168444836353 98.8570905673364 -572.766145898206</t>
  </si>
  <si>
    <t>-944.151894407585 100.354794290858 -649.432578649458</t>
  </si>
  <si>
    <t>-980.285957354314 125.732929143005 -517.683986062348</t>
  </si>
  <si>
    <t>-988.392993331786 261.549462970693 -498.037386931128</t>
  </si>
  <si>
    <t>-1012.40425305971 274.842683712728 -205.056262384168</t>
  </si>
  <si>
    <t>-776.159683267668 320.573956687337 -217.219962201289</t>
  </si>
  <si>
    <t>-975.586622702239 70.5176755935713 -518.269938314181</t>
  </si>
  <si>
    <t>-944.645173155407 207.799105308049 -66.2362686484543</t>
  </si>
  <si>
    <t>-943.489727691737 247.477636365961 335.359229570164</t>
  </si>
  <si>
    <t>-962.933214948658 272.389556032069 782.064078939707</t>
  </si>
  <si>
    <t>-826.463251841734 323.105845862268 844.442186260965</t>
  </si>
  <si>
    <t>-895.874931083315 22.7395292475758 -62.6006136127617</t>
  </si>
  <si>
    <t>-850.36716869529 15.0483460009641 338.304053902958</t>
  </si>
  <si>
    <t>-883.13073087794 21.0411061621548 785.091888079687</t>
  </si>
  <si>
    <t>-786.130987738584 -81.3921022888148 857.104364205111</t>
  </si>
  <si>
    <t>9763-20170724T111207.819071700.bin</t>
  </si>
  <si>
    <t>-919.899941191294 114.867237481421 -63.4195369581337</t>
  </si>
  <si>
    <t>-955.110205418668 102.787635565363 -173.103359895234</t>
  </si>
  <si>
    <t>-970.206367371218 98.5426313271746 -270.472518456924</t>
  </si>
  <si>
    <t>-978.15795517697 96.7041360425301 -359.194684099483</t>
  </si>
  <si>
    <t>-979.966590479319 96.7133264746276 -448.273128914951</t>
  </si>
  <si>
    <t>-975.984175327285 98.4568737586101 -572.779675556736</t>
  </si>
  <si>
    <t>-943.976057376066 100.060044104777 -649.447533060956</t>
  </si>
  <si>
    <t>-980.161080840068 125.290679274751 -517.681463060046</t>
  </si>
  <si>
    <t>-988.697622895036 261.072987425409 -497.9499880436</t>
  </si>
  <si>
    <t>-1013.24822690353 274.135815666341 -205.00304003904</t>
  </si>
  <si>
    <t>-777.13559283186 320.620762116184 -216.869088751997</t>
  </si>
  <si>
    <t>-975.312470680506 70.0886179040658 -518.299588910666</t>
  </si>
  <si>
    <t>-944.689894139999 207.292468416455 -66.2392599537189</t>
  </si>
  <si>
    <t>-943.56608940748 247.15694774665 335.337959452408</t>
  </si>
  <si>
    <t>-962.956853771877 272.364969739417 782.031531145836</t>
  </si>
  <si>
    <t>-826.488678498215 323.081787384946 844.413433669435</t>
  </si>
  <si>
    <t>-895.490945853153 22.2802066664453 -62.6399610034674</t>
  </si>
  <si>
    <t>-850.318180503587 14.7977841039478 338.30656509444</t>
  </si>
  <si>
    <t>-883.05699413748 21.0895887168376 785.089517779989</t>
  </si>
  <si>
    <t>-786.179205727296 -81.4553844807285 857.106477106708</t>
  </si>
  <si>
    <t>9763-20170724T111207.881750500.bin</t>
  </si>
  <si>
    <t>-919.461791065427 113.711295530789 -63.4468255191065</t>
  </si>
  <si>
    <t>-954.59136316614 101.545220895009 -173.14699623763</t>
  </si>
  <si>
    <t>-969.661119506178 97.2929649280518 -270.519832793957</t>
  </si>
  <si>
    <t>-977.605148142123 95.4740586476764 -359.243229508042</t>
  </si>
  <si>
    <t>-979.4214732667 95.5316262502602 -448.32148698501</t>
  </si>
  <si>
    <t>-975.465443269331 97.3747385972188 -572.827465187087</t>
  </si>
  <si>
    <t>-943.480443071379 99.1785960859634 -649.50051374569</t>
  </si>
  <si>
    <t>-979.785782115226 124.150545398502 -517.712195137161</t>
  </si>
  <si>
    <t>-989.25427853047 259.848080548082 -497.845042012713</t>
  </si>
  <si>
    <t>-1014.85397759658 272.254734967569 -204.959534581373</t>
  </si>
  <si>
    <t>-779.065861926686 320.491013314827 -216.276759365786</t>
  </si>
  <si>
    <t>-974.626911587042 68.9767485378757 -518.364944491591</t>
  </si>
  <si>
    <t>-944.541628028486 205.999089743935 -66.2066352754845</t>
  </si>
  <si>
    <t>-943.751435131075 246.295880442533 335.328191188503</t>
  </si>
  <si>
    <t>-962.900780657659 272.159424980212 781.970436868218</t>
  </si>
  <si>
    <t>-826.601009289123 323.329467172257 844.351527607626</t>
  </si>
  <si>
    <t>-894.766155558473 21.244173710038 -62.7203292354968</t>
  </si>
  <si>
    <t>-850.225645998809 14.1632368455871 338.304221758419</t>
  </si>
  <si>
    <t>-882.947836204237 21.1400399256513 785.098431103616</t>
  </si>
  <si>
    <t>-786.058829077884 -81.4072721761672 857.097654248669</t>
  </si>
  <si>
    <t>9763-20170724T111207.912833300.bin</t>
  </si>
  <si>
    <t>-919.270108016767 113.113408824986 -63.4642191671394</t>
  </si>
  <si>
    <t>-954.34807717758 100.899831478845 -173.17566313516</t>
  </si>
  <si>
    <t>-969.413256307673 96.6494320606193 -270.549315858782</t>
  </si>
  <si>
    <t>-977.367890979498 94.8495074368752 -359.272072268827</t>
  </si>
  <si>
    <t>-979.210556996555 94.9455259166389 -448.349737094639</t>
  </si>
  <si>
    <t>-975.305748747475 96.8635073850355 -572.856241926877</t>
  </si>
  <si>
    <t>-943.357348111549 98.7868472146201 -649.541558194261</t>
  </si>
  <si>
    <t>-979.681679795912 123.598724576184 -517.725698168791</t>
  </si>
  <si>
    <t>-989.595574463109 259.247833121214 -497.758349794482</t>
  </si>
  <si>
    <t>-1015.73406355509 271.408493335518 -204.910078473036</t>
  </si>
  <si>
    <t>-780.095089118155 320.443147761408 -215.901307485636</t>
  </si>
  <si>
    <t>-974.366378191721 68.4402915292781 -518.408602727673</t>
  </si>
  <si>
    <t>-944.498106591688 205.351336266866 -66.1961305480338</t>
  </si>
  <si>
    <t>-943.786866077703 245.865404755183 335.31696803606</t>
  </si>
  <si>
    <t>-962.905237553213 272.095845045656 781.945280147217</t>
  </si>
  <si>
    <t>-826.739886073635 323.624886565972 844.323376788875</t>
  </si>
  <si>
    <t>-894.431709321676 20.7429175441421 -62.7579604596838</t>
  </si>
  <si>
    <t>-850.224098907454 13.7721554378668 338.305345449028</t>
  </si>
  <si>
    <t>-882.950443784753 21.072034661694 785.105978346057</t>
  </si>
  <si>
    <t>-785.84826633143 -81.2895947212619 857.08227701737</t>
  </si>
  <si>
    <t>9763-20170724T111207.983052100.bin</t>
  </si>
  <si>
    <t>-918.864046109768 112.122268716751 -63.5040008834754</t>
  </si>
  <si>
    <t>-953.88870380744 99.781985778895 -173.21818541095</t>
  </si>
  <si>
    <t>-969.005654155181 95.5291962372321 -270.583739532705</t>
  </si>
  <si>
    <t>-977.043960605153 93.7692658651104 -359.299661345054</t>
  </si>
  <si>
    <t>-979.005938494198 93.9505259705134 -448.374749329868</t>
  </si>
  <si>
    <t>-975.302768181374 96.0360764382531 -572.884774763225</t>
  </si>
  <si>
    <t>-943.47199151298 98.2188549211387 -649.611901122719</t>
  </si>
  <si>
    <t>-979.731651060135 122.683112251282 -517.715650767238</t>
  </si>
  <si>
    <t>-990.47709591898 258.254622676501 -497.642088034475</t>
  </si>
  <si>
    <t>-1018.18590580888 269.724645445621 -204.910366998279</t>
  </si>
  <si>
    <t>-782.873089318373 320.454059819756 -215.169283819807</t>
  </si>
  <si>
    <t>-974.133074337345 67.5536532048677 -518.472573001124</t>
  </si>
  <si>
    <t>-944.424351437854 204.243808233827 -66.1787570424701</t>
  </si>
  <si>
    <t>-943.975007196347 245.241829435524 335.285677287271</t>
  </si>
  <si>
    <t>-963.026602824503 272.152099469749 781.860329947944</t>
  </si>
  <si>
    <t>-826.779929415733 323.447978964307 844.253392024498</t>
  </si>
  <si>
    <t>-893.682684317585 19.803158269593 -62.833645080522</t>
  </si>
  <si>
    <t>-850.091388730551 13.168851171089 338.302790463761</t>
  </si>
  <si>
    <t>-882.845537597719 21.0840176912643 785.102088858771</t>
  </si>
  <si>
    <t>-785.758576931971 -81.297300488573 857.070904480557</t>
  </si>
  <si>
    <t>9763-20170724T111208.015136400.bin</t>
  </si>
  <si>
    <t>-918.632140981876 111.541412789087 -63.5294469885245</t>
  </si>
  <si>
    <t>-953.630029501912 99.1428386623415 -173.245709685301</t>
  </si>
  <si>
    <t>-968.771266239889 94.8814033188319 -270.606905226053</t>
  </si>
  <si>
    <t>-976.850233623722 93.1311066449543 -359.319442163606</t>
  </si>
  <si>
    <t>-978.870605962973 93.3417371425817 -448.393084516544</t>
  </si>
  <si>
    <t>-975.268039226774 95.489936433808 -572.905155985863</t>
  </si>
  <si>
    <t>-943.497653210479 97.7929415023295 -649.65375575821</t>
  </si>
  <si>
    <t>-979.724016664431 122.101655109851 -517.72114968571</t>
  </si>
  <si>
    <t>-990.909269457523 257.639867489344 -497.640814044886</t>
  </si>
  <si>
    <t>-1019.47590396108 268.814224428084 -204.980030962909</t>
  </si>
  <si>
    <t>-784.316800494079 320.354617843687 -214.714677726944</t>
  </si>
  <si>
    <t>-973.982686219729 66.9875030975463 -518.505915099919</t>
  </si>
  <si>
    <t>-944.303091231701 203.612528539586 -66.1909809375347</t>
  </si>
  <si>
    <t>-944.022529193889 244.863827382856 335.247509951579</t>
  </si>
  <si>
    <t>-963.035165157931 272.116563496673 781.796549726223</t>
  </si>
  <si>
    <t>-826.889633852099 323.616806494576 844.242279430038</t>
  </si>
  <si>
    <t>-893.332560575218 19.2737847189046 -62.8691217191235</t>
  </si>
  <si>
    <t>-850.058994280729 12.8185506570981 338.304650886407</t>
  </si>
  <si>
    <t>-882.808986283059 21.0629539325964 785.105510582773</t>
  </si>
  <si>
    <t>-785.616901938468 -81.2257200146194 857.063819024849</t>
  </si>
  <si>
    <t>9763-20170724T111208.083340000.bin</t>
  </si>
  <si>
    <t>-918.135173077451 110.395318337074 -63.5672784157439</t>
  </si>
  <si>
    <t>-953.102333849717 97.8828668873257 -173.280307555184</t>
  </si>
  <si>
    <t>-968.331844342793 93.5954675310377 -270.626788449198</t>
  </si>
  <si>
    <t>-976.535410677607 91.8523959245563 -359.328061463381</t>
  </si>
  <si>
    <t>-978.725238132968 92.1052825499191 -448.397669468163</t>
  </si>
  <si>
    <t>-975.405184277688 94.3517874463873 -572.915709021646</t>
  </si>
  <si>
    <t>-943.791891306817 96.8610972677943 -649.72274724624</t>
  </si>
  <si>
    <t>-979.880880238202 120.904722612637 -517.704898078313</t>
  </si>
  <si>
    <t>-991.973129291935 256.369843697697 -497.685775820116</t>
  </si>
  <si>
    <t>-1022.32043657671 266.900991960807 -205.180557673672</t>
  </si>
  <si>
    <t>-787.488784869701 320.099034715351 -213.837023674161</t>
  </si>
  <si>
    <t>-973.851520865222 65.821879966335 -518.537879701979</t>
  </si>
  <si>
    <t>-944.024260401728 202.352009770114 -66.2072171892081</t>
  </si>
  <si>
    <t>-943.973847514488 244.113957708415 335.178710234675</t>
  </si>
  <si>
    <t>-963.020133908444 271.986263229956 781.692014355867</t>
  </si>
  <si>
    <t>-827.035040266617 323.871585070537 844.168123977671</t>
  </si>
  <si>
    <t>-892.615652886481 18.253047798939 -62.9217306191069</t>
  </si>
  <si>
    <t>-849.89871496487 12.1568680399041 338.317341631581</t>
  </si>
  <si>
    <t>-882.675531664336 21.1247068301127 785.117338635462</t>
  </si>
  <si>
    <t>-785.483919506125 -81.1757798962681 857.059596859307</t>
  </si>
  <si>
    <t>9763-20170724T111208.114422100.bin</t>
  </si>
  <si>
    <t>-917.916123156317 109.799491827923 -63.5722386965472</t>
  </si>
  <si>
    <t>-952.863542584271 97.2160560508069 -173.283369495446</t>
  </si>
  <si>
    <t>-968.13787446144 92.9098669813902 -270.621960825336</t>
  </si>
  <si>
    <t>-976.406471777602 91.1674987247661 -359.317191050346</t>
  </si>
  <si>
    <t>-978.684776511767 91.4407274209084 -448.384448396957</t>
  </si>
  <si>
    <t>-975.512449220156 93.7379465474805 -572.905406209437</t>
  </si>
  <si>
    <t>-943.974328508537 96.3420094527214 -649.7404768896</t>
  </si>
  <si>
    <t>-979.996899325867 120.260105781578 -517.680709044559</t>
  </si>
  <si>
    <t>-992.544093499477 255.685280434204 -497.669639652949</t>
  </si>
  <si>
    <t>-1023.72567870226 265.942539018929 -205.242334177777</t>
  </si>
  <si>
    <t>-789.0664347272 319.958851843468 -213.496236030358</t>
  </si>
  <si>
    <t>-973.82014621079 65.1940183993361 -518.539165532493</t>
  </si>
  <si>
    <t>-943.933881124349 201.648901133096 -66.1939439203285</t>
  </si>
  <si>
    <t>-943.936538670634 243.779961375069 335.153365422587</t>
  </si>
  <si>
    <t>-963.066137490894 271.96753570026 781.640693485138</t>
  </si>
  <si>
    <t>-827.167470150641 324.065884259737 844.127398171653</t>
  </si>
  <si>
    <t>-892.276016859617 17.7574031495701 -62.9377486588741</t>
  </si>
  <si>
    <t>-849.821250990773 11.7796153225268 338.330869835476</t>
  </si>
  <si>
    <t>-882.629819085089 21.110122695201 785.125955847856</t>
  </si>
  <si>
    <t>-785.344347689224 -81.1110626176962 857.054172795498</t>
  </si>
  <si>
    <t>9763-20170724T111208.180101000.bin</t>
  </si>
  <si>
    <t>-917.581776175251 108.756436497189 -63.567133190743</t>
  </si>
  <si>
    <t>-952.451088634175 96.0207671500307 -173.285707383569</t>
  </si>
  <si>
    <t>-967.767050530507 91.675972249524 -270.616036908412</t>
  </si>
  <si>
    <t>-976.115300117263 89.9373865747689 -359.303811161755</t>
  </si>
  <si>
    <t>-978.515673278898 90.2581101342821 -448.36771822714</t>
  </si>
  <si>
    <t>-975.556379988394 92.6700406049604 -572.891852054879</t>
  </si>
  <si>
    <t>-944.136709852324 95.478182933914 -649.767841227237</t>
  </si>
  <si>
    <t>-980.10572726555 119.123065909166 -517.639129822158</t>
  </si>
  <si>
    <t>-993.539320021203 254.468363166679 -497.661604035697</t>
  </si>
  <si>
    <t>-1026.15213669457 264.27826153383 -205.375087832238</t>
  </si>
  <si>
    <t>-791.797820419916 319.686452954459 -213.051426640641</t>
  </si>
  <si>
    <t>-973.611533777785 64.0943278014115 -518.550643110515</t>
  </si>
  <si>
    <t>-943.92712129785 200.543449856347 -66.1898582280453</t>
  </si>
  <si>
    <t>-944.000116699016 243.369296904791 335.083934116559</t>
  </si>
  <si>
    <t>-963.363433868444 272.208086885734 781.521462767263</t>
  </si>
  <si>
    <t>-827.165390090572 323.469807195489 844.048740637684</t>
  </si>
  <si>
    <t>-891.626577830899 16.7499277614265 -62.9694467909291</t>
  </si>
  <si>
    <t>-849.762224061446 11.1903193618914 338.367201899437</t>
  </si>
  <si>
    <t>-882.520506890258 21.0917198225384 785.139362464079</t>
  </si>
  <si>
    <t>-785.207345499669 -81.1130805360785 857.053568021</t>
  </si>
  <si>
    <t>9763-20170724T111208.213188100.bin</t>
  </si>
  <si>
    <t>-917.327442621523 108.149739807964 -63.5860732974345</t>
  </si>
  <si>
    <t>-952.152451831535 95.3381319857981 -173.309778791525</t>
  </si>
  <si>
    <t>-967.477133116584 90.9741328352648 -270.637990828507</t>
  </si>
  <si>
    <t>-975.851853475935 89.2376175688451 -359.323302315653</t>
  </si>
  <si>
    <t>-978.296670756073 89.5824032701371 -448.385877259895</t>
  </si>
  <si>
    <t>-975.417840834444 92.0517179127828 -572.910677452049</t>
  </si>
  <si>
    <t>-944.052841159521 94.9797377767281 -649.804788140196</t>
  </si>
  <si>
    <t>-980.013236426099 118.469527658241 -517.64497890808</t>
  </si>
  <si>
    <t>-993.868996478054 253.76773323109 -497.657172272085</t>
  </si>
  <si>
    <t>-1027.05885808336 263.393227409736 -205.429440708226</t>
  </si>
  <si>
    <t>-792.85864355038 319.480273445062 -212.867839774525</t>
  </si>
  <si>
    <t>-973.355863011224 63.4607703400866 -518.581986505507</t>
  </si>
  <si>
    <t>-943.756538896483 199.849944250283 -66.2081511867393</t>
  </si>
  <si>
    <t>-943.957090067398 242.959963756694 335.035120420352</t>
  </si>
  <si>
    <t>-963.352299500241 272.109303600533 781.442028571201</t>
  </si>
  <si>
    <t>-827.33395898044 323.842875071487 843.971550387642</t>
  </si>
  <si>
    <t>-891.26277327549 16.2520097263855 -62.9901636376781</t>
  </si>
  <si>
    <t>-849.691265955284 10.8787117823795 338.379477073119</t>
  </si>
  <si>
    <t>-882.445710538204 21.113777740532 785.152468142332</t>
  </si>
  <si>
    <t>-785.142675376009 -81.1062029630343 857.058480804915</t>
  </si>
  <si>
    <t>9763-20170724T111208.293928700.bin</t>
  </si>
  <si>
    <t>-916.867727375205 106.972715853556 -63.6329053620599</t>
  </si>
  <si>
    <t>-951.582279341377 93.9885424727886 -173.371286082734</t>
  </si>
  <si>
    <t>-966.935261985367 89.5498808760085 -270.69167709773</t>
  </si>
  <si>
    <t>-975.38366771009 87.7759496380527 -359.369224088794</t>
  </si>
  <si>
    <t>-977.950225519266 88.1173919246821 -448.428563127714</t>
  </si>
  <si>
    <t>-975.290552362765 90.6206373035129 -572.95753006802</t>
  </si>
  <si>
    <t>-944.032065480121 93.7621568465183 -649.886486389535</t>
  </si>
  <si>
    <t>-979.943969832806 117.004251676938 -517.680294449212</t>
  </si>
  <si>
    <t>-994.669014171362 252.226910490849 -497.756547357394</t>
  </si>
  <si>
    <t>-1028.66670679207 261.560035318523 -205.612455245382</t>
  </si>
  <si>
    <t>-794.741152010319 318.851826497307 -212.493605890544</t>
  </si>
  <si>
    <t>-972.977768460908 62.033902188869 -518.636483930896</t>
  </si>
  <si>
    <t>-943.624814821936 198.529086786423 -66.2602932067771</t>
  </si>
  <si>
    <t>-944.122682044734 242.355949145834 334.905002573292</t>
  </si>
  <si>
    <t>-963.522817663233 272.199606155537 781.250895828955</t>
  </si>
  <si>
    <t>-827.486576276364 323.845710529259 843.814011418105</t>
  </si>
  <si>
    <t>-890.491599704119 15.2396368788709 -63.0302111683885</t>
  </si>
  <si>
    <t>-849.564407748093 10.169153397123 338.409532670188</t>
  </si>
  <si>
    <t>-882.336386585878 21.0871949316579 785.176222710505</t>
  </si>
  <si>
    <t>-784.887366003044 -81.0118433095822 857.056345268678</t>
  </si>
  <si>
    <t>9763-20170724T111208.312979200.bin</t>
  </si>
  <si>
    <t>-916.580081911416 106.474705396325 -63.6627492471123</t>
  </si>
  <si>
    <t>-951.249235006555 93.3876933204929 -173.403321417116</t>
  </si>
  <si>
    <t>-966.617107528608 88.904118434044 -270.719285543835</t>
  </si>
  <si>
    <t>-975.099940523204 87.1062055087782 -359.393089216424</t>
  </si>
  <si>
    <t>-977.720749824129 87.4421363170018 -448.450642388825</t>
  </si>
  <si>
    <t>-975.157904241705 89.9572265329766 -572.981524519954</t>
  </si>
  <si>
    <t>-943.936665152037 93.191692892593 -649.921711565342</t>
  </si>
  <si>
    <t>-979.844345707182 116.325817620282 -517.699958042764</t>
  </si>
  <si>
    <t>-994.980573066898 251.503016368951 -497.818158562002</t>
  </si>
  <si>
    <t>-1029.4856388524 260.778890987188 -205.731547557715</t>
  </si>
  <si>
    <t>-795.688111428361 318.622137796069 -212.344824351226</t>
  </si>
  <si>
    <t>-972.727167987177 61.3750811462101 -518.663245801663</t>
  </si>
  <si>
    <t>-943.532102799825 197.976093172025 -66.3034261678654</t>
  </si>
  <si>
    <t>-944.284554398308 242.142431190631 334.824296459592</t>
  </si>
  <si>
    <t>-963.688544198584 272.370939014467 781.139860719644</t>
  </si>
  <si>
    <t>-827.588805022471 323.81161387585 843.733998282761</t>
  </si>
  <si>
    <t>-890.002070403626 14.8124140193968 -63.0626673075202</t>
  </si>
  <si>
    <t>-849.455495983515 9.86054030500281 338.417231836866</t>
  </si>
  <si>
    <t>-882.272574511838 21.0791801797245 785.185314738125</t>
  </si>
  <si>
    <t>-784.832242067012 -81.0333071764628 857.058415699742</t>
  </si>
  <si>
    <t>9763-20170724T111208.383255400.bin</t>
  </si>
  <si>
    <t>-915.68426810913 105.33893484225 -63.7038341533062</t>
  </si>
  <si>
    <t>-950.255592199926 92.0664185056239 -173.452948454693</t>
  </si>
  <si>
    <t>-965.630904652923 87.4991727117836 -270.763799853861</t>
  </si>
  <si>
    <t>-974.155350709462 85.6565448087003 -359.432736429801</t>
  </si>
  <si>
    <t>-976.853354863992 85.9832293518457 -448.488099588052</t>
  </si>
  <si>
    <t>-974.434217834122 88.525095324575 -573.02121162422</t>
  </si>
  <si>
    <t>-943.267336910621 91.9234247255608 -649.976450721519</t>
  </si>
  <si>
    <t>-979.243881766661 114.857088050707 -517.73285764708</t>
  </si>
  <si>
    <t>-995.189973983998 249.931265419981 -497.770028046923</t>
  </si>
  <si>
    <t>-1030.83995922396 259.463939887019 -205.829286074966</t>
  </si>
  <si>
    <t>-797.281540870755 318.343670722793 -211.702842747806</t>
  </si>
  <si>
    <t>-971.753918669787 59.9559519899512 -518.707816501502</t>
  </si>
  <si>
    <t>-942.968597071009 196.600835595644 -66.3629131709047</t>
  </si>
  <si>
    <t>-944.246544363976 241.240949722879 334.71100380379</t>
  </si>
  <si>
    <t>-963.464934277022 271.895095691282 780.982682306298</t>
  </si>
  <si>
    <t>-827.91925082564 324.747926435503 843.602394345978</t>
  </si>
  <si>
    <t>-888.75936821641 13.9106322874168 -63.1032583621853</t>
  </si>
  <si>
    <t>-849.030369150332 9.06823561105057 338.45977818731</t>
  </si>
  <si>
    <t>-882.11831326814 21.0927703458942 785.207121644631</t>
  </si>
  <si>
    <t>-784.636463705596 -80.99687208916 857.056418227135</t>
  </si>
  <si>
    <t>9763-20170724T111208.412329800.bin</t>
  </si>
  <si>
    <t>-915.336221151673 104.780558390203 -63.7217913803743</t>
  </si>
  <si>
    <t>-949.836852263761 91.4335619001654 -173.484264485351</t>
  </si>
  <si>
    <t>-965.202602879509 86.8241561775917 -270.794542963165</t>
  </si>
  <si>
    <t>-973.739496590625 84.9521293025809 -359.46171598772</t>
  </si>
  <si>
    <t>-976.470713194147 85.2605257493155 -448.516083073787</t>
  </si>
  <si>
    <t>-974.119422194805 87.7896620815468 -573.050789983576</t>
  </si>
  <si>
    <t>-942.973390098728 91.2636610578929 -650.011057629418</t>
  </si>
  <si>
    <t>-978.998228949984 114.113332851804 -517.764581892861</t>
  </si>
  <si>
    <t>-995.428604376869 249.134307666054 -497.77302386651</t>
  </si>
  <si>
    <t>-1032.02150869002 258.919132240136 -205.957238505869</t>
  </si>
  <si>
    <t>-798.60145375877 318.38282984813 -211.436896328523</t>
  </si>
  <si>
    <t>-971.30966771136 59.2399745387042 -518.733962809159</t>
  </si>
  <si>
    <t>-942.883391086164 195.985007546911 -66.3536058350395</t>
  </si>
  <si>
    <t>-944.50383614793 240.880485432177 334.690551241163</t>
  </si>
  <si>
    <t>-963.601032819426 271.942448594505 780.939998187468</t>
  </si>
  <si>
    <t>-828.058304653632 324.802453153034 843.560067906664</t>
  </si>
  <si>
    <t>-888.171977682006 13.3736243243625 -63.1263128826654</t>
  </si>
  <si>
    <t>-848.82017548065 8.68455956894422 338.475606348713</t>
  </si>
  <si>
    <t>-882.00291438328 21.1555265376983 785.204146018089</t>
  </si>
  <si>
    <t>-784.462113252107 -80.8874329977314 857.039754565423</t>
  </si>
  <si>
    <t>9763-20170724T111208.482061600.bin</t>
  </si>
  <si>
    <t>-914.72290782277 103.451395099208 -63.7648394243304</t>
  </si>
  <si>
    <t>-949.072944982493 89.9344142454711 -173.553655371331</t>
  </si>
  <si>
    <t>-964.397486501302 85.2593607894428 -270.867436625956</t>
  </si>
  <si>
    <t>-972.931224794862 83.3597889866978 -359.534291838532</t>
  </si>
  <si>
    <t>-975.693657236003 83.677310065405 -448.587668737133</t>
  </si>
  <si>
    <t>-973.420788914179 86.2595871654012 -573.12276536498</t>
  </si>
  <si>
    <t>-942.309914780418 89.9364582070434 -650.087734508098</t>
  </si>
  <si>
    <t>-978.475221348531 112.52971261621 -517.826669695566</t>
  </si>
  <si>
    <t>-996.038755171006 247.414463895054 -497.916449029953</t>
  </si>
  <si>
    <t>-1035.01976185973 257.128736156778 -206.407696639789</t>
  </si>
  <si>
    <t>-802.003313429886 318.209583092255 -211.23792309049</t>
  </si>
  <si>
    <t>-970.366886968727 57.7168096411197 -518.815248902206</t>
  </si>
  <si>
    <t>-942.780468755589 194.602494568986 -66.3777004415848</t>
  </si>
  <si>
    <t>-944.99322571274 239.877468567739 334.621013813259</t>
  </si>
  <si>
    <t>-963.775151413194 271.950873917121 780.783520790476</t>
  </si>
  <si>
    <t>-828.394817249336 325.222143157955 843.406744949436</t>
  </si>
  <si>
    <t>-887.044133557994 12.0901560731763 -63.1885165142947</t>
  </si>
  <si>
    <t>-848.518694632142 7.84281174419493 338.498449802616</t>
  </si>
  <si>
    <t>-881.910603276145 21.0552695954066 785.209927533277</t>
  </si>
  <si>
    <t>-784.175252267184 -80.8284663004679 857.006705450575</t>
  </si>
  <si>
    <t>9763-20170724T111208.517154800.bin</t>
  </si>
  <si>
    <t>-914.399585244625 102.787455615516 -63.7967054186229</t>
  </si>
  <si>
    <t>-948.661389580282 89.1757834577475 -173.601443279298</t>
  </si>
  <si>
    <t>-963.951115324312 84.4770489022321 -270.919406229102</t>
  </si>
  <si>
    <t>-972.468562373121 82.5788912406183 -359.587842669697</t>
  </si>
  <si>
    <t>-975.229850867968 82.9226803781289 -448.641289896036</t>
  </si>
  <si>
    <t>-972.970940191249 85.5689508798832 -573.175261768324</t>
  </si>
  <si>
    <t>-941.873906451794 89.3702832520239 -650.13973114023</t>
  </si>
  <si>
    <t>-978.136367329013 111.793059534778 -517.867566515041</t>
  </si>
  <si>
    <t>-996.382541724426 246.588697208537 -497.969804302476</t>
  </si>
  <si>
    <t>-1036.43701355307 256.057433896482 -206.598498613197</t>
  </si>
  <si>
    <t>-803.68829535626 318.182098363757 -211.002922541339</t>
  </si>
  <si>
    <t>-969.79352653783 57.0158309310982 -518.880239129145</t>
  </si>
  <si>
    <t>-942.703162451962 193.875202593601 -66.3978961794224</t>
  </si>
  <si>
    <t>-945.175319891159 239.499111691255 334.559761211272</t>
  </si>
  <si>
    <t>-963.808361101154 271.924705856848 780.695501614808</t>
  </si>
  <si>
    <t>-828.460105744387 325.254643817107 843.33754535076</t>
  </si>
  <si>
    <t>-886.435908522651 11.529795405685 -63.2315223005994</t>
  </si>
  <si>
    <t>-848.368387767334 7.46603217373149 338.500990644957</t>
  </si>
  <si>
    <t>-881.806387611764 21.1010735667501 785.201884185277</t>
  </si>
  <si>
    <t>-784.068327333737 -80.7885383686946 856.986756218312</t>
  </si>
  <si>
    <t>9763-20170724T111208.578823000.bin</t>
  </si>
  <si>
    <t>-913.773036046781 101.471493949442 -63.8431040417258</t>
  </si>
  <si>
    <t>-947.849280113767 87.6225264325471 -173.67584042406</t>
  </si>
  <si>
    <t>-963.057402544195 82.8916069758188 -271.005154859465</t>
  </si>
  <si>
    <t>-971.528069771508 81.0310169893305 -359.678830998149</t>
  </si>
  <si>
    <t>-974.268147105587 81.4841330796226 -448.732267234435</t>
  </si>
  <si>
    <t>-972.004162880649 84.3593895977415 -573.261254500479</t>
  </si>
  <si>
    <t>-940.897721245784 88.4823535882006 -650.205436134279</t>
  </si>
  <si>
    <t>-977.434584845229 110.440528398291 -517.911485984141</t>
  </si>
  <si>
    <t>-997.064684979666 245.022419542692 -497.921783070503</t>
  </si>
  <si>
    <t>-1038.69659277627 253.643929421145 -206.74542863554</t>
  </si>
  <si>
    <t>-806.522827611991 317.947189130286 -210.115694169374</t>
  </si>
  <si>
    <t>-968.566048856937 55.7476717865839 -519.013008845852</t>
  </si>
  <si>
    <t>-942.67449918972 192.285003839596 -66.4231229660434</t>
  </si>
  <si>
    <t>-945.341725392537 238.651983505119 334.448008116641</t>
  </si>
  <si>
    <t>-963.833768197866 271.775786002913 780.536829016876</t>
  </si>
  <si>
    <t>-828.7068418246 325.635325171561 843.203577823353</t>
  </si>
  <si>
    <t>-885.198534400011 10.4708155090661 -63.3087759517121</t>
  </si>
  <si>
    <t>-847.986013563902 6.67802387727625 338.506500019166</t>
  </si>
  <si>
    <t>-881.661885343458 21.0544704155814 785.191176276777</t>
  </si>
  <si>
    <t>-783.688426916738 -80.627327941781 856.949798525068</t>
  </si>
  <si>
    <t>9763-20170724T111208.615921800.bin</t>
  </si>
  <si>
    <t>-913.45572391746 100.896285404813 -63.8562775179972</t>
  </si>
  <si>
    <t>-947.400314069205 86.9438386429838 -173.716623919984</t>
  </si>
  <si>
    <t>-962.545777802263 82.2042602308748 -271.055247290826</t>
  </si>
  <si>
    <t>-970.978109606933 80.3676199400484 -359.733169071013</t>
  </si>
  <si>
    <t>-973.69812951837 80.8792395996061 -448.787023828185</t>
  </si>
  <si>
    <t>-971.425099446493 83.8737050812451 -573.312761730668</t>
  </si>
  <si>
    <t>-940.287538669374 88.1759512455383 -650.234672294348</t>
  </si>
  <si>
    <t>-976.994379040105 109.879707922937 -517.941400849066</t>
  </si>
  <si>
    <t>-997.196602793525 244.356814518272 -497.808800055703</t>
  </si>
  <si>
    <t>-1039.42518310678 252.423482709891 -206.70251638738</t>
  </si>
  <si>
    <t>-807.509824543053 317.681883369396 -209.458203225495</t>
  </si>
  <si>
    <t>-967.856205183082 55.2323184751722 -519.088643653254</t>
  </si>
  <si>
    <t>-942.661588989419 191.55795436408 -66.4163327797984</t>
  </si>
  <si>
    <t>-945.479918335954 238.346119622797 334.404833485793</t>
  </si>
  <si>
    <t>-963.964800012225 271.850450866922 780.452966053763</t>
  </si>
  <si>
    <t>-828.832734380567 325.680439274954 843.134351423156</t>
  </si>
  <si>
    <t>-884.573456102502 10.0356823499465 -63.3382612594235</t>
  </si>
  <si>
    <t>-847.734676526687 6.3237472208416 338.512231050259</t>
  </si>
  <si>
    <t>-881.567537977149 21.0574795593348 785.184507194981</t>
  </si>
  <si>
    <t>-783.68745453262 -80.7156532157401 856.941012275591</t>
  </si>
  <si>
    <t>9763-20170724T111208.682842600.bin</t>
  </si>
  <si>
    <t>-912.727634126111 99.6119043999111 -63.8889734535571</t>
  </si>
  <si>
    <t>-946.401447005652 85.4567311239812 -173.806736924885</t>
  </si>
  <si>
    <t>-961.394335639104 80.683794898167 -271.167349215594</t>
  </si>
  <si>
    <t>-969.71820143178 78.8724608785701 -359.856032269031</t>
  </si>
  <si>
    <t>-972.359481227578 79.4702480105007 -448.91168740984</t>
  </si>
  <si>
    <t>-970.005826237034 82.6509243749233 -573.431348437306</t>
  </si>
  <si>
    <t>-938.769629525572 87.3143694459532 -650.292092369816</t>
  </si>
  <si>
    <t>-975.876891544037 108.528393602369 -518.03103198166</t>
  </si>
  <si>
    <t>-997.2637230224 242.800299116265 -497.704678171796</t>
  </si>
  <si>
    <t>-1040.6271487527 249.744944853539 -206.736124774687</t>
  </si>
  <si>
    <t>-809.153163918656 316.588853912431 -208.306234289878</t>
  </si>
  <si>
    <t>-966.206427283256 53.9740204129794 -519.241786287377</t>
  </si>
  <si>
    <t>-942.566151316215 190.043401360055 -66.4318108571161</t>
  </si>
  <si>
    <t>-945.823123613945 237.565236599157 334.299657011967</t>
  </si>
  <si>
    <t>-964.111831585315 271.829312296676 780.291590459636</t>
  </si>
  <si>
    <t>-829.063667874326 325.84153166216 842.997101681336</t>
  </si>
  <si>
    <t>-883.259929616252 8.94495794187151 -63.3995624600459</t>
  </si>
  <si>
    <t>-847.28738765308 5.65491902170879 338.533089130923</t>
  </si>
  <si>
    <t>-881.329625219641 21.1329373643994 785.173382029637</t>
  </si>
  <si>
    <t>-783.471942820541 -80.6744309235987 856.912151363388</t>
  </si>
  <si>
    <t>9763-20170724T111208.713925100.bin</t>
  </si>
  <si>
    <t>-912.392738123015 99.0710873795556 -63.9047005572777</t>
  </si>
  <si>
    <t>-945.919609608484 84.8196241599239 -173.854937896729</t>
  </si>
  <si>
    <t>-960.812794973828 80.0246580867047 -271.229859117231</t>
  </si>
  <si>
    <t>-969.056332366485 78.2163446633213 -359.926065667386</t>
  </si>
  <si>
    <t>-971.626294258064 78.8431110757265 -448.983576287784</t>
  </si>
  <si>
    <t>-969.183267119936 82.0917505142274 -573.499711009096</t>
  </si>
  <si>
    <t>-937.885049235573 86.9249240756276 -650.324857424071</t>
  </si>
  <si>
    <t>-975.226159967077 107.915452520478 -518.092810984157</t>
  </si>
  <si>
    <t>-997.258728658704 242.072016503919 -497.726171674213</t>
  </si>
  <si>
    <t>-1041.13219097496 248.521622306139 -206.822890442257</t>
  </si>
  <si>
    <t>-809.865345612303 316.089644652365 -207.863887194888</t>
  </si>
  <si>
    <t>-965.29050395389 53.409029216295 -519.319989185748</t>
  </si>
  <si>
    <t>-942.560985402625 189.426578922747 -66.4425303244082</t>
  </si>
  <si>
    <t>-946.098415004265 237.260451239424 334.249456129491</t>
  </si>
  <si>
    <t>-964.327085411184 272.006589449805 780.209463604873</t>
  </si>
  <si>
    <t>-829.205095423128 325.816329630023 842.929960957795</t>
  </si>
  <si>
    <t>-882.613517750577 8.53897006749048 -63.4436391906994</t>
  </si>
  <si>
    <t>-847.10759744912 5.29963697927542 338.530898240189</t>
  </si>
  <si>
    <t>-881.249128609453 21.1045016004373 785.169346741438</t>
  </si>
  <si>
    <t>-783.271577902881 -80.598567222587 856.892553811044</t>
  </si>
  <si>
    <t>9763-20170724T111208.783677700.bin</t>
  </si>
  <si>
    <t>-911.569669397489 98.0290521133188 -63.9488918371653</t>
  </si>
  <si>
    <t>-944.796355985088 83.6077091064585 -173.968211265538</t>
  </si>
  <si>
    <t>-959.474181741348 78.7717185625202 -271.373603693609</t>
  </si>
  <si>
    <t>-967.537843932271 76.9657827045921 -360.086538968976</t>
  </si>
  <si>
    <t>-969.943110958887 77.6380074492631 -449.148226188493</t>
  </si>
  <si>
    <t>-967.285093444708 80.9970323783705 -573.65709605348</t>
  </si>
  <si>
    <t>-935.85741733601 86.1348141835397 -650.409408493841</t>
  </si>
  <si>
    <t>-973.66940196104 106.725665518276 -518.244131416456</t>
  </si>
  <si>
    <t>-996.955318972983 240.653789579658 -497.748580355222</t>
  </si>
  <si>
    <t>-1041.48074593998 246.055593190273 -206.92302965839</t>
  </si>
  <si>
    <t>-810.762815677424 315.480268895833 -207.399302874231</t>
  </si>
  <si>
    <t>-963.240007414268 52.3121733646572 -519.489608908016</t>
  </si>
  <si>
    <t>-942.374951668446 188.110999253343 -66.456195846888</t>
  </si>
  <si>
    <t>-946.541920409659 236.253015606562 334.192840644035</t>
  </si>
  <si>
    <t>-964.420048832577 271.837842638313 780.094978661648</t>
  </si>
  <si>
    <t>-829.535829928383 326.27665210667 842.784447395724</t>
  </si>
  <si>
    <t>-881.124240117445 7.72255663464966 -63.500917107342</t>
  </si>
  <si>
    <t>-846.657441176454 4.60844081528876 338.565092290421</t>
  </si>
  <si>
    <t>-881.022937890098 21.1455761438824 785.159837087824</t>
  </si>
  <si>
    <t>-782.921703909135 -80.4576025008225 856.854884933494</t>
  </si>
  <si>
    <t>9763-20170724T111208.815762700.bin</t>
  </si>
  <si>
    <t>-911.100235568212 97.5348685648137 -63.9939172341294</t>
  </si>
  <si>
    <t>-944.174419868536 83.0243659172429 -174.047545082327</t>
  </si>
  <si>
    <t>-958.733263302967 78.1584928768616 -271.469316752676</t>
  </si>
  <si>
    <t>-966.693831705156 76.3431023709172 -360.191243904893</t>
  </si>
  <si>
    <t>-969.000235955028 77.0253662251685 -449.255531081071</t>
  </si>
  <si>
    <t>-966.207794004741 80.4190751438582 -573.760536832218</t>
  </si>
  <si>
    <t>-934.711736537676 85.6818016560587 -650.476502905972</t>
  </si>
  <si>
    <t>-972.764309927009 106.110520461453 -518.3506658602</t>
  </si>
  <si>
    <t>-996.656373305356 239.925680704778 -497.804907898561</t>
  </si>
  <si>
    <t>-1041.40635820801 244.982712749063 -207.007567899194</t>
  </si>
  <si>
    <t>-810.937135793982 315.231054616844 -207.255049994898</t>
  </si>
  <si>
    <t>-962.108803503806 51.7407772583506 -519.593627240166</t>
  </si>
  <si>
    <t>-942.165335386169 187.574315247753 -66.4947704801336</t>
  </si>
  <si>
    <t>-946.853029053713 235.866266985039 334.130436292405</t>
  </si>
  <si>
    <t>-964.582191338474 271.952051888258 779.990000804845</t>
  </si>
  <si>
    <t>-829.682672494984 326.355648640078 842.676669376218</t>
  </si>
  <si>
    <t>-880.361895506488 7.28785108716829 -63.5303831232123</t>
  </si>
  <si>
    <t>-846.402124210366 4.26419555215944 338.5794196797</t>
  </si>
  <si>
    <t>-880.918137143332 21.1500079134348 785.153210916293</t>
  </si>
  <si>
    <t>-782.761417396596 -80.4076649896608 856.837286371888</t>
  </si>
  <si>
    <t>9763-20170724T111208.880043400.bin</t>
  </si>
  <si>
    <t>-909.974684971916 96.4167116857961 -64.090010723137</t>
  </si>
  <si>
    <t>-942.760656391661 81.7170011760131 -174.204560708448</t>
  </si>
  <si>
    <t>-957.073142990158 76.7971279029766 -271.660257924796</t>
  </si>
  <si>
    <t>-964.807005406461 74.9722821242658 -360.402094037542</t>
  </si>
  <si>
    <t>-966.883814648046 75.6865639055754 -449.47176438773</t>
  </si>
  <si>
    <t>-963.767061719615 79.1684013247036 -573.966672815036</t>
  </si>
  <si>
    <t>-932.158682027047 84.6680646464965 -650.619772246951</t>
  </si>
  <si>
    <t>-970.673196397225 104.779752829691 -518.562056835475</t>
  </si>
  <si>
    <t>-995.718912444902 238.358020603251 -497.868060875809</t>
  </si>
  <si>
    <t>-1041.04011723511 242.817941849358 -207.149446182253</t>
  </si>
  <si>
    <t>-811.130961609206 314.877806309483 -207.187848859606</t>
  </si>
  <si>
    <t>-959.603872584614 50.4925010105594 -519.803164642707</t>
  </si>
  <si>
    <t>-941.588202268266 186.329089424838 -66.5867427731318</t>
  </si>
  <si>
    <t>-947.035515037337 235.002544990354 333.982690380522</t>
  </si>
  <si>
    <t>-964.678101264918 271.819942886855 779.823530504512</t>
  </si>
  <si>
    <t>-830.089366698742 327.024001490456 842.478824368929</t>
  </si>
  <si>
    <t>-878.706229709909 6.3276502054573 -63.6087196937476</t>
  </si>
  <si>
    <t>-845.75576366887 3.5602310854124 338.586848587403</t>
  </si>
  <si>
    <t>-880.669248305854 21.2090681008349 785.12980040608</t>
  </si>
  <si>
    <t>-782.454191594631 -80.3044184462854 856.796490268825</t>
  </si>
  <si>
    <t>9763-20170724T111208.915137700.bin</t>
  </si>
  <si>
    <t>-909.425062641901 95.9260810729829 -64.1107395320706</t>
  </si>
  <si>
    <t>-942.076781768727 81.1470097779438 -174.254495474242</t>
  </si>
  <si>
    <t>-956.265194387807 76.2092408230396 -271.727531197197</t>
  </si>
  <si>
    <t>-963.882061721195 74.3866687747991 -360.479375610333</t>
  </si>
  <si>
    <t>-965.836725292506 75.1229237129019 -449.55165118512</t>
  </si>
  <si>
    <t>-962.544327694857 78.6558003614177 -574.040625306001</t>
  </si>
  <si>
    <t>-930.896649146807 84.2803961043674 -650.66845779143</t>
  </si>
  <si>
    <t>-969.629152803884 104.223869287091 -518.638605490865</t>
  </si>
  <si>
    <t>-995.265661995178 237.672861474925 -497.870471215915</t>
  </si>
  <si>
    <t>-1040.86204344632 241.832728857862 -207.190386438188</t>
  </si>
  <si>
    <t>-811.26931062526 314.895001865839 -207.131751753509</t>
  </si>
  <si>
    <t>-958.35731547843 49.9784513108993 -519.87986910284</t>
  </si>
  <si>
    <t>-941.348655871377 185.778038403085 -66.6120227654875</t>
  </si>
  <si>
    <t>-947.033535834905 234.624976050811 333.933008284331</t>
  </si>
  <si>
    <t>-964.762651117991 271.775293265863 779.753365100068</t>
  </si>
  <si>
    <t>-830.193908340714 327.041133183679 842.397078276256</t>
  </si>
  <si>
    <t>-877.873413602168 5.9056831456287 -63.6313679118565</t>
  </si>
  <si>
    <t>-845.386591444812 3.19789744912805 338.602343143633</t>
  </si>
  <si>
    <t>-880.540339926389 21.2425317186912 785.118751865503</t>
  </si>
  <si>
    <t>-782.303416621943 -80.25568178648 856.776935755552</t>
  </si>
  <si>
    <t>9763-20170724T111208.982885300.bin</t>
  </si>
  <si>
    <t>-908.257931124238 94.9515055588186 -64.1383602225538</t>
  </si>
  <si>
    <t>-940.625131716565 80.0337805404242 -174.34744224149</t>
  </si>
  <si>
    <t>-954.544675438614 75.1019871239841 -271.85934226389</t>
  </si>
  <si>
    <t>-961.906342947184 73.3325955316545 -360.633864721384</t>
  </si>
  <si>
    <t>-963.593947096457 74.1735166711328 -449.71069627702</t>
  </si>
  <si>
    <t>-959.914525119649 77.9068024451071 -574.18302042424</t>
  </si>
  <si>
    <t>-928.187377141115 83.8350710748564 -650.755065267127</t>
  </si>
  <si>
    <t>-967.374459308856 103.342912490177 -518.769437026769</t>
  </si>
  <si>
    <t>-994.210359967851 236.529251064989 -497.799155010369</t>
  </si>
  <si>
    <t>-1040.48183616551 239.811470603038 -207.214441583188</t>
  </si>
  <si>
    <t>-811.519291173584 314.825343923823 -207.056560295822</t>
  </si>
  <si>
    <t>-955.692535161788 49.1850190806858 -520.048426277309</t>
  </si>
  <si>
    <t>-940.62247883509 184.745994378539 -66.6544163107378</t>
  </si>
  <si>
    <t>-947.152734090577 233.918446382279 333.837860487586</t>
  </si>
  <si>
    <t>-965.023256854565 271.818112342622 779.564500519065</t>
  </si>
  <si>
    <t>-830.53978830809 327.285670892141 842.213418498539</t>
  </si>
  <si>
    <t>-876.239620860662 4.96827130364954 -63.6520102790865</t>
  </si>
  <si>
    <t>-844.656742211036 2.39097027780099 338.654514234427</t>
  </si>
  <si>
    <t>-880.325210095443 21.2335343861992 785.096250423098</t>
  </si>
  <si>
    <t>-781.861524299246 -80.0642700468891 856.726891594994</t>
  </si>
  <si>
    <t>9763-20170724T111209.015972800.bin</t>
  </si>
  <si>
    <t>-907.609198311008 94.4213278125544 -64.183212829694</t>
  </si>
  <si>
    <t>-939.832059308511 79.4278314715984 -174.424262349521</t>
  </si>
  <si>
    <t>-953.632109162866 74.4861031907599 -271.95267991107</t>
  </si>
  <si>
    <t>-960.887203970951 72.7298586014313 -360.736256657532</t>
  </si>
  <si>
    <t>-962.469078192569 73.6075313150109 -449.814747517847</t>
  </si>
  <si>
    <t>-958.643777738853 77.4180145939686 -574.280247110684</t>
  </si>
  <si>
    <t>-926.896397712602 83.5030382191208 -650.831534146498</t>
  </si>
  <si>
    <t>-966.270759500723 102.797704278998 -518.863481290148</t>
  </si>
  <si>
    <t>-993.708651015215 235.849352642371 -497.784448956385</t>
  </si>
  <si>
    <t>-1040.28021318809 238.56808602715 -207.241838212168</t>
  </si>
  <si>
    <t>-811.672730474707 314.655864068905 -206.997822362699</t>
  </si>
  <si>
    <t>-954.383449577773 48.68482979387 -520.154656036689</t>
  </si>
  <si>
    <t>-940.186899713923 184.143682033202 -66.7144960671258</t>
  </si>
  <si>
    <t>-947.069978985486 233.476427550706 333.752168705491</t>
  </si>
  <si>
    <t>-965.041430195968 271.733904491071 779.437419576474</t>
  </si>
  <si>
    <t>-830.798583109646 327.775374808667 842.091494592783</t>
  </si>
  <si>
    <t>-875.366381235846 4.45232927680354 -63.6758539386226</t>
  </si>
  <si>
    <t>-844.303576701242 2.03236323589545 338.672126576164</t>
  </si>
  <si>
    <t>-880.18147586546 21.2917755740223 785.080153885752</t>
  </si>
  <si>
    <t>-781.759455242791 -80.0504088392831 856.705480397533</t>
  </si>
  <si>
    <t>9763-20170724T111209.081680600.bin</t>
  </si>
  <si>
    <t>-906.260323990507 93.3075683452485 -64.2720666895934</t>
  </si>
  <si>
    <t>-938.191802513227 78.1265611989566 -174.572357811521</t>
  </si>
  <si>
    <t>-951.792901227926 73.1802333809114 -272.128507912017</t>
  </si>
  <si>
    <t>-958.885165484083 71.481129756849 -360.926377986578</t>
  </si>
  <si>
    <t>-960.321538128517 72.4815874265014 -450.005986157767</t>
  </si>
  <si>
    <t>-956.309936061342 76.5336981032797 -574.457991842132</t>
  </si>
  <si>
    <t>-924.548597933447 82.9977966824572 -650.97234746108</t>
  </si>
  <si>
    <t>-964.238287529769 101.756962438337 -519.012092809748</t>
  </si>
  <si>
    <t>-992.923473744847 234.488418705498 -497.653670272252</t>
  </si>
  <si>
    <t>-1039.91170789372 235.895646169472 -207.169070298757</t>
  </si>
  <si>
    <t>-812.053033464521 314.197046721846 -206.694759849105</t>
  </si>
  <si>
    <t>-951.912215951192 47.7441954522556 -520.37345853722</t>
  </si>
  <si>
    <t>-939.272057965732 182.893823855147 -66.8322064834312</t>
  </si>
  <si>
    <t>-946.977148413864 232.679096957147 333.563491769159</t>
  </si>
  <si>
    <t>-965.128734576007 271.612069402187 779.19455381378</t>
  </si>
  <si>
    <t>-831.132722927176 328.156895354652 841.924347331881</t>
  </si>
  <si>
    <t>-873.577593568832 3.57477354688308 -63.7336132689318</t>
  </si>
  <si>
    <t>-843.558691727192 1.21623446251806 338.694001437822</t>
  </si>
  <si>
    <t>-879.885084221395 21.4028299952456 785.052149497669</t>
  </si>
  <si>
    <t>-781.366302661912 -79.8622092551718 856.65359048692</t>
  </si>
  <si>
    <t>9763-20170724T111209.113765600.bin</t>
  </si>
  <si>
    <t>-905.692948999337 92.7614576805481 -64.2788047743788</t>
  </si>
  <si>
    <t>-937.505599826461 77.4917697490305 -174.601120846944</t>
  </si>
  <si>
    <t>-951.031040824932 72.5544704696867 -272.168321159624</t>
  </si>
  <si>
    <t>-958.063617577145 70.8969273601715 -360.971735070365</t>
  </si>
  <si>
    <t>-959.448388608069 71.9741420044538 -450.0511103396</t>
  </si>
  <si>
    <t>-955.372312265292 76.1708848821045 -574.496315046312</t>
  </si>
  <si>
    <t>-923.609334289007 82.8400105574947 -650.992518708777</t>
  </si>
  <si>
    <t>-963.44430923305 101.303378690458 -519.029985210577</t>
  </si>
  <si>
    <t>-992.779960803191 233.873102731087 -497.498512533864</t>
  </si>
  <si>
    <t>-1039.92165190301 234.592961446317 -207.036121968805</t>
  </si>
  <si>
    <t>-812.481514958787 314.101390905091 -206.503222142403</t>
  </si>
  <si>
    <t>-950.887770986555 47.3449442321216 -520.438362187995</t>
  </si>
  <si>
    <t>-939.033633096769 182.264145015738 -66.8471583990929</t>
  </si>
  <si>
    <t>-947.015907207939 232.233085725013 333.520202877988</t>
  </si>
  <si>
    <t>-965.225323432098 271.540761157878 779.137868901632</t>
  </si>
  <si>
    <t>-831.36773538445 328.375089391264 841.901805607246</t>
  </si>
  <si>
    <t>-872.697318194572 3.04669109613997 -63.7454326468982</t>
  </si>
  <si>
    <t>-843.266497876861 0.832160155905967 338.726461927166</t>
  </si>
  <si>
    <t>-879.795344040048 21.3739382173876 785.046908898777</t>
  </si>
  <si>
    <t>-781.147723130328 -79.7843148319844 856.621724504394</t>
  </si>
  <si>
    <t>9763-20170724T111209.182049200.bin</t>
  </si>
  <si>
    <t>-904.694935504325 91.6737654111221 -64.3063073140457</t>
  </si>
  <si>
    <t>-936.288769094953 76.2382680916307 -174.668387253252</t>
  </si>
  <si>
    <t>-949.69299365972 71.3159942147227 -272.253018993253</t>
  </si>
  <si>
    <t>-956.640276407587 69.7360660066452 -361.064484748733</t>
  </si>
  <si>
    <t>-957.964443230769 70.9604585538987 -450.143095014704</t>
  </si>
  <si>
    <t>-953.828034499802 75.438350231414 -574.576378368248</t>
  </si>
  <si>
    <t>-922.068308844193 82.5211074578565 -651.036748109879</t>
  </si>
  <si>
    <t>-962.171208364034 100.387880165575 -519.067515997404</t>
  </si>
  <si>
    <t>-992.791073959265 232.612239295494 -497.189992526193</t>
  </si>
  <si>
    <t>-1040.00214269478 232.002306074247 -206.738899060421</t>
  </si>
  <si>
    <t>-813.316797209751 313.635841925724 -205.99398330919</t>
  </si>
  <si>
    <t>-949.125541485818 46.5480494460148 -520.571265494514</t>
  </si>
  <si>
    <t>-938.667506231395 181.028067612187 -66.8657587559193</t>
  </si>
  <si>
    <t>-947.228419799248 231.244415914289 333.458784341714</t>
  </si>
  <si>
    <t>-965.407117661882 271.393562792204 778.988505720288</t>
  </si>
  <si>
    <t>-831.669418405761 328.453948361472 841.803757886235</t>
  </si>
  <si>
    <t>-871.085420323096 2.10714881301146 -63.7836462087907</t>
  </si>
  <si>
    <t>-842.747543765166 0.185916195388472 338.768212023004</t>
  </si>
  <si>
    <t>-879.525447253023 21.4643550801361 785.029864245315</t>
  </si>
  <si>
    <t>-780.883940703374 -79.7190996265756 856.576954611166</t>
  </si>
  <si>
    <t>9763-20170724T111209.217142400.bin</t>
  </si>
  <si>
    <t>-904.278671912318 91.1734529032624 -64.33704598334</t>
  </si>
  <si>
    <t>-935.775980544429 75.6550801293133 -174.715198400814</t>
  </si>
  <si>
    <t>-949.132981484852 70.7434060122291 -272.306870623397</t>
  </si>
  <si>
    <t>-956.049878631649 69.2057934390896 -361.121408594236</t>
  </si>
  <si>
    <t>-957.356670109997 70.5081346397997 -450.199107823792</t>
  </si>
  <si>
    <t>-953.208595819132 75.1331478416587 -574.62661586888</t>
  </si>
  <si>
    <t>-921.459152705999 82.4205507053152 -651.071950997513</t>
  </si>
  <si>
    <t>-961.67632911546 99.9877797631966 -519.094101232194</t>
  </si>
  <si>
    <t>-992.914046867099 232.038414263102 -497.045596258294</t>
  </si>
  <si>
    <t>-1040.17987445897 230.710563765021 -206.605608728988</t>
  </si>
  <si>
    <t>-813.877108233704 313.397783183665 -205.796317681432</t>
  </si>
  <si>
    <t>-948.391454916269 46.2080151386799 -520.65031679585</t>
  </si>
  <si>
    <t>-938.544750574396 180.464081031921 -66.8797998601418</t>
  </si>
  <si>
    <t>-947.46476674968 230.809237236133 333.420730140295</t>
  </si>
  <si>
    <t>-965.568996021437 271.419033079945 778.91463424557</t>
  </si>
  <si>
    <t>-831.848733230923 328.497408768034 841.749993035152</t>
  </si>
  <si>
    <t>-870.360498887472 1.65848180831199 -63.8038885044208</t>
  </si>
  <si>
    <t>-842.482988457328 -0.156107786479424 338.780512929722</t>
  </si>
  <si>
    <t>-879.388690679534 21.5239889744898 785.021392394616</t>
  </si>
  <si>
    <t>-780.668869829498 -79.595011085928 856.552218122073</t>
  </si>
  <si>
    <t>9763-20170724T111209.281318400.bin</t>
  </si>
  <si>
    <t>-903.355125088354 90.1287605853645 -64.3405148634266</t>
  </si>
  <si>
    <t>-934.66656321184 74.4663187950164 -174.751212855072</t>
  </si>
  <si>
    <t>-947.937571985829 69.579289642767 -272.355777262942</t>
  </si>
  <si>
    <t>-954.803793429299 68.123278400763 -361.175666391804</t>
  </si>
  <si>
    <t>-956.086595422714 69.572030224223 -450.251424659146</t>
  </si>
  <si>
    <t>-951.932683010254 74.4712675839669 -574.668359213087</t>
  </si>
  <si>
    <t>-920.233867646122 82.1345765636283 -651.09800974061</t>
  </si>
  <si>
    <t>-960.63571546468 99.1452069595571 -519.091566617494</t>
  </si>
  <si>
    <t>-993.114964200159 230.847213174848 -496.733244264424</t>
  </si>
  <si>
    <t>-1040.51713261371 228.351267350626 -206.32314452659</t>
  </si>
  <si>
    <t>-814.926913470879 312.959986548514 -205.175062401777</t>
  </si>
  <si>
    <t>-946.88545989443 45.4854669859064 -520.745536310462</t>
  </si>
  <si>
    <t>-938.202727072249 179.292081442125 -66.877374020142</t>
  </si>
  <si>
    <t>-947.726477828284 229.797541608817 333.389022502146</t>
  </si>
  <si>
    <t>-965.697893694094 271.214592777517 778.801008661358</t>
  </si>
  <si>
    <t>-832.157200935429 328.664328748605 841.679081194941</t>
  </si>
  <si>
    <t>-868.809882706358 0.742772574130868 -63.8294240640565</t>
  </si>
  <si>
    <t>-841.760418209989 -0.857101929926102 338.812452767837</t>
  </si>
  <si>
    <t>-879.078173694431 21.6800685957319 784.972651007411</t>
  </si>
  <si>
    <t>-780.335388548982 -79.4275268987292 856.487743701244</t>
  </si>
  <si>
    <t>9763-20170724T111209.317414400.bin</t>
  </si>
  <si>
    <t>-902.923844512933 89.6335105800558 -64.3477099806966</t>
  </si>
  <si>
    <t>-934.160254396749 73.8947715958725 -174.768758283174</t>
  </si>
  <si>
    <t>-947.400159012089 69.013381928658 -272.377723929783</t>
  </si>
  <si>
    <t>-954.250558920662 67.5910965406824 -361.199477949336</t>
  </si>
  <si>
    <t>-955.528874877769 69.1042237216861 -450.274276528779</t>
  </si>
  <si>
    <t>-951.380461660207 74.126480847206 -574.686446879023</t>
  </si>
  <si>
    <t>-919.724369038197 81.9573224271239 -651.116739509625</t>
  </si>
  <si>
    <t>-960.187266602425 98.7182161967476 -519.08960405744</t>
  </si>
  <si>
    <t>-993.239884850531 230.247963662404 -496.600988291664</t>
  </si>
  <si>
    <t>-1040.80554877737 227.137258486659 -206.223561151228</t>
  </si>
  <si>
    <t>-815.599691767277 312.760528224327 -204.862857812128</t>
  </si>
  <si>
    <t>-946.224929665794 45.1146963296796 -520.788033753797</t>
  </si>
  <si>
    <t>-938.064058557557 178.769604499932 -66.8690369936407</t>
  </si>
  <si>
    <t>-947.839551745865 229.340032036017 333.383005061544</t>
  </si>
  <si>
    <t>-965.909201844383 271.284448649659 778.761961015222</t>
  </si>
  <si>
    <t>-832.390933318057 328.745557895651 841.678029985301</t>
  </si>
  <si>
    <t>-868.098920559715 0.230187352512075 -63.841386963882</t>
  </si>
  <si>
    <t>-841.470203278206 -1.172207757857 338.829247899632</t>
  </si>
  <si>
    <t>-878.970283761001 21.6854144042472 784.952531014082</t>
  </si>
  <si>
    <t>-780.101762281041 -79.3089540445396 856.454162263011</t>
  </si>
  <si>
    <t>9763-20170724T111209.382275900.bin</t>
  </si>
  <si>
    <t>-902.120030733028 88.6758168293422 -64.3442927626639</t>
  </si>
  <si>
    <t>-933.226932440574 72.7935168343497 -174.781328952857</t>
  </si>
  <si>
    <t>-946.434888137053 67.9214736976 -272.395182396847</t>
  </si>
  <si>
    <t>-953.285374136438 66.5601602221509 -361.217810961161</t>
  </si>
  <si>
    <t>-954.592370376505 68.1910496957362 -450.290083695894</t>
  </si>
  <si>
    <t>-950.51324104887 73.4393889984431 -574.695211223505</t>
  </si>
  <si>
    <t>-918.963728942264 81.5813279145118 -651.137071651625</t>
  </si>
  <si>
    <t>-959.482147909162 97.8790602446252 -519.057469200434</t>
  </si>
  <si>
    <t>-993.564387912159 229.099967478148 -496.303699807102</t>
  </si>
  <si>
    <t>-1041.37158171767 224.845114460554 -205.980560263574</t>
  </si>
  <si>
    <t>-816.829098545945 312.187918254207 -204.308643305729</t>
  </si>
  <si>
    <t>-945.134165921884 44.3805222493288 -520.843901831587</t>
  </si>
  <si>
    <t>-937.8214750502 177.65767515433 -66.8249551349132</t>
  </si>
  <si>
    <t>-948.081201379792 228.364216475498 333.397737710766</t>
  </si>
  <si>
    <t>-966.120558497822 271.096285455935 778.719912837316</t>
  </si>
  <si>
    <t>-832.762245572193 328.910121921079 841.652045282212</t>
  </si>
  <si>
    <t>-840.893904854303 -1.7392503576225 338.851604846764</t>
  </si>
  <si>
    <t>-878.675313751771 21.8379511660128 784.919692010599</t>
  </si>
  <si>
    <t>-779.76768595751 -79.1353208345317 856.396683627308</t>
  </si>
  <si>
    <t>9763-20170724T111209.414361200.bin</t>
  </si>
  <si>
    <t>-901.85712553714 88.3610002664468 -64.3302769479966</t>
  </si>
  <si>
    <t>-932.92347250849 72.4055862676169 -174.768044977561</t>
  </si>
  <si>
    <t>-946.138301531219 67.5332644334931 -272.381040541095</t>
  </si>
  <si>
    <t>-953.0095844737 66.1968640624377 -361.202450962066</t>
  </si>
  <si>
    <t>-954.351695172223 67.8788753416629 -450.273278532697</t>
  </si>
  <si>
    <t>-950.336181121767 73.2270684228761 -574.676177212608</t>
  </si>
  <si>
    <t>-918.856700697314 81.5106500334755 -651.131755211205</t>
  </si>
  <si>
    <t>-959.359172538573 97.6001352002399 -519.017814017022</t>
  </si>
  <si>
    <t>-993.85314680389 228.694172242953 -496.13366503686</t>
  </si>
  <si>
    <t>-1041.82968079878 223.966185708805 -205.845718175126</t>
  </si>
  <si>
    <t>-817.58282506105 312.064707282441 -204.145387832756</t>
  </si>
  <si>
    <t>-944.847249532481 44.1472716799608 -520.84737797226</t>
  </si>
  <si>
    <t>-937.89913874848 177.282587601685 -66.7949407568824</t>
  </si>
  <si>
    <t>-948.289192549477 227.977655939676 333.425866170531</t>
  </si>
  <si>
    <t>-966.358777738625 271.134295651156 778.728500161298</t>
  </si>
  <si>
    <t>-832.868771712593 328.64785646396 841.656377896756</t>
  </si>
  <si>
    <t>-840.711523678688 -1.93516006683785 338.87072429101</t>
  </si>
  <si>
    <t>-878.529235730602 21.9215380920427 784.905506452318</t>
  </si>
  <si>
    <t>-779.591646817349 -79.0323737196452 856.368813866797</t>
  </si>
  <si>
    <t>9763-20170724T111209.485065200.bin</t>
  </si>
  <si>
    <t>-901.412614742047 87.5744340097735 -64.2905029076398</t>
  </si>
  <si>
    <t>-932.415206160031 71.5521139193052 -174.736623892576</t>
  </si>
  <si>
    <t>-945.632367766228 66.7084608413829 -272.350726542033</t>
  </si>
  <si>
    <t>-952.526798440395 65.4325419567108 -361.171094074097</t>
  </si>
  <si>
    <t>-953.913702308306 67.2135351610391 -450.23947393612</t>
  </si>
  <si>
    <t>-949.982508785377 72.7410180501147 -574.637205324766</t>
  </si>
  <si>
    <t>-918.659899044587 81.2681571314929 -651.130268538991</t>
  </si>
  <si>
    <t>-959.097852703668 96.9985448668781 -518.94322667845</t>
  </si>
  <si>
    <t>-994.190460183121 227.905713787157 -495.890890514603</t>
  </si>
  <si>
    <t>-1042.44962967077 222.384239412368 -205.663866576738</t>
  </si>
  <si>
    <t>-818.638720246553 311.583118761852 -203.901856653761</t>
  </si>
  <si>
    <t>-944.327249729377 43.6190091464659 -520.848375659972</t>
  </si>
  <si>
    <t>-757.980205314462 0.129146967211454 -326.41988459928</t>
  </si>
  <si>
    <t>-937.882959474852 176.370219816367 -66.7157469567859</t>
  </si>
  <si>
    <t>-948.583607746252 226.843987707162 333.524919686654</t>
  </si>
  <si>
    <t>-966.490437641901 270.737708486111 778.764331953212</t>
  </si>
  <si>
    <t>-833.024354317056 328.254231457908 841.740114221733</t>
  </si>
  <si>
    <t>-840.697185770823 -2.46532496081227 338.906563474602</t>
  </si>
  <si>
    <t>-878.365434794013 21.8722317923553 784.892640016905</t>
  </si>
  <si>
    <t>-779.114055860666 -78.8068704979421 856.308024742439</t>
  </si>
  <si>
    <t>9763-20170724T111209.513155000.bin</t>
  </si>
  <si>
    <t>-901.177013593362 87.1848760598791 -64.3208092566939</t>
  </si>
  <si>
    <t>-932.115542977811 71.1815413030808 -174.787653922545</t>
  </si>
  <si>
    <t>-945.315732667583 66.3540385135348 -272.4049431378</t>
  </si>
  <si>
    <t>-952.211703652269 65.094712219402 -361.22541754699</t>
  </si>
  <si>
    <t>-953.617485322455 66.895385802854 -450.293007307482</t>
  </si>
  <si>
    <t>-949.730929668752 72.4552582637084 -574.690702726207</t>
  </si>
  <si>
    <t>-918.499367436493 81.0537716920289 -651.213116572148</t>
  </si>
  <si>
    <t>-958.860961699673 96.6884428900566 -518.988774449429</t>
  </si>
  <si>
    <t>-994.167809511589 227.537867396528 -495.923510551036</t>
  </si>
  <si>
    <t>-1042.42830725338 221.599562256384 -205.70483597906</t>
  </si>
  <si>
    <t>-818.8241181465 311.308886634874 -203.68183107916</t>
  </si>
  <si>
    <t>-944.02115220276 43.3287402330407 -520.910021412232</t>
  </si>
  <si>
    <t>-757.443287247343 0.257567998004561 -326.30615980049</t>
  </si>
  <si>
    <t>-937.672566582766 175.876747459125 -66.7421469625433</t>
  </si>
  <si>
    <t>-948.493665041823 226.208696025535 333.513093866594</t>
  </si>
  <si>
    <t>-966.407305665804 270.44343769993 778.697700024475</t>
  </si>
  <si>
    <t>-833.17174761608 328.445573045483 841.716344296886</t>
  </si>
  <si>
    <t>-840.955562302036 -2.62129245870483 338.897589964134</t>
  </si>
  <si>
    <t>-878.249500441922 21.9240567509019 784.886804552081</t>
  </si>
  <si>
    <t>-779.020753210063 -78.7860344071746 856.290054211173</t>
  </si>
  <si>
    <t>9763-20170724T111209.582350900.bin</t>
  </si>
  <si>
    <t>-901.100644640061 87.0280201331257 -64.4430515486798</t>
  </si>
  <si>
    <t>-931.897791069869 71.0535540146902 -174.953539572687</t>
  </si>
  <si>
    <t>-945.055532708532 66.2752577728484 -272.578889239275</t>
  </si>
  <si>
    <t>-951.946799258443 65.0733532276895 -361.400563281056</t>
  </si>
  <si>
    <t>-953.382336678691 66.9467214511042 -450.466199952838</t>
  </si>
  <si>
    <t>-949.573098867299 72.6263512348032 -574.860940524733</t>
  </si>
  <si>
    <t>-918.556648523504 81.3039339942384 -651.461950903629</t>
  </si>
  <si>
    <t>-958.685193702883 96.8012454288532 -519.130725259293</t>
  </si>
  <si>
    <t>-994.084582503089 227.598937717376 -495.982158004571</t>
  </si>
  <si>
    <t>-1042.19766117551 220.974366277551 -205.7538362455</t>
  </si>
  <si>
    <t>-818.77605771753 311.129918789294 -203.398857851416</t>
  </si>
  <si>
    <t>-943.813546633403 43.4527007899346 -521.11114878573</t>
  </si>
  <si>
    <t>-756.761930206315 0.873044600234152 -326.278771055573</t>
  </si>
  <si>
    <t>-937.582561881801 175.577328224865 -66.8458684295641</t>
  </si>
  <si>
    <t>-948.167927184262 225.905319344722 333.416199101144</t>
  </si>
  <si>
    <t>-966.699789502359 270.369318437739 778.611808986203</t>
  </si>
  <si>
    <t>-833.208154311835 327.722030349652 841.682926991561</t>
  </si>
  <si>
    <t>-841.582068910923 -2.7244138508313 338.850095465334</t>
  </si>
  <si>
    <t>-878.052897168091 21.962505552051 784.911557405584</t>
  </si>
  <si>
    <t>-778.691918894337 -78.6226998988286 856.306796123722</t>
  </si>
  <si>
    <t>9763-20170724T111209.616441200.bin</t>
  </si>
  <si>
    <t>-901.307507283493 87.097686434362 -64.4731397713309</t>
  </si>
  <si>
    <t>-932.036385636303 71.2100837927883 -175.015196906685</t>
  </si>
  <si>
    <t>-945.145866829686 66.4854253157782 -272.649529205627</t>
  </si>
  <si>
    <t>-952.000371280917 65.3259295900493 -361.474744910545</t>
  </si>
  <si>
    <t>-953.406214735851 67.2360107339446 -450.53999396432</t>
  </si>
  <si>
    <t>-949.564003070524 72.962170396961 -574.931524469111</t>
  </si>
  <si>
    <t>-918.688728395505 81.6408260287644 -651.589451678051</t>
  </si>
  <si>
    <t>-958.675293658347 97.1206200908755 -519.194093714684</t>
  </si>
  <si>
    <t>-993.985672521854 227.941480009764 -496.021467137471</t>
  </si>
  <si>
    <t>-1041.94263920331 221.188731916091 -205.770424105815</t>
  </si>
  <si>
    <t>-818.504580688021 311.301642350131 -203.337272488004</t>
  </si>
  <si>
    <t>-943.83396561294 43.7641579208112 -521.191836071091</t>
  </si>
  <si>
    <t>-756.817857654625 1.16091242077937 -326.208947249606</t>
  </si>
  <si>
    <t>-937.758856395209 175.493824877121 -66.9005930586598</t>
  </si>
  <si>
    <t>-948.035157624912 225.867914923403 333.363722645838</t>
  </si>
  <si>
    <t>-966.794832607552 270.281485912644 778.540086266105</t>
  </si>
  <si>
    <t>-833.193347702652 327.344893611763 841.641392258392</t>
  </si>
  <si>
    <t>-841.83825436051 -2.76851205114917 338.829700645201</t>
  </si>
  <si>
    <t>-877.958440814644 21.9635559362473 784.914248646514</t>
  </si>
  <si>
    <t>-778.53383042898 -78.5560314938875 856.313741249658</t>
  </si>
  <si>
    <t>9763-20170724T111209.682642600.bin</t>
  </si>
  <si>
    <t>-901.609825969072 86.7509450054922 -64.4558218212728</t>
  </si>
  <si>
    <t>-932.206139895244 71.0257678483863 -175.057914518058</t>
  </si>
  <si>
    <t>-945.223084742281 66.3776617906783 -272.708345383748</t>
  </si>
  <si>
    <t>-952.005889782919 65.2646603284638 -361.539645094303</t>
  </si>
  <si>
    <t>-953.353233815165 67.1977875848565 -450.605301608352</t>
  </si>
  <si>
    <t>-949.443626193936 72.931840443212 -574.9942481764</t>
  </si>
  <si>
    <t>-919.047347973787 81.4942031751475 -651.856312798727</t>
  </si>
  <si>
    <t>-958.482973537996 97.1147480666878 -519.255774209679</t>
  </si>
  <si>
    <t>-993.180153574183 228.135363193744 -496.212816043749</t>
  </si>
  <si>
    <t>-1040.18770678259 221.729720634722 -205.798645859336</t>
  </si>
  <si>
    <t>-816.30122318593 310.720692107233 -203.294272097124</t>
  </si>
  <si>
    <t>-943.845227840337 43.7023168667465 -521.257987770049</t>
  </si>
  <si>
    <t>-937.744708001168 174.980308179757 -66.8008252919866</t>
  </si>
  <si>
    <t>-947.353460164517 225.614161150015 333.447324227153</t>
  </si>
  <si>
    <t>-966.942745934899 269.74873739423 778.704999861647</t>
  </si>
  <si>
    <t>-833.202760676844 326.589235376082 841.713750619642</t>
  </si>
  <si>
    <t>-842.197776523367 -2.95659159269007 338.851008835676</t>
  </si>
  <si>
    <t>-877.763389926981 21.9777608700556 784.935401795204</t>
  </si>
  <si>
    <t>-778.250506536879 -78.4441231858725 856.349315477055</t>
  </si>
  <si>
    <t>9763-20170724T111209.720744400.bin</t>
  </si>
  <si>
    <t>-901.837621540961 86.2873558581668 -64.3777757093607</t>
  </si>
  <si>
    <t>-932.451929470466 70.6061365876503 -174.981045846958</t>
  </si>
  <si>
    <t>-945.479934384134 65.9473983935027 -272.62948669989</t>
  </si>
  <si>
    <t>-952.270909810412 64.803818704172 -361.459754435008</t>
  </si>
  <si>
    <t>-953.624179901243 66.6827731148142 -450.526447203653</t>
  </si>
  <si>
    <t>-949.720452232958 72.3151710729453 -574.920404104408</t>
  </si>
  <si>
    <t>-919.701744512781 80.7243289033327 -651.947585335695</t>
  </si>
  <si>
    <t>-958.655295333694 96.5711521215048 -519.196773607415</t>
  </si>
  <si>
    <t>-992.705918605384 227.791387305302 -496.359421031637</t>
  </si>
  <si>
    <t>-1038.88555782628 222.195321076846 -205.795643734443</t>
  </si>
  <si>
    <t>-814.525038403822 309.984079804728 -203.288504150119</t>
  </si>
  <si>
    <t>-944.221422146682 43.1020164952997 -521.164821033871</t>
  </si>
  <si>
    <t>-937.912848067689 174.314015905406 -66.7352489965039</t>
  </si>
  <si>
    <t>-946.937528270686 225.455180298284 333.46196310946</t>
  </si>
  <si>
    <t>-967.015845761304 269.417794744825 778.732456008516</t>
  </si>
  <si>
    <t>-833.210016888235 326.170331218211 841.680434325267</t>
  </si>
  <si>
    <t>-842.319241695217 -3.1940189007405 338.901063583128</t>
  </si>
  <si>
    <t>-877.666066466819 21.9770670688654 784.956125879577</t>
  </si>
  <si>
    <t>-778.153922222642 -78.4383239567098 856.380246460409</t>
  </si>
  <si>
    <t>9763-20170724T111209.783993000.bin</t>
  </si>
  <si>
    <t>-901.908248142143 86.0921233866488 -64.4035306989177</t>
  </si>
  <si>
    <t>-932.570364949948 70.3915297651347 -174.990850834315</t>
  </si>
  <si>
    <t>-945.640414614901 65.6677325515516 -272.630613972114</t>
  </si>
  <si>
    <t>-952.466429490131 64.4398582113454 -361.457110799225</t>
  </si>
  <si>
    <t>-953.847488140008 66.2007570811084 -450.52569308528</t>
  </si>
  <si>
    <t>-949.97377916903 71.6264915598113 -574.929806041464</t>
  </si>
  <si>
    <t>-920.766732754969 79.6091717773529 -652.313470606807</t>
  </si>
  <si>
    <t>-958.609464775772 96.0501277214366 -519.232084526952</t>
  </si>
  <si>
    <t>-990.542319043401 227.846959732768 -496.743053913819</t>
  </si>
  <si>
    <t>-1034.18404547897 224.886552741659 -205.748396068734</t>
  </si>
  <si>
    <t>-808.464569533854 309.146169533265 -204.348524747211</t>
  </si>
  <si>
    <t>-944.747625364409 42.4275281456698 -521.139254210793</t>
  </si>
  <si>
    <t>-937.599504797596 174.276311013827 -66.8804709793351</t>
  </si>
  <si>
    <t>-946.389180795703 225.89189764529 333.261087634886</t>
  </si>
  <si>
    <t>-967.306588334564 269.34098218943 778.459197431878</t>
  </si>
  <si>
    <t>-833.340316747711 325.775725418597 841.35180882674</t>
  </si>
  <si>
    <t>-842.415178293396 -3.20253069413639 338.951235749268</t>
  </si>
  <si>
    <t>-877.422389367631 22.0563898426317 784.989644698969</t>
  </si>
  <si>
    <t>-778.018725083269 -78.4499843129199 856.436754390898</t>
  </si>
  <si>
    <t>9763-20170724T111209.815075100.bin</t>
  </si>
  <si>
    <t>-901.960019254864 86.1136032003483 -64.4459869124994</t>
  </si>
  <si>
    <t>-932.724358531938 70.3892703386755 -175.001420491365</t>
  </si>
  <si>
    <t>-945.889236253943 65.6205250662169 -272.626387422263</t>
  </si>
  <si>
    <t>-952.801297861346 64.3396399601597 -361.445284562485</t>
  </si>
  <si>
    <t>-954.26721192073 66.0300133559713 -450.514067354432</t>
  </si>
  <si>
    <t>-950.509036523536 71.3363552355199 -574.926867833204</t>
  </si>
  <si>
    <t>-921.745225463943 79.0578030823763 -652.502973152159</t>
  </si>
  <si>
    <t>-958.920247795327 95.8573460891075 -519.237533933208</t>
  </si>
  <si>
    <t>-989.643322313657 227.972990906109 -496.924161175784</t>
  </si>
  <si>
    <t>-1031.22001264439 227.030090452999 -205.613870583379</t>
  </si>
  <si>
    <t>-804.710276580008 309.153028993554 -205.64035314425</t>
  </si>
  <si>
    <t>-945.405539558037 42.1452951054471 -521.120249251769</t>
  </si>
  <si>
    <t>-937.444346662444 174.30703246444 -66.9893358313012</t>
  </si>
  <si>
    <t>-946.428868269168 225.955619643397 333.143624906511</t>
  </si>
  <si>
    <t>-967.431389321752 269.227519542916 778.366231246347</t>
  </si>
  <si>
    <t>-833.493975407273 325.764170559607 841.22902672257</t>
  </si>
  <si>
    <t>-842.414047036103 -3.19171114583742 338.96040113113</t>
  </si>
  <si>
    <t>-877.31338333408 22.0747896449602 785.00157558198</t>
  </si>
  <si>
    <t>-777.929365717387 -78.4444833380633 856.457786894972</t>
  </si>
  <si>
    <t>9763-20170724T111209.881048000.bin</t>
  </si>
  <si>
    <t>-902.243336084059 86.5487430036187 -64.5432329580275</t>
  </si>
  <si>
    <t>-933.246274292507 70.8017048678298 -175.028806615139</t>
  </si>
  <si>
    <t>-946.691706556253 65.8954174829023 -272.608601105649</t>
  </si>
  <si>
    <t>-953.886195165707 64.4401677429505 -361.402498798661</t>
  </si>
  <si>
    <t>-955.659767748649 65.8978864793467 -450.469757728066</t>
  </si>
  <si>
    <t>-952.356570207966 70.813732447114 -574.911375722184</t>
  </si>
  <si>
    <t>-924.532636302042 77.9562908638641 -652.884758132214</t>
  </si>
  <si>
    <t>-960.203170358516 95.5970403241517 -519.25611624536</t>
  </si>
  <si>
    <t>-988.321982740629 228.357158565204 -497.274167025729</t>
  </si>
  <si>
    <t>-1023.5466189436 232.661741268013 -205.157979624229</t>
  </si>
  <si>
    <t>-795.34851144385 309.900521417099 -208.41896212448</t>
  </si>
  <si>
    <t>-947.416844506625 41.703944949541 -521.045548365077</t>
  </si>
  <si>
    <t>-937.486669230989 174.971287349365 -67.292970252125</t>
  </si>
  <si>
    <t>-946.803020747726 226.211902601939 332.884881540016</t>
  </si>
  <si>
    <t>-967.814282293631 269.243227526244 778.153619498737</t>
  </si>
  <si>
    <t>-833.832773255665 325.755830614906 840.943893631213</t>
  </si>
  <si>
    <t>-842.515477262475 -3.04225018880106 338.983816556162</t>
  </si>
  <si>
    <t>-877.101438891801 22.1427849926749 785.022505276391</t>
  </si>
  <si>
    <t>-777.749101490775 -78.4050272263758 856.482774904446</t>
  </si>
  <si>
    <t>9763-20170724T111209.915143700.bin</t>
  </si>
  <si>
    <t>-902.387836154058 86.8753291039889 -64.6134171822353</t>
  </si>
  <si>
    <t>-933.526375816998 71.1116487088107 -175.058474868904</t>
  </si>
  <si>
    <t>-947.146427699237 66.1113839611512 -272.609347088147</t>
  </si>
  <si>
    <t>-954.521830237067 64.5374110184675 -361.386327492301</t>
  </si>
  <si>
    <t>-956.49733908769 65.8379336331009 -450.451856351416</t>
  </si>
  <si>
    <t>-953.496799576404 70.4913801521448 -574.911192424517</t>
  </si>
  <si>
    <t>-926.148309131214 77.3168756203731 -653.081002811103</t>
  </si>
  <si>
    <t>-961.023165960738 95.4350674816192 -519.283256040531</t>
  </si>
  <si>
    <t>-987.836177831638 228.490365803004 -497.456161989279</t>
  </si>
  <si>
    <t>-1019.35307651654 235.736307643833 -204.974783146628</t>
  </si>
  <si>
    <t>-790.124482161961 309.768664218708 -209.918084601124</t>
  </si>
  <si>
    <t>-948.611235861453 41.4521957857069 -521.002432685882</t>
  </si>
  <si>
    <t>-937.546999602464 175.409425861688 -67.4343690061115</t>
  </si>
  <si>
    <t>-947.036889043108 226.320233334564 332.781423291805</t>
  </si>
  <si>
    <t>-967.993570130482 269.248430378267 778.074551161051</t>
  </si>
  <si>
    <t>-834.03810335345 325.867976214822 840.823108327797</t>
  </si>
  <si>
    <t>-842.608328487885 -2.86811135148673 338.976456474839</t>
  </si>
  <si>
    <t>-876.973948010996 22.2175562817538 785.02238760945</t>
  </si>
  <si>
    <t>-777.676256802874 -78.380294949266 856.488052443022</t>
  </si>
  <si>
    <t>9763-20170724T111209.982322200.bin</t>
  </si>
  <si>
    <t>-902.289551400111 87.5075748641393 -64.6996689167594</t>
  </si>
  <si>
    <t>-933.701612372104 71.7633041030249 -175.070092731578</t>
  </si>
  <si>
    <t>-947.64035750193 66.6222281694386 -272.568515348665</t>
  </si>
  <si>
    <t>-955.336612486622 64.8534310993418 -361.314622185811</t>
  </si>
  <si>
    <t>-957.663037196951 65.8827193899751 -450.375196399989</t>
  </si>
  <si>
    <t>-955.182444932337 70.0723509798263 -574.862466628322</t>
  </si>
  <si>
    <t>-928.764987312351 76.2424127058948 -653.406001924741</t>
  </si>
  <si>
    <t>-962.108769540632 95.3047819986909 -519.28673792965</t>
  </si>
  <si>
    <t>-986.994518190494 228.811559908796 -498.006084860857</t>
  </si>
  <si>
    <t>-1011.99880255129 241.729346588877 -205.091059443586</t>
  </si>
  <si>
    <t>-780.698244189575 308.621593486567 -213.820625657423</t>
  </si>
  <si>
    <t>-950.439333833168 41.1525861820246 -520.876747486921</t>
  </si>
  <si>
    <t>-936.877681032758 176.08975030695 -67.6590416958315</t>
  </si>
  <si>
    <t>-947.086544414002 226.711594828322 332.575731989859</t>
  </si>
  <si>
    <t>-968.082747063602 268.955386440346 777.898983529718</t>
  </si>
  <si>
    <t>-834.448383730443 326.383755326624 840.597794824174</t>
  </si>
  <si>
    <t>-842.655763141321 -2.57463522429043 338.942970074572</t>
  </si>
  <si>
    <t>-876.794966195189 22.2363968675604 785.003195850392</t>
  </si>
  <si>
    <t>-777.494900138902 -78.35795446273 856.470769340297</t>
  </si>
  <si>
    <t>9763-20170724T111210.015409700.bin</t>
  </si>
  <si>
    <t>-901.949471875167 87.7273437469626 -64.7139848327605</t>
  </si>
  <si>
    <t>-933.434809166743 72.0753229118368 -175.076647164811</t>
  </si>
  <si>
    <t>-947.417334651087 66.9137456890599 -272.567663535217</t>
  </si>
  <si>
    <t>-955.147373516375 65.085449563152 -361.309671202885</t>
  </si>
  <si>
    <t>-957.501814539973 66.0111069804248 -450.370524215563</t>
  </si>
  <si>
    <t>-955.054702605051 70.0076299367406 -574.864983734849</t>
  </si>
  <si>
    <t>-929.055100079745 75.8371556228626 -653.573763888642</t>
  </si>
  <si>
    <t>-961.806662841581 95.3599589239229 -519.322466602378</t>
  </si>
  <si>
    <t>-985.78930186104 229.060323041744 -498.175230308418</t>
  </si>
  <si>
    <t>-1008.74251020731 244.675417862462 -205.223858015586</t>
  </si>
  <si>
    <t>-776.350281502906 307.441224066054 -215.477723274337</t>
  </si>
  <si>
    <t>-950.456283613426 41.1379858385594 -520.839877532324</t>
  </si>
  <si>
    <t>-936.321702149782 176.629378763937 -67.7595752196046</t>
  </si>
  <si>
    <t>-946.847281257756 226.914597847259 332.509450258982</t>
  </si>
  <si>
    <t>-968.30779703895 269.064223899931 777.800939655387</t>
  </si>
  <si>
    <t>-834.632301156807 326.402003939175 840.494878089695</t>
  </si>
  <si>
    <t>-842.546209809926 -2.43963561130704 338.931264578231</t>
  </si>
  <si>
    <t>-876.678142477364 22.292137593744 784.982503250434</t>
  </si>
  <si>
    <t>-777.48800235767 -78.4051406913973 856.457667582923</t>
  </si>
  <si>
    <t>9763-20170724T111210.083605500.bin</t>
  </si>
  <si>
    <t>-901.523990002392 88.9261355989011 -64.8472485302614</t>
  </si>
  <si>
    <t>-933.009910338233 73.6419829042079 -175.261206733047</t>
  </si>
  <si>
    <t>-946.78844287469 68.5376464504538 -272.78432945935</t>
  </si>
  <si>
    <t>-954.261257048299 66.6591779846035 -361.547295942632</t>
  </si>
  <si>
    <t>-956.288827885273 67.4268600842088 -450.617791163255</t>
  </si>
  <si>
    <t>-953.317348051009 71.0883899295468 -575.111032627754</t>
  </si>
  <si>
    <t>-928.089402062476 76.298654002549 -654.113852018024</t>
  </si>
  <si>
    <t>-960.039208878776 96.6437397463014 -519.657973160682</t>
  </si>
  <si>
    <t>-982.586502605358 230.650968567596 -498.786598180195</t>
  </si>
  <si>
    <t>-1004.95714984484 248.56461693702 -205.92171362913</t>
  </si>
  <si>
    <t>-771.095506353393 305.371644071367 -217.435224189454</t>
  </si>
  <si>
    <t>-949.210628779106 42.3105291000475 -520.997554974491</t>
  </si>
  <si>
    <t>-935.327497073686 178.236806744117 -67.9546986867908</t>
  </si>
  <si>
    <t>-946.233582769818 227.14504907124 332.474682878352</t>
  </si>
  <si>
    <t>-968.484722995798 268.987708454697 777.712909588383</t>
  </si>
  <si>
    <t>-834.802229295934 326.313159978064 840.403179851587</t>
  </si>
  <si>
    <t>-842.413349020233 -2.11007370546895 338.828345974727</t>
  </si>
  <si>
    <t>-876.494075800139 22.3470562101384 784.910906437433</t>
  </si>
  <si>
    <t>-777.301087179244 -78.3331318228393 856.406174005158</t>
  </si>
  <si>
    <t>9763-20170724T111210.117695800.bin</t>
  </si>
  <si>
    <t>-901.405382464474 89.7151189507267 -64.9174491780171</t>
  </si>
  <si>
    <t>-932.848634761626 74.6099164311363 -175.368178709192</t>
  </si>
  <si>
    <t>-946.473510495724 69.5877256791937 -272.917125297419</t>
  </si>
  <si>
    <t>-953.763431528217 67.7565087533108 -361.696310896598</t>
  </si>
  <si>
    <t>-955.566408700279 68.5427346151514 -450.771441235523</t>
  </si>
  <si>
    <t>-952.238450665047 72.1993536261125 -575.255881706557</t>
  </si>
  <si>
    <t>-927.424572868389 77.2205035427542 -654.401872414221</t>
  </si>
  <si>
    <t>-959.010800895254 97.7782414660737 -519.819715441256</t>
  </si>
  <si>
    <t>-981.099559449964 231.870657183044 -499.07432837867</t>
  </si>
  <si>
    <t>-1004.95378887054 249.374639544812 -206.301673382594</t>
  </si>
  <si>
    <t>-770.689290366556 304.49774782896 -217.807212784806</t>
  </si>
  <si>
    <t>-948.394786924482 43.4022159324013 -521.133108194184</t>
  </si>
  <si>
    <t>-934.965396615446 179.169359216621 -68.0204179625445</t>
  </si>
  <si>
    <t>-946.14613488075 227.373090588602 332.486831033425</t>
  </si>
  <si>
    <t>-968.635917419399 269.056042984491 777.700297314377</t>
  </si>
  <si>
    <t>-834.876184488873 326.20084405061 840.390730459029</t>
  </si>
  <si>
    <t>-868.19656530211 0.185774515685807 -63.9450822157071</t>
  </si>
  <si>
    <t>-842.404435456336 -1.84400572717686 338.777309627366</t>
  </si>
  <si>
    <t>-876.384610305481 22.4294896987412 784.884046263091</t>
  </si>
  <si>
    <t>-777.403363109005 -78.443571234558 856.400284914557</t>
  </si>
  <si>
    <t>9763-20170724T111210.181872500.bin</t>
  </si>
  <si>
    <t>-901.562007587519 91.1414864341514 -65.0865112378243</t>
  </si>
  <si>
    <t>-932.877858825963 76.3628400303219 -175.617658247094</t>
  </si>
  <si>
    <t>-946.238633703751 71.557673758572 -273.214120132251</t>
  </si>
  <si>
    <t>-953.233516192025 69.9024594581952 -362.02049638037</t>
  </si>
  <si>
    <t>-954.687432903178 70.8427936336493 -451.100467394571</t>
  </si>
  <si>
    <t>-950.818371235252 74.6924669611485 -575.563321219421</t>
  </si>
  <si>
    <t>-926.730396001836 79.4640325209652 -654.948729818545</t>
  </si>
  <si>
    <t>-957.70341796761 100.20987249032 -520.11291909702</t>
  </si>
  <si>
    <t>-979.44434784496 234.367500875959 -499.35659742086</t>
  </si>
  <si>
    <t>-1006.53338337342 249.501253608516 -206.733284574656</t>
  </si>
  <si>
    <t>-772.217641365854 304.641265069373 -217.054159417802</t>
  </si>
  <si>
    <t>-947.338621258273 45.7869039331986 -521.473935039759</t>
  </si>
  <si>
    <t>-934.862564906512 180.749364011969 -68.1854357122289</t>
  </si>
  <si>
    <t>-946.370509354055 227.494125577967 332.485424172721</t>
  </si>
  <si>
    <t>-968.810264685066 269.114989174574 777.691434142551</t>
  </si>
  <si>
    <t>-834.995238007368 326.056415145199 840.448720585819</t>
  </si>
  <si>
    <t>-868.542550204327 1.36199965412425 -64.0521209521532</t>
  </si>
  <si>
    <t>-842.840071710082 -1.22062581572118 338.672848868523</t>
  </si>
  <si>
    <t>-876.197882232119 22.5606233596459 784.826684880642</t>
  </si>
  <si>
    <t>-777.378605970184 -78.4532827129117 856.368544630726</t>
  </si>
  <si>
    <t>9763-20170724T111210.215962900.bin</t>
  </si>
  <si>
    <t>-901.728598093668 91.5217502663299 -65.1626710208003</t>
  </si>
  <si>
    <t>-932.975629675754 76.8818882237197 -175.731744436295</t>
  </si>
  <si>
    <t>-946.246678458317 72.1720646578483 -273.344909765696</t>
  </si>
  <si>
    <t>-953.150443168706 70.5964495777416 -362.159956340701</t>
  </si>
  <si>
    <t>-954.505209232105 71.6106561928523 -451.24067461033</t>
  </si>
  <si>
    <t>-950.490578970158 75.5588066591145 -575.695990723898</t>
  </si>
  <si>
    <t>-926.601091416111 80.2587424094863 -655.145412819884</t>
  </si>
  <si>
    <t>-957.427684996203 101.034957021353 -520.232865717393</t>
  </si>
  <si>
    <t>-979.196472822808 235.159158486525 -499.317263076818</t>
  </si>
  <si>
    <t>-1007.37145256774 249.233792734994 -206.743655529752</t>
  </si>
  <si>
    <t>-773.090780914546 304.637660306234 -216.430494413603</t>
  </si>
  <si>
    <t>-947.086912974037 46.6079504211966 -521.625810332274</t>
  </si>
  <si>
    <t>-934.933127035252 181.137913468173 -68.2402893690736</t>
  </si>
  <si>
    <t>-946.608270712747 227.390171225421 332.482891061501</t>
  </si>
  <si>
    <t>-968.748922677016 269.011900308306 777.697160389332</t>
  </si>
  <si>
    <t>-834.92351706189 325.870101868988 840.507937851222</t>
  </si>
  <si>
    <t>-868.820442595831 1.70732112602946 -64.129891971794</t>
  </si>
  <si>
    <t>-843.171406661281 -1.04764884692759 338.597303866996</t>
  </si>
  <si>
    <t>-876.198805052706 22.4739458972235 784.799853270562</t>
  </si>
  <si>
    <t>-777.240750096365 -78.4021675200779 856.344503867498</t>
  </si>
  <si>
    <t>9763-20170724T111210.300212300.bin</t>
  </si>
  <si>
    <t>-901.944703159209 91.7032941842258 -65.2312109114409</t>
  </si>
  <si>
    <t>-933.149385972196 77.140848464936 -175.822408808815</t>
  </si>
  <si>
    <t>-946.383415602022 72.4997767466712 -273.444044215405</t>
  </si>
  <si>
    <t>-953.255347303987 70.9885321284764 -362.262629807549</t>
  </si>
  <si>
    <t>-954.579822512936 72.0700696647141 -451.342995681886</t>
  </si>
  <si>
    <t>-950.524310229973 76.1165281212584 -575.793709729303</t>
  </si>
  <si>
    <t>-926.597891148139 80.8333928716274 -655.231273469912</t>
  </si>
  <si>
    <t>-957.492213050524 101.546506509612 -520.313230983152</t>
  </si>
  <si>
    <t>-979.303858448247 235.622638026298 -499.156459677261</t>
  </si>
  <si>
    <t>-1008.43765696501 249.011063026443 -206.644636869774</t>
  </si>
  <si>
    <t>-774.230456282651 304.797930491002 -215.899994550471</t>
  </si>
  <si>
    <t>-947.125355852548 47.1254127672205 -521.744985402687</t>
  </si>
  <si>
    <t>-935.182521716414 181.305589161016 -68.2860068719127</t>
  </si>
  <si>
    <t>-946.863999895094 227.223310222408 332.475496063906</t>
  </si>
  <si>
    <t>-968.724547206772 268.950080075237 777.722887864728</t>
  </si>
  <si>
    <t>-834.979596281207 325.964075939214 840.563686344882</t>
  </si>
  <si>
    <t>-869.003067931676 1.87541055759357 -64.2146680994745</t>
  </si>
  <si>
    <t>-843.494474198756 -0.860644551323276 338.521616268224</t>
  </si>
  <si>
    <t>-876.152277560096 22.4860297051496 784.781949669485</t>
  </si>
  <si>
    <t>-777.246209606099 -78.4343892681786 856.335800292422</t>
  </si>
  <si>
    <t>9763-20170724T111210.314240800.bin</t>
  </si>
  <si>
    <t>-902.309330877278 91.818067831905 -65.3292799380257</t>
  </si>
  <si>
    <t>-933.446865362137 77.2223204381776 -175.935084581035</t>
  </si>
  <si>
    <t>-946.682006626802 72.617391895707 -273.558296565894</t>
  </si>
  <si>
    <t>-953.576630104574 71.1638786725521 -362.376032427884</t>
  </si>
  <si>
    <t>-954.944581416513 72.3307504708328 -451.454640894908</t>
  </si>
  <si>
    <t>-950.972134357958 76.5257370333989 -575.903145988281</t>
  </si>
  <si>
    <t>-926.979243956587 81.3201677668103 -655.315969023395</t>
  </si>
  <si>
    <t>-958.002041723674 101.870303604221 -520.391657885201</t>
  </si>
  <si>
    <t>-980.460020156874 235.78088800435 -498.862610233491</t>
  </si>
  <si>
    <t>-1010.53046421767 247.893018859847 -206.389900274314</t>
  </si>
  <si>
    <t>-776.485792894779 304.371038811389 -215.568358716701</t>
  </si>
  <si>
    <t>-947.4383959083 47.4889665555847 -521.887584649257</t>
  </si>
  <si>
    <t>-935.853393047918 181.218768953306 -68.275718138097</t>
  </si>
  <si>
    <t>-947.557513707656 227.12329134639 332.486714918942</t>
  </si>
  <si>
    <t>-968.859952263007 269.013971551129 777.809387071414</t>
  </si>
  <si>
    <t>-835.049673994446 325.868778117487 840.656072990922</t>
  </si>
  <si>
    <t>-868.975593965502 2.17293405941018 -64.3349314351324</t>
  </si>
  <si>
    <t>-843.600051495293 -0.676402317045358 338.408950790425</t>
  </si>
  <si>
    <t>-876.036452921305 22.5402488296418 784.742742316673</t>
  </si>
  <si>
    <t>-777.159053975392 -78.4022455357215 856.305493120488</t>
  </si>
  <si>
    <t>9763-20170724T111210.379939800.bin</t>
  </si>
  <si>
    <t>-902.363571470142 91.408305975212 -65.2275172048339</t>
  </si>
  <si>
    <t>-933.423098746305 76.757690153453 -175.847964809408</t>
  </si>
  <si>
    <t>-946.598554834042 72.1932222529463 -273.480970039381</t>
  </si>
  <si>
    <t>-953.440175333552 70.8101609849832 -362.303988380462</t>
  </si>
  <si>
    <t>-954.756230153014 72.0837123072693 -451.382005094291</t>
  </si>
  <si>
    <t>-950.710770847677 76.4664726040214 -575.821761836504</t>
  </si>
  <si>
    <t>-926.341382765894 81.498632371367 -655.104971833614</t>
  </si>
  <si>
    <t>-957.932134388823 101.696241699077 -520.282331966004</t>
  </si>
  <si>
    <t>-981.298307105631 235.409301454653 -498.515006651118</t>
  </si>
  <si>
    <t>-1012.37668482212 246.927633208395 -206.123803613145</t>
  </si>
  <si>
    <t>-778.508529994047 304.004309089509 -216.06664347308</t>
  </si>
  <si>
    <t>-947.049397563576 47.3795379921139 -521.841569402451</t>
  </si>
  <si>
    <t>-936.392235431801 180.801319686002 -68.1511531274634</t>
  </si>
  <si>
    <t>-948.229366209967 226.830386666221 332.59297169577</t>
  </si>
  <si>
    <t>-968.933263049515 268.980467772132 777.914841354938</t>
  </si>
  <si>
    <t>-835.21835715766 326.092699664928 840.730765924656</t>
  </si>
  <si>
    <t>-868.606712087372 1.79003194690131 -64.3407950391019</t>
  </si>
  <si>
    <t>-843.243167509265 -0.828336843139368 338.405443226485</t>
  </si>
  <si>
    <t>-875.933135304363 22.552220267798 784.697573207603</t>
  </si>
  <si>
    <t>-776.980644409758 -78.3149236875747 856.262542425262</t>
  </si>
  <si>
    <t>9763-20170724T111210.417033300.bin</t>
  </si>
  <si>
    <t>-902.378456604024 91.2444976047723 -65.1829838284425</t>
  </si>
  <si>
    <t>-933.4017196424 76.5323224358699 -175.805456147394</t>
  </si>
  <si>
    <t>-946.565963123135 71.9725852989864 -273.440312654745</t>
  </si>
  <si>
    <t>-953.403495023649 70.6159753920874 -362.263997416472</t>
  </si>
  <si>
    <t>-954.720923650957 71.9395052607138 -451.34123131399</t>
  </si>
  <si>
    <t>-950.683127792622 76.4167380232202 -575.777894948837</t>
  </si>
  <si>
    <t>-926.08630624048 81.5675064387119 -654.983244011906</t>
  </si>
  <si>
    <t>-957.980954261109 101.588255292429 -520.222030921739</t>
  </si>
  <si>
    <t>-981.782241684301 235.218128467521 -498.407292107207</t>
  </si>
  <si>
    <t>-1013.36913532713 246.276915065648 -206.052835216504</t>
  </si>
  <si>
    <t>-779.592711598993 303.65118738578 -216.4303011537</t>
  </si>
  <si>
    <t>-946.938712320022 47.3047444398976 -521.816853469745</t>
  </si>
  <si>
    <t>-936.707887639701 180.637082804949 -68.0918844936486</t>
  </si>
  <si>
    <t>-948.569714318814 226.570216229683 332.662531722302</t>
  </si>
  <si>
    <t>-968.881447869411 268.869885107704 777.95254508124</t>
  </si>
  <si>
    <t>-835.221949472882 326.110572484741 840.769327833465</t>
  </si>
  <si>
    <t>-868.354134486406 1.6636145170778 -64.3312619531201</t>
  </si>
  <si>
    <t>-843.041445047696 -0.8898683635407 338.41859038138</t>
  </si>
  <si>
    <t>-875.877239042662 22.5718653258486 784.680379463335</t>
  </si>
  <si>
    <t>-776.919749337346 -78.2896229797568 856.245849211628</t>
  </si>
  <si>
    <t>9763-20170724T111210.482719200.bin</t>
  </si>
  <si>
    <t>-902.395360951886 90.7212101379114 -65.1476259395329</t>
  </si>
  <si>
    <t>-933.427226139069 75.8716762461736 -175.749339086652</t>
  </si>
  <si>
    <t>-946.672338351749 71.2922777648973 -273.37245936348</t>
  </si>
  <si>
    <t>-953.608503547298 69.955925554737 -362.188793646878</t>
  </si>
  <si>
    <t>-955.049165465696 71.3400582383847 -451.26320091626</t>
  </si>
  <si>
    <t>-951.208039052275 75.9454027959086 -575.7013737147</t>
  </si>
  <si>
    <t>-926.148514034562 81.3001820701297 -654.747898290602</t>
  </si>
  <si>
    <t>-958.567105477107 101.029119084063 -520.113857816758</t>
  </si>
  <si>
    <t>-983.200559539466 234.469220120162 -498.094354659903</t>
  </si>
  <si>
    <t>-1015.47439512295 244.943772181843 -205.793267732638</t>
  </si>
  <si>
    <t>-781.792333907593 302.521258549511 -217.121744917597</t>
  </si>
  <si>
    <t>-947.229727873656 46.8083517039586 -521.770619117467</t>
  </si>
  <si>
    <t>-937.230876844818 179.976564851247 -68.0027480970136</t>
  </si>
  <si>
    <t>-949.263893633479 226.074179274608 332.727671085391</t>
  </si>
  <si>
    <t>-968.869207602354 268.826140104685 778.002615203047</t>
  </si>
  <si>
    <t>-835.370318420163 326.423038847224 840.834874216108</t>
  </si>
  <si>
    <t>-867.870229710199 1.25586511350139 -64.3321687555239</t>
  </si>
  <si>
    <t>-842.81720094964 -1.06151251616575 338.435288112223</t>
  </si>
  <si>
    <t>-875.804033239484 22.5591387334489 784.668182027287</t>
  </si>
  <si>
    <t>-776.720263445847 -78.1884520292988 856.219757873491</t>
  </si>
  <si>
    <t>9763-20170724T111210.518814600.bin</t>
  </si>
  <si>
    <t>-902.454220649487 90.5740879442355 -65.1402060320613</t>
  </si>
  <si>
    <t>-933.511938130402 75.6543155045415 -175.725189234368</t>
  </si>
  <si>
    <t>-946.793213900796 71.0749493998801 -273.343259041373</t>
  </si>
  <si>
    <t>-953.765739644153 69.7621360239445 -362.15718689577</t>
  </si>
  <si>
    <t>-955.246413861534 71.1950516045245 -451.230165122771</t>
  </si>
  <si>
    <t>-951.462803578748 75.8950943552386 -575.666562877074</t>
  </si>
  <si>
    <t>-926.1338260986 81.3781763216421 -654.618359883423</t>
  </si>
  <si>
    <t>-958.870948291331 100.920887133851 -520.059423565192</t>
  </si>
  <si>
    <t>-983.867294672062 234.272140819171 -497.913153150617</t>
  </si>
  <si>
    <t>-1016.50456955744 244.362670809704 -205.638864392259</t>
  </si>
  <si>
    <t>-782.818489590394 301.835949481485 -217.407600401591</t>
  </si>
  <si>
    <t>-947.384587296166 46.7328596859265 -521.756889417679</t>
  </si>
  <si>
    <t>-937.592039320414 179.892365125064 -67.9804974527682</t>
  </si>
  <si>
    <t>-949.562733559351 226.045299496305 332.74547718482</t>
  </si>
  <si>
    <t>-969.092082196272 269.096256681607 778.028069448733</t>
  </si>
  <si>
    <t>-835.4386949383 326.320659963608 840.872938758043</t>
  </si>
  <si>
    <t>-867.668531616839 1.10256649080065 -64.3403614755723</t>
  </si>
  <si>
    <t>-842.721042398552 -1.07668326702515 338.434375525438</t>
  </si>
  <si>
    <t>-875.747511012388 22.5899771647905 784.658566203751</t>
  </si>
  <si>
    <t>-776.702199632027 -78.1942626120269 856.211798295805</t>
  </si>
  <si>
    <t>9763-20170724T111210.582673900.bin</t>
  </si>
  <si>
    <t>-902.347641382414 90.1984049008988 -65.081610120328</t>
  </si>
  <si>
    <t>-933.398063468833 75.2348249156794 -175.662724274068</t>
  </si>
  <si>
    <t>-946.599508016802 70.6695826957243 -273.292358876845</t>
  </si>
  <si>
    <t>-953.47065538011 69.3914343102197 -362.114585188863</t>
  </si>
  <si>
    <t>-954.821199421625 70.8841037021953 -451.188804143585</t>
  </si>
  <si>
    <t>-950.826821744624 75.6952969253221 -575.6142649014</t>
  </si>
  <si>
    <t>-924.970797285099 81.3789776794624 -654.380812054969</t>
  </si>
  <si>
    <t>-958.474120686987 100.640517193333 -520.003399778354</t>
  </si>
  <si>
    <t>-984.255994097698 233.820798579802 -497.679867351519</t>
  </si>
  <si>
    <t>-1018.24734853063 243.466692226295 -205.544976080521</t>
  </si>
  <si>
    <t>-784.461517151258 300.474323835258 -217.596987881799</t>
  </si>
  <si>
    <t>-946.695045220757 46.5157388092712 -521.718013819558</t>
  </si>
  <si>
    <t>-937.6474572837 179.450804656309 -67.8702809826924</t>
  </si>
  <si>
    <t>-949.746631527177 225.982746510258 332.807922888475</t>
  </si>
  <si>
    <t>-969.149381381607 269.085047857836 778.127257824287</t>
  </si>
  <si>
    <t>-835.599432603334 326.542476121234 840.979516189426</t>
  </si>
  <si>
    <t>-867.325598808483 0.780999343173789 -64.3509087452832</t>
  </si>
  <si>
    <t>-842.547735012431 -1.21734966789745 338.435358057189</t>
  </si>
  <si>
    <t>-875.638346685454 22.6688572830412 784.648442845139</t>
  </si>
  <si>
    <t>-776.589655459377 -78.1148306394794 856.198233019258</t>
  </si>
  <si>
    <t>9763-20170724T111210.614754700.bin</t>
  </si>
  <si>
    <t>-902.245888825941 90.0086483302334 -65.0394803611292</t>
  </si>
  <si>
    <t>-933.301314548666 75.0127128877102 -175.614864742192</t>
  </si>
  <si>
    <t>-946.479171660895 70.4362317522437 -273.2471262614</t>
  </si>
  <si>
    <t>-953.318473934422 69.1557291625295 -362.071751841168</t>
  </si>
  <si>
    <t>-954.627330204593 70.6554386006314 -451.146255340175</t>
  </si>
  <si>
    <t>-950.564737134404 75.4875815659102 -575.56886862771</t>
  </si>
  <si>
    <t>-924.441313832541 81.273775952764 -654.239864704206</t>
  </si>
  <si>
    <t>-958.301732310692 100.410430854021 -519.960310047934</t>
  </si>
  <si>
    <t>-984.447730671579 233.516846709686 -497.624083690379</t>
  </si>
  <si>
    <t>-1019.52218920416 242.599869548738 -205.599250835489</t>
  </si>
  <si>
    <t>-785.681165378642 299.411517236045 -217.504477392807</t>
  </si>
  <si>
    <t>-946.403117565948 46.3119422974655 -521.672778554201</t>
  </si>
  <si>
    <t>-937.670516204952 179.220029189411 -67.7962753281502</t>
  </si>
  <si>
    <t>-949.613203108779 225.841148953276 332.87629944753</t>
  </si>
  <si>
    <t>-969.105954196807 268.932139313572 778.210433495929</t>
  </si>
  <si>
    <t>-835.762414439146 326.871706969458 841.057618766428</t>
  </si>
  <si>
    <t>-867.142089598979 0.60445051790748 -64.3111640186937</t>
  </si>
  <si>
    <t>-842.39829585579 -1.38176083110284 338.47721878032</t>
  </si>
  <si>
    <t>-875.621184570608 22.6481724214023 784.658366976436</t>
  </si>
  <si>
    <t>-776.491814243656 -78.0604617833765 856.201923168421</t>
  </si>
  <si>
    <t>9763-20170724T111210.680946200.bin</t>
  </si>
  <si>
    <t>-902.090689620252 89.6501771061712 -64.9350474240493</t>
  </si>
  <si>
    <t>-933.116701549459 74.5921935051369 -175.510250316493</t>
  </si>
  <si>
    <t>-946.285129058375 69.9896265445204 -273.142448879225</t>
  </si>
  <si>
    <t>-953.122776757439 68.698651391634 -361.967120977889</t>
  </si>
  <si>
    <t>-954.437259340792 70.2034590636194 -451.041552338704</t>
  </si>
  <si>
    <t>-950.390516100515 75.0611119182313 -575.463623640756</t>
  </si>
  <si>
    <t>-923.882957470553 81.031873611943 -653.992124190222</t>
  </si>
  <si>
    <t>-958.214097229544 99.9519567997181 -519.852968771436</t>
  </si>
  <si>
    <t>-985.095741908804 232.907381003941 -497.520095620916</t>
  </si>
  <si>
    <t>-1022.34061744432 241.058368653504 -205.736700151812</t>
  </si>
  <si>
    <t>-788.375049745153 297.476343945631 -217.051053874915</t>
  </si>
  <si>
    <t>-946.128362348922 45.8950964494074 -521.570303969516</t>
  </si>
  <si>
    <t>-937.703851353083 178.812756546747 -67.6631702053828</t>
  </si>
  <si>
    <t>-949.721154877593 225.642005119792 332.982983469698</t>
  </si>
  <si>
    <t>-969.237578954852 268.876154899341 778.297611783032</t>
  </si>
  <si>
    <t>-835.655443684973 326.257515128231 841.149972464224</t>
  </si>
  <si>
    <t>-866.78564768162 0.252719018657444 -64.2289558145147</t>
  </si>
  <si>
    <t>-842.320305377522 -1.61443909797254 338.577002357653</t>
  </si>
  <si>
    <t>-875.529192908863 22.7024448319657 784.686297293729</t>
  </si>
  <si>
    <t>-776.378456733988 -77.9909915299497 856.221277119285</t>
  </si>
  <si>
    <t>9763-20170724T111210.714041100.bin</t>
  </si>
  <si>
    <t>-901.952229344769 89.3706172425091 -64.8852880634048</t>
  </si>
  <si>
    <t>-932.964953746411 74.2910512794019 -175.461283650056</t>
  </si>
  <si>
    <t>-946.121140638591 69.6762000692779 -273.094587493919</t>
  </si>
  <si>
    <t>-952.947389052177 68.3767136123111 -361.920061037955</t>
  </si>
  <si>
    <t>-954.250735556618 69.8775904858162 -450.994785561495</t>
  </si>
  <si>
    <t>-950.189556243322 74.7345703530532 -575.41624523616</t>
  </si>
  <si>
    <t>-923.434980257175 80.7994239710201 -653.853775088629</t>
  </si>
  <si>
    <t>-958.070559829454 99.6143134957188 -519.808688837034</t>
  </si>
  <si>
    <t>-985.23151371581 232.511991861466 -497.455849184336</t>
  </si>
  <si>
    <t>-1023.42371312995 240.062255719409 -205.778757321951</t>
  </si>
  <si>
    <t>-789.478914419797 296.629264580966 -216.777008557113</t>
  </si>
  <si>
    <t>-945.882707921263 45.5801660966868 -521.520250056328</t>
  </si>
  <si>
    <t>-937.586222374401 178.46082850708 -67.6244783895777</t>
  </si>
  <si>
    <t>-949.734847651788 225.370903081474 333.008162938995</t>
  </si>
  <si>
    <t>-969.187338840419 268.768089435486 778.279143944121</t>
  </si>
  <si>
    <t>-835.735586419404 326.419890437405 841.161853658459</t>
  </si>
  <si>
    <t>-866.589846616544 0.0394700209517396 -64.2120201744755</t>
  </si>
  <si>
    <t>-842.350901557484 -1.74921686088692 338.607997178887</t>
  </si>
  <si>
    <t>-875.503961320218 22.6944862527071 784.701531658259</t>
  </si>
  <si>
    <t>-776.27824350591 -77.9293455588563 856.230306067468</t>
  </si>
  <si>
    <t>9763-20170724T111210.781797200.bin</t>
  </si>
  <si>
    <t>-901.786012673153 88.7656669754251 -64.8941663653499</t>
  </si>
  <si>
    <t>-932.751008361969 73.6041408136221 -175.472272505517</t>
  </si>
  <si>
    <t>-945.875639474906 68.9220836123477 -273.106748876312</t>
  </si>
  <si>
    <t>-952.676697441834 67.5628964254479 -361.933233565603</t>
  </si>
  <si>
    <t>-953.959745054964 69.0067607982683 -451.009108299258</t>
  </si>
  <si>
    <t>-949.875026381568 73.7878507537916 -575.432714567579</t>
  </si>
  <si>
    <t>-922.646724798184 79.9996188475029 -653.69562730467</t>
  </si>
  <si>
    <t>-957.862765349126 98.6797698360588 -519.845917680839</t>
  </si>
  <si>
    <t>-985.63663321518 231.441894977981 -497.476049555559</t>
  </si>
  <si>
    <t>-1025.12988044594 238.480587534714 -205.95934500774</t>
  </si>
  <si>
    <t>-791.259532595889 295.493836755116 -216.206532553492</t>
  </si>
  <si>
    <t>-945.482451590432 44.6881879405109 -521.514171387241</t>
  </si>
  <si>
    <t>-937.682267699973 177.780613461995 -67.6091596634338</t>
  </si>
  <si>
    <t>-949.922904764284 224.945518615018 332.990785787132</t>
  </si>
  <si>
    <t>-969.302711730519 268.821003600629 778.245297986492</t>
  </si>
  <si>
    <t>-835.791731518925 326.297339304432 841.162313274841</t>
  </si>
  <si>
    <t>-842.438026931264 -1.96149632829565 338.625387351886</t>
  </si>
  <si>
    <t>-875.413601334577 22.7461008356895 784.725177715743</t>
  </si>
  <si>
    <t>-776.16832248878 -77.8655702780134 856.244480154074</t>
  </si>
  <si>
    <t>9763-20170724T111210.813882900.bin</t>
  </si>
  <si>
    <t>-901.740195335546 88.4627919809118 -64.9042570410483</t>
  </si>
  <si>
    <t>-932.663563011428 73.2500260554007 -175.486965413243</t>
  </si>
  <si>
    <t>-945.755600691569 68.5363238544296 -273.124251778294</t>
  </si>
  <si>
    <t>-952.528235179699 67.1525599952824 -361.952473676344</t>
  </si>
  <si>
    <t>-953.782910655847 68.5759301722742 -451.029083856565</t>
  </si>
  <si>
    <t>-949.659297592127 73.3334261287378 -575.452495760428</t>
  </si>
  <si>
    <t>-922.259028822061 79.5945373203026 -653.651268233946</t>
  </si>
  <si>
    <t>-957.708666515015 98.2256622702944 -519.874671595973</t>
  </si>
  <si>
    <t>-985.758040626308 230.929338586456 -497.478965815166</t>
  </si>
  <si>
    <t>-1025.99473764988 237.940500266137 -206.063290511782</t>
  </si>
  <si>
    <t>-792.135717872485 295.056274996658 -215.991737376968</t>
  </si>
  <si>
    <t>-945.23913167356 44.2539877295089 -521.525025006443</t>
  </si>
  <si>
    <t>-937.768492588899 177.384300197999 -67.5961664189987</t>
  </si>
  <si>
    <t>-950.033686365504 224.784967095557 332.97511740465</t>
  </si>
  <si>
    <t>-969.374941050542 268.83011617898 778.245759046012</t>
  </si>
  <si>
    <t>-835.898427416636 326.383317617103 841.165599655627</t>
  </si>
  <si>
    <t>-842.42972519399 -2.11598966742895 338.637238200958</t>
  </si>
  <si>
    <t>-875.368769487978 22.7754118394087 784.738198823923</t>
  </si>
  <si>
    <t>-776.129060541521 -77.8458184632641 856.251405920768</t>
  </si>
  <si>
    <t>9763-20170724T111210.879650300.bin</t>
  </si>
  <si>
    <t>-901.520103747727 87.889625584698 -64.8409578205157</t>
  </si>
  <si>
    <t>-932.201208072951 72.6480854853698 -175.487204732299</t>
  </si>
  <si>
    <t>-945.093031453042 67.9246742653436 -273.15055468547</t>
  </si>
  <si>
    <t>-951.688719908635 66.5374144391349 -361.992082860298</t>
  </si>
  <si>
    <t>-952.771666723567 67.9653535346292 -451.070895405591</t>
  </si>
  <si>
    <t>-948.414295231384 72.7379106235271 -575.485737721144</t>
  </si>
  <si>
    <t>-920.660331153955 79.1220811352241 -653.549712689724</t>
  </si>
  <si>
    <t>-956.677780629648 97.5981838354414 -519.924943011014</t>
  </si>
  <si>
    <t>-985.424411137478 230.152520567849 -497.504526547514</t>
  </si>
  <si>
    <t>-1027.78614834911 237.246152304427 -206.392317415907</t>
  </si>
  <si>
    <t>-793.95937450068 294.608052786219 -215.643630771446</t>
  </si>
  <si>
    <t>-943.986299629167 43.677345819272 -521.548982446723</t>
  </si>
  <si>
    <t>-937.653302029777 176.660277724253 -67.5408527027585</t>
  </si>
  <si>
    <t>-950.098992995664 224.607662790793 332.959857341522</t>
  </si>
  <si>
    <t>-969.549385656411 268.849361352142 778.212195148808</t>
  </si>
  <si>
    <t>-836.099898064509 326.473514016004 841.125138981513</t>
  </si>
  <si>
    <t>-842.271320631904 -2.48036206869983 338.699795058178</t>
  </si>
  <si>
    <t>-875.281655859762 22.8013732982472 784.763317653435</t>
  </si>
  <si>
    <t>-776.001540885043 -77.7843832722708 856.270422983117</t>
  </si>
  <si>
    <t>9763-20170724T111210.913737800.bin</t>
  </si>
  <si>
    <t>-901.357108437791 87.5774756768346 -64.8124586110056</t>
  </si>
  <si>
    <t>-931.896805199533 72.3519819160679 -175.500020731115</t>
  </si>
  <si>
    <t>-944.654857398127 67.6368124149963 -273.181563925561</t>
  </si>
  <si>
    <t>-951.126022780413 66.2556469989431 -362.032234907033</t>
  </si>
  <si>
    <t>-952.082700668179 67.6898502027916 -451.112313630805</t>
  </si>
  <si>
    <t>-947.54734695237 72.4726200460259 -575.520428836786</t>
  </si>
  <si>
    <t>-919.599412813967 78.9503303298734 -653.507571757048</t>
  </si>
  <si>
    <t>-955.95612604987 97.3127756279837 -519.972515444226</t>
  </si>
  <si>
    <t>-985.112400044153 229.782901018333 -497.57885918726</t>
  </si>
  <si>
    <t>-1028.66610362186 236.612602958448 -206.63628351549</t>
  </si>
  <si>
    <t>-794.902992598608 294.299074356706 -215.466028312965</t>
  </si>
  <si>
    <t>-943.129807724721 43.423098611855 -521.576735638843</t>
  </si>
  <si>
    <t>-937.598472982972 176.28305880007 -67.5138886534551</t>
  </si>
  <si>
    <t>-949.986831210154 224.515682813789 332.954334858395</t>
  </si>
  <si>
    <t>-969.650068653191 268.870512876315 778.191509034588</t>
  </si>
  <si>
    <t>-836.162436479327 326.404056975589 841.1058932256</t>
  </si>
  <si>
    <t>-842.228684514732 -2.63169161863789 338.731139740921</t>
  </si>
  <si>
    <t>-875.209461220764 22.852557994132 784.773183934541</t>
  </si>
  <si>
    <t>-775.921588162689 -77.7246143437949 856.28117361017</t>
  </si>
  <si>
    <t>9763-20170724T111210.983928700.bin</t>
  </si>
  <si>
    <t>-901.012085141863 86.6896367192162 -64.796425962762</t>
  </si>
  <si>
    <t>-931.261158682146 71.4498306925307 -175.561665417913</t>
  </si>
  <si>
    <t>-943.774677589689 66.7204413985778 -273.27400958916</t>
  </si>
  <si>
    <t>-950.029351708427 65.3269013225358 -362.140251537698</t>
  </si>
  <si>
    <t>-950.776046153985 66.752937921272 -451.222458810713</t>
  </si>
  <si>
    <t>-945.955799915009 71.5311695485652 -575.620013825723</t>
  </si>
  <si>
    <t>-917.622248747762 78.2159136165983 -653.450233166933</t>
  </si>
  <si>
    <t>-954.635284541319 96.3389041724136 -520.099237279041</t>
  </si>
  <si>
    <t>-984.686038127554 228.615058487096 -497.735934797331</t>
  </si>
  <si>
    <t>-1030.71868602037 234.440998507518 -207.153365178793</t>
  </si>
  <si>
    <t>-797.233959510621 293.405652721868 -214.829325224071</t>
  </si>
  <si>
    <t>-941.518574596226 42.5181218040607 -521.658349926299</t>
  </si>
  <si>
    <t>-937.452499324257 175.182237969881 -67.4929711398344</t>
  </si>
  <si>
    <t>-949.70960365738 224.035557860941 332.904075213411</t>
  </si>
  <si>
    <t>-969.56066318076 268.545545295131 778.102406667611</t>
  </si>
  <si>
    <t>-836.42680536728 326.854983303607 841.052258830873</t>
  </si>
  <si>
    <t>-842.176769566975 -3.0643549691863 338.770555441026</t>
  </si>
  <si>
    <t>-875.122378945472 22.8497984645251 784.802364984109</t>
  </si>
  <si>
    <t>-775.856318816652 -77.7525904084391 856.305701663078</t>
  </si>
  <si>
    <t>9763-20170724T111211.013005900.bin</t>
  </si>
  <si>
    <t>-900.965324985697 86.2893554980205 -64.8110138270761</t>
  </si>
  <si>
    <t>-931.096621466185 71.018728167564 -175.604174701406</t>
  </si>
  <si>
    <t>-943.508950961 66.2766644741878 -273.328908858267</t>
  </si>
  <si>
    <t>-949.671880674195 64.877080120928 -362.201263558425</t>
  </si>
  <si>
    <t>-950.328577986916 66.304880089991 -451.284214978757</t>
  </si>
  <si>
    <t>-945.384314489397 71.0941986747421 -575.676477447162</t>
  </si>
  <si>
    <t>-916.83870226065 77.9072283381197 -653.417905179074</t>
  </si>
  <si>
    <t>-954.199889437268 95.8772940238027 -520.166105438049</t>
  </si>
  <si>
    <t>-984.813482622351 228.026771201483 -497.835758086958</t>
  </si>
  <si>
    <t>-1032.11199591303 233.186864880588 -207.443905681807</t>
  </si>
  <si>
    <t>-798.799216428611 292.913586607153 -214.425032309685</t>
  </si>
  <si>
    <t>-940.920141001728 42.0959519422395 -521.709030001619</t>
  </si>
  <si>
    <t>-937.554579645552 174.654950144643 -67.4980358264481</t>
  </si>
  <si>
    <t>-949.818259721348 223.896097220601 332.851346608604</t>
  </si>
  <si>
    <t>-969.651383039191 268.558958713323 778.041921171133</t>
  </si>
  <si>
    <t>-836.532875533615 326.876021952853 841.017227973476</t>
  </si>
  <si>
    <t>-842.173462972973 -3.29146060276253 338.783498190827</t>
  </si>
  <si>
    <t>-875.069021710043 22.8607902059662 784.809120896815</t>
  </si>
  <si>
    <t>-775.712508361206 -77.6587490467041 856.303580303399</t>
  </si>
  <si>
    <t>9763-20170724T111211.082200300.bin</t>
  </si>
  <si>
    <t>-900.867722891649 85.4445983339888 -64.8131676152658</t>
  </si>
  <si>
    <t>-930.793876274393 70.0993078770171 -175.651566154457</t>
  </si>
  <si>
    <t>-943.04243608757 65.3269087886765 -273.395455290221</t>
  </si>
  <si>
    <t>-949.063798631629 63.9149125337149 -362.277340942401</t>
  </si>
  <si>
    <t>-949.586578386566 65.3492154295359 -451.361098546442</t>
  </si>
  <si>
    <t>-944.464608455756 70.1700502208173 -575.744945071842</t>
  </si>
  <si>
    <t>-915.583989445857 77.2422018394477 -653.339459944027</t>
  </si>
  <si>
    <t>-953.538140771619 94.8946311131353 -520.250155513326</t>
  </si>
  <si>
    <t>-985.255311554853 226.790170379776 -497.945912315476</t>
  </si>
  <si>
    <t>-1034.96025409124 230.743332992351 -207.937298056364</t>
  </si>
  <si>
    <t>-802.012985622847 292.039752712956 -213.344254698192</t>
  </si>
  <si>
    <t>-939.899407332434 41.2025413217725 -521.769437863346</t>
  </si>
  <si>
    <t>-937.746104002418 173.604290775171 -67.5165830326009</t>
  </si>
  <si>
    <t>-950.046825961617 223.318157556757 332.77313132882</t>
  </si>
  <si>
    <t>-969.666136823953 268.394352717768 777.904159867885</t>
  </si>
  <si>
    <t>-836.575218941679 326.739336938478 840.911699480368</t>
  </si>
  <si>
    <t>-842.238000736305 -3.66233832722355 338.80415410155</t>
  </si>
  <si>
    <t>-874.962761828012 22.8798236876232 784.825248245444</t>
  </si>
  <si>
    <t>-775.636570208552 -77.6803393659977 856.30445306917</t>
  </si>
  <si>
    <t>9763-20170724T111211.115288500.bin</t>
  </si>
  <si>
    <t>-900.792640298539 84.9511279399994 -64.8260425485047</t>
  </si>
  <si>
    <t>-930.645094281884 69.5642881652238 -175.678769947936</t>
  </si>
  <si>
    <t>-942.843231032126 64.7774295121935 -273.428099978813</t>
  </si>
  <si>
    <t>-948.824588960342 63.3612844638174 -362.312626202916</t>
  </si>
  <si>
    <t>-949.313316002777 64.8022850190137 -451.396393204959</t>
  </si>
  <si>
    <t>-944.150511878056 69.6452940870336 -575.777687198331</t>
  </si>
  <si>
    <t>-915.166136727908 76.8263513528022 -653.323626853598</t>
  </si>
  <si>
    <t>-953.333250785943 94.3367675600157 -520.286093060079</t>
  </si>
  <si>
    <t>-985.588487476061 226.096430836891 -497.97964700317</t>
  </si>
  <si>
    <t>-1036.37171369934 229.436954579832 -208.150176634453</t>
  </si>
  <si>
    <t>-803.602720156116 291.471900727444 -212.743110513607</t>
  </si>
  <si>
    <t>-939.511506120395 40.691382048145 -521.801181038811</t>
  </si>
  <si>
    <t>-937.816498197388 172.9829492012 -67.5346318660654</t>
  </si>
  <si>
    <t>-950.242224557282 222.874595689632 332.729146967961</t>
  </si>
  <si>
    <t>-969.686532480406 268.347192180066 777.821627199791</t>
  </si>
  <si>
    <t>-836.792385255607 327.124328074035 840.843478139937</t>
  </si>
  <si>
    <t>-842.348111433023 -3.88175743318379 338.800895667851</t>
  </si>
  <si>
    <t>-874.946386866547 22.8370767913852 784.833317750512</t>
  </si>
  <si>
    <t>-775.450401243481 -77.5694931429325 856.292116698806</t>
  </si>
  <si>
    <t>9763-20170724T111211.181469800.bin</t>
  </si>
  <si>
    <t>-900.663599338714 84.1905728293082 -64.8744803953618</t>
  </si>
  <si>
    <t>-930.388831997437 68.6690078627362 -175.742476207954</t>
  </si>
  <si>
    <t>-942.51715532179 63.8310218311749 -273.498129169524</t>
  </si>
  <si>
    <t>-948.449700311808 62.3932846964876 -362.385544464399</t>
  </si>
  <si>
    <t>-948.904864521382 63.8410283532849 -451.46942703734</t>
  </si>
  <si>
    <t>-943.709791716069 68.723630781175 -575.847927893171</t>
  </si>
  <si>
    <t>-914.577113148148 76.052234670884 -653.324333452642</t>
  </si>
  <si>
    <t>-953.079787915079 93.3526431919654 -520.359750738071</t>
  </si>
  <si>
    <t>-986.327334581704 224.867785873218 -498.038319669332</t>
  </si>
  <si>
    <t>-1038.99225786728 226.835604852951 -208.53233420523</t>
  </si>
  <si>
    <t>-806.654234157601 290.547244063413 -211.801161079429</t>
  </si>
  <si>
    <t>-938.91186081501 39.7974839771741 -521.870444094019</t>
  </si>
  <si>
    <t>-938.065143479928 171.966393344049 -67.5799340623121</t>
  </si>
  <si>
    <t>-950.798407696502 222.236564810612 332.626825501981</t>
  </si>
  <si>
    <t>-969.784648388864 268.359056665933 777.644098221969</t>
  </si>
  <si>
    <t>-836.92623168078 327.173479538734 840.705979112455</t>
  </si>
  <si>
    <t>-842.505263600264 -4.18508467685706 338.785934536221</t>
  </si>
  <si>
    <t>-874.80493336497 22.9026239156078 784.837923895762</t>
  </si>
  <si>
    <t>-775.410127830122 -77.6116820121158 856.286046490906</t>
  </si>
  <si>
    <t>9763-20170724T111211.214558000.bin</t>
  </si>
  <si>
    <t>-900.649355460812 83.7497661702077 -64.9041702885136</t>
  </si>
  <si>
    <t>-930.328797044695 68.1563705041031 -175.774334050995</t>
  </si>
  <si>
    <t>-942.449908396672 63.2895868856399 -273.529413823011</t>
  </si>
  <si>
    <t>-948.388167685028 61.8386851251285 -362.416308068614</t>
  </si>
  <si>
    <t>-948.861057741212 63.2883085948947 -451.499983690423</t>
  </si>
  <si>
    <t>-943.703159265445 68.1897792576638 -575.87923455337</t>
  </si>
  <si>
    <t>-914.544716623663 75.5797098969806 -653.340199045333</t>
  </si>
  <si>
    <t>-953.147027102333 92.7863813565414 -520.389273288179</t>
  </si>
  <si>
    <t>-986.899183293262 224.162093726456 -498.052548625999</t>
  </si>
  <si>
    <t>-1040.19915487806 225.526625119424 -208.659317341239</t>
  </si>
  <si>
    <t>-808.101274356973 290.129995868786 -211.463427275182</t>
  </si>
  <si>
    <t>-938.798381518123 39.2794258341842 -521.902937451098</t>
  </si>
  <si>
    <t>-938.241452014906 171.393978001171 -67.600485811054</t>
  </si>
  <si>
    <t>-950.975616816539 221.880677441476 332.578965597607</t>
  </si>
  <si>
    <t>-969.749347158689 268.244529578685 777.578575475619</t>
  </si>
  <si>
    <t>-837.065972909674 327.445555315519 840.647321809245</t>
  </si>
  <si>
    <t>-842.603690729444 -4.38004758748411 338.772568323757</t>
  </si>
  <si>
    <t>-874.803698292446 22.8043236223325 784.837607753254</t>
  </si>
  <si>
    <t>-775.153930208139 -77.4707705478079 856.266621298997</t>
  </si>
  <si>
    <t>9763-20170724T111211.282741900.bin</t>
  </si>
  <si>
    <t>-900.76176322943 82.9234769690083 -64.9441549597651</t>
  </si>
  <si>
    <t>-930.400848609935 67.2264337601728 -175.810571708054</t>
  </si>
  <si>
    <t>-942.540654848275 62.3059259120419 -273.560632178594</t>
  </si>
  <si>
    <t>-948.516277782558 60.8214977513671 -362.444424943261</t>
  </si>
  <si>
    <t>-949.048591339624 62.2561346898692 -451.527979748517</t>
  </si>
  <si>
    <t>-943.996986267254 67.15902713076 -575.911615121893</t>
  </si>
  <si>
    <t>-914.824178569815 74.6535030381319 -653.35706220876</t>
  </si>
  <si>
    <t>-953.558786292369 91.7103386182212 -520.421803341269</t>
  </si>
  <si>
    <t>-988.2850361289 222.836262597153 -498.044821367952</t>
  </si>
  <si>
    <t>-1042.45222233459 223.406145844773 -208.809962857117</t>
  </si>
  <si>
    <t>-810.768905963966 289.503020402393 -211.02819534713</t>
  </si>
  <si>
    <t>-938.880751069438 38.2926847404387 -521.93131879483</t>
  </si>
  <si>
    <t>-938.804746751936 170.481722334811 -67.6166298671112</t>
  </si>
  <si>
    <t>-951.451789290363 221.306219200069 332.522818321798</t>
  </si>
  <si>
    <t>-970.029341876907 268.443417209625 777.46994414824</t>
  </si>
  <si>
    <t>-837.273116227138 327.449810293828 840.567583323365</t>
  </si>
  <si>
    <t>-842.680065811202 -4.65192321882205 338.737094746985</t>
  </si>
  <si>
    <t>-874.681984354302 22.8148514132949 784.819069835883</t>
  </si>
  <si>
    <t>-774.972252534372 -77.4072810063801 856.238721673884</t>
  </si>
  <si>
    <t>9763-20170724T111211.316834300.bin</t>
  </si>
  <si>
    <t>-900.766803905405 82.5062334032782 -64.9672706284623</t>
  </si>
  <si>
    <t>-930.392190261615 66.7711958366845 -175.831894535822</t>
  </si>
  <si>
    <t>-942.54760833036 61.8335334845947 -273.5791579937</t>
  </si>
  <si>
    <t>-948.549306811078 60.3405664670772 -362.461098074915</t>
  </si>
  <si>
    <t>-949.119279268798 61.7765977024246 -451.544470653193</t>
  </si>
  <si>
    <t>-944.133441824509 66.6926799263492 -575.930161912662</t>
  </si>
  <si>
    <t>-914.96172465909 74.2482821826034 -653.370098796495</t>
  </si>
  <si>
    <t>-953.743229768705 91.2169335868639 -520.436546600177</t>
  </si>
  <si>
    <t>-988.886851871081 222.224112869887 -498.067128923892</t>
  </si>
  <si>
    <t>-1043.27705693698 222.574850712147 -208.87374273732</t>
  </si>
  <si>
    <t>-811.776970405175 289.31059488005 -211.053518286341</t>
  </si>
  <si>
    <t>-938.911631126372 37.8418727823855 -521.951612462674</t>
  </si>
  <si>
    <t>-938.926151707464 170.04791665268 -67.61181637937</t>
  </si>
  <si>
    <t>-951.64633684902 220.922103753362 332.519016780635</t>
  </si>
  <si>
    <t>-969.985511498524 268.324188362317 777.424466770777</t>
  </si>
  <si>
    <t>-837.365116581073 327.620731814734 840.535854911291</t>
  </si>
  <si>
    <t>-842.672869559342 -4.8623260595682 338.720292533532</t>
  </si>
  <si>
    <t>-874.634551726972 22.793409520546 784.80346503525</t>
  </si>
  <si>
    <t>-774.829508868522 -77.3394439852507 856.215581439879</t>
  </si>
  <si>
    <t>9763-20170724T111211.380004300.bin</t>
  </si>
  <si>
    <t>-900.928820593025 81.8538594037109 -64.9750069549132</t>
  </si>
  <si>
    <t>-930.519488928719 66.0404682732792 -175.837709401112</t>
  </si>
  <si>
    <t>-942.725413903253 61.036277709235 -273.575352683195</t>
  </si>
  <si>
    <t>-948.805847498566 59.4852482922365 -362.450924872468</t>
  </si>
  <si>
    <t>-949.489308763425 60.8688047198161 -451.534304634827</t>
  </si>
  <si>
    <t>-944.698022123134 65.7203839734211 -575.930072502624</t>
  </si>
  <si>
    <t>-915.52819496022 73.3604405064571 -653.362474929745</t>
  </si>
  <si>
    <t>-954.350165130089 90.2372929828548 -520.440662595841</t>
  </si>
  <si>
    <t>-990.168276981126 221.059595772307 -498.030089950333</t>
  </si>
  <si>
    <t>-1044.86412117518 221.24921375728 -208.894299749633</t>
  </si>
  <si>
    <t>-813.639404429618 288.937970349483 -210.921918497526</t>
  </si>
  <si>
    <t>-939.262708765764 36.9336377434843 -521.938554623896</t>
  </si>
  <si>
    <t>-939.396370183241 169.251319221809 -67.6039185673322</t>
  </si>
  <si>
    <t>-952.169905198027 220.371842571089 332.493808223911</t>
  </si>
  <si>
    <t>-970.026828446715 268.23053443345 777.369557466164</t>
  </si>
  <si>
    <t>-837.393815881777 327.473712314288 840.504170456299</t>
  </si>
  <si>
    <t>-842.751599157546 -5.11924361025649 338.702435609459</t>
  </si>
  <si>
    <t>-874.509158129442 22.8188947216131 784.784280671667</t>
  </si>
  <si>
    <t>-774.678962916084 -77.2899951815195 856.194349007686</t>
  </si>
  <si>
    <t>9763-20170724T111211.413093200.bin</t>
  </si>
  <si>
    <t>-901.015591364765 81.6328963961182 -64.9729341954147</t>
  </si>
  <si>
    <t>-930.599226061641 65.7753695426613 -175.831261710482</t>
  </si>
  <si>
    <t>-942.842976743008 60.7267675611715 -273.561734022885</t>
  </si>
  <si>
    <t>-948.975621113949 59.1332788990917 -362.433101321823</t>
  </si>
  <si>
    <t>-949.729404634276 60.4738385234114 -451.516517457257</t>
  </si>
  <si>
    <t>-945.055770602505 65.2654318094828 -575.919172340012</t>
  </si>
  <si>
    <t>-915.882824491238 72.9258844021679 -653.348394047761</t>
  </si>
  <si>
    <t>-954.7106472072 89.7936262676558 -520.435196207066</t>
  </si>
  <si>
    <t>-990.839848355339 220.534031383507 -498.05488397733</t>
  </si>
  <si>
    <t>-1045.68873842549 220.695016141328 -208.947990785895</t>
  </si>
  <si>
    <t>-814.556488691239 288.704082682927 -210.853129573999</t>
  </si>
  <si>
    <t>-939.51432077101 36.5201786794187 -521.916248157635</t>
  </si>
  <si>
    <t>-939.69329822792 168.975931918053 -67.6094238692715</t>
  </si>
  <si>
    <t>-952.453253223345 220.248709153167 332.469266538691</t>
  </si>
  <si>
    <t>-970.219920644812 268.417767581919 777.32696205356</t>
  </si>
  <si>
    <t>-837.536711388628 327.531273054912 840.477837374325</t>
  </si>
  <si>
    <t>-842.77094895915 -5.18516663543824 338.69451893904</t>
  </si>
  <si>
    <t>-874.422136732175 22.8792886392666 784.776466688555</t>
  </si>
  <si>
    <t>-774.734384959774 -77.3675310245926 856.192252625799</t>
  </si>
  <si>
    <t>9763-20170724T111211.480970600.bin</t>
  </si>
  <si>
    <t>-901.205234238608 81.2601689692119 -64.9514049005459</t>
  </si>
  <si>
    <t>-930.795450821878 65.3198612815586 -175.796057627208</t>
  </si>
  <si>
    <t>-943.127951865632 60.1911172376012 -273.511331301531</t>
  </si>
  <si>
    <t>-949.375387918127 58.5240720638194 -362.373226383427</t>
  </si>
  <si>
    <t>-950.27984745833 59.7936281382754 -451.45636413609</t>
  </si>
  <si>
    <t>-945.853847596489 64.4914097629908 -575.871656881805</t>
  </si>
  <si>
    <t>-916.672700549906 72.1852236703248 -653.29440434192</t>
  </si>
  <si>
    <t>-955.495688199352 89.0334253074252 -520.391528191206</t>
  </si>
  <si>
    <t>-992.097243362031 219.641925617545 -498.038652582492</t>
  </si>
  <si>
    <t>-1047.51133521846 219.635111500459 -209.039624789584</t>
  </si>
  <si>
    <t>-816.559734339669 288.26188632462 -210.626085374052</t>
  </si>
  <si>
    <t>-940.107455187301 35.814800932425 -521.853744333394</t>
  </si>
  <si>
    <t>-940.126910992409 168.59538479305 -67.5929852370134</t>
  </si>
  <si>
    <t>-952.840185958818 219.983682136098 332.47239582062</t>
  </si>
  <si>
    <t>-970.380660421377 268.455080306288 777.312202827769</t>
  </si>
  <si>
    <t>-837.559763456802 327.247270456543 840.473667155288</t>
  </si>
  <si>
    <t>-842.849559823102 -5.34246666476156 338.707031623993</t>
  </si>
  <si>
    <t>-874.364827003491 22.7959291364414 784.771321707281</t>
  </si>
  <si>
    <t>-774.430686810425 -77.2172637422168 856.170568890029</t>
  </si>
  <si>
    <t>9763-20170724T111211.514058800.bin</t>
  </si>
  <si>
    <t>-901.271755376928 81.0881697280515 -64.9523346572935</t>
  </si>
  <si>
    <t>-930.882475603907 65.113611493894 -175.78651557992</t>
  </si>
  <si>
    <t>-943.268812819226 59.9517706520242 -273.49323542364</t>
  </si>
  <si>
    <t>-949.580819622216 58.2559044915529 -362.350093580059</t>
  </si>
  <si>
    <t>-950.566148870908 59.4995967499635 -451.432706499851</t>
  </si>
  <si>
    <t>-946.271040413073 64.1667125108957 -575.853673258673</t>
  </si>
  <si>
    <t>-917.086348788268 71.8802668975682 -653.273238867818</t>
  </si>
  <si>
    <t>-955.901272306649 88.7088581094581 -520.371754119178</t>
  </si>
  <si>
    <t>-992.672411672251 219.276915377162 -498.03701265213</t>
  </si>
  <si>
    <t>-1048.40308356424 219.059413296426 -209.098875722309</t>
  </si>
  <si>
    <t>-817.599609801316 288.186781406901 -210.51729536325</t>
  </si>
  <si>
    <t>-940.420727438446 35.516983384638 -521.832595094361</t>
  </si>
  <si>
    <t>-940.270119280666 168.399070310969 -67.5978504545409</t>
  </si>
  <si>
    <t>-952.966934467352 219.784781194531 332.468301500965</t>
  </si>
  <si>
    <t>-970.391422140086 268.389196259301 777.296501520933</t>
  </si>
  <si>
    <t>-837.64193819334 327.323437255529 840.476017410178</t>
  </si>
  <si>
    <t>-842.846926331404 -5.37682008796446 338.712176767775</t>
  </si>
  <si>
    <t>-874.280103092556 22.8497440522765 784.765871509604</t>
  </si>
  <si>
    <t>-774.364384801425 -77.1811125549104 856.166100064835</t>
  </si>
  <si>
    <t>9763-20170724T111211.582816000.bin</t>
  </si>
  <si>
    <t>-901.572154669537 80.8675622330065 -64.9683417291889</t>
  </si>
  <si>
    <t>-931.201367239802 64.8284713790508 -175.788327346467</t>
  </si>
  <si>
    <t>-943.668982441861 59.6003157934815 -273.481180297703</t>
  </si>
  <si>
    <t>-950.083219984533 57.8438656023891 -362.329321834361</t>
  </si>
  <si>
    <t>-951.20037924113 59.0306543484498 -451.411315117968</t>
  </si>
  <si>
    <t>-947.121776789976 63.6247637399474 -575.842238997349</t>
  </si>
  <si>
    <t>-917.910098137815 71.3659535247666 -653.248882683147</t>
  </si>
  <si>
    <t>-956.731619269702 88.1772584377491 -520.361407139961</t>
  </si>
  <si>
    <t>-993.735364050185 218.705089562539 -498.141569731059</t>
  </si>
  <si>
    <t>-1050.07044943422 217.942229280732 -209.321726149592</t>
  </si>
  <si>
    <t>-819.650062090216 288.342637640871 -210.344743022419</t>
  </si>
  <si>
    <t>-941.101306232862 35.0288144977208 -521.811191902546</t>
  </si>
  <si>
    <t>-940.729210822086 168.178768023609 -67.6107024095811</t>
  </si>
  <si>
    <t>-953.303430655704 219.646425400907 332.448859813186</t>
  </si>
  <si>
    <t>-970.57076977995 268.460412455584 777.269865995528</t>
  </si>
  <si>
    <t>-837.79695448313 327.337582754461 840.451633535798</t>
  </si>
  <si>
    <t>-842.872817367008 -5.43364870493315 338.716790218513</t>
  </si>
  <si>
    <t>-874.153276343233 22.8952069640673 784.759703840512</t>
  </si>
  <si>
    <t>-774.15981777846 -77.0593377605121 856.157603822795</t>
  </si>
  <si>
    <t>9763-20170724T111211.611898100.bin</t>
  </si>
  <si>
    <t>-901.688216235197 80.7582661975521 -64.9864819593071</t>
  </si>
  <si>
    <t>-931.319471872161 64.6768557648516 -175.799926011002</t>
  </si>
  <si>
    <t>-943.816695459197 59.4007580034649 -273.486297657179</t>
  </si>
  <si>
    <t>-950.269607865087 57.5974298295632 -362.33072159184</t>
  </si>
  <si>
    <t>-951.438091520779 58.7348039107087 -451.412769681895</t>
  </si>
  <si>
    <t>-947.443771042658 63.258433016601 -575.849046816281</t>
  </si>
  <si>
    <t>-918.224946782604 70.9799199423833 -653.254848291305</t>
  </si>
  <si>
    <t>-957.041932411862 87.8348169425262 -520.376659365239</t>
  </si>
  <si>
    <t>-994.173609669458 218.333160355869 -498.211011861907</t>
  </si>
  <si>
    <t>-1050.64669167006 217.512254684664 -209.418162596173</t>
  </si>
  <si>
    <t>-820.38823073881 288.442701555699 -210.304653543382</t>
  </si>
  <si>
    <t>-941.360609736827 34.7009578177758 -521.80475725243</t>
  </si>
  <si>
    <t>-940.904586680598 168.024941982094 -67.6404668960158</t>
  </si>
  <si>
    <t>-953.332457447244 219.501793542081 332.42243193987</t>
  </si>
  <si>
    <t>-970.4969737255 268.294443952927 777.247452619011</t>
  </si>
  <si>
    <t>-837.847960541618 327.436876407625 840.44323906053</t>
  </si>
  <si>
    <t>-842.881250133246 -5.44556280546749 338.712916117408</t>
  </si>
  <si>
    <t>-874.094512459318 22.9076655039316 784.754597268357</t>
  </si>
  <si>
    <t>-774.105660508828 -77.0479972159656 856.1576949374</t>
  </si>
  <si>
    <t>9763-20170724T111211.678790300.bin</t>
  </si>
  <si>
    <t>-901.933324027948 80.5999543061475 -65.010523619621</t>
  </si>
  <si>
    <t>-931.557821189465 64.4558692159967 -175.816503654125</t>
  </si>
  <si>
    <t>-944.089474301138 59.0774268898431 -273.492942551907</t>
  </si>
  <si>
    <t>-950.590863375067 57.1627178753824 -362.331609547136</t>
  </si>
  <si>
    <t>-951.825976421139 58.1711869057694 -451.414169461614</t>
  </si>
  <si>
    <t>-947.944689895428 62.4976935924465 -575.860989340075</t>
  </si>
  <si>
    <t>-918.72250205657 70.1131773309776 -653.276172147832</t>
  </si>
  <si>
    <t>-957.522994213231 87.1530810516733 -520.42030350981</t>
  </si>
  <si>
    <t>-994.843746544931 217.623546604742 -498.397407158201</t>
  </si>
  <si>
    <t>-1051.38818605099 217.073642197214 -209.617843809595</t>
  </si>
  <si>
    <t>-821.269515978704 288.457079034342 -210.447340942343</t>
  </si>
  <si>
    <t>-941.78255553147 34.0345432326862 -521.775944033126</t>
  </si>
  <si>
    <t>-941.303178702511 167.82464130668 -67.6810293657175</t>
  </si>
  <si>
    <t>-953.579579226907 219.479901545498 332.36354651333</t>
  </si>
  <si>
    <t>-970.721335189511 268.424144349727 777.20476561999</t>
  </si>
  <si>
    <t>-837.795552103851 326.928247077438 840.413678486883</t>
  </si>
  <si>
    <t>-842.885913703216 -5.38396052693679 338.705221806425</t>
  </si>
  <si>
    <t>-873.956296690272 22.9761838180675 784.748660071814</t>
  </si>
  <si>
    <t>-774.095493124193 -77.0967272255084 856.16684140771</t>
  </si>
  <si>
    <t>9763-20170724T111211.714887700.bin</t>
  </si>
  <si>
    <t>-902.00550364881 80.4378597251407 -65.0195614060485</t>
  </si>
  <si>
    <t>-931.649043057577 64.2673117990685 -175.816654809258</t>
  </si>
  <si>
    <t>-944.204677004501 58.84096572412 -273.487298705231</t>
  </si>
  <si>
    <t>-950.731210696149 56.8725011816186 -362.322919526193</t>
  </si>
  <si>
    <t>-951.994817546965 57.8168971099917 -451.405851978717</t>
  </si>
  <si>
    <t>-948.156911049298 62.0422689584302 -575.857484170664</t>
  </si>
  <si>
    <t>-918.939928833802 69.5790984592954 -653.28217216783</t>
  </si>
  <si>
    <t>-957.718849428184 86.7417110252627 -520.433596140627</t>
  </si>
  <si>
    <t>-995.089650186432 217.202171197833 -498.484825581646</t>
  </si>
  <si>
    <t>-1051.55853932425 216.755166902813 -209.69037645854</t>
  </si>
  <si>
    <t>-821.52288099401 288.404080606739 -210.640625562308</t>
  </si>
  <si>
    <t>-941.972917390273 33.6240548549481 -521.751329616817</t>
  </si>
  <si>
    <t>-941.422837133447 167.622875753087 -67.69232691539</t>
  </si>
  <si>
    <t>-953.644584571609 219.379424739764 332.340902241793</t>
  </si>
  <si>
    <t>-970.779975673394 268.419071739119 777.175912119308</t>
  </si>
  <si>
    <t>-837.985747368673 327.228747060542 840.37708825274</t>
  </si>
  <si>
    <t>-842.89191595895 -5.4305959616654 338.70137731461</t>
  </si>
  <si>
    <t>-873.921380659085 22.955366760455 784.746329309105</t>
  </si>
  <si>
    <t>-773.923057014393 -76.9845391601625 856.158371303367</t>
  </si>
  <si>
    <t>9763-20170724T111211.781076100.bin</t>
  </si>
  <si>
    <t>-902.202958603844 80.2310466431377 -65.0298500485603</t>
  </si>
  <si>
    <t>-931.838267513482 64.0755177050246 -175.831263127165</t>
  </si>
  <si>
    <t>-944.401390070498 58.6025155393786 -273.498551475995</t>
  </si>
  <si>
    <t>-950.942422135042 56.569045599279 -362.331590038217</t>
  </si>
  <si>
    <t>-952.22968968147 57.4264353259014 -451.414870605554</t>
  </si>
  <si>
    <t>-948.435021328068 61.5082799429229 -575.872850981334</t>
  </si>
  <si>
    <t>-919.225629529278 68.8934535063404 -653.315075378792</t>
  </si>
  <si>
    <t>-957.981965098711 86.2703283204341 -520.474229678289</t>
  </si>
  <si>
    <t>-995.429623914638 216.724781020022 -498.590803939423</t>
  </si>
  <si>
    <t>-1051.86873375863 216.655660133373 -209.790125889094</t>
  </si>
  <si>
    <t>-821.95022785968 288.679186482857 -210.826432625515</t>
  </si>
  <si>
    <t>-942.227731447146 33.1536580967413 -521.735951788288</t>
  </si>
  <si>
    <t>-941.696326475846 167.50582076973 -67.7191941927804</t>
  </si>
  <si>
    <t>-953.861222930549 219.366130379005 332.302306736336</t>
  </si>
  <si>
    <t>-971.013435544549 268.591610953388 777.114620620393</t>
  </si>
  <si>
    <t>-838.052492256174 327.039584800542 840.301096436054</t>
  </si>
  <si>
    <t>-842.942150037595 -5.47826400778877 338.68419749918</t>
  </si>
  <si>
    <t>-873.799084082654 23.0100689303804 784.738597665621</t>
  </si>
  <si>
    <t>-773.78622826318 -76.9146962956966 856.151012699771</t>
  </si>
  <si>
    <t>9763-20170724T111211.814162500.bin</t>
  </si>
  <si>
    <t>-902.354673697219 80.2596753294315 -65.042414089573</t>
  </si>
  <si>
    <t>-931.966896201642 64.1322549560236 -175.854178190404</t>
  </si>
  <si>
    <t>-944.516785194009 58.6595002627855 -273.52291244338</t>
  </si>
  <si>
    <t>-951.050031851747 56.6181280066694 -362.356518858684</t>
  </si>
  <si>
    <t>-952.334911471217 57.4601793352817 -451.440119327793</t>
  </si>
  <si>
    <t>-948.542074741699 61.5140804444163 -575.898941894542</t>
  </si>
  <si>
    <t>-919.339090335166 68.8496223255411 -653.348283464203</t>
  </si>
  <si>
    <t>-958.093508287025 86.2870920557789 -520.505929496504</t>
  </si>
  <si>
    <t>-995.572396553707 216.73278135047 -498.642580292057</t>
  </si>
  <si>
    <t>-1052.08476689462 216.908557957124 -209.856317130431</t>
  </si>
  <si>
    <t>-822.206079226371 289.056246588893 -210.972948260585</t>
  </si>
  <si>
    <t>-942.328289782786 33.1732332166671 -521.75551941719</t>
  </si>
  <si>
    <t>-941.878327214196 167.580416604523 -67.7396417319302</t>
  </si>
  <si>
    <t>-953.971503894961 219.484101554811 332.278416424113</t>
  </si>
  <si>
    <t>-971.165073819715 268.719391643965 777.102359543291</t>
  </si>
  <si>
    <t>-838.102521475484 326.942882114112 840.282036704367</t>
  </si>
  <si>
    <t>-843.034861777915 -5.43855992631461 338.670584262223</t>
  </si>
  <si>
    <t>-873.7466125975 23.0374482310594 784.735805612627</t>
  </si>
  <si>
    <t>-773.786556886001 -76.9379561755136 856.151834460841</t>
  </si>
  <si>
    <t>9763-20170724T111211.882977600.bin</t>
  </si>
  <si>
    <t>-902.41912419147 80.1499769034017 -65.0197066906582</t>
  </si>
  <si>
    <t>-932.01142963839 64.0583354030186 -175.842020499149</t>
  </si>
  <si>
    <t>-944.527212687433 58.5944635107594 -273.515828781783</t>
  </si>
  <si>
    <t>-951.02459166988 56.55414425545 -362.351813839005</t>
  </si>
  <si>
    <t>-952.269641297432 57.3921186372404 -451.436095633635</t>
  </si>
  <si>
    <t>-948.418166815689 61.4353598747803 -575.893408026437</t>
  </si>
  <si>
    <t>-919.237648311575 68.7245405352469 -653.355494541304</t>
  </si>
  <si>
    <t>-958.012066270127 86.2083139385154 -520.507707402927</t>
  </si>
  <si>
    <t>-995.600555152744 216.62173506673 -498.632043331401</t>
  </si>
  <si>
    <t>-1052.41562893832 217.176215548549 -209.905660718605</t>
  </si>
  <si>
    <t>-822.638740603055 289.644315295765 -211.255157617856</t>
  </si>
  <si>
    <t>-942.21403732337 33.1040966286214 -521.744139614812</t>
  </si>
  <si>
    <t>-941.777947098238 167.309724933899 -67.7180306358919</t>
  </si>
  <si>
    <t>-953.889576853501 219.370002325097 332.279072191008</t>
  </si>
  <si>
    <t>-970.969429127415 268.327766122108 777.102792778635</t>
  </si>
  <si>
    <t>-838.233867222655 327.309358164624 840.267611270789</t>
  </si>
  <si>
    <t>-843.149478636539 -5.45826227701036 338.671282621046</t>
  </si>
  <si>
    <t>-873.665815397419 23.0445755451119 784.745209752511</t>
  </si>
  <si>
    <t>-773.654130432097 -76.8802645574378 856.159593789439</t>
  </si>
  <si>
    <t>9763-20170724T111211.914059700.bin</t>
  </si>
  <si>
    <t>-902.403569981414 80.1446261112892 -65.0156599563538</t>
  </si>
  <si>
    <t>-931.958925159344 64.0705887182226 -175.850263324078</t>
  </si>
  <si>
    <t>-944.452190487762 58.6170343329113 -273.527553927911</t>
  </si>
  <si>
    <t>-950.934273502428 56.5853477067735 -362.365017292594</t>
  </si>
  <si>
    <t>-952.16867764008 57.4315974284609 -451.449262180504</t>
  </si>
  <si>
    <t>-948.308811337844 61.4874024609776 -575.905952702639</t>
  </si>
  <si>
    <t>-919.136679662497 68.7772014567863 -653.371182328314</t>
  </si>
  <si>
    <t>-957.917804205519 86.251332412005 -520.518893473608</t>
  </si>
  <si>
    <t>-995.641232108641 216.625688778139 -498.634383931385</t>
  </si>
  <si>
    <t>-1052.60697425347 217.109073979632 -209.937410985775</t>
  </si>
  <si>
    <t>-822.932364120568 289.897735378349 -211.436799589245</t>
  </si>
  <si>
    <t>-942.097103592426 33.1539870664433 -521.758607091487</t>
  </si>
  <si>
    <t>-941.775052927301 167.31029291366 -67.7138081998891</t>
  </si>
  <si>
    <t>-953.891008106147 219.389578156691 332.280721393023</t>
  </si>
  <si>
    <t>-971.021048575385 268.306666849345 777.10498175228</t>
  </si>
  <si>
    <t>-838.309738262857 327.346515812494 840.26636376346</t>
  </si>
  <si>
    <t>-843.156529709594 -5.43338982961131 338.680146489237</t>
  </si>
  <si>
    <t>-873.604773984341 23.0708183844781 784.745231062797</t>
  </si>
  <si>
    <t>-773.679569097025 -76.9338378269292 856.168138214021</t>
  </si>
  <si>
    <t>9763-20170724T111211.980250600.bin</t>
  </si>
  <si>
    <t>-902.578842551691 80.1884876848112 -65.0142716910656</t>
  </si>
  <si>
    <t>-932.091220811031 64.1185792183487 -175.860985154644</t>
  </si>
  <si>
    <t>-944.570729298574 58.6506341552827 -273.539138235361</t>
  </si>
  <si>
    <t>-951.050763007643 56.5999810529402 -362.376210194368</t>
  </si>
  <si>
    <t>-952.294877300877 57.4227652726026 -451.460642571191</t>
  </si>
  <si>
    <t>-948.461001726935 61.4425543772804 -575.919211119484</t>
  </si>
  <si>
    <t>-919.295852695606 68.7465012919697 -653.385886128915</t>
  </si>
  <si>
    <t>-958.109434554972 86.2072321302348 -520.539466878324</t>
  </si>
  <si>
    <t>-996.203759084554 216.473680403848 -498.632887413462</t>
  </si>
  <si>
    <t>-1053.66267945123 216.471733245728 -210.033413247163</t>
  </si>
  <si>
    <t>-824.223437322903 289.998445273499 -211.537218981261</t>
  </si>
  <si>
    <t>-942.186760078247 33.1400258524268 -521.762830860802</t>
  </si>
  <si>
    <t>-942.139667906541 167.342677247139 -67.6947106245466</t>
  </si>
  <si>
    <t>-954.264117723387 219.492484811604 332.290391320834</t>
  </si>
  <si>
    <t>-971.352516969105 268.566278239859 777.099420996457</t>
  </si>
  <si>
    <t>-838.465729154716 327.205777487691 840.264175627725</t>
  </si>
  <si>
    <t>-843.224772273141 -5.40057799006263 338.677698065868</t>
  </si>
  <si>
    <t>-873.531214576955 23.0590979304961 784.748376262266</t>
  </si>
  <si>
    <t>-773.51769010162 -76.8609042411313 856.16675116781</t>
  </si>
  <si>
    <t>9763-20170724T111212.013336300.bin</t>
  </si>
  <si>
    <t>-902.674268400074 80.2341452208229 -65.0088140759405</t>
  </si>
  <si>
    <t>-932.171919880568 64.1422707353481 -175.856177887081</t>
  </si>
  <si>
    <t>-944.653396644936 58.6592069814137 -273.533404386126</t>
  </si>
  <si>
    <t>-951.14097062272 56.5966817753683 -362.369678682928</t>
  </si>
  <si>
    <t>-952.399209454255 57.410682544024 -451.453891814633</t>
  </si>
  <si>
    <t>-948.592037576972 61.4215424823683 -575.913630731008</t>
  </si>
  <si>
    <t>-919.431880897658 68.7634602797016 -653.378492443899</t>
  </si>
  <si>
    <t>-958.269077106525 86.1779645211191 -520.535251164996</t>
  </si>
  <si>
    <t>-996.596002024878 216.367158262477 -498.614748315905</t>
  </si>
  <si>
    <t>-1054.42681481063 216.089176561101 -210.08962018805</t>
  </si>
  <si>
    <t>-825.117468110197 290.023366976782 -211.417151116458</t>
  </si>
  <si>
    <t>-942.265543997277 33.1351446695799 -521.754949367579</t>
  </si>
  <si>
    <t>-942.40005779614 167.4062560967 -67.6838651654006</t>
  </si>
  <si>
    <t>-954.537886401936 219.539515987368 332.30290241073</t>
  </si>
  <si>
    <t>-971.570369947937 268.769196011439 777.100338567551</t>
  </si>
  <si>
    <t>-838.576184956058 327.163027952287 840.267228938298</t>
  </si>
  <si>
    <t>-843.20894210987 -5.33467472433313 338.668021935495</t>
  </si>
  <si>
    <t>-873.444408065368 23.1347168570423 784.740114112219</t>
  </si>
  <si>
    <t>-773.492521858415 -76.8419522851493 856.165460613208</t>
  </si>
  <si>
    <t>9763-20170724T111212.083527200.bin</t>
  </si>
  <si>
    <t>-902.653424408036 79.8410214436381 -65.0345837572671</t>
  </si>
  <si>
    <t>-932.157420295207 63.6585214452916 -175.867112122963</t>
  </si>
  <si>
    <t>-944.676830172448 58.1398862282554 -273.537379702065</t>
  </si>
  <si>
    <t>-951.210563333805 56.0612868468479 -362.369938140382</t>
  </si>
  <si>
    <t>-952.526053755742 56.8769186432146 -451.453290207122</t>
  </si>
  <si>
    <t>-948.809884937478 60.9088597505865 -575.915128954206</t>
  </si>
  <si>
    <t>-919.701852192613 68.3540708874521 -653.38973235158</t>
  </si>
  <si>
    <t>-958.538503494687 85.6280120138981 -520.529027824323</t>
  </si>
  <si>
    <t>-997.402057366179 215.662775368064 -498.610928800673</t>
  </si>
  <si>
    <t>-1056.1990353555 214.922334664414 -210.282058612723</t>
  </si>
  <si>
    <t>-827.135786943424 289.624586196378 -210.918542651124</t>
  </si>
  <si>
    <t>-942.35162074991 32.6410638280745 -521.762239182303</t>
  </si>
  <si>
    <t>-942.584195718332 166.783571365626 -67.6778079212293</t>
  </si>
  <si>
    <t>-954.681481189338 219.230525165761 332.269278637251</t>
  </si>
  <si>
    <t>-971.233299575606 268.247340066091 777.085790776895</t>
  </si>
  <si>
    <t>-838.654760737225 327.55053492664 840.27866430066</t>
  </si>
  <si>
    <t>-843.04746791553 -5.42412473709828 338.646297215903</t>
  </si>
  <si>
    <t>-873.370322789111 23.1074393764002 784.724087005055</t>
  </si>
  <si>
    <t>-773.24255519984 -76.7016461212347 856.137449879982</t>
  </si>
  <si>
    <t>9763-20170724T111212.116616800.bin</t>
  </si>
  <si>
    <t>-902.681797538995 79.7145954473608 -65.0438848294526</t>
  </si>
  <si>
    <t>-932.175457673814 63.497146165711 -175.87414953609</t>
  </si>
  <si>
    <t>-944.70575762711 57.974603023084 -273.542719376294</t>
  </si>
  <si>
    <t>-951.256519816078 55.9021331887852 -362.374221508167</t>
  </si>
  <si>
    <t>-952.596133194112 56.7341532534733 -451.457008551664</t>
  </si>
  <si>
    <t>-948.920974963422 60.8004522069173 -575.918986124946</t>
  </si>
  <si>
    <t>-919.834387442132 68.3094496488889 -653.395619148987</t>
  </si>
  <si>
    <t>-958.677520369793 85.4904406477572 -520.524721607166</t>
  </si>
  <si>
    <t>-997.783340876279 215.449046841421 -498.614014291095</t>
  </si>
  <si>
    <t>-1057.10274769328 214.52652779624 -210.392689327629</t>
  </si>
  <si>
    <t>-828.165864527504 289.618149556376 -210.583048216944</t>
  </si>
  <si>
    <t>-942.39899028164 32.5317805049185 -521.774166220865</t>
  </si>
  <si>
    <t>-942.814731099468 166.646258664387 -67.6804511715563</t>
  </si>
  <si>
    <t>-954.800272430175 219.216062959941 332.253867022863</t>
  </si>
  <si>
    <t>-971.337192231486 268.340379739264 777.070586556768</t>
  </si>
  <si>
    <t>-838.749259910877 327.589765938496 840.294582183508</t>
  </si>
  <si>
    <t>-842.942774950693 -5.46494073574877 338.631661639312</t>
  </si>
  <si>
    <t>-873.324464223166 23.1067978904739 784.709533777766</t>
  </si>
  <si>
    <t>-773.199172520315 -76.7032094030467 856.125075112746</t>
  </si>
  <si>
    <t>9763-20170724T111212.181801000.bin</t>
  </si>
  <si>
    <t>-902.62357312486 79.4766702495504 -65.0527568061276</t>
  </si>
  <si>
    <t>-932.082186173767 63.2489123689161 -175.890897724612</t>
  </si>
  <si>
    <t>-944.614953470488 57.7160862058918 -273.558519412736</t>
  </si>
  <si>
    <t>-951.182456483806 55.6352504331576 -362.38849926079</t>
  </si>
  <si>
    <t>-952.554874605408 56.4631564387723 -451.471017041311</t>
  </si>
  <si>
    <t>-948.942085867306 60.5298050643569 -575.934611422231</t>
  </si>
  <si>
    <t>-919.865616351735 68.1230008835905 -653.406837308126</t>
  </si>
  <si>
    <t>-958.771668079825 85.1886284539078 -520.539355451958</t>
  </si>
  <si>
    <t>-998.384229999373 215.004441603014 -498.653517739687</t>
  </si>
  <si>
    <t>-1058.89165196251 213.617581086482 -210.681132448071</t>
  </si>
  <si>
    <t>-830.211151115149 289.480807073951 -209.790291514912</t>
  </si>
  <si>
    <t>-942.292051930743 32.2920589417145 -521.789278323373</t>
  </si>
  <si>
    <t>-942.863571590748 166.324249810993 -67.6515179042294</t>
  </si>
  <si>
    <t>-954.924395606434 219.075747982542 332.25655907388</t>
  </si>
  <si>
    <t>-971.346783211763 268.287684621918 777.065549220181</t>
  </si>
  <si>
    <t>-838.943426659273 327.913074464367 840.322610565115</t>
  </si>
  <si>
    <t>-842.851065569218 -5.52556542942011 338.59554307253</t>
  </si>
  <si>
    <t>-873.205265761992 23.1788779366743 784.689122951819</t>
  </si>
  <si>
    <t>-773.065684029265 -76.6177405361609 856.102961839135</t>
  </si>
  <si>
    <t>9763-20170724T111212.214881700.bin</t>
  </si>
  <si>
    <t>-902.706532095585 79.3598261005295 -65.0262347939573</t>
  </si>
  <si>
    <t>-932.110073640584 63.1560630528938 -175.882525002305</t>
  </si>
  <si>
    <t>-944.629451976055 57.6151301365608 -273.551394079453</t>
  </si>
  <si>
    <t>-951.199956682947 55.516322021278 -362.380830296401</t>
  </si>
  <si>
    <t>-952.5910151914 56.3172383089368 -451.463137487557</t>
  </si>
  <si>
    <t>-949.02219096357 60.3378363564639 -575.929691776784</t>
  </si>
  <si>
    <t>-919.967116226667 67.9593875995351 -653.406993903191</t>
  </si>
  <si>
    <t>-958.877420270509 85.0027938758599 -520.541753337624</t>
  </si>
  <si>
    <t>-998.788186894594 214.737439540852 -498.737593629512</t>
  </si>
  <si>
    <t>-1060.02725476192 212.952438291837 -210.921992106706</t>
  </si>
  <si>
    <t>-831.524890766854 289.343555985974 -209.518299343097</t>
  </si>
  <si>
    <t>-942.307553434012 32.1342315539646 -521.774498349519</t>
  </si>
  <si>
    <t>-943.041191224389 166.137880762976 -67.5976318059094</t>
  </si>
  <si>
    <t>-955.050947879326 219.123050513942 332.281146976933</t>
  </si>
  <si>
    <t>-971.45038358134 268.339906949917 777.101463684985</t>
  </si>
  <si>
    <t>-838.938323764856 327.713080341755 840.368065789376</t>
  </si>
  <si>
    <t>-842.858712655804 -5.56629204006913 338.590939811386</t>
  </si>
  <si>
    <t>-873.150273951439 23.2015412868736 784.680157265345</t>
  </si>
  <si>
    <t>-772.95951516825 -76.5445541676966 856.093670143332</t>
  </si>
  <si>
    <t>9763-20170724T111212.282979900.bin</t>
  </si>
  <si>
    <t>-902.766234312512 79.0232216205404 -64.9695025529127</t>
  </si>
  <si>
    <t>-932.132123287485 62.8367456979668 -175.838160212975</t>
  </si>
  <si>
    <t>-944.68254358021 57.3184636365017 -273.50442048484</t>
  </si>
  <si>
    <t>-951.307829016071 55.2451706161173 -362.330243965117</t>
  </si>
  <si>
    <t>-952.781189669271 56.0794148167906 -451.411099829092</t>
  </si>
  <si>
    <t>-949.357224758667 60.1570903614352 -575.87985045811</t>
  </si>
  <si>
    <t>-920.338937743366 67.8596678578469 -653.362976768524</t>
  </si>
  <si>
    <t>-959.24360966466 84.7667587805827 -520.472734817569</t>
  </si>
  <si>
    <t>-999.693488267499 214.337487400327 -498.703160769873</t>
  </si>
  <si>
    <t>-1062.34133295559 211.931850041974 -211.195590172424</t>
  </si>
  <si>
    <t>-834.074595843573 288.997114910126 -208.71722982882</t>
  </si>
  <si>
    <t>-942.484284138186 31.958722567847 -521.741679227663</t>
  </si>
  <si>
    <t>-943.267005528887 165.71374208489 -67.4663695627366</t>
  </si>
  <si>
    <t>-955.089748243877 219.082642396644 332.366877849957</t>
  </si>
  <si>
    <t>-971.651392458204 268.424677009828 777.167363498353</t>
  </si>
  <si>
    <t>-839.117406801367 327.749532624079 840.43354091664</t>
  </si>
  <si>
    <t>-842.903774114533 -5.67037782111811 338.588763004029</t>
  </si>
  <si>
    <t>-873.063301407561 23.2123196511502 784.679543091101</t>
  </si>
  <si>
    <t>-772.891350193726 -76.5524195297598 856.092730748905</t>
  </si>
  <si>
    <t>9763-20170724T111212.315070900.bin</t>
  </si>
  <si>
    <t>-902.778753294875 78.8499545323634 -64.9213387845375</t>
  </si>
  <si>
    <t>-932.129622213604 62.6678809260188 -175.794538549897</t>
  </si>
  <si>
    <t>-944.69996336179 57.1659666590867 -273.459280500084</t>
  </si>
  <si>
    <t>-951.356981906996 55.1135335669333 -362.283160390999</t>
  </si>
  <si>
    <t>-952.876508313609 55.9767906740676 -451.362867015879</t>
  </si>
  <si>
    <t>-949.531529351343 60.1044680055588 -575.832155413753</t>
  </si>
  <si>
    <t>-920.512340368207 67.8467108395239 -653.311027769645</t>
  </si>
  <si>
    <t>-959.427988188514 84.6773674686074 -520.410716769833</t>
  </si>
  <si>
    <t>-1000.10996075845 214.174344479213 -498.645038815654</t>
  </si>
  <si>
    <t>-1063.48879523764 211.406393816689 -211.300892054199</t>
  </si>
  <si>
    <t>-835.364948758138 288.873583414814 -208.266294744769</t>
  </si>
  <si>
    <t>-942.578770617335 31.8987996036735 -521.708202212056</t>
  </si>
  <si>
    <t>-943.314525640371 165.441300468329 -67.3978228805985</t>
  </si>
  <si>
    <t>-955.085114248561 219.086299197855 332.400043203071</t>
  </si>
  <si>
    <t>-971.700229007013 268.402388512814 777.198395378925</t>
  </si>
  <si>
    <t>-839.114736683915 327.610760842594 840.465576549752</t>
  </si>
  <si>
    <t>-842.915385315758 -5.74331517532619 338.598768883919</t>
  </si>
  <si>
    <t>-873.020740761751 23.2176922327376 784.688569793628</t>
  </si>
  <si>
    <t>-772.80868181963 -76.5118138746898 856.094768987489</t>
  </si>
  <si>
    <t>9763-20170724T111212.381252200.bin</t>
  </si>
  <si>
    <t>-902.621998230711 78.3151748444352 -64.8323883919441</t>
  </si>
  <si>
    <t>-931.95796015672 62.1751516902946 -175.715810451065</t>
  </si>
  <si>
    <t>-944.546080608045 56.6889045787007 -273.378969625409</t>
  </si>
  <si>
    <t>-951.233783282607 54.6456929495644 -362.200902822649</t>
  </si>
  <si>
    <t>-952.801321797141 55.5170345586143 -451.279617870703</t>
  </si>
  <si>
    <t>-949.542253807615 59.6576891856967 -575.750741833663</t>
  </si>
  <si>
    <t>-920.464538577301 67.4416344954607 -653.203353812812</t>
  </si>
  <si>
    <t>-959.509853214924 84.1899112195497 -520.323869437757</t>
  </si>
  <si>
    <t>-1000.71193717149 213.521513791699 -498.524861863409</t>
  </si>
  <si>
    <t>-1065.79378010427 210.120508653526 -211.568453562015</t>
  </si>
  <si>
    <t>-837.871076920834 288.113996413418 -207.190918092426</t>
  </si>
  <si>
    <t>-942.443338993013 31.4812841761814 -521.630532991652</t>
  </si>
  <si>
    <t>-943.199852125917 164.803321553 -67.2598589767431</t>
  </si>
  <si>
    <t>-954.991926295412 218.869500752985 332.480641998271</t>
  </si>
  <si>
    <t>-971.661581315453 268.193749754756 777.237517346659</t>
  </si>
  <si>
    <t>-839.217112113727 327.712160546484 840.509159272262</t>
  </si>
  <si>
    <t>-842.856900423645 -6.01208298835672 338.624546013323</t>
  </si>
  <si>
    <t>-872.949641216706 23.1898798871662 784.695607221452</t>
  </si>
  <si>
    <t>-772.60424994652 -76.4110480942084 856.093693579738</t>
  </si>
  <si>
    <t>9763-20170724T111212.414340800.bin</t>
  </si>
  <si>
    <t>-902.612200844532 78.1755348275447 -64.7974325337925</t>
  </si>
  <si>
    <t>-931.937946857209 62.0509322348344 -175.685742171528</t>
  </si>
  <si>
    <t>-944.522036537476 56.5734599442671 -273.349989490673</t>
  </si>
  <si>
    <t>-951.209492974051 54.5377040962239 -362.17211330413</t>
  </si>
  <si>
    <t>-952.780156320237 55.417086264667 -451.250793269445</t>
  </si>
  <si>
    <t>-949.529823216333 59.5710040944846 -575.721691435561</t>
  </si>
  <si>
    <t>-920.438770201876 67.3899444617318 -653.165849283702</t>
  </si>
  <si>
    <t>-959.536402332473 84.0834453963248 -520.292974100809</t>
  </si>
  <si>
    <t>-1000.94557242905 213.347991018134 -498.534454604025</t>
  </si>
  <si>
    <t>-1067.34959210477 209.473854969339 -211.887083842938</t>
  </si>
  <si>
    <t>-839.506058285823 287.661474720773 -206.900615394851</t>
  </si>
  <si>
    <t>-942.384000550955 31.402798025942 -521.603321824267</t>
  </si>
  <si>
    <t>-943.226565286664 164.667832225166 -67.2054015032771</t>
  </si>
  <si>
    <t>-955.111316259213 218.834012877727 332.518852301236</t>
  </si>
  <si>
    <t>-971.783589916242 268.280305634727 777.251274819658</t>
  </si>
  <si>
    <t>-839.175125697514 327.417705274717 840.536630620484</t>
  </si>
  <si>
    <t>-842.848285158825 -6.05940994856746 338.634502826389</t>
  </si>
  <si>
    <t>-872.893759086194 23.2078678619255 784.698163772217</t>
  </si>
  <si>
    <t>-772.553662486929 -76.3991808236267 856.095626200835</t>
  </si>
  <si>
    <t>9763-20170724T111212.484057400.bin</t>
  </si>
  <si>
    <t>-902.599394358606 77.685031598463 -64.7264646253053</t>
  </si>
  <si>
    <t>-931.862863649709 61.593687809775 -175.636028369925</t>
  </si>
  <si>
    <t>-944.396779241991 56.159480920564 -273.309194157744</t>
  </si>
  <si>
    <t>-951.042893559262 54.1729021010842 -362.135551441983</t>
  </si>
  <si>
    <t>-952.578069629255 55.11516955978 -451.214074241363</t>
  </si>
  <si>
    <t>-949.28616637727 59.3743199901196 -575.680441250033</t>
  </si>
  <si>
    <t>-920.139244796279 67.2881145386691 -653.093923072467</t>
  </si>
  <si>
    <t>-959.392920215666 83.8129973176174 -520.237503596548</t>
  </si>
  <si>
    <t>-1001.34328612286 212.928724225452 -498.556018029309</t>
  </si>
  <si>
    <t>-1069.97524102556 208.230668832859 -212.44627039434</t>
  </si>
  <si>
    <t>-842.28004249209 286.760437511908 -206.223199133835</t>
  </si>
  <si>
    <t>-942.076305541702 31.18712935646 -521.580340292399</t>
  </si>
  <si>
    <t>-943.301270407853 164.174459253737 -67.1293507671961</t>
  </si>
  <si>
    <t>-955.18394852596 218.627722004641 332.555933017351</t>
  </si>
  <si>
    <t>-972.050371187898 268.47004416045 777.275116779113</t>
  </si>
  <si>
    <t>-839.526533602045 327.780188943756 840.576296916752</t>
  </si>
  <si>
    <t>-842.901811734468 -6.30104932566428 338.673000688821</t>
  </si>
  <si>
    <t>-872.813524221241 23.1897632133978 784.707248989002</t>
  </si>
  <si>
    <t>-772.478631806099 -76.4210011604087 856.107045779901</t>
  </si>
  <si>
    <t>9763-20170724T111212.517146300.bin</t>
  </si>
  <si>
    <t>-902.533853752812 77.420368305704 -64.7001178817098</t>
  </si>
  <si>
    <t>-931.755055544164 61.335920301472 -175.621895569011</t>
  </si>
  <si>
    <t>-944.246737567207 55.9111211355703 -273.300920925016</t>
  </si>
  <si>
    <t>-950.853513111203 53.9360303171588 -362.130399424769</t>
  </si>
  <si>
    <t>-952.349262365855 54.8947569833617 -451.209479888682</t>
  </si>
  <si>
    <t>-949.002583820765 59.1829281815412 -575.673215552846</t>
  </si>
  <si>
    <t>-919.807885626338 67.1283005593568 -653.065556729238</t>
  </si>
  <si>
    <t>-959.176854444868 83.5946351565167 -520.230925724646</t>
  </si>
  <si>
    <t>-1001.30337921332 212.640794783767 -498.521915273209</t>
  </si>
  <si>
    <t>-1070.84508058732 207.732386527675 -212.635367353423</t>
  </si>
  <si>
    <t>-843.212083234789 286.387161551051 -205.748997530071</t>
  </si>
  <si>
    <t>-941.773745368921 30.9971222913259 -521.57503333636</t>
  </si>
  <si>
    <t>-943.231648688662 163.887452020744 -67.0977139166218</t>
  </si>
  <si>
    <t>-955.181870812259 218.449258772333 332.570663586852</t>
  </si>
  <si>
    <t>-971.998468358601 268.337590368076 777.276880289238</t>
  </si>
  <si>
    <t>-839.633776627722 327.997830113921 840.581798569419</t>
  </si>
  <si>
    <t>-842.940190771078 -6.46293691449637 338.698759124426</t>
  </si>
  <si>
    <t>-872.782599407904 23.1755418503326 784.720490044297</t>
  </si>
  <si>
    <t>-772.401325996914 -76.3936212921428 856.113061160779</t>
  </si>
  <si>
    <t>9763-20170724T111212.582828300.bin</t>
  </si>
  <si>
    <t>-902.333677114478 77.0732045328105 -64.7041967590835</t>
  </si>
  <si>
    <t>-931.462902894964 60.9935815677791 -175.650748899258</t>
  </si>
  <si>
    <t>-943.864426338413 55.5682682258421 -273.34122038599</t>
  </si>
  <si>
    <t>-950.388279943716 53.5947471476993 -362.177055776944</t>
  </si>
  <si>
    <t>-951.801622158836 54.5605142097093 -451.257354901133</t>
  </si>
  <si>
    <t>-948.342004975913 58.8673286560684 -575.717305906181</t>
  </si>
  <si>
    <t>-919.079131624257 66.8467853408492 -653.080361176222</t>
  </si>
  <si>
    <t>-958.657879565734 83.2404997688409 -520.284033440723</t>
  </si>
  <si>
    <t>-1001.21004268826 212.14880104365 -498.566803559685</t>
  </si>
  <si>
    <t>-1072.17714975661 206.655009858312 -213.04159274203</t>
  </si>
  <si>
    <t>-844.694565090078 285.616115534875 -204.81980600541</t>
  </si>
  <si>
    <t>-941.070986963402 30.7037807903835 -521.613199140132</t>
  </si>
  <si>
    <t>-755.029240818555 0.00119323956641892 -325.43673900175</t>
  </si>
  <si>
    <t>-942.969408096076 163.420697382306 -67.0912064023581</t>
  </si>
  <si>
    <t>-955.128361025038 218.259592202815 332.533043128353</t>
  </si>
  <si>
    <t>-972.055011433222 268.285434768193 777.230416818438</t>
  </si>
  <si>
    <t>-839.747062658679 328.04235027477 840.562379803504</t>
  </si>
  <si>
    <t>-843.017089347396 -6.69281545974854 338.737358920568</t>
  </si>
  <si>
    <t>-872.682476205691 23.2044368328011 784.751688092197</t>
  </si>
  <si>
    <t>-772.30341091562 -76.3721958195279 856.137000753658</t>
  </si>
  <si>
    <t>9763-20170724T111212.615914800.bin</t>
  </si>
  <si>
    <t>-902.148994315647 76.8547899399337 -64.6962766461143</t>
  </si>
  <si>
    <t>-931.256219307598 60.7710080341617 -175.648016722305</t>
  </si>
  <si>
    <t>-943.598906311238 55.3323310916785 -273.345227292548</t>
  </si>
  <si>
    <t>-950.055116853804 53.3443945205368 -362.185518008883</t>
  </si>
  <si>
    <t>-951.387779812837 54.2950320651753 -451.267289471978</t>
  </si>
  <si>
    <t>-947.802766448552 58.5808207355681 -575.724511062084</t>
  </si>
  <si>
    <t>-918.517691127118 66.5563398285135 -653.079693317521</t>
  </si>
  <si>
    <t>-958.22145082625 82.9474943908258 -520.307647441946</t>
  </si>
  <si>
    <t>-1001.02406622915 211.775972153402 -498.604275882933</t>
  </si>
  <si>
    <t>-1072.53804786713 205.972204393782 -213.221609606906</t>
  </si>
  <si>
    <t>-845.129095405331 285.079725514156 -204.383809449809</t>
  </si>
  <si>
    <t>-940.539120269679 30.4421958626785 -521.606459935505</t>
  </si>
  <si>
    <t>-942.816490124538 163.196004175986 -67.0821452540084</t>
  </si>
  <si>
    <t>-954.991148041415 218.179457014695 332.521774343448</t>
  </si>
  <si>
    <t>-972.058212325083 268.204999106155 777.212530930499</t>
  </si>
  <si>
    <t>-839.597433338575 327.609701824396 840.556858254431</t>
  </si>
  <si>
    <t>-842.996607074729 -6.82462110003007 338.752262273068</t>
  </si>
  <si>
    <t>-872.632069111457 23.2024019449864 784.7605069082</t>
  </si>
  <si>
    <t>-772.22802890748 -76.3515215733021 856.142160789059</t>
  </si>
  <si>
    <t>9763-20170724T111212.683097500.bin</t>
  </si>
  <si>
    <t>-901.857436975638 76.3700258177887 -64.6992731050287</t>
  </si>
  <si>
    <t>-930.91158970364 60.2321122564581 -175.657166517858</t>
  </si>
  <si>
    <t>-943.027141267967 54.7884951836386 -273.382475235866</t>
  </si>
  <si>
    <t>-949.205928288716 52.8148027324951 -362.242826402616</t>
  </si>
  <si>
    <t>-950.191366283131 53.7999816366691 -451.328776953316</t>
  </si>
  <si>
    <t>-946.049269082457 58.1565684851139 -575.766262083877</t>
  </si>
  <si>
    <t>-916.644207996631 66.1243054934616 -653.076574497712</t>
  </si>
  <si>
    <t>-956.799134873919 82.4636328094466 -520.38646524482</t>
  </si>
  <si>
    <t>-1000.02842516878 211.14732626358 -498.715721828552</t>
  </si>
  <si>
    <t>-1072.65896506296 204.600080446469 -213.631315294521</t>
  </si>
  <si>
    <t>-845.516627408243 284.342500885472 -203.713507744655</t>
  </si>
  <si>
    <t>-938.944826066059 30.015081908894 -521.628405129541</t>
  </si>
  <si>
    <t>-942.583854736086 162.765646256175 -67.1163002917918</t>
  </si>
  <si>
    <t>-954.791926151104 217.934745816255 332.461040390179</t>
  </si>
  <si>
    <t>-972.335028924432 268.374678204277 777.132671989898</t>
  </si>
  <si>
    <t>-839.767731111316 327.518629548272 840.49838042416</t>
  </si>
  <si>
    <t>-842.914513413744 -7.09632769144946 338.795918822404</t>
  </si>
  <si>
    <t>-872.504864712698 23.2287160109504 784.764277821098</t>
  </si>
  <si>
    <t>-771.997396459973 -76.2226038495985 856.14333323294</t>
  </si>
  <si>
    <t>9763-20170724T111212.716184700.bin</t>
  </si>
  <si>
    <t>-901.665013734749 76.0025720948343 -64.7059457189566</t>
  </si>
  <si>
    <t>-930.701827224085 59.8006207020712 -175.658971906028</t>
  </si>
  <si>
    <t>-942.711685433674 54.3476850380162 -273.396787730056</t>
  </si>
  <si>
    <t>-948.757866148013 52.3849253508829 -362.266560085359</t>
  </si>
  <si>
    <t>-949.574736273638 53.401762145686 -451.353797682828</t>
  </si>
  <si>
    <t>-945.16006456541 57.8243920641235 -575.779571622032</t>
  </si>
  <si>
    <t>-915.719277708962 65.7938905707251 -653.07614710229</t>
  </si>
  <si>
    <t>-956.075308681254 82.0871840617328 -520.41270861735</t>
  </si>
  <si>
    <t>-999.507095988282 210.714600433054 -498.780066627813</t>
  </si>
  <si>
    <t>-1072.69330091021 203.779466133423 -213.846991777916</t>
  </si>
  <si>
    <t>-845.776779239954 284.08463089423 -203.321071163931</t>
  </si>
  <si>
    <t>-938.130043022585 29.669346166635 -521.639149727627</t>
  </si>
  <si>
    <t>-942.365064838114 162.278878677615 -67.1541536924639</t>
  </si>
  <si>
    <t>-954.589174427119 217.702577809916 332.387353320021</t>
  </si>
  <si>
    <t>-972.152393547023 268.087663861852 777.053924974812</t>
  </si>
  <si>
    <t>-839.916164980451 327.95815274797 840.428974776586</t>
  </si>
  <si>
    <t>-842.846985827676 -7.26107003452216 338.82611026562</t>
  </si>
  <si>
    <t>-872.410171539756 23.2979085047132 784.769138358056</t>
  </si>
  <si>
    <t>-772.052006025415 -76.2989745579666 856.155104851501</t>
  </si>
  <si>
    <t>9763-20170724T111212.779985500.bin</t>
  </si>
  <si>
    <t>-901.306192608842 75.3467600154559 -64.7430381442169</t>
  </si>
  <si>
    <t>-930.266163046506 59.0380598264933 -175.700664147316</t>
  </si>
  <si>
    <t>-942.150855813666 53.5196691166411 -273.450052703427</t>
  </si>
  <si>
    <t>-948.06248204424 51.5106257379393 -362.327917541627</t>
  </si>
  <si>
    <t>-948.723003446507 52.4957715744708 -451.416790175639</t>
  </si>
  <si>
    <t>-944.069675983057 56.8917269544891 -575.834735146605</t>
  </si>
  <si>
    <t>-914.589859039315 64.811255929405 -653.121557894503</t>
  </si>
  <si>
    <t>-955.168021931308 81.1399872640836 -520.498018069825</t>
  </si>
  <si>
    <t>-998.977675729529 209.665802432342 -498.9939881285</t>
  </si>
  <si>
    <t>-1073.60624468956 202.444592254111 -214.442282305373</t>
  </si>
  <si>
    <t>-847.037017421579 283.529603883655 -202.500586731239</t>
  </si>
  <si>
    <t>-937.066545225529 28.774586484968 -521.671206737567</t>
  </si>
  <si>
    <t>-941.994059721885 161.550388709889 -67.2504994838986</t>
  </si>
  <si>
    <t>-954.166518991992 217.603945932432 332.204733068794</t>
  </si>
  <si>
    <t>-972.281136288988 268.081172715889 776.866520882777</t>
  </si>
  <si>
    <t>-840.02793973265 327.879951634112 840.273651667034</t>
  </si>
  <si>
    <t>-842.833806519821 -7.66292228622797 338.878284343406</t>
  </si>
  <si>
    <t>-872.326922231745 23.2481714291312 784.794292922351</t>
  </si>
  <si>
    <t>-771.783579760332 -76.1696125796175 856.169708760891</t>
  </si>
  <si>
    <t>9763-20170724T111212.812071200.bin</t>
  </si>
  <si>
    <t>-901.177991257717 75.0211119989758 -64.7542297701563</t>
  </si>
  <si>
    <t>-930.095383564574 58.6837193392075 -175.718629988939</t>
  </si>
  <si>
    <t>-941.930345274291 53.1312153024137 -273.472222381165</t>
  </si>
  <si>
    <t>-947.792419332917 51.088127466061 -362.352453768645</t>
  </si>
  <si>
    <t>-948.399587928392 52.0374259850732 -451.442071207524</t>
  </si>
  <si>
    <t>-943.668146128324 56.3818825214012 -575.859044863429</t>
  </si>
  <si>
    <t>-914.190713776985 64.2451416750341 -653.152352392722</t>
  </si>
  <si>
    <t>-954.834937719691 80.6415427610459 -520.540863039621</t>
  </si>
  <si>
    <t>-998.840395734491 209.118775202948 -499.149398006393</t>
  </si>
  <si>
    <t>-1074.28147510197 201.862140392093 -214.812920762725</t>
  </si>
  <si>
    <t>-847.856328694637 283.239393266862 -202.151112068991</t>
  </si>
  <si>
    <t>-936.665705628125 28.298805566073 -521.677752364398</t>
  </si>
  <si>
    <t>-941.891874180613 161.167162571063 -67.2888221034206</t>
  </si>
  <si>
    <t>-953.991151864666 217.553140673979 332.121832905361</t>
  </si>
  <si>
    <t>-972.456838788765 268.190949682497 776.765782845999</t>
  </si>
  <si>
    <t>-840.086716257742 327.718351665318 840.184561079835</t>
  </si>
  <si>
    <t>-842.86016245057 -7.81371505371862 338.900052921575</t>
  </si>
  <si>
    <t>-872.269260702467 23.2523825440994 784.810777364541</t>
  </si>
  <si>
    <t>-771.806502291776 -76.2437157785178 856.190248838416</t>
  </si>
  <si>
    <t>9763-20170724T111212.882800900.bin</t>
  </si>
  <si>
    <t>-900.778478378592 74.1714128526373 -64.7572212033381</t>
  </si>
  <si>
    <t>-929.614891000605 57.7840381021588 -175.735326814619</t>
  </si>
  <si>
    <t>-941.358080210704 52.1495221662872 -273.495255482742</t>
  </si>
  <si>
    <t>-947.129948165457 50.0177726605616 -362.379406815961</t>
  </si>
  <si>
    <t>-947.641672687371 50.8661761607359 -451.470629324328</t>
  </si>
  <si>
    <t>-942.77228075794 55.0578515119823 -575.887471762365</t>
  </si>
  <si>
    <t>-913.261640700119 62.7628724659726 -653.184185765874</t>
  </si>
  <si>
    <t>-954.0616193617 79.3638160775986 -520.614766334316</t>
  </si>
  <si>
    <t>-998.416496747163 207.767843481597 -499.447435705193</t>
  </si>
  <si>
    <t>-1075.71858065212 200.443269330948 -215.613147280289</t>
  </si>
  <si>
    <t>-849.715275472067 282.73725991776 -201.431957873192</t>
  </si>
  <si>
    <t>-935.768441300849 27.0626568134185 -521.660845075132</t>
  </si>
  <si>
    <t>-941.485253644728 160.244712264823 -67.3408688793561</t>
  </si>
  <si>
    <t>-953.669779528051 217.263349360528 331.9773527436</t>
  </si>
  <si>
    <t>-972.545436385985 268.125125132943 776.53788320654</t>
  </si>
  <si>
    <t>-840.056247030783 327.354705556225 839.986901375879</t>
  </si>
  <si>
    <t>-842.999431174553 -8.29005356909192 338.931331709108</t>
  </si>
  <si>
    <t>-872.175989719611 23.2129883760199 784.833091811051</t>
  </si>
  <si>
    <t>-771.588542823036 -76.1642838433249 856.202554568123</t>
  </si>
  <si>
    <t>9763-20170724T111212.915888700.bin</t>
  </si>
  <si>
    <t>-900.54276683837 73.696351483919 -64.7861771697759</t>
  </si>
  <si>
    <t>-929.343769936049 57.2739529185337 -175.768269413211</t>
  </si>
  <si>
    <t>-941.037620153191 51.5887056973884 -273.531249449798</t>
  </si>
  <si>
    <t>-946.757508991094 49.4028039488694 -362.417361260405</t>
  </si>
  <si>
    <t>-947.210425079579 50.188921160438 -451.509606860138</t>
  </si>
  <si>
    <t>-942.252544070665 54.2855997829233 -575.926000434661</t>
  </si>
  <si>
    <t>-912.719599994404 61.908909847542 -653.222354321014</t>
  </si>
  <si>
    <t>-953.605947242246 78.6253400380056 -520.6812044491</t>
  </si>
  <si>
    <t>-998.136550116884 206.978174027794 -499.657744066789</t>
  </si>
  <si>
    <t>-1076.44974915181 199.706787904902 -216.099396811953</t>
  </si>
  <si>
    <t>-850.641490796865 282.390791592346 -201.102421481487</t>
  </si>
  <si>
    <t>-935.262461572568 26.3403911406067 -521.671767286149</t>
  </si>
  <si>
    <t>-941.244483292929 159.649812047351 -67.3676869885437</t>
  </si>
  <si>
    <t>-953.463041316608 217.018396852199 331.899378861268</t>
  </si>
  <si>
    <t>-972.548080089223 268.028120268367 776.429380285373</t>
  </si>
  <si>
    <t>-840.166519292764 327.491093695981 839.884138038581</t>
  </si>
  <si>
    <t>-843.029861168596 -8.56993897366601 338.951873378083</t>
  </si>
  <si>
    <t>-872.116288565491 23.217218992098 784.844296535732</t>
  </si>
  <si>
    <t>-771.489136476779 -76.1242614893904 856.207777341723</t>
  </si>
  <si>
    <t>9763-20170724T111212.982571500.bin</t>
  </si>
  <si>
    <t>-900.080505077715 72.6114997827244 -64.7881864164449</t>
  </si>
  <si>
    <t>-928.730268794641 56.1665354953479 -175.806046473809</t>
  </si>
  <si>
    <t>-940.319360636391 50.3969767495419 -273.576615674142</t>
  </si>
  <si>
    <t>-945.956520007636 48.1085830355796 -362.465437644457</t>
  </si>
  <si>
    <t>-946.34018774634 48.7673201714001 -451.558948223174</t>
  </si>
  <si>
    <t>-941.300128570075 52.6601822762991 -575.978735848112</t>
  </si>
  <si>
    <t>-911.763050319645 60.1513470536997 -653.286303430604</t>
  </si>
  <si>
    <t>-952.735603229975 77.0743845969214 -520.783595045569</t>
  </si>
  <si>
    <t>-997.660991494011 205.333276598104 -500.017365805394</t>
  </si>
  <si>
    <t>-1077.60936483178 198.05782072669 -216.915798294239</t>
  </si>
  <si>
    <t>-852.268698905568 281.722636191652 -200.402462308254</t>
  </si>
  <si>
    <t>-934.30058422465 24.8198089697089 -521.671922335457</t>
  </si>
  <si>
    <t>-940.800457004532 158.506937674698 -67.4204248419937</t>
  </si>
  <si>
    <t>-953.169508934415 216.512546256269 331.749966403763</t>
  </si>
  <si>
    <t>-972.743395636686 268.066120864102 776.20220921911</t>
  </si>
  <si>
    <t>-840.351778863714 327.478073986707 839.684813509723</t>
  </si>
  <si>
    <t>-843.121251996083 -9.21888205628102 338.991801909216</t>
  </si>
  <si>
    <t>-872.030833923803 23.1549230004648 784.862540669555</t>
  </si>
  <si>
    <t>-771.360091694607 -76.1445799025034 856.222406386787</t>
  </si>
  <si>
    <t>9763-20170724T111213.017664700.bin</t>
  </si>
  <si>
    <t>-899.817400019896 72.0302455427995 -64.7965690985455</t>
  </si>
  <si>
    <t>-928.384736268132 55.5661884515112 -175.833032281964</t>
  </si>
  <si>
    <t>-939.914907707378 49.7587762810872 -273.60815729402</t>
  </si>
  <si>
    <t>-945.503987805748 47.4263136145896 -362.498805264539</t>
  </si>
  <si>
    <t>-945.844941064212 48.031113704094 -451.592980395442</t>
  </si>
  <si>
    <t>-940.750857343927 51.8381279379837 -576.013170941799</t>
  </si>
  <si>
    <t>-911.238795207484 59.2514013449986 -653.337878428166</t>
  </si>
  <si>
    <t>-952.226320483495 76.284607872004 -520.840757411772</t>
  </si>
  <si>
    <t>-997.294730161967 204.494945682327 -500.126625747103</t>
  </si>
  <si>
    <t>-1077.9584804319 197.294385123754 -217.226091980287</t>
  </si>
  <si>
    <t>-852.808198017012 281.360867395697 -200.16682696676</t>
  </si>
  <si>
    <t>-933.758522725752 24.040960013494 -521.683090553719</t>
  </si>
  <si>
    <t>-940.551014438766 157.839894904262 -67.4424859297895</t>
  </si>
  <si>
    <t>-952.962851337083 216.251031789859 331.667451315254</t>
  </si>
  <si>
    <t>-972.866252699026 268.127599361919 776.070449322267</t>
  </si>
  <si>
    <t>-840.45309366221 327.471651120869 839.57068967723</t>
  </si>
  <si>
    <t>-843.154644575388 -9.60991592334949 339.020475357638</t>
  </si>
  <si>
    <t>-872.001448136652 23.0952456150794 784.877243000513</t>
  </si>
  <si>
    <t>-771.219893771314 -76.0991447837876 856.227421384117</t>
  </si>
  <si>
    <t>9763-20170724T111213.082372800.bin</t>
  </si>
  <si>
    <t>-899.089435672384 70.6115678749111 -64.8138862384878</t>
  </si>
  <si>
    <t>-927.521259959923 54.074068766904 -175.874062460975</t>
  </si>
  <si>
    <t>-938.938183041115 48.2041507939662 -273.658827435131</t>
  </si>
  <si>
    <t>-944.425240252881 45.8132445160636 -362.554423767291</t>
  </si>
  <si>
    <t>-944.664711047767 46.3576892725896 -451.649205366217</t>
  </si>
  <si>
    <t>-939.429674406693 50.0779749472981 -576.066217044671</t>
  </si>
  <si>
    <t>-909.929550411108 57.326332509374 -653.410917655323</t>
  </si>
  <si>
    <t>-951.013450994736 74.5467691435874 -520.926240413202</t>
  </si>
  <si>
    <t>-996.437267312458 202.646758152467 -500.279957109665</t>
  </si>
  <si>
    <t>-1078.20590995088 195.448840260918 -217.696793896009</t>
  </si>
  <si>
    <t>-853.447851530998 280.376190585012 -199.749862302153</t>
  </si>
  <si>
    <t>-932.453311275727 22.3349958296008 -521.706478332915</t>
  </si>
  <si>
    <t>-939.805828772965 156.203894938316 -67.4868055196646</t>
  </si>
  <si>
    <t>-952.277736981269 215.49322138654 331.491691009465</t>
  </si>
  <si>
    <t>-972.856519012835 267.934196871664 775.769958047443</t>
  </si>
  <si>
    <t>-840.547746519892 327.462354500457 839.315400430064</t>
  </si>
  <si>
    <t>-843.203304753321 -10.4088144515249 339.075339448105</t>
  </si>
  <si>
    <t>-871.843553870177 23.1217579613017 784.895659880846</t>
  </si>
  <si>
    <t>-771.005973152206 -76.0255540103058 856.231568882417</t>
  </si>
  <si>
    <t>9763-20170724T111213.114453900.bin</t>
  </si>
  <si>
    <t>-898.722517108935 69.7927217605579 -64.811665780286</t>
  </si>
  <si>
    <t>-927.094459535522 53.2396175478702 -175.884855225517</t>
  </si>
  <si>
    <t>-938.459761384674 47.3422683772574 -273.673931027517</t>
  </si>
  <si>
    <t>-943.90011021623 44.9206771044524 -362.571510008243</t>
  </si>
  <si>
    <t>-944.093882996877 45.4286922696974 -451.666632538878</t>
  </si>
  <si>
    <t>-938.795917489565 49.0928481694632 -576.082517957718</t>
  </si>
  <si>
    <t>-909.274664995751 56.2361117734572 -653.429056710031</t>
  </si>
  <si>
    <t>-950.436780612039 73.5762119138494 -520.961184328501</t>
  </si>
  <si>
    <t>-996.171848198643 201.574777402454 -500.350665988871</t>
  </si>
  <si>
    <t>-1078.34053227454 194.351778270581 -217.884134612832</t>
  </si>
  <si>
    <t>-853.7926337277 279.757099917485 -199.576694905456</t>
  </si>
  <si>
    <t>-931.818214685665 21.3847043905034 -521.705349291017</t>
  </si>
  <si>
    <t>-939.394871483454 155.317356080288 -67.4853877132408</t>
  </si>
  <si>
    <t>-952.019497262409 215.076418723778 331.418250948247</t>
  </si>
  <si>
    <t>-972.929793937031 267.915155032852 775.628274997948</t>
  </si>
  <si>
    <t>-840.687227322635 327.567068420773 839.19662495421</t>
  </si>
  <si>
    <t>-843.29752701035 -10.8713095444919 339.098169560047</t>
  </si>
  <si>
    <t>-871.802631710889 23.0649540911936 784.909064230721</t>
  </si>
  <si>
    <t>-770.894826205284 -76.0194189802323 856.233705511705</t>
  </si>
  <si>
    <t>9763-20170724T111213.184146900.bin</t>
  </si>
  <si>
    <t>-897.967169555912 68.027930890245 -64.8355412043444</t>
  </si>
  <si>
    <t>-926.092563241021 51.4687491058039 -175.970468291661</t>
  </si>
  <si>
    <t>-937.290500184463 45.5421060167942 -273.777017405954</t>
  </si>
  <si>
    <t>-942.598087242694 43.0830244065105 -362.681741262559</t>
  </si>
  <si>
    <t>-942.67852295008 43.5436317354042 -451.777223118302</t>
  </si>
  <si>
    <t>-937.242325526634 47.1305445207076 -576.189455245417</t>
  </si>
  <si>
    <t>-907.681591825191 54.0964853613245 -653.537076707647</t>
  </si>
  <si>
    <t>-948.995287867196 71.6297668265215 -521.099046821113</t>
  </si>
  <si>
    <t>-995.22886195171 199.459022448024 -500.563865861643</t>
  </si>
  <si>
    <t>-1078.21745009998 191.932668593116 -218.344984100023</t>
  </si>
  <si>
    <t>-853.991648906347 278.054066080487 -199.455834766221</t>
  </si>
  <si>
    <t>-930.273529831762 19.4742399780762 -521.7846504611</t>
  </si>
  <si>
    <t>-938.500423756449 153.235708672257 -67.5142080695803</t>
  </si>
  <si>
    <t>-951.30424206408 214.265853443693 331.191225951101</t>
  </si>
  <si>
    <t>-972.914137389155 267.742976068888 775.256101942561</t>
  </si>
  <si>
    <t>-840.873090536416 327.73486549714 838.922529125205</t>
  </si>
  <si>
    <t>-843.526052427818 -11.9217459477763 339.141389493174</t>
  </si>
  <si>
    <t>-871.674780076273 23.0060752902423 784.944849566166</t>
  </si>
  <si>
    <t>-770.698618449667 -76.0236572269837 856.248846328087</t>
  </si>
  <si>
    <t>9763-20170724T111213.211222600.bin</t>
  </si>
  <si>
    <t>-897.591173526323 67.0598169882933 -64.7985323311531</t>
  </si>
  <si>
    <t>-925.615250827643 50.4983856143617 -175.958815173885</t>
  </si>
  <si>
    <t>-936.738352955282 44.5616718997203 -273.773353689145</t>
  </si>
  <si>
    <t>-941.98324960762 42.089802886594 -362.681299927871</t>
  </si>
  <si>
    <t>-942.007112495912 42.5343835185872 -451.777023338295</t>
  </si>
  <si>
    <t>-936.498249739712 46.095901907835 -576.186776117221</t>
  </si>
  <si>
    <t>-906.957089403468 52.9930825842184 -653.548040782235</t>
  </si>
  <si>
    <t>-948.311167289316 70.5963848979009 -521.109576130354</t>
  </si>
  <si>
    <t>-994.728201244607 198.360195309044 -500.587768669548</t>
  </si>
  <si>
    <t>-1078.17583359577 190.719000744257 -218.507412584281</t>
  </si>
  <si>
    <t>-854.11727738992 277.177118984503 -199.180787220005</t>
  </si>
  <si>
    <t>-929.533851978874 18.460718797583 -521.77060388766</t>
  </si>
  <si>
    <t>-938.126928011055 152.24729146451 -67.5144923410854</t>
  </si>
  <si>
    <t>-950.933722046028 213.953670490076 331.086811218045</t>
  </si>
  <si>
    <t>-973.116427944965 267.877270734897 775.077819211062</t>
  </si>
  <si>
    <t>-840.994905373572 327.627526005677 838.804473886851</t>
  </si>
  <si>
    <t>-843.633280580563 -12.4957665413681 339.189267074074</t>
  </si>
  <si>
    <t>-871.61474470384 22.9527535448069 784.961624660807</t>
  </si>
  <si>
    <t>-770.561066090604 -76.0051675331083 856.255125107883</t>
  </si>
  <si>
    <t>9763-20170724T111213.279929000.bin</t>
  </si>
  <si>
    <t>-896.700548458315 64.6739903971361 -64.6462961842991</t>
  </si>
  <si>
    <t>-924.803502090419 48.0013605292888 -175.76995209679</t>
  </si>
  <si>
    <t>-935.907512386793 41.9693548154478 -273.580876541634</t>
  </si>
  <si>
    <t>-941.09785795873 39.4071606027078 -362.48950134228</t>
  </si>
  <si>
    <t>-941.027792705558 39.7549554960046 -451.585655356766</t>
  </si>
  <si>
    <t>-935.347128909158 43.1721067161675 -575.991655729657</t>
  </si>
  <si>
    <t>-905.895686858967 49.5928182465077 -653.428079086391</t>
  </si>
  <si>
    <t>-947.234862866029 67.7370186882836 -520.959354441429</t>
  </si>
  <si>
    <t>-993.763825981179 195.487590038547 -500.547674268631</t>
  </si>
  <si>
    <t>-1078.11924306611 187.801887360943 -218.738620299654</t>
  </si>
  <si>
    <t>-854.243308032008 274.416155499925 -198.040385776743</t>
  </si>
  <si>
    <t>-928.459062563349 15.5998588678726 -521.534032897409</t>
  </si>
  <si>
    <t>-937.089821140193 149.654401950865 -67.3862672760467</t>
  </si>
  <si>
    <t>-950.204471638323 212.985692860809 330.950010780033</t>
  </si>
  <si>
    <t>-973.206654009953 267.708076668664 774.754411390403</t>
  </si>
  <si>
    <t>-841.228500798366 327.705716092011 838.545111384976</t>
  </si>
  <si>
    <t>-843.717933318208 -13.8524255028774 339.326632266811</t>
  </si>
  <si>
    <t>-871.464634208442 22.8663328156117 785.003917630926</t>
  </si>
  <si>
    <t>-770.26833549863 -75.9767917931874 856.254818149743</t>
  </si>
  <si>
    <t>9763-20170724T111213.315022200.bin</t>
  </si>
  <si>
    <t>-896.244447098432 63.1301564451096 -64.5702966712413</t>
  </si>
  <si>
    <t>-924.505944717042 46.3768448939804 -175.641724742239</t>
  </si>
  <si>
    <t>-935.62749810155 40.2700680750545 -273.445812338921</t>
  </si>
  <si>
    <t>-940.782228932673 37.6317131979404 -362.354311081769</t>
  </si>
  <si>
    <t>-940.623537127861 37.890986754408 -451.450545658427</t>
  </si>
  <si>
    <t>-934.761872894476 41.1671761752132 -575.852098577144</t>
  </si>
  <si>
    <t>-905.3172298217 46.9149191271904 -653.344064779309</t>
  </si>
  <si>
    <t>-946.675728692579 65.8137485127404 -520.861930905998</t>
  </si>
  <si>
    <t>-993.049185480487 193.638486648504 -500.553285112769</t>
  </si>
  <si>
    <t>-1077.9487772472 186.238055758905 -218.900179539193</t>
  </si>
  <si>
    <t>-853.993804787309 272.406552013299 -197.220040668777</t>
  </si>
  <si>
    <t>-928.007056428808 13.637132974035 -521.356394885678</t>
  </si>
  <si>
    <t>-936.585448620538 148.043845202332 -67.2744654561961</t>
  </si>
  <si>
    <t>-949.928952014131 212.283632492331 330.908710910028</t>
  </si>
  <si>
    <t>-973.185306310646 267.523142350496 774.596427521485</t>
  </si>
  <si>
    <t>-841.35297758711 327.840516073483 838.387832911053</t>
  </si>
  <si>
    <t>-843.815604221661 -14.7110576822238 339.393647458698</t>
  </si>
  <si>
    <t>-871.380993278666 22.8227479492325 785.022249448837</t>
  </si>
  <si>
    <t>-770.138449129139 -75.9998495540335 856.235776024878</t>
  </si>
  <si>
    <t>9763-20170724T111213.381255000.bin</t>
  </si>
  <si>
    <t>-895.812209868386 59.8374519467957 -64.4857744034434</t>
  </si>
  <si>
    <t>-924.510367785741 42.9244366746834 -175.420812940173</t>
  </si>
  <si>
    <t>-935.692131720731 36.7167207957618 -273.211901986167</t>
  </si>
  <si>
    <t>-940.760314336326 33.9819004941533 -362.122291815986</t>
  </si>
  <si>
    <t>-940.367600840828 34.1236957048945 -451.218215451496</t>
  </si>
  <si>
    <t>-934.019767706336 37.2004574703819 -575.600976013974</t>
  </si>
  <si>
    <t>-904.487234926118 40.1887248593794 -653.21485250538</t>
  </si>
  <si>
    <t>-945.908683343037 62.0197507033381 -520.68297376787</t>
  </si>
  <si>
    <t>-991.336429608702 190.201135324879 -500.467640418687</t>
  </si>
  <si>
    <t>-1078.1125823644 183.092096623438 -219.379567135616</t>
  </si>
  <si>
    <t>-853.750343596098 267.682256625425 -195.780343079212</t>
  </si>
  <si>
    <t>-927.718199372544 9.67343438370108 -521.04943301763</t>
  </si>
  <si>
    <t>-936.084573071006 144.929965021769 -67.099511965137</t>
  </si>
  <si>
    <t>-949.975131578881 210.841841784303 330.791634657974</t>
  </si>
  <si>
    <t>-973.437528503501 267.478758132295 774.275954088831</t>
  </si>
  <si>
    <t>-841.409155741039 327.402750111405 838.032604822854</t>
  </si>
  <si>
    <t>-844.843061214521 -16.5303635876762 339.472496444423</t>
  </si>
  <si>
    <t>-871.345103275766 22.4826897073458 785.047364473369</t>
  </si>
  <si>
    <t>-769.53984778194 -75.831592138208 856.161446051831</t>
  </si>
  <si>
    <t>9763-20170724T111213.415346100.bin</t>
  </si>
  <si>
    <t>-895.937403186558 58.1718480082545 -64.4817916446768</t>
  </si>
  <si>
    <t>-924.847796771086 41.2798972211663 -175.364965705523</t>
  </si>
  <si>
    <t>-936.055528171289 35.0440792082422 -273.151284638796</t>
  </si>
  <si>
    <t>-941.078696715836 32.2538594865136 -362.06262803675</t>
  </si>
  <si>
    <t>-940.568122478738 32.2997254844295 -451.157884551792</t>
  </si>
  <si>
    <t>-933.977805146126 35.191145083696 -575.532497567224</t>
  </si>
  <si>
    <t>-904.362279710735 36.135351570998 -653.166573632768</t>
  </si>
  <si>
    <t>-945.763838597268 60.1641153460487 -520.662161656992</t>
  </si>
  <si>
    <t>-990.356575817178 188.641540918308 -500.504980850587</t>
  </si>
  <si>
    <t>-1078.57010777745 181.542034621275 -219.864436363941</t>
  </si>
  <si>
    <t>-854.005921348123 265.206689532489 -194.924254027692</t>
  </si>
  <si>
    <t>-927.992133841988 7.67350756662154 -520.940699809344</t>
  </si>
  <si>
    <t>-936.028496628357 143.401357034574 -67.0367250543761</t>
  </si>
  <si>
    <t>-950.277041204944 209.777552644863 330.764509388166</t>
  </si>
  <si>
    <t>-973.485382244174 267.362707993552 774.133964047197</t>
  </si>
  <si>
    <t>-841.537117382626 327.491671613278 837.863534819823</t>
  </si>
  <si>
    <t>-845.705110980851 -17.4132502012249 339.464241948392</t>
  </si>
  <si>
    <t>-871.342192144376 22.294133161347 785.050728020097</t>
  </si>
  <si>
    <t>-769.315791752253 -75.8151682824896 856.131672061994</t>
  </si>
  <si>
    <t>9763-20170724T111213.494598900.bin</t>
  </si>
  <si>
    <t>-896.458016251561 54.5253748200771 -64.3889379725995</t>
  </si>
  <si>
    <t>-925.80201731813 37.7565933218598 -175.176945450344</t>
  </si>
  <si>
    <t>-936.927805189915 31.3699779221697 -272.962812940342</t>
  </si>
  <si>
    <t>-941.683464759631 28.3101963814938 -361.879977695277</t>
  </si>
  <si>
    <t>-940.704230579986 27.9240825797156 -450.970557190795</t>
  </si>
  <si>
    <t>-933.246664993799 30.019011490057 -575.312044697752</t>
  </si>
  <si>
    <t>-903.482526844805 26.1771560381985 -652.799898070075</t>
  </si>
  <si>
    <t>-944.760460257311 55.5551053483023 -520.643475225543</t>
  </si>
  <si>
    <t>-986.563783569904 185.045641804545 -500.874239740787</t>
  </si>
  <si>
    <t>-1078.85957132264 178.746264366036 -221.530329101037</t>
  </si>
  <si>
    <t>-853.956089824353 259.870435760539 -191.726779197692</t>
  </si>
  <si>
    <t>-928.296465205352 2.63917037552937 -520.547531487252</t>
  </si>
  <si>
    <t>-935.511320544025 139.886043997333 -66.8583448885416</t>
  </si>
  <si>
    <t>-951.333920809671 207.587539878042 330.65996237928</t>
  </si>
  <si>
    <t>-973.749932234023 267.395374339369 773.786947448686</t>
  </si>
  <si>
    <t>-841.938906541945 327.824551314359 837.51648763276</t>
  </si>
  <si>
    <t>-847.3963851665 -19.3643379266587 339.492956939713</t>
  </si>
  <si>
    <t>-871.253281027267 22.1047259361826 785.081881660664</t>
  </si>
  <si>
    <t>-769.034261000443 -75.8239926662875 856.135029941902</t>
  </si>
  <si>
    <t>9763-20170724T111213.517660400.bin</t>
  </si>
  <si>
    <t>-896.597754455355 52.4615043262761 -64.2451512959718</t>
  </si>
  <si>
    <t>-926.306052009228 35.8172898829807 -174.954743406595</t>
  </si>
  <si>
    <t>-937.298786638249 29.3099551876462 -272.747811234513</t>
  </si>
  <si>
    <t>-941.75003720146 26.0288180605758 -361.672774820694</t>
  </si>
  <si>
    <t>-940.279593149755 25.2877653206579 -450.754381658268</t>
  </si>
  <si>
    <t>-931.939992169284 26.730046628039 -575.049055614823</t>
  </si>
  <si>
    <t>-902.063660558209 20.5094949632748 -652.339075043935</t>
  </si>
  <si>
    <t>-943.365610289686 52.6960200341146 -520.564748656745</t>
  </si>
  <si>
    <t>-983.084012734889 182.904538307756 -501.33442002453</t>
  </si>
  <si>
    <t>-1078.39160056188 177.869919104056 -222.977899437514</t>
  </si>
  <si>
    <t>-853.23741217712 256.879688957247 -189.601801151275</t>
  </si>
  <si>
    <t>-934.90040038838 138.133218483465 -66.7403174114264</t>
  </si>
  <si>
    <t>-951.428995304646 206.546106325593 330.627495445593</t>
  </si>
  <si>
    <t>-973.790995658968 267.28542351021 773.623693533479</t>
  </si>
  <si>
    <t>-841.940726677276 327.624210238481 837.357597065938</t>
  </si>
  <si>
    <t>-847.979231250426 -20.5254460684873 339.570686259916</t>
  </si>
  <si>
    <t>-871.209676110079 21.9944164757126 785.100278437337</t>
  </si>
  <si>
    <t>-768.879845966627 -75.8246204872041 856.14476572489</t>
  </si>
  <si>
    <t>9763-20170724T111213.583846000.bin</t>
  </si>
  <si>
    <t>-896.804062874496 47.6253525392467 -63.808074926049</t>
  </si>
  <si>
    <t>-927.690073767135 31.2390506182978 -174.23343928328</t>
  </si>
  <si>
    <t>-938.458507764921 24.2456968288466 -272.017959230563</t>
  </si>
  <si>
    <t>-942.203050593995 20.1864311230165 -360.943367311833</t>
  </si>
  <si>
    <t>-939.519382702561 18.2690114790853 -449.979147261945</t>
  </si>
  <si>
    <t>-928.96177218653 17.6061678698466 -574.111774241413</t>
  </si>
  <si>
    <t>-898.671886268963 7.05436891420504 -650.768146824395</t>
  </si>
  <si>
    <t>-939.974847196699 44.8566957057155 -520.172595763086</t>
  </si>
  <si>
    <t>-973.272262820483 177.102840080245 -502.933631448138</t>
  </si>
  <si>
    <t>-1077.13327503341 177.011112728164 -227.608232413594</t>
  </si>
  <si>
    <t>-851.530898243421 249.260863019048 -183.626382200075</t>
  </si>
  <si>
    <t>-932.855921426631 134.522564493445 -66.4529201901795</t>
  </si>
  <si>
    <t>-950.409824933349 204.509631179562 330.596635289094</t>
  </si>
  <si>
    <t>-974.28093115662 267.453471088618 773.328539253405</t>
  </si>
  <si>
    <t>-842.353883062826 327.645459933953 837.042788522502</t>
  </si>
  <si>
    <t>-848.794544407748 -23.2169357041753 339.93239616329</t>
  </si>
  <si>
    <t>-871.121926947851 21.7950407214248 785.179122322918</t>
  </si>
  <si>
    <t>-768.625764889409 -75.8568808494811 856.213807633073</t>
  </si>
  <si>
    <t>9763-20170724T111213.614928500.bin</t>
  </si>
  <si>
    <t>-896.87636336609 44.4295809798805 -63.4342368677727</t>
  </si>
  <si>
    <t>-928.572738003018 28.2978009291269 -173.66723910346</t>
  </si>
  <si>
    <t>-939.264193168441 21.1044767125718 -271.445657365826</t>
  </si>
  <si>
    <t>-942.627753406431 16.6676115827586 -360.368317743345</t>
  </si>
  <si>
    <t>-939.253084823702 14.1414756414561 -449.365243485993</t>
  </si>
  <si>
    <t>-927.413769293956 12.3620486890186 -573.371346566362</t>
  </si>
  <si>
    <t>-938.161792909233 40.2795330004597 -519.720401009686</t>
  </si>
  <si>
    <t>-967.551461482327 173.571125424135 -503.605070468039</t>
  </si>
  <si>
    <t>-1076.36584186421 177.761179922875 -230.231503857477</t>
  </si>
  <si>
    <t>-850.566316037721 244.982378724126 -179.766313396177</t>
  </si>
  <si>
    <t>-931.434843818349 132.33349691667 -66.2103331218524</t>
  </si>
  <si>
    <t>-949.362581386665 203.353738081216 330.638965084952</t>
  </si>
  <si>
    <t>-974.447648669955 267.416644509201 773.168509421284</t>
  </si>
  <si>
    <t>-842.312479284367 327.168162487817 836.86556012055</t>
  </si>
  <si>
    <t>-849.045929833877 -24.8811578409745 340.203505236325</t>
  </si>
  <si>
    <t>-871.054461360459 21.7743968493241 785.241169616726</t>
  </si>
  <si>
    <t>-768.473953554176 -75.8066447623291 856.251739082736</t>
  </si>
  <si>
    <t>9763-20170724T111213.684670900.bin</t>
  </si>
  <si>
    <t>-897.016570211078 37.0728966759011 -62.4908776354717</t>
  </si>
  <si>
    <t>-930.125162750657 22.2546809953665 -172.49302781553</t>
  </si>
  <si>
    <t>-940.641578389603 15.1283172778976 -270.295202777714</t>
  </si>
  <si>
    <t>-943.309131645068 10.2968001646968 -359.220941828258</t>
  </si>
  <si>
    <t>-938.715248822794 6.86819195117323 -448.133118439946</t>
  </si>
  <si>
    <t>-924.648680844972 3.26436130821958 -571.866690081346</t>
  </si>
  <si>
    <t>-934.776258679688 32.2497820773974 -518.663394053145</t>
  </si>
  <si>
    <t>-956.812873678359 167.149871318382 -504.167730682863</t>
  </si>
  <si>
    <t>-1075.60865087814 181.032410670776 -235.307049853885</t>
  </si>
  <si>
    <t>-849.742781943925 237.243382644386 -173.051999856069</t>
  </si>
  <si>
    <t>-927.979460247366 127.414567933244 -65.3344632495173</t>
  </si>
  <si>
    <t>-945.988314438705 200.908451597185 331.060498993491</t>
  </si>
  <si>
    <t>-974.738688791816 267.260068400465 773.017472887882</t>
  </si>
  <si>
    <t>-842.45878870257 326.757723942314 836.651814478585</t>
  </si>
  <si>
    <t>-849.562208885405 -28.916860230649 340.717337734423</t>
  </si>
  <si>
    <t>-870.934485882716 21.7564975754217 785.301651081396</t>
  </si>
  <si>
    <t>-768.442948324979 -75.9068746222217 856.327367659781</t>
  </si>
  <si>
    <t>9763-20170724T111213.716754500.bin</t>
  </si>
  <si>
    <t>-897.111881393996 33.3868480371475 -61.9932041089838</t>
  </si>
  <si>
    <t>-930.908546254067 19.3333397418705 -171.886430998525</t>
  </si>
  <si>
    <t>-941.400070436054 12.3676958661872 -269.702807204711</t>
  </si>
  <si>
    <t>-943.809925954281 7.48040975358299 -358.632890517004</t>
  </si>
  <si>
    <t>-938.73135114118 3.77732551955023 -447.507652250757</t>
  </si>
  <si>
    <t>-933.595684037776 28.8980029847949 -518.054313007099</t>
  </si>
  <si>
    <t>-952.38372159128 164.333086346378 -504.001916928998</t>
  </si>
  <si>
    <t>-1075.32135096908 182.104378119247 -237.240486948435</t>
  </si>
  <si>
    <t>-849.710520311091 233.953114394606 -170.440477757004</t>
  </si>
  <si>
    <t>-925.911354008627 124.697590885433 -64.7354816876472</t>
  </si>
  <si>
    <t>-943.725692042938 199.943885597557 331.339394376744</t>
  </si>
  <si>
    <t>-974.885574383858 267.17236417809 773.004342234145</t>
  </si>
  <si>
    <t>-842.44697979047 326.32403466755 836.63110977826</t>
  </si>
  <si>
    <t>-849.357428072242 -31.2174658459026 340.994090719973</t>
  </si>
  <si>
    <t>-870.90998017 21.6929917873176 785.329003508977</t>
  </si>
  <si>
    <t>-768.36633949863 -75.903770762033 856.371297733676</t>
  </si>
  <si>
    <t>9763-20170724T111213.781498500.bin</t>
  </si>
  <si>
    <t>-896.2488296252 25.2323382742838 -60.4986872339416</t>
  </si>
  <si>
    <t>-931.46489368654 13.0534147216677 -170.169558542471</t>
  </si>
  <si>
    <t>-942.18297860236 6.60107193709746 -267.996658024455</t>
  </si>
  <si>
    <t>-944.428307852221 1.76090291607716 -356.933640524152</t>
  </si>
  <si>
    <t>-931.884741396104 22.3457755123645 -516.308973960692</t>
  </si>
  <si>
    <t>-945.014939674015 158.504415686778 -502.662665206856</t>
  </si>
  <si>
    <t>-1073.10723479683 180.288974347278 -238.638054826983</t>
  </si>
  <si>
    <t>-848.509046764514 227.240092285705 -165.139199043875</t>
  </si>
  <si>
    <t>-920.204806153438 118.373865681604 -62.945406616823</t>
  </si>
  <si>
    <t>-937.195265949601 198.888226163475 332.12859837305</t>
  </si>
  <si>
    <t>-975.433414349142 267.206782364255 773.089722351966</t>
  </si>
  <si>
    <t>-842.337544986468 324.956342199152 836.633519480449</t>
  </si>
  <si>
    <t>-848.486276406386 -36.2650096917225 341.703520503345</t>
  </si>
  <si>
    <t>-870.762862527562 21.7894825126618 785.367630690348</t>
  </si>
  <si>
    <t>-768.36738603554 -75.946508339913 856.43242966036</t>
  </si>
  <si>
    <t>9763-20170724T111213.812582800.bin</t>
  </si>
  <si>
    <t>-894.909610647653 20.5604675696527 -59.4709050194731</t>
  </si>
  <si>
    <t>-930.759847931029 9.43072335315856 -169.047790050802</t>
  </si>
  <si>
    <t>-941.646774517808 3.29455460749068 -266.876586110645</t>
  </si>
  <si>
    <t>-930.54925708297 18.7641888810872 -515.175905105375</t>
  </si>
  <si>
    <t>-941.13778597324 155.163417019119 -501.573576677087</t>
  </si>
  <si>
    <t>-1070.74118587619 178.080009738057 -238.383588815268</t>
  </si>
  <si>
    <t>-846.778562745623 223.460093256722 -162.014983201071</t>
  </si>
  <si>
    <t>-916.078241470517 114.47321863966 -61.7632171679683</t>
  </si>
  <si>
    <t>-932.724175434293 198.309130247586 332.633881274113</t>
  </si>
  <si>
    <t>-975.518087832409 266.937848168772 773.099559418931</t>
  </si>
  <si>
    <t>-842.33543185359 324.553446198413 836.582574367548</t>
  </si>
  <si>
    <t>-848.474955962767 -38.7444587310877 342.173205000078</t>
  </si>
  <si>
    <t>-870.725995948272 21.8205788370583 785.447307273605</t>
  </si>
  <si>
    <t>-768.411536137202 -76.0112933093956 856.496323772097</t>
  </si>
  <si>
    <t>9763-20170724T111213.881803000.bin</t>
  </si>
  <si>
    <t>-891.049469116303 11.2889546235497 -57.1773177403981</t>
  </si>
  <si>
    <t>-928.22783504207 1.96217297534531 -166.479772607356</t>
  </si>
  <si>
    <t>-927.046239234282 12.1366007891656 -512.502411586402</t>
  </si>
  <si>
    <t>-932.717263851089 148.803176505614 -498.706397852607</t>
  </si>
  <si>
    <t>-1064.42070773317 174.549257388019 -236.823718036466</t>
  </si>
  <si>
    <t>-842.240048297549 216.048395376048 -153.370370960285</t>
  </si>
  <si>
    <t>-907.138589494495 106.292695336575 -59.0538068271306</t>
  </si>
  <si>
    <t>-922.340144967133 198.438456138195 333.54363496972</t>
  </si>
  <si>
    <t>-976.16409673256 266.950176841102 772.792767193689</t>
  </si>
  <si>
    <t>-842.302322769201 323.003238153892 836.246746368606</t>
  </si>
  <si>
    <t>-847.597296051346 -44.0680170127457 343.39326495174</t>
  </si>
  <si>
    <t>-870.659607404973 21.8096332479013 785.725874276183</t>
  </si>
  <si>
    <t>-768.359605125055 -76.0929011616354 856.697913223788</t>
  </si>
  <si>
    <t>9763-20170724T111213.914891900.bin</t>
  </si>
  <si>
    <t>-888.774661795208 6.40101393281293 -55.8699113030476</t>
  </si>
  <si>
    <t>-925.3865624826 8.83754438053575 -510.962377570332</t>
  </si>
  <si>
    <t>-928.678826940621 145.543469340187 -496.884878182815</t>
  </si>
  <si>
    <t>-1060.90099890699 173.007103325293 -235.438241209898</t>
  </si>
  <si>
    <t>-839.606105372518 212.28715151919 -148.624398987931</t>
  </si>
  <si>
    <t>-902.413645579479 101.717656275932 -57.4222209202716</t>
  </si>
  <si>
    <t>-916.095236960606 199.038653480725 333.980445207599</t>
  </si>
  <si>
    <t>-976.37001182646 266.769462323487 772.411981588611</t>
  </si>
  <si>
    <t>-842.289466771967 322.247465778644 835.909543679837</t>
  </si>
  <si>
    <t>-847.339263740052 -46.670453145965 344.089292040999</t>
  </si>
  <si>
    <t>-870.658222191776 21.6860507495917 785.928540262535</t>
  </si>
  <si>
    <t>-768.076481266302 -75.9726369201633 856.830077022767</t>
  </si>
  <si>
    <t>9763-20170724T111213.979743500.bin</t>
  </si>
  <si>
    <t>-922.354231871109 2.55392653301169 -507.557399503277</t>
  </si>
  <si>
    <t>-921.288312891433 139.21578459911 -492.780240479315</t>
  </si>
  <si>
    <t>-1053.41963514834 169.714062390595 -231.624310849319</t>
  </si>
  <si>
    <t>-833.856571430231 205.308320661436 -139.017283484825</t>
  </si>
  <si>
    <t>-892.78598571111 92.1322699952175 -53.6229627571423</t>
  </si>
  <si>
    <t>-901.126191831826 202.096064879449 334.569130594856</t>
  </si>
  <si>
    <t>-976.501565771131 266.182365838553 770.860623201423</t>
  </si>
  <si>
    <t>-842.162236820148 320.538697648602 834.779467227257</t>
  </si>
  <si>
    <t>-846.966202067687 -51.8941329239769 345.602874330603</t>
  </si>
  <si>
    <t>-870.544461889487 21.5625345938251 786.461580888826</t>
  </si>
  <si>
    <t>-767.622054753668 -75.8596312223178 857.194645448974</t>
  </si>
  <si>
    <t>9763-20170724T111214.012831300.bin</t>
  </si>
  <si>
    <t>-918.024958561687 136.501028660105 -490.624704147404</t>
  </si>
  <si>
    <t>-1049.68248848253 168.06066584027 -229.355703502047</t>
  </si>
  <si>
    <t>-830.670141708711 202.375194305991 -134.978980610792</t>
  </si>
  <si>
    <t>-888.264471226561 87.5507266142081 -51.5765133911221</t>
  </si>
  <si>
    <t>-892.427005239653 204.202961501951 334.725908895416</t>
  </si>
  <si>
    <t>-976.320178021106 265.69204508379 769.637822593744</t>
  </si>
  <si>
    <t>-841.966690651019 319.358217753076 834.10791021822</t>
  </si>
  <si>
    <t>-846.746949707499 -54.3389760542543 346.404722892223</t>
  </si>
  <si>
    <t>-870.39167175566 21.5895373801436 786.774559649906</t>
  </si>
  <si>
    <t>-767.520206058618 -75.9471041517681 857.424400217486</t>
  </si>
  <si>
    <t>9763-20170724T111214.080022200.bin</t>
  </si>
  <si>
    <t>-913.477760910676 132.84532326836 -487.078765814906</t>
  </si>
  <si>
    <t>-1043.83108432895 165.973371668981 -225.350286136507</t>
  </si>
  <si>
    <t>-825.793719393224 198.675018742779 -128.184400355435</t>
  </si>
  <si>
    <t>-881.598410813875 80.5881832611744 -48.2067302724718</t>
  </si>
  <si>
    <t>-874.578874372102 207.87663858557 334.681082649728</t>
  </si>
  <si>
    <t>-974.354700494553 262.977008837851 766.613234812273</t>
  </si>
  <si>
    <t>-841.192183762791 317.669980559209 832.671606082924</t>
  </si>
  <si>
    <t>-848.445546902639 -57.7983145353742 347.504043916486</t>
  </si>
  <si>
    <t>-870.116397672029 21.4684457096964 787.284700399465</t>
  </si>
  <si>
    <t>-767.058252741191 -75.979006902269 857.785339937649</t>
  </si>
  <si>
    <t>9763-20170724T111214.113118200.bin</t>
  </si>
  <si>
    <t>-912.558624120803 132.070867764093 -486.211783496152</t>
  </si>
  <si>
    <t>-1042.20686848249 165.95406089413 -224.230086463405</t>
  </si>
  <si>
    <t>-824.51893124308 197.853721701586 -126.019897296553</t>
  </si>
  <si>
    <t>-879.335261289257 77.4018035787458 -47.1154187572812</t>
  </si>
  <si>
    <t>-868.522226600054 210.038081866008 333.864057397907</t>
  </si>
  <si>
    <t>-972.24763354376 260.290494310953 765.1230815032</t>
  </si>
  <si>
    <t>-840.30209649908 316.941280238261 831.96851204125</t>
  </si>
  <si>
    <t>-851.122736809735 -58.8367750860793 347.736876604868</t>
  </si>
  <si>
    <t>-870.073960638513 21.1958994273314 787.523130104945</t>
  </si>
  <si>
    <t>-766.784222596041 -76.0387421642165 857.978413284011</t>
  </si>
  <si>
    <t>9763-20170724T111214.181954300.bin</t>
  </si>
  <si>
    <t>-912.227866379166 132.781214427896 -486.537460153785</t>
  </si>
  <si>
    <t>-1039.79102449595 168.459464488077 -223.771722991891</t>
  </si>
  <si>
    <t>-823.609071264603 198.756122180289 -121.799272888214</t>
  </si>
  <si>
    <t>-878.814399229016 73.9784232150328 -47.1962364638407</t>
  </si>
  <si>
    <t>-860.349218732247 213.487599040296 331.024430903952</t>
  </si>
  <si>
    <t>-966.138556848182 252.301349435619 763.025865266317</t>
  </si>
  <si>
    <t>-838.593678784489 317.533785741653 830.585520027724</t>
  </si>
  <si>
    <t>-857.724840801292 -59.547987247533 347.624742671457</t>
  </si>
  <si>
    <t>-869.801487350203 20.780061081814 787.816613709271</t>
  </si>
  <si>
    <t>-766.701934181514 -76.5489797152241 858.419855661538</t>
  </si>
  <si>
    <t>9763-20170724T111214.216045400.bin</t>
  </si>
  <si>
    <t>-913.103821957374 133.136321362761 -486.979809443124</t>
  </si>
  <si>
    <t>-1039.37653468199 170.078724504495 -223.765745049869</t>
  </si>
  <si>
    <t>-824.349046900304 199.779512736862 -119.20980840231</t>
  </si>
  <si>
    <t>-879.920353977696 72.7387519206677 -47.5342529065003</t>
  </si>
  <si>
    <t>-858.343420327425 213.850304759944 329.926620209027</t>
  </si>
  <si>
    <t>-962.726815073918 247.268242803658 763.181299329743</t>
  </si>
  <si>
    <t>-837.711252380546 317.853802400937 830.085044043299</t>
  </si>
  <si>
    <t>-861.175263356453 -59.3670148980043 347.508807936726</t>
  </si>
  <si>
    <t>-869.709393959027 20.4928098739488 787.958808881001</t>
  </si>
  <si>
    <t>-766.596439511063 -76.783296692392 858.615603065127</t>
  </si>
  <si>
    <t>9763-20170724T111214.280225200.bin</t>
  </si>
  <si>
    <t>-916.664029170144 133.882082348809 -487.900911838406</t>
  </si>
  <si>
    <t>-1041.60233668701 173.348300378742 -224.416447341369</t>
  </si>
  <si>
    <t>-828.214080413416 201.857487014545 -116.233454458545</t>
  </si>
  <si>
    <t>-886.618199724413 72.7788219851473 -48.34993376211</t>
  </si>
  <si>
    <t>-860.468205874167 212.428968961872 329.365216490369</t>
  </si>
  <si>
    <t>-961.844480151557 243.56005793438 764.325274750691</t>
  </si>
  <si>
    <t>-840.297031919238 322.084572006888 828.725758983535</t>
  </si>
  <si>
    <t>-867.683565290108 -58.7996921650088 347.266883168134</t>
  </si>
  <si>
    <t>-869.579078768204 20.0089285401627 788.067539407886</t>
  </si>
  <si>
    <t>-766.524384659469 -77.308888254769 858.751584233361</t>
  </si>
  <si>
    <t>9763-20170724T111214.317322700.bin</t>
  </si>
  <si>
    <t>-935.707291452024 2.25661027086926 -504.356102370604</t>
  </si>
  <si>
    <t>-920.489090327256 138.028318318703 -488.928517221255</t>
  </si>
  <si>
    <t>-1045.11296038695 179.150795232131 -225.548377319771</t>
  </si>
  <si>
    <t>-832.456252854881 206.774664879891 -115.707801007549</t>
  </si>
  <si>
    <t>-894.141354523878 80.557948123786 -49.251845182104</t>
  </si>
  <si>
    <t>-868.047547487259 218.67141262092 329.031704420351</t>
  </si>
  <si>
    <t>-975.086660789028 256.467443797906 762.892340857985</t>
  </si>
  <si>
    <t>-854.255237622316 336.580522556237 826.68061728004</t>
  </si>
  <si>
    <t>-871.092263155067 -56.5513594846971 346.90377615478</t>
  </si>
  <si>
    <t>-869.568868289132 19.9202395514385 787.928724844561</t>
  </si>
  <si>
    <t>-766.640254764283 -77.5283417842265 858.61657223636</t>
  </si>
  <si>
    <t>9763-20170724T111214.380064600.bin</t>
  </si>
  <si>
    <t>-940.660372895378 6.33243403649612 -506.233762386696</t>
  </si>
  <si>
    <t>-923.460818932291 141.942590519056 -491.621903461552</t>
  </si>
  <si>
    <t>-1047.46334153922 186.821031110145 -228.562019033597</t>
  </si>
  <si>
    <t>-836.83767658499 212.496257143218 -114.419419495358</t>
  </si>
  <si>
    <t>-900.071318670245 87.9177891229378 -51.5853362033334</t>
  </si>
  <si>
    <t>-876.890952012527 222.927717717419 328.006139366542</t>
  </si>
  <si>
    <t>-982.633686039984 265.864319769952 761.044063952718</t>
  </si>
  <si>
    <t>-860.041265727134 343.863210771013 824.087995445931</t>
  </si>
  <si>
    <t>-874.466719991784 -53.5843282739502 345.820057992321</t>
  </si>
  <si>
    <t>-869.767852041625 19.7308315496316 787.410256920182</t>
  </si>
  <si>
    <t>-766.562753536735 -77.4463537480287 858.068443802227</t>
  </si>
  <si>
    <t>9763-20170724T111214.412150600.bin</t>
  </si>
  <si>
    <t>-940.235261942039 5.09877406881515 -506.929716983401</t>
  </si>
  <si>
    <t>-922.31487730259 140.663729771522 -492.727301592137</t>
  </si>
  <si>
    <t>-1045.99651642668 187.374932077884 -229.835411503937</t>
  </si>
  <si>
    <t>-836.465503779411 212.269151682705 -113.525732852491</t>
  </si>
  <si>
    <t>-899.305159656481 87.2536948843372 -52.4702851566825</t>
  </si>
  <si>
    <t>-877.285814240482 220.61155158988 327.773775730162</t>
  </si>
  <si>
    <t>-979.851872271815 264.445250825307 761.403119724312</t>
  </si>
  <si>
    <t>-856.918738292338 342.031421853646 824.292907155103</t>
  </si>
  <si>
    <t>-874.042586180959 -53.6446217145469 345.406749578452</t>
  </si>
  <si>
    <t>-869.765428476713 19.8256454804482 787.148696107049</t>
  </si>
  <si>
    <t>-766.631677696852 -77.4288455482956 857.805018655958</t>
  </si>
  <si>
    <t>9763-20170724T111214.480001600.bin</t>
  </si>
  <si>
    <t>-939.381043215251 2.85428321096333 -507.40962508102</t>
  </si>
  <si>
    <t>-920.704331981884 138.395791990762 -494.048868821412</t>
  </si>
  <si>
    <t>-1044.36801313268 187.872113684503 -231.655064386776</t>
  </si>
  <si>
    <t>-836.354882574175 212.552306733042 -112.607322956691</t>
  </si>
  <si>
    <t>-898.55674601838 88.0932547170855 -52.9930109748479</t>
  </si>
  <si>
    <t>-879.244768337204 221.408363910649 327.41316215812</t>
  </si>
  <si>
    <t>-980.267791198581 265.273286075515 761.768319704099</t>
  </si>
  <si>
    <t>-858.111970800815 344.130597082833 824.591558133489</t>
  </si>
  <si>
    <t>-871.600317449388 -53.9348295544273 345.095984527211</t>
  </si>
  <si>
    <t>-869.767602104167 20.0502776102348 786.725115640797</t>
  </si>
  <si>
    <t>-766.574450893129 -77.1422617351484 857.380034202577</t>
  </si>
  <si>
    <t>9763-20170724T111214.515097600.bin</t>
  </si>
  <si>
    <t>-938.328459652171 0.694647829993301 -507.228005846404</t>
  </si>
  <si>
    <t>-919.627580209003 136.279892807817 -494.277369032882</t>
  </si>
  <si>
    <t>-1043.26050941108 186.625875180659 -232.034281879655</t>
  </si>
  <si>
    <t>-835.693000136895 211.564830137022 -112.264725767798</t>
  </si>
  <si>
    <t>-897.996400455551 87.5337226384008 -53.0615492693282</t>
  </si>
  <si>
    <t>-879.713603316553 220.742516826551 327.432603643426</t>
  </si>
  <si>
    <t>-980.408189375644 265.534341636479 761.866728083593</t>
  </si>
  <si>
    <t>-858.22927445951 344.317083510142 824.738046403543</t>
  </si>
  <si>
    <t>-869.697065266754 -54.7280905238983 345.144330006189</t>
  </si>
  <si>
    <t>-869.81405983988 20.0603674696149 786.578989469334</t>
  </si>
  <si>
    <t>-766.46117319338 -76.9728940017508 857.218907548829</t>
  </si>
  <si>
    <t>9763-20170724T111214.579308200.bin</t>
  </si>
  <si>
    <t>-919.288686157494 132.593912835855 -494.32507452826</t>
  </si>
  <si>
    <t>-1042.46656649868 184.186794799076 -232.110244665312</t>
  </si>
  <si>
    <t>-835.542665769682 210.197575662798 -111.458612598023</t>
  </si>
  <si>
    <t>-897.974135006117 86.4701109195112 -52.9278042130619</t>
  </si>
  <si>
    <t>-880.451837109244 219.15444135414 327.785393137401</t>
  </si>
  <si>
    <t>-980.488197762365 265.831732618516 762.22375967306</t>
  </si>
  <si>
    <t>-858.27605111826 344.484387546617 825.19484888483</t>
  </si>
  <si>
    <t>-866.162542114526 -56.108899013833 345.335305894492</t>
  </si>
  <si>
    <t>-869.726354470685 20.4520283802526 786.31620523377</t>
  </si>
  <si>
    <t>-766.526228235983 -76.7731728127635 856.915850174416</t>
  </si>
  <si>
    <t>9763-20170724T111214.612391800.bin</t>
  </si>
  <si>
    <t>-919.923879016856 131.211709154966 -494.167604134784</t>
  </si>
  <si>
    <t>-1042.45857995502 183.002484886063 -231.690632410885</t>
  </si>
  <si>
    <t>-835.803729685022 209.949374217024 -110.784080609645</t>
  </si>
  <si>
    <t>-897.8291147604 85.9708876883692 -52.5688637930468</t>
  </si>
  <si>
    <t>-880.217181755273 219.05722333341 327.999798543246</t>
  </si>
  <si>
    <t>-980.356593839695 265.74684137839 762.462304551202</t>
  </si>
  <si>
    <t>-858.195330490406 344.423357284204 825.501559800004</t>
  </si>
  <si>
    <t>-864.906390512543 -56.682639892512 345.480077092288</t>
  </si>
  <si>
    <t>-869.75296723565 20.5691347544935 786.240868357423</t>
  </si>
  <si>
    <t>-766.461119946651 -76.5907751547575 856.796118192194</t>
  </si>
  <si>
    <t>9763-20170724T111214.682717800.bin</t>
  </si>
  <si>
    <t>-921.837590625651 129.583486872117 -493.544403876143</t>
  </si>
  <si>
    <t>-1042.69505787052 181.239150675857 -230.264295649333</t>
  </si>
  <si>
    <t>-837.059653631504 209.124691415047 -107.840925271576</t>
  </si>
  <si>
    <t>-897.336226346918 84.8954167786906 -51.7556966220994</t>
  </si>
  <si>
    <t>-879.61658030584 219.415225039232 328.30362699405</t>
  </si>
  <si>
    <t>-980.22636414171 265.644129613504 762.743439168343</t>
  </si>
  <si>
    <t>-858.153315154448 344.341721195515 825.9268053962</t>
  </si>
  <si>
    <t>-863.481013744101 -57.4942631373199 345.896595455124</t>
  </si>
  <si>
    <t>-869.856287789331 20.7755942287527 786.272954321794</t>
  </si>
  <si>
    <t>-766.3348670463 -76.2282952257985 856.706122174027</t>
  </si>
  <si>
    <t>9763-20170724T111214.714813000.bin</t>
  </si>
  <si>
    <t>-922.59497039509 129.212353399947 -493.223952502266</t>
  </si>
  <si>
    <t>-1042.79538600429 180.178709584985 -229.509023966154</t>
  </si>
  <si>
    <t>-837.846957852865 208.739206193832 -106.093834686523</t>
  </si>
  <si>
    <t>-896.660963587437 84.6319208542341 -51.4852450110723</t>
  </si>
  <si>
    <t>-879.168903185495 219.991195096025 328.286569097876</t>
  </si>
  <si>
    <t>-980.124514443779 265.677249616961 762.610903719618</t>
  </si>
  <si>
    <t>-858.152342041677 344.405354961972 825.950349089853</t>
  </si>
  <si>
    <t>-863.212476929821 -57.5722415279183 346.067255867792</t>
  </si>
  <si>
    <t>-869.865053519807 20.9427002979287 786.328965958966</t>
  </si>
  <si>
    <t>-766.356804162313 -76.1091661277869 856.715551444892</t>
  </si>
  <si>
    <t>9763-20170724T111214.781035600.bin</t>
  </si>
  <si>
    <t>-923.592845167163 129.486589163456 -492.751161748177</t>
  </si>
  <si>
    <t>-1043.02968126317 177.936782445343 -228.216475542812</t>
  </si>
  <si>
    <t>-839.383013718255 207.672510368734 -102.938210017534</t>
  </si>
  <si>
    <t>-895.185773237252 84.6658511238493 -51.3520269481461</t>
  </si>
  <si>
    <t>-877.921530247255 222.084922424086 327.689705735388</t>
  </si>
  <si>
    <t>-979.76964954678 265.875040406949 761.842650677018</t>
  </si>
  <si>
    <t>-858.219747379364 344.721494559348 825.844679821574</t>
  </si>
  <si>
    <t>-863.150001504516 -57.6378279108558 346.264668497899</t>
  </si>
  <si>
    <t>-870.006067668016 20.9773989899127 786.45328016774</t>
  </si>
  <si>
    <t>-766.157751314817 -75.7624085840146 856.768638287002</t>
  </si>
  <si>
    <t>9763-20170724T111214.814122000.bin</t>
  </si>
  <si>
    <t>-923.982669572564 130.023312982261 -492.486975988399</t>
  </si>
  <si>
    <t>-1043.22303892143 176.897928287136 -227.580050415358</t>
  </si>
  <si>
    <t>-840.093136452143 206.831389415665 -101.512215857907</t>
  </si>
  <si>
    <t>-894.853612647293 84.6185345578283 -51.3571023892387</t>
  </si>
  <si>
    <t>-877.395979924148 223.079568628721 327.296400272923</t>
  </si>
  <si>
    <t>-979.61542565975 266.006628169712 761.395678639477</t>
  </si>
  <si>
    <t>-858.172371742544 344.681229923546 825.809540806689</t>
  </si>
  <si>
    <t>-863.501706950897 -57.601077721205 346.327682343864</t>
  </si>
  <si>
    <t>-870.040892550418 21.0342791671292 786.521484095951</t>
  </si>
  <si>
    <t>-766.147088381965 -75.669412342465 856.81896480503</t>
  </si>
  <si>
    <t>9763-20170724T111214.884906000.bin</t>
  </si>
  <si>
    <t>-925.421096872142 130.750357322235 -491.761817540602</t>
  </si>
  <si>
    <t>-1044.20121433407 174.300093982399 -226.081766875986</t>
  </si>
  <si>
    <t>-841.483286942228 204.03654088185 -99.3058088726813</t>
  </si>
  <si>
    <t>-894.309981920789 83.8197712085553 -51.1834068265697</t>
  </si>
  <si>
    <t>-876.599287446574 224.423000888256 326.668050966733</t>
  </si>
  <si>
    <t>-979.326582489524 265.961950067565 760.737176666406</t>
  </si>
  <si>
    <t>-858.148291210233 344.561772574264 825.738681074895</t>
  </si>
  <si>
    <t>-864.993850715817 -57.5697623562176 346.45450393153</t>
  </si>
  <si>
    <t>-870.091045018012 21.1337824386751 786.682178218859</t>
  </si>
  <si>
    <t>-766.063611187415 -75.4552388329735 856.940285668154</t>
  </si>
  <si>
    <t>9763-20170724T111214.917992800.bin</t>
  </si>
  <si>
    <t>-926.452713206903 130.906238850044 -491.397609513492</t>
  </si>
  <si>
    <t>-1044.7997454736 172.922102036183 -225.277631484592</t>
  </si>
  <si>
    <t>-841.970259322536 202.584364379601 -98.6633902962643</t>
  </si>
  <si>
    <t>-894.253127193472 83.2121138304101 -51.0518602196482</t>
  </si>
  <si>
    <t>-876.577948193054 224.533224011968 326.533330875684</t>
  </si>
  <si>
    <t>-979.22262492376 265.756064014754 760.587004536284</t>
  </si>
  <si>
    <t>-858.086210175124 344.352252047283 825.67070814122</t>
  </si>
  <si>
    <t>-865.871387553285 -57.7365076795434 346.514468272455</t>
  </si>
  <si>
    <t>-870.141634181034 21.0786799686762 786.744839144605</t>
  </si>
  <si>
    <t>-766.00528734292 -75.3826688167367 857.016670843614</t>
  </si>
  <si>
    <t>9763-20170724T111214.981892000.bin</t>
  </si>
  <si>
    <t>-928.234208491322 130.531072539072 -490.761968427047</t>
  </si>
  <si>
    <t>-1045.80255139754 170.47454172143 -223.978500935876</t>
  </si>
  <si>
    <t>-842.45933137024 199.798933308713 -98.1117536399495</t>
  </si>
  <si>
    <t>-894.331481167825 81.4799664526126 -50.9358495488081</t>
  </si>
  <si>
    <t>-876.950730474576 223.134218251362 326.538234945337</t>
  </si>
  <si>
    <t>-978.684655608533 264.818861713949 760.603387845306</t>
  </si>
  <si>
    <t>-858.004641598384 344.158571848605 825.632575582287</t>
  </si>
  <si>
    <t>-866.961871781362 -58.3354115951063 346.582404611455</t>
  </si>
  <si>
    <t>-870.148521009137 21.1269401611812 786.822945223264</t>
  </si>
  <si>
    <t>-765.926400707979 -75.237046067132 857.101315613384</t>
  </si>
  <si>
    <t>9763-20170724T111215.016985500.bin</t>
  </si>
  <si>
    <t>-928.77149330953 129.916224806208 -490.467327801931</t>
  </si>
  <si>
    <t>-1046.04690668871 169.337564856584 -223.477184954431</t>
  </si>
  <si>
    <t>-842.546120437454 198.431690547511 -97.8113101209965</t>
  </si>
  <si>
    <t>-894.205383902868 80.3885842321192 -50.8228320528294</t>
  </si>
  <si>
    <t>-877.267227528089 221.94287777262 326.708805770576</t>
  </si>
  <si>
    <t>-978.617650421793 264.478152745307 760.741899987187</t>
  </si>
  <si>
    <t>-858.027119352062 344.119001323519 825.568433188144</t>
  </si>
  <si>
    <t>-866.945428572054 -58.8864256965385 346.626132256405</t>
  </si>
  <si>
    <t>-870.134112280284 21.1897027230061 786.832035695895</t>
  </si>
  <si>
    <t>-765.882635904613 -75.1599488253969 857.085972495338</t>
  </si>
  <si>
    <t>9763-20170724T111215.079157900.bin</t>
  </si>
  <si>
    <t>-929.547423073776 128.344151015812 -489.933761087728</t>
  </si>
  <si>
    <t>-1046.2801558868 167.406677723856 -222.653377949007</t>
  </si>
  <si>
    <t>-842.553153847586 196.312123006699 -97.3109772778374</t>
  </si>
  <si>
    <t>-894.305647338566 78.6349809339895 -50.642914180882</t>
  </si>
  <si>
    <t>-878.293433072301 220.101432813228 326.962015279843</t>
  </si>
  <si>
    <t>-978.941208025687 264.37454696259 760.976127038568</t>
  </si>
  <si>
    <t>-858.107387198273 343.892615224524 825.500229487612</t>
  </si>
  <si>
    <t>-866.728490713366 -60.0781392762106 346.715027174728</t>
  </si>
  <si>
    <t>-870.157374082048 21.2064176673475 786.790127609631</t>
  </si>
  <si>
    <t>-765.660826739613 -74.9314261467594 856.970856740609</t>
  </si>
  <si>
    <t>9763-20170724T111215.112245800.bin</t>
  </si>
  <si>
    <t>-929.81684904814 128.006802653859 -489.748967434305</t>
  </si>
  <si>
    <t>-1046.27691904522 167.027954433648 -222.343679930999</t>
  </si>
  <si>
    <t>-842.346348482136 196.061758754237 -97.3627357166627</t>
  </si>
  <si>
    <t>-894.367535788267 78.3087196474307 -50.6322981633559</t>
  </si>
  <si>
    <t>-878.973149942317 220.024164291694 326.904997011823</t>
  </si>
  <si>
    <t>-979.246932482168 264.651461003581 760.91653079622</t>
  </si>
  <si>
    <t>-858.068231275988 343.633651229068 825.452595630214</t>
  </si>
  <si>
    <t>-866.608848411849 -60.3444533932102 346.741845213346</t>
  </si>
  <si>
    <t>-870.068592030048 21.3981642608005 786.750752921919</t>
  </si>
  <si>
    <t>-765.721958877676 -74.9135454186089 856.915776465497</t>
  </si>
  <si>
    <t>9763-20170724T111215.180028300.bin</t>
  </si>
  <si>
    <t>-929.841578015847 127.987415421861 -489.612008971446</t>
  </si>
  <si>
    <t>-1045.79472562587 166.695548493813 -221.941152420802</t>
  </si>
  <si>
    <t>-841.614832622151 196.379216667443 -97.5212822280546</t>
  </si>
  <si>
    <t>-893.537470624313 78.560995293728 -50.8517715790588</t>
  </si>
  <si>
    <t>-879.942396880094 221.037176185837 326.468234907848</t>
  </si>
  <si>
    <t>-979.734714649284 265.438406233645 760.503522262457</t>
  </si>
  <si>
    <t>-858.468151738102 344.056211975299 825.318391855461</t>
  </si>
  <si>
    <t>-866.072506471763 -60.4622432070732 346.754814359966</t>
  </si>
  <si>
    <t>-869.95901648047 21.6297740235486 786.66995436077</t>
  </si>
  <si>
    <t>-765.657830332579 -74.746754865806 856.813775082921</t>
  </si>
  <si>
    <t>9763-20170724T111215.213116500.bin</t>
  </si>
  <si>
    <t>-929.772981131199 128.155227684906 -489.670307395131</t>
  </si>
  <si>
    <t>-1045.52093027404 166.576990551307 -221.869384943835</t>
  </si>
  <si>
    <t>-841.356067669121 196.611701136464 -97.5085088140437</t>
  </si>
  <si>
    <t>-893.070412883027 78.9152877115584 -51.0576910886537</t>
  </si>
  <si>
    <t>-880.441711745688 221.652270546037 326.197347144364</t>
  </si>
  <si>
    <t>-980.006410585855 265.908988497221 760.29258298672</t>
  </si>
  <si>
    <t>-858.75653967577 344.400307782174 825.29153558844</t>
  </si>
  <si>
    <t>-865.661138481178 -60.4368582716254 346.750755654931</t>
  </si>
  <si>
    <t>-869.907575808041 21.7191124271299 786.619096565489</t>
  </si>
  <si>
    <t>-765.595286675548 -74.6464151911991 856.761115308217</t>
  </si>
  <si>
    <t>9763-20170724T111215.283834600.bin</t>
  </si>
  <si>
    <t>-929.476588493249 128.45795418126 -489.795329366647</t>
  </si>
  <si>
    <t>-1044.96181898315 166.126338772625 -221.773699745404</t>
  </si>
  <si>
    <t>-840.788498943558 196.699528584439 -97.5582813464091</t>
  </si>
  <si>
    <t>-892.123112957578 79.6262825140307 -51.4111583189343</t>
  </si>
  <si>
    <t>-881.381842911324 222.687718500596 325.779424203043</t>
  </si>
  <si>
    <t>-980.45016473211 266.661697938213 760.040120360421</t>
  </si>
  <si>
    <t>-859.028543501865 344.687466991387 825.278795423346</t>
  </si>
  <si>
    <t>-864.564112131306 -60.2734000912353 346.716924053046</t>
  </si>
  <si>
    <t>-869.776768161038 21.9703163400054 786.519674587046</t>
  </si>
  <si>
    <t>-765.414067779136 -74.3488408832338 856.650546876828</t>
  </si>
  <si>
    <t>9763-20170724T111215.314916800.bin</t>
  </si>
  <si>
    <t>-929.435257335983 128.495414560073 -489.80172004832</t>
  </si>
  <si>
    <t>-1044.71771583482 165.78077032894 -221.639638314111</t>
  </si>
  <si>
    <t>-840.528027057761 196.585101570284 -97.5088137645852</t>
  </si>
  <si>
    <t>-891.902648967134 79.9185153824624 -51.5214194104307</t>
  </si>
  <si>
    <t>-881.745853846134 222.881381442264 325.722659893226</t>
  </si>
  <si>
    <t>-980.794238078672 267.045745354392 760.042935690535</t>
  </si>
  <si>
    <t>-859.218357917895 344.775372435493 825.347178971505</t>
  </si>
  <si>
    <t>-863.898007878066 -60.2254240618845 346.709338519834</t>
  </si>
  <si>
    <t>-869.711717671249 22.1024950085625 786.469128123121</t>
  </si>
  <si>
    <t>-765.328721682278 -74.1984488568196 856.594560719944</t>
  </si>
  <si>
    <t>9763-20170724T111215.383829500.bin</t>
  </si>
  <si>
    <t>-929.481854104939 128.280887496801 -489.633209090051</t>
  </si>
  <si>
    <t>-1044.45025456882 164.7530495301 -221.22448493466</t>
  </si>
  <si>
    <t>-839.952157864696 195.792364285336 -97.660721689674</t>
  </si>
  <si>
    <t>-891.519460521132 80.0039682318193 -51.5042726868513</t>
  </si>
  <si>
    <t>-882.031964476272 222.722985096041 325.849663864446</t>
  </si>
  <si>
    <t>-980.939398105634 267.17349774727 760.237591820519</t>
  </si>
  <si>
    <t>-859.282803428704 344.721026065845 825.608036729205</t>
  </si>
  <si>
    <t>-862.607640527128 -60.3507882041731 346.750393491531</t>
  </si>
  <si>
    <t>-869.597996700557 22.350130390741 786.38363169427</t>
  </si>
  <si>
    <t>-765.14360113912 -73.8830003052335 856.496330717821</t>
  </si>
  <si>
    <t>9763-20170724T111215.412906700.bin</t>
  </si>
  <si>
    <t>-929.41597600775 128.096437204835 -489.45738876891</t>
  </si>
  <si>
    <t>-1044.20398857908 164.279144162575 -220.932318200529</t>
  </si>
  <si>
    <t>-839.613807394107 195.228185264164 -97.4985310497694</t>
  </si>
  <si>
    <t>-891.247557343962 79.9111408525059 -51.3657454138107</t>
  </si>
  <si>
    <t>-881.916253469892 222.577411244058 326.011980808149</t>
  </si>
  <si>
    <t>-980.984989684049 267.114489669935 760.398002389452</t>
  </si>
  <si>
    <t>-859.415177201346 344.786809216768 825.781980090004</t>
  </si>
  <si>
    <t>-862.123499421788 -60.4325233921099 346.806458991553</t>
  </si>
  <si>
    <t>-869.5338524462 22.5011697287609 786.368180637899</t>
  </si>
  <si>
    <t>-765.035337490931 -73.6903082188198 856.471887583497</t>
  </si>
  <si>
    <t>9763-20170724T111215.480318600.bin</t>
  </si>
  <si>
    <t>-929.418333556018 127.958823078165 -489.115382934782</t>
  </si>
  <si>
    <t>-1043.64637898801 163.67430949262 -220.289110427533</t>
  </si>
  <si>
    <t>-838.809050495369 194.379843638808 -97.2049480751168</t>
  </si>
  <si>
    <t>-890.931692739731 79.6866608293822 -51.0795338457756</t>
  </si>
  <si>
    <t>-881.659599228283 222.393973571724 326.284047844379</t>
  </si>
  <si>
    <t>-981.007470741942 266.898654123258 760.640294225531</t>
  </si>
  <si>
    <t>-859.280367369718 344.288125301896 826.066821432042</t>
  </si>
  <si>
    <t>-861.502480723782 -60.4350137617068 346.96375416267</t>
  </si>
  <si>
    <t>-869.401262551753 22.836147299025 786.383792469802</t>
  </si>
  <si>
    <t>-765.012163476654 -73.474875382869 856.486236252751</t>
  </si>
  <si>
    <t>9763-20170724T111215.513418400.bin</t>
  </si>
  <si>
    <t>-929.333259780105 127.937865041458 -488.971348781811</t>
  </si>
  <si>
    <t>-1043.30797921682 163.547160818312 -220.023534272542</t>
  </si>
  <si>
    <t>-838.35511061048 194.17534786806 -97.1123913155292</t>
  </si>
  <si>
    <t>-890.720427271181 79.5354425972696 -50.9659305016046</t>
  </si>
  <si>
    <t>-881.490302449573 222.298618248391 326.377594050566</t>
  </si>
  <si>
    <t>-981.005210505267 266.788408436085 760.708151326362</t>
  </si>
  <si>
    <t>-859.413067338304 344.361981440801 826.168213501968</t>
  </si>
  <si>
    <t>-861.286202503896 -60.4323716202023 347.023942908663</t>
  </si>
  <si>
    <t>-869.360824649069 22.9488903876231 786.398420151522</t>
  </si>
  <si>
    <t>-765.011708646339 -73.4042714184682 856.502663572522</t>
  </si>
  <si>
    <t>9763-20170724T111215.583606600.bin</t>
  </si>
  <si>
    <t>-929.112121251837 127.974216508851 -488.842387344234</t>
  </si>
  <si>
    <t>-1042.52792065443 163.546418177752 -219.653562373717</t>
  </si>
  <si>
    <t>-837.568956851866 194.03308990697 -96.7174294507608</t>
  </si>
  <si>
    <t>-890.5125445132 79.2653530132475 -50.8938420778552</t>
  </si>
  <si>
    <t>-881.338453283473 222.001988367508 326.461146467978</t>
  </si>
  <si>
    <t>-980.975024512706 266.535583503808 760.796183755873</t>
  </si>
  <si>
    <t>-859.575504063662 344.374304211759 826.298721215046</t>
  </si>
  <si>
    <t>-861.233942845626 -60.4307864024943 347.116401982791</t>
  </si>
  <si>
    <t>-869.310033753037 23.1409276428653 786.450558477461</t>
  </si>
  <si>
    <t>-764.818522232399 -73.0657297869143 856.543964582114</t>
  </si>
  <si>
    <t>9763-20170724T111215.616686600.bin</t>
  </si>
  <si>
    <t>-929.062674027138 128.105235905128 -488.818112328021</t>
  </si>
  <si>
    <t>-1042.18967153616 163.783934537392 -219.52187455741</t>
  </si>
  <si>
    <t>-837.353124783713 194.226092799599 -96.3713254447306</t>
  </si>
  <si>
    <t>-890.581429796181 79.2499917442688 -50.8966803863171</t>
  </si>
  <si>
    <t>-881.515755789458 221.95576691571 326.472502202473</t>
  </si>
  <si>
    <t>-981.156009524556 266.588084774947 760.814337714341</t>
  </si>
  <si>
    <t>-859.577347314783 344.136770100071 826.32870749662</t>
  </si>
  <si>
    <t>-861.37420689344 -60.3632798651392 347.148062292122</t>
  </si>
  <si>
    <t>-869.302644965535 23.2049080647671 786.474060436985</t>
  </si>
  <si>
    <t>-764.816735372645 -73.0066795882515 856.568842184223</t>
  </si>
  <si>
    <t>9763-20170724T111215.683868300.bin</t>
  </si>
  <si>
    <t>-928.776992051085 128.237251408863 -488.726363937807</t>
  </si>
  <si>
    <t>-1041.63803365366 164.228960233317 -219.360067608913</t>
  </si>
  <si>
    <t>-837.527009673671 194.082200082303 -94.8678887979545</t>
  </si>
  <si>
    <t>-890.595049202863 78.8875626096942 -50.8458762930018</t>
  </si>
  <si>
    <t>-881.586989141565 221.503805786806 326.558539157448</t>
  </si>
  <si>
    <t>-981.073288670867 266.242105240804 760.916309572906</t>
  </si>
  <si>
    <t>-859.77111040503 344.243946608102 826.405299798729</t>
  </si>
  <si>
    <t>-861.613739610857 -60.2110997332895 347.188943819741</t>
  </si>
  <si>
    <t>-869.173822099702 23.5527104095713 786.500586393678</t>
  </si>
  <si>
    <t>-764.910477934541 -72.8893822804805 856.610236529114</t>
  </si>
  <si>
    <t>9763-20170724T111215.716961100.bin</t>
  </si>
  <si>
    <t>-928.617434864122 128.148788567401 -488.666612029017</t>
  </si>
  <si>
    <t>-1041.66616857197 164.16069633505 -219.381854264737</t>
  </si>
  <si>
    <t>-837.969025131258 193.567102712116 -94.1082482411596</t>
  </si>
  <si>
    <t>-890.638784315727 78.6313955488267 -50.7787755245603</t>
  </si>
  <si>
    <t>-881.620819542938 221.251520569774 326.623916164203</t>
  </si>
  <si>
    <t>-981.060799480773 266.075275017168 760.989092762792</t>
  </si>
  <si>
    <t>-859.850726215216 344.23113629383 826.464769650711</t>
  </si>
  <si>
    <t>-861.765135463864 -60.2811039619492 347.209321760276</t>
  </si>
  <si>
    <t>-869.200608832268 23.5559007095958 786.520100041911</t>
  </si>
  <si>
    <t>-764.778321312462 -72.7233328529505 856.617156478181</t>
  </si>
  <si>
    <t>9763-20170724T111215.782138200.bin</t>
  </si>
  <si>
    <t>-928.673550835467 128.088017323835 -488.545140638449</t>
  </si>
  <si>
    <t>-1042.22613637327 163.813053655674 -219.434073900069</t>
  </si>
  <si>
    <t>-839.030855929783 192.208222123496 -93.1159929472295</t>
  </si>
  <si>
    <t>-890.753023339619 78.2309721728707 -50.6030573867075</t>
  </si>
  <si>
    <t>-881.700855756624 220.930915089993 326.768755517288</t>
  </si>
  <si>
    <t>-981.135506531343 265.828451846847 761.1319752582</t>
  </si>
  <si>
    <t>-859.720934928736 343.683046914234 826.588189873335</t>
  </si>
  <si>
    <t>-862.110031384809 -60.2804256649381 347.252635096004</t>
  </si>
  <si>
    <t>-869.111800146056 23.8238473252304 786.542329688769</t>
  </si>
  <si>
    <t>-764.728000128126 -72.4967391703326 856.63947250217</t>
  </si>
  <si>
    <t>9763-20170724T111215.817232400.bin</t>
  </si>
  <si>
    <t>-928.872557646164 128.132518193315 -488.43761848764</t>
  </si>
  <si>
    <t>-1042.59490588631 163.66443073951 -219.372719481549</t>
  </si>
  <si>
    <t>-839.503102715968 191.707763231142 -92.8101673016486</t>
  </si>
  <si>
    <t>-890.807788191955 78.0604017372602 -50.5110253215008</t>
  </si>
  <si>
    <t>-881.780280510487 220.876796442035 326.817325912256</t>
  </si>
  <si>
    <t>-981.135284500974 265.681542483 761.189176137428</t>
  </si>
  <si>
    <t>-859.686241713727 343.499747618835 826.624280896444</t>
  </si>
  <si>
    <t>-862.240207725375 -60.2748997326157 347.271221894031</t>
  </si>
  <si>
    <t>-869.101131720419 23.8950280912286 786.55401806279</t>
  </si>
  <si>
    <t>-764.687733754482 -72.3978275578413 856.645938880249</t>
  </si>
  <si>
    <t>9763-20170724T111215.883418300.bin</t>
  </si>
  <si>
    <t>-929.045487610969 128.017047393647 -488.16997729498</t>
  </si>
  <si>
    <t>-1042.76964099878 163.399100148238 -219.086084159852</t>
  </si>
  <si>
    <t>-839.714636905024 191.177899515028 -92.4061917928368</t>
  </si>
  <si>
    <t>-891.088205392922 77.7173953167962 -50.299623804285</t>
  </si>
  <si>
    <t>-882.032988143313 220.794930040165 326.929137410067</t>
  </si>
  <si>
    <t>-981.283252080331 265.514625233186 761.332858765584</t>
  </si>
  <si>
    <t>-859.745899056816 343.254391570996 826.697023350254</t>
  </si>
  <si>
    <t>-862.363294438032 -60.3101756665997 347.308334385015</t>
  </si>
  <si>
    <t>-869.065594371272 24.0708391352464 786.564268643141</t>
  </si>
  <si>
    <t>-764.687020709409 -72.2640247742836 856.650150230598</t>
  </si>
  <si>
    <t>9763-20170724T111215.911490600.bin</t>
  </si>
  <si>
    <t>-929.022681950806 127.854741802798 -488.118428205066</t>
  </si>
  <si>
    <t>-1042.60148497071 163.216124076132 -218.970321367333</t>
  </si>
  <si>
    <t>-839.596496470707 191.094747801932 -92.2322269456241</t>
  </si>
  <si>
    <t>-891.113915773089 77.5959950277197 -50.2424296953955</t>
  </si>
  <si>
    <t>-882.156950177216 220.759091113183 326.956153194653</t>
  </si>
  <si>
    <t>-981.366978220534 265.452495643865 761.386952452991</t>
  </si>
  <si>
    <t>-859.902050898772 343.329438439285 826.722762412682</t>
  </si>
  <si>
    <t>-862.427858394289 -60.3055284303382 347.316647108814</t>
  </si>
  <si>
    <t>-869.041777899085 24.1618786687495 786.56458921544</t>
  </si>
  <si>
    <t>-764.691406247909 -72.2025674022937 856.651452966143</t>
  </si>
  <si>
    <t>9763-20170724T111215.977672200.bin</t>
  </si>
  <si>
    <t>-929.082154958793 127.674341441749 -488.11842170182</t>
  </si>
  <si>
    <t>-1042.21164422883 163.082816995058 -218.78739845536</t>
  </si>
  <si>
    <t>-839.458745611298 191.286672118685 -91.7172629727819</t>
  </si>
  <si>
    <t>-891.098526794768 77.5529150407742 -50.1881560370481</t>
  </si>
  <si>
    <t>-882.300310719879 220.858770258032 326.960012081637</t>
  </si>
  <si>
    <t>-981.505438952753 265.318155361266 761.421110015848</t>
  </si>
  <si>
    <t>-859.93697980798 343.087367591059 826.692814234702</t>
  </si>
  <si>
    <t>-862.831694925479 -60.2070933012835 347.338740537531</t>
  </si>
  <si>
    <t>-869.047796203236 24.2390567199031 786.59582033691</t>
  </si>
  <si>
    <t>-764.46444348438 -71.8855582595625 856.665110729375</t>
  </si>
  <si>
    <t>9763-20170724T111216.016776800.bin</t>
  </si>
  <si>
    <t>-929.166307475891 127.684008334168 -488.184383005899</t>
  </si>
  <si>
    <t>-1042.02253145551 163.146525829673 -218.745834065483</t>
  </si>
  <si>
    <t>-839.457423085154 191.36757426139 -91.3810256462648</t>
  </si>
  <si>
    <t>-891.156514228977 77.5439382628888 -50.1698438471308</t>
  </si>
  <si>
    <t>-882.324747534935 220.93634271582 326.944493782469</t>
  </si>
  <si>
    <t>-981.555463658886 265.219808617242 761.422334152298</t>
  </si>
  <si>
    <t>-859.916526237141 342.92244950799 826.642266568082</t>
  </si>
  <si>
    <t>-863.14906101567 -60.0656392673507 347.344055448037</t>
  </si>
  <si>
    <t>-869.005748799101 24.3633571364635 786.616959420034</t>
  </si>
  <si>
    <t>-764.504990370533 -71.8475817127216 856.690790765418</t>
  </si>
  <si>
    <t>9763-20170724T111216.083997600.bin</t>
  </si>
  <si>
    <t>-929.548909882358 127.791249130528 -488.427157819125</t>
  </si>
  <si>
    <t>-1042.03657155964 163.073700349335 -218.810887457536</t>
  </si>
  <si>
    <t>-839.408161449279 191.064504161089 -91.4960022550931</t>
  </si>
  <si>
    <t>-891.489578770015 77.7081168643485 -50.1885437483813</t>
  </si>
  <si>
    <t>-882.344661313478 221.223184370386 326.871781722284</t>
  </si>
  <si>
    <t>-981.77133229603 265.163574980055 761.342783128828</t>
  </si>
  <si>
    <t>-859.923754364296 342.591292827756 826.499259126964</t>
  </si>
  <si>
    <t>-863.915504709752 -59.7629026635996 347.3350393019</t>
  </si>
  <si>
    <t>-869.024554334337 24.4123204036114 786.673632558405</t>
  </si>
  <si>
    <t>-764.374272302228 -71.6461501850147 856.733719572833</t>
  </si>
  <si>
    <t>9763-20170724T111216.114086100.bin</t>
  </si>
  <si>
    <t>-929.612474049064 127.862454862138 -488.554476510795</t>
  </si>
  <si>
    <t>-1041.98132761777 163.081761897858 -218.880580798757</t>
  </si>
  <si>
    <t>-839.260662742847 190.863803236839 -91.6668215711503</t>
  </si>
  <si>
    <t>-891.510375852738 77.7103384115812 -50.2310012287634</t>
  </si>
  <si>
    <t>-882.25148238324 221.283518175976 326.804374003948</t>
  </si>
  <si>
    <t>-981.711126834162 265.014567832047 761.273154105042</t>
  </si>
  <si>
    <t>-860.075620369621 342.770433659267 826.435734281132</t>
  </si>
  <si>
    <t>-864.089557692288 -59.5941711321193 347.308106191536</t>
  </si>
  <si>
    <t>-868.974183411927 24.5331965092873 786.689470965097</t>
  </si>
  <si>
    <t>-764.422924645481 -71.6289679058125 856.755074131502</t>
  </si>
  <si>
    <t>9763-20170724T111216.183331000.bin</t>
  </si>
  <si>
    <t>-929.673268542945 127.773655123672 -488.808108829736</t>
  </si>
  <si>
    <t>-1041.92353461123 163.035593735631 -219.090647307033</t>
  </si>
  <si>
    <t>-838.977215562943 190.128775353528 -92.0880657687793</t>
  </si>
  <si>
    <t>-891.593421646453 77.7435983440573 -50.3579346551214</t>
  </si>
  <si>
    <t>-882.295030131533 221.263469365585 326.696727515656</t>
  </si>
  <si>
    <t>-981.745930094608 264.880565202799 761.149702570681</t>
  </si>
  <si>
    <t>-860.15862886767 342.687873606193 826.340476998865</t>
  </si>
  <si>
    <t>-864.094626098826 -59.3997249447768 347.235420438074</t>
  </si>
  <si>
    <t>-868.923926725002 24.6514894158927 786.687064523849</t>
  </si>
  <si>
    <t>-764.330517899056 -71.4679751930253 856.747846297007</t>
  </si>
  <si>
    <t>9763-20170724T111216.217389200.bin</t>
  </si>
  <si>
    <t>-929.636033500209 127.543485606628 -488.912532200543</t>
  </si>
  <si>
    <t>-1041.88123256105 163.037780882349 -219.223279222046</t>
  </si>
  <si>
    <t>-838.814203075335 189.634573411885 -92.3086487728408</t>
  </si>
  <si>
    <t>-891.599069270459 77.7038965943643 -50.4023416782071</t>
  </si>
  <si>
    <t>-882.3430341394 221.188110649415 326.666950201158</t>
  </si>
  <si>
    <t>-981.763417184233 264.809466792246 761.116792381154</t>
  </si>
  <si>
    <t>-860.226701976108 342.694946970621 826.308915147672</t>
  </si>
  <si>
    <t>-863.928230993706 -59.3698593556155 347.210549922247</t>
  </si>
  <si>
    <t>-868.874831751589 24.7492674073437 786.666536318021</t>
  </si>
  <si>
    <t>-764.237233465067 -71.3230528088191 856.726291639878</t>
  </si>
  <si>
    <t>9763-20170724T111216.278400800.bin</t>
  </si>
  <si>
    <t>-929.605879671436 127.026723641846 -489.193960970487</t>
  </si>
  <si>
    <t>-1041.7936175701 163.184668558592 -219.568734912504</t>
  </si>
  <si>
    <t>-838.565346543371 188.74721636506 -92.6999795498995</t>
  </si>
  <si>
    <t>-891.867642915213 77.6999354946315 -50.4662912271544</t>
  </si>
  <si>
    <t>-882.588571162693 221.206409235701 326.593954874582</t>
  </si>
  <si>
    <t>-981.910562508022 264.775490692709 761.066804463932</t>
  </si>
  <si>
    <t>-860.113801965613 342.236773364452 826.278813552612</t>
  </si>
  <si>
    <t>-863.80766976388 -59.2588743172755 347.173143625677</t>
  </si>
  <si>
    <t>-868.781851618126 24.9407646187965 786.628693381521</t>
  </si>
  <si>
    <t>-764.233081867719 -71.2224438151911 856.696445996123</t>
  </si>
  <si>
    <t>9763-20170724T111216.313495400.bin</t>
  </si>
  <si>
    <t>-929.581283581383 126.809448195202 -489.334056557227</t>
  </si>
  <si>
    <t>-1041.76291365978 163.429827214269 -219.768838877459</t>
  </si>
  <si>
    <t>-838.519153579112 188.448333814191 -92.8164784235391</t>
  </si>
  <si>
    <t>-891.873116536342 77.6047659442243 -50.5013473731423</t>
  </si>
  <si>
    <t>-882.571196419686 221.131332944954 326.550706593919</t>
  </si>
  <si>
    <t>-981.767436081866 264.576614157616 761.04284059701</t>
  </si>
  <si>
    <t>-860.324185492761 342.587838485065 826.259000155611</t>
  </si>
  <si>
    <t>-863.768394110165 -59.1478153686164 347.149633239046</t>
  </si>
  <si>
    <t>-868.707148231145 25.093413515413 786.615964962226</t>
  </si>
  <si>
    <t>-764.327008882606 -71.245266559032 856.693752318318</t>
  </si>
  <si>
    <t>9763-20170724T111216.383353500.bin</t>
  </si>
  <si>
    <t>-929.854860824786 126.713391059827 -489.488440681596</t>
  </si>
  <si>
    <t>-1042.04278240186 163.830390394745 -219.993773714146</t>
  </si>
  <si>
    <t>-838.885220973186 188.484806975459 -92.8319460919206</t>
  </si>
  <si>
    <t>-892.167674205729 77.6539757792925 -50.5460158290406</t>
  </si>
  <si>
    <t>-882.874452580624 221.153956330018 326.516337977367</t>
  </si>
  <si>
    <t>-982.02698518375 264.652408291316 761.01943029437</t>
  </si>
  <si>
    <t>-860.325211855659 342.260594338796 826.23435658284</t>
  </si>
  <si>
    <t>-863.929385092657 -58.9689915285137 347.108435225906</t>
  </si>
  <si>
    <t>-868.673745048965 25.1769689836633 786.601883876001</t>
  </si>
  <si>
    <t>-764.153278537024 -71.014907136881 856.672251221375</t>
  </si>
  <si>
    <t>9763-20170724T111216.415438500.bin</t>
  </si>
  <si>
    <t>-930.032561710011 126.686981952808 -489.5425550663</t>
  </si>
  <si>
    <t>-1042.26345124457 164.044616298048 -220.099056506874</t>
  </si>
  <si>
    <t>-839.196001483955 188.633025238895 -92.7807197683916</t>
  </si>
  <si>
    <t>-892.266427659887 77.6614875945879 -50.5561273556164</t>
  </si>
  <si>
    <t>-882.984733167342 221.169890130339 326.503369109163</t>
  </si>
  <si>
    <t>-982.161762013505 264.693772250954 761.013118726497</t>
  </si>
  <si>
    <t>-860.276479805237 342.012421389796 826.229212627902</t>
  </si>
  <si>
    <t>-864.003915769335 -58.9046857872966 347.095357743614</t>
  </si>
  <si>
    <t>-868.654420260951 25.2247376524651 786.596751226574</t>
  </si>
  <si>
    <t>-764.054872719442 -70.8824771128379 856.665322043686</t>
  </si>
  <si>
    <t>9763-20170724T111216.482625800.bin</t>
  </si>
  <si>
    <t>-930.470349922942 126.676752048085 -489.55950811551</t>
  </si>
  <si>
    <t>-1042.7607114748 164.382553869991 -220.189141904815</t>
  </si>
  <si>
    <t>-839.678439781069 189.095788603093 -92.9185388430757</t>
  </si>
  <si>
    <t>-892.345068753731 77.5154880642212 -50.5036918831582</t>
  </si>
  <si>
    <t>-882.99471820206 221.012395287863 326.558451259963</t>
  </si>
  <si>
    <t>-982.175785968176 264.544858391948 761.053562423241</t>
  </si>
  <si>
    <t>-860.439681051839 342.09791967679 826.270341516008</t>
  </si>
  <si>
    <t>-864.08965368919 -58.7896955744432 347.042703123105</t>
  </si>
  <si>
    <t>-868.599289772181 25.3479850807908 786.578047800002</t>
  </si>
  <si>
    <t>-764.069468409319 -70.830444619957 856.653300158892</t>
  </si>
  <si>
    <t>9763-20170724T111216.514710100.bin</t>
  </si>
  <si>
    <t>-930.828219658047 126.669644681557 -489.476086863038</t>
  </si>
  <si>
    <t>-1043.13334806853 164.774590959621 -220.168219643002</t>
  </si>
  <si>
    <t>-840.053883916234 189.204074336326 -92.8386033996222</t>
  </si>
  <si>
    <t>-892.445434255832 77.470306493487 -50.4244291940776</t>
  </si>
  <si>
    <t>-883.046327911339 220.96933883964 326.635836240793</t>
  </si>
  <si>
    <t>-982.22077747285 264.499512063482 761.107465992568</t>
  </si>
  <si>
    <t>-860.362454547294 341.864384484752 826.319047529219</t>
  </si>
  <si>
    <t>-864.074847591517 -58.7334064673501 347.023461895632</t>
  </si>
  <si>
    <t>-868.547280574644 25.4523530055444 786.566542657246</t>
  </si>
  <si>
    <t>-764.10073204352 -70.8121800334022 856.647440562179</t>
  </si>
  <si>
    <t>9763-20170724T111216.583465200.bin</t>
  </si>
  <si>
    <t>-931.320157023684 126.501436642676 -489.224357358242</t>
  </si>
  <si>
    <t>-1043.66224454094 165.090433215781 -220.000812850127</t>
  </si>
  <si>
    <t>-840.599847395526 189.104884570403 -92.5651060022205</t>
  </si>
  <si>
    <t>-892.561947915568 77.2036018745303 -50.222877919176</t>
  </si>
  <si>
    <t>-883.070830526078 220.891370944842 326.763098391962</t>
  </si>
  <si>
    <t>-982.249980107664 264.345455626905 761.217804147146</t>
  </si>
  <si>
    <t>-860.397326476719 341.740606751245 826.403763112079</t>
  </si>
  <si>
    <t>-863.976169047595 -58.7036311828908 347.015071692577</t>
  </si>
  <si>
    <t>-868.468122714539 25.6090014501865 786.550200967972</t>
  </si>
  <si>
    <t>-764.08622696012 -70.7238005063516 856.63378369343</t>
  </si>
  <si>
    <t>9763-20170724T111216.616552700.bin</t>
  </si>
  <si>
    <t>-931.665080263167 126.301283380377 -489.086948080876</t>
  </si>
  <si>
    <t>-1043.94140572496 164.937375526531 -219.84253711799</t>
  </si>
  <si>
    <t>-840.873121260427 188.797665987275 -92.3872057579704</t>
  </si>
  <si>
    <t>-892.626318669802 77.0428761486346 -50.1242749296047</t>
  </si>
  <si>
    <t>-883.083321261697 220.838944157537 326.819063137206</t>
  </si>
  <si>
    <t>-982.289193063419 264.280953582887 761.274126875828</t>
  </si>
  <si>
    <t>-860.511079345132 341.800305553532 826.45180065773</t>
  </si>
  <si>
    <t>-863.939641614708 -58.7801879422314 347.021834401366</t>
  </si>
  <si>
    <t>-868.483138168963 25.5844305657733 786.548782579221</t>
  </si>
  <si>
    <t>-763.909523347651 -70.5497315580012 856.619650481183</t>
  </si>
  <si>
    <t>9763-20170724T111216.681729000.bin</t>
  </si>
  <si>
    <t>-932.46082693628 126.090743728134 -488.815749724194</t>
  </si>
  <si>
    <t>-1044.58193823626 164.788153852151 -219.515580301049</t>
  </si>
  <si>
    <t>-841.447188531446 188.142107253494 -92.0722032060545</t>
  </si>
  <si>
    <t>-892.804938235185 76.7471175175629 -49.9921754941332</t>
  </si>
  <si>
    <t>-883.129873438504 220.763792429749 326.863516183719</t>
  </si>
  <si>
    <t>-982.228713706276 264.05051495821 761.356965209488</t>
  </si>
  <si>
    <t>-860.615155903321 341.843538878602 826.515739780452</t>
  </si>
  <si>
    <t>-863.992965653764 -58.7691918737646 347.046826929037</t>
  </si>
  <si>
    <t>-868.415083908356 25.7147184600203 786.551127573822</t>
  </si>
  <si>
    <t>-763.892607438779 -70.4728466944373 856.62479397282</t>
  </si>
  <si>
    <t>9763-20170724T111216.714819000.bin</t>
  </si>
  <si>
    <t>-932.99719494051 126.178201930569 -488.706285064285</t>
  </si>
  <si>
    <t>-1044.96684822767 164.882496305087 -219.344254200423</t>
  </si>
  <si>
    <t>-841.774792002568 187.986771745319 -91.9472451664482</t>
  </si>
  <si>
    <t>-892.961183096115 76.6990500844031 -49.9768065268223</t>
  </si>
  <si>
    <t>-883.227334305315 220.737257883289 326.869218920224</t>
  </si>
  <si>
    <t>-982.246583334703 263.979311201354 761.380572108231</t>
  </si>
  <si>
    <t>-860.569503488578 341.685627103597 826.52413533158</t>
  </si>
  <si>
    <t>-864.114098698803 -58.7241121552788 347.063704502756</t>
  </si>
  <si>
    <t>-868.396392109363 25.7488502869687 786.56079787001</t>
  </si>
  <si>
    <t>-763.797217605952 -70.3577852054493 856.631219388859</t>
  </si>
  <si>
    <t>9763-20170724T111216.784995500.bin</t>
  </si>
  <si>
    <t>-934.028314661889 126.360140375106 -488.550194104707</t>
  </si>
  <si>
    <t>-1045.72621029874 165.049253209763 -219.073274635115</t>
  </si>
  <si>
    <t>-842.411337705655 187.591941931579 -91.7713124304618</t>
  </si>
  <si>
    <t>-893.537731894026 76.5904956285567 -49.9584700424932</t>
  </si>
  <si>
    <t>-883.581973236014 220.706775964828 326.851870814553</t>
  </si>
  <si>
    <t>-982.416411853437 263.967413160192 761.425948219857</t>
  </si>
  <si>
    <t>-860.608037481945 341.493753129242 826.538932369559</t>
  </si>
  <si>
    <t>-864.402424997614 -58.5835800764526 347.081650397196</t>
  </si>
  <si>
    <t>-868.372729904318 25.8030886546117 786.578631231654</t>
  </si>
  <si>
    <t>-763.761269784747 -70.2890224170581 856.650170331804</t>
  </si>
  <si>
    <t>9763-20170724T111216.811063400.bin</t>
  </si>
  <si>
    <t>-934.552826841613 126.374707706299 -488.4867705795</t>
  </si>
  <si>
    <t>-1046.14781336047 165.054883240096 -218.965700359355</t>
  </si>
  <si>
    <t>-842.76030797267 187.250908527586 -91.7189649759384</t>
  </si>
  <si>
    <t>-893.781329532327 76.513328099672 -49.9583986160848</t>
  </si>
  <si>
    <t>-883.702745718436 220.702138153465 326.820893768505</t>
  </si>
  <si>
    <t>-982.444784450249 263.916684177446 761.433683823429</t>
  </si>
  <si>
    <t>-860.645619905389 341.463853077872 826.539284073266</t>
  </si>
  <si>
    <t>-864.498901382007 -58.5372028026625 347.082789719124</t>
  </si>
  <si>
    <t>-868.34971647653 25.8452455651068 786.583357543345</t>
  </si>
  <si>
    <t>-763.709913673284 -70.2161676141516 856.654819685914</t>
  </si>
  <si>
    <t>9763-20170724T111216.881163700.bin</t>
  </si>
  <si>
    <t>-935.428197618294 126.379054062884 -488.356344872454</t>
  </si>
  <si>
    <t>-1046.9376113198 165.082225305177 -218.803149256033</t>
  </si>
  <si>
    <t>-843.744332472501 186.185718751689 -91.0614777684959</t>
  </si>
  <si>
    <t>-894.258819417898 76.5006593420508 -49.9658408962501</t>
  </si>
  <si>
    <t>-884.045994154222 220.862013443153 326.743763452485</t>
  </si>
  <si>
    <t>-982.704184125636 263.997912349259 761.420857039304</t>
  </si>
  <si>
    <t>-860.545204273468 340.97932348319 826.523136960713</t>
  </si>
  <si>
    <t>-864.619873641547 -58.4694649171438 347.103079426463</t>
  </si>
  <si>
    <t>-868.322081343511 25.9155828874227 786.598513263471</t>
  </si>
  <si>
    <t>-763.629127543459 -70.0878883172613 856.669859397487</t>
  </si>
  <si>
    <t>9763-20170724T111216.913250100.bin</t>
  </si>
  <si>
    <t>-935.693985120944 126.317525925911 -488.278844648548</t>
  </si>
  <si>
    <t>-1047.36368496506 164.960923916045 -218.783589416993</t>
  </si>
  <si>
    <t>-844.347223375348 185.382053128744 -90.6502776532461</t>
  </si>
  <si>
    <t>-894.285949923272 76.3384400400237 -49.9781603018672</t>
  </si>
  <si>
    <t>-884.0448890266 220.770469881774 326.703623845138</t>
  </si>
  <si>
    <t>-982.564181542612 263.813391903706 761.407793257839</t>
  </si>
  <si>
    <t>-860.704358841374 341.268783958807 826.508695917082</t>
  </si>
  <si>
    <t>-864.627144730712 -58.4508994299099 347.109416963865</t>
  </si>
  <si>
    <t>-868.284574494841 25.9908287069657 786.600230102351</t>
  </si>
  <si>
    <t>-763.609173867235 -70.0313790815476 856.672366354152</t>
  </si>
  <si>
    <t>9763-20170724T111216.983999900.bin</t>
  </si>
  <si>
    <t>-936.45823707551 126.306378483042 -488.156321992308</t>
  </si>
  <si>
    <t>-1048.73475014956 164.413853205916 -218.836809547389</t>
  </si>
  <si>
    <t>-845.717622517451 184.012363619778 -90.5763473328847</t>
  </si>
  <si>
    <t>-894.546258211951 76.1113377985835 -49.9794039698486</t>
  </si>
  <si>
    <t>-884.206004630671 220.710617876595 326.635512239475</t>
  </si>
  <si>
    <t>-982.594024099463 263.720291217659 761.387000953736</t>
  </si>
  <si>
    <t>-860.761815306795 341.226520495646 826.479307689384</t>
  </si>
  <si>
    <t>-864.695609000261 -58.3603921143863 347.089317719572</t>
  </si>
  <si>
    <t>-868.205796678545 26.1477931753238 786.593882287656</t>
  </si>
  <si>
    <t>-763.664408848871 -70.0129320988738 856.676133148285</t>
  </si>
  <si>
    <t>9763-20170724T111217.016084600.bin</t>
  </si>
  <si>
    <t>-936.982410010367 126.383765330534 -488.078804695676</t>
  </si>
  <si>
    <t>-1049.44175055135 164.107542290483 -218.781413057319</t>
  </si>
  <si>
    <t>-846.422366365708 183.518541069484 -90.4956202324607</t>
  </si>
  <si>
    <t>-894.71140533332 75.9790948450341 -49.964601373326</t>
  </si>
  <si>
    <t>-884.296296800537 220.618351987986 326.632916819347</t>
  </si>
  <si>
    <t>-982.616124773555 263.680080053497 761.389281755431</t>
  </si>
  <si>
    <t>-860.890748664596 341.35274987588 826.483071935681</t>
  </si>
  <si>
    <t>-864.800591505737 -58.335056773587 347.067014986359</t>
  </si>
  <si>
    <t>-868.197017804534 26.1792001758904 786.593923721016</t>
  </si>
  <si>
    <t>-763.565173409418 -69.8889667973951 856.667827632474</t>
  </si>
  <si>
    <t>9763-20170724T111217.078284500.bin</t>
  </si>
  <si>
    <t>-938.110519355363 126.714439057956 -487.843537881212</t>
  </si>
  <si>
    <t>-1050.72873040212 164.127712904599 -218.569302652651</t>
  </si>
  <si>
    <t>-847.635848519093 183.240586397304 -90.3552855294985</t>
  </si>
  <si>
    <t>-895.199176731476 75.8119380585358 -49.9202012561005</t>
  </si>
  <si>
    <t>-884.652597588631 220.496396987673 326.65622472655</t>
  </si>
  <si>
    <t>-982.701705222974 263.636326330598 761.435691317345</t>
  </si>
  <si>
    <t>-860.88050139307 341.172660654323 826.512455199645</t>
  </si>
  <si>
    <t>-865.084820037642 -58.2273550136113 347.039862311106</t>
  </si>
  <si>
    <t>-868.142440373434 26.3029496495078 786.586872755327</t>
  </si>
  <si>
    <t>-763.600245385053 -69.8604419431385 856.664374437457</t>
  </si>
  <si>
    <t>9763-20170724T111217.116386900.bin</t>
  </si>
  <si>
    <t>-938.672647034085 126.816803220907 -487.726450494605</t>
  </si>
  <si>
    <t>-1051.30029169672 164.060127656541 -218.4325863287</t>
  </si>
  <si>
    <t>-848.117888601686 183.169053199987 -90.3599099921958</t>
  </si>
  <si>
    <t>-895.402521732496 75.6631415385673 -49.8818504851359</t>
  </si>
  <si>
    <t>-884.797359331175 220.448549424857 326.654142806071</t>
  </si>
  <si>
    <t>-982.616366210661 263.507749445243 761.457336817386</t>
  </si>
  <si>
    <t>-860.81567065381 341.081537300497 826.528389561487</t>
  </si>
  <si>
    <t>-865.277933688261 -58.1991527141111 347.023745819751</t>
  </si>
  <si>
    <t>-868.13950211073 26.3109452330991 786.584772723236</t>
  </si>
  <si>
    <t>-763.50492214969 -69.7560862674268 856.656279612847</t>
  </si>
  <si>
    <t>9763-20170724T111217.180272400.bin</t>
  </si>
  <si>
    <t>-939.759204261776 126.927849328635 -487.510244077611</t>
  </si>
  <si>
    <t>-1052.44564874983 163.83020891929 -218.194027843152</t>
  </si>
  <si>
    <t>-848.63425281376 183.538088319194 -91.2161017852553</t>
  </si>
  <si>
    <t>-895.983253874822 75.4422791725383 -49.8440705937154</t>
  </si>
  <si>
    <t>-885.175204100766 220.374758718697 326.629682517681</t>
  </si>
  <si>
    <t>-982.720751568343 263.513847222596 761.482201870322</t>
  </si>
  <si>
    <t>-860.908296493923 341.043134258048 826.583303185092</t>
  </si>
  <si>
    <t>-865.687143406265 -58.1931037649813 347.005335673855</t>
  </si>
  <si>
    <t>-868.17624032663 26.2521282569578 786.594067173148</t>
  </si>
  <si>
    <t>-763.347680271702 -69.6130691303295 856.652203983913</t>
  </si>
  <si>
    <t>9763-20170724T111217.213359100.bin</t>
  </si>
  <si>
    <t>-940.19927337915 127.056276390917 -487.403433943286</t>
  </si>
  <si>
    <t>-1053.16463617734 163.572826710582 -218.151502889028</t>
  </si>
  <si>
    <t>-848.72793840474 184.111616546259 -92.3155244834818</t>
  </si>
  <si>
    <t>-896.230613246724 75.319556752695 -49.8275440734286</t>
  </si>
  <si>
    <t>-885.374406494111 220.255907305133 326.643210002469</t>
  </si>
  <si>
    <t>-982.693915972595 263.421574028329 761.533534672136</t>
  </si>
  <si>
    <t>-860.977397437865 341.113122385955 826.621656248354</t>
  </si>
  <si>
    <t>-865.878932965828 -58.145419894995 346.992851486805</t>
  </si>
  <si>
    <t>-868.121344679386 26.3545716642957 786.594191725724</t>
  </si>
  <si>
    <t>-763.37286100168 -69.5976619328169 856.653444642453</t>
  </si>
  <si>
    <t>9763-20170724T111217.279083100.bin</t>
  </si>
  <si>
    <t>-940.993308063725 127.243535321223 -487.219835946203</t>
  </si>
  <si>
    <t>-1054.71306328101 162.750772514449 -218.150515369911</t>
  </si>
  <si>
    <t>-848.75601432743 184.494391388172 -95.0252521521014</t>
  </si>
  <si>
    <t>-896.749781778118 74.7684778507169 -49.6242854599871</t>
  </si>
  <si>
    <t>-885.579033207376 219.585320582949 326.883296770901</t>
  </si>
  <si>
    <t>-982.560121330784 262.923150409687 761.876964271592</t>
  </si>
  <si>
    <t>-861.023684707155 340.98156616015 826.862359763116</t>
  </si>
  <si>
    <t>-866.438922871791 -58.1385298268106 346.985248683313</t>
  </si>
  <si>
    <t>-868.127748687827 26.344430052683 786.617083319398</t>
  </si>
  <si>
    <t>-763.365786212687 -69.5965156435479 856.671225532746</t>
  </si>
  <si>
    <t>9763-20170724T111217.317184500.bin</t>
  </si>
  <si>
    <t>-941.300434109142 127.046913280422 -487.085910681022</t>
  </si>
  <si>
    <t>-1055.40669676583 162.28455847236 -218.144953350535</t>
  </si>
  <si>
    <t>-848.789775349714 184.274512531026 -96.1747217659714</t>
  </si>
  <si>
    <t>-897.147873242105 74.1386716604061 -49.3817329879263</t>
  </si>
  <si>
    <t>-885.410731677186 218.591281804015 327.248432705288</t>
  </si>
  <si>
    <t>-982.315582595718 262.266122136346 762.284991738807</t>
  </si>
  <si>
    <t>-860.751058601723 340.390958806686 827.137787372041</t>
  </si>
  <si>
    <t>-866.855856202962 -58.2844393657799 347.021645423354</t>
  </si>
  <si>
    <t>-868.170014561155 26.2530693954036 786.65432160053</t>
  </si>
  <si>
    <t>-763.202606898194 -69.4721877796337 856.695679801558</t>
  </si>
  <si>
    <t>9763-20170724T111217.380770200.bin</t>
  </si>
  <si>
    <t>-942.181764935438 126.910771626665 -487.002430092874</t>
  </si>
  <si>
    <t>-1056.81840738493 161.742836064861 -218.234026864939</t>
  </si>
  <si>
    <t>-848.951037462037 184.041348777185 -98.4644325932084</t>
  </si>
  <si>
    <t>-898.519488738985 73.2619940713184 -49.1507580394223</t>
  </si>
  <si>
    <t>-885.395010599796 217.060846494714 327.683860702248</t>
  </si>
  <si>
    <t>-982.064193156596 261.565265929041 762.615310185706</t>
  </si>
  <si>
    <t>-860.589273941503 339.997842166083 827.26411076231</t>
  </si>
  <si>
    <t>-868.096196115774 -58.3688418175718 347.063625349611</t>
  </si>
  <si>
    <t>-868.104184734549 26.250291743228 786.686765692112</t>
  </si>
  <si>
    <t>-763.220740151693 -69.5051696497269 856.812932957598</t>
  </si>
  <si>
    <t>9763-20170724T111217.412853800.bin</t>
  </si>
  <si>
    <t>-942.272147747207 127.147537079692 -487.065531533821</t>
  </si>
  <si>
    <t>-1057.09703669034 161.6475465395 -218.33473784919</t>
  </si>
  <si>
    <t>-848.593526257506 184.212366583839 -99.7261258513171</t>
  </si>
  <si>
    <t>-898.703892512142 73.2764312414315 -49.1587788818304</t>
  </si>
  <si>
    <t>-885.532603405913 217.179089177557 327.634526975011</t>
  </si>
  <si>
    <t>-982.214240880453 261.618476850164 762.548434974721</t>
  </si>
  <si>
    <t>-860.637756798493 339.916786690454 827.169114694093</t>
  </si>
  <si>
    <t>-868.675010039681 -58.1917937750968 347.027357053972</t>
  </si>
  <si>
    <t>-868.078501185246 26.2395802814053 786.701692560794</t>
  </si>
  <si>
    <t>-763.3022214366 -69.5988555388412 856.87429152757</t>
  </si>
  <si>
    <t>9763-20170724T111217.483047500.bin</t>
  </si>
  <si>
    <t>-942.252514031751 127.646001743231 -487.167334089342</t>
  </si>
  <si>
    <t>-1057.36423140891 161.536825454782 -218.481900508242</t>
  </si>
  <si>
    <t>-847.652927697939 184.50581793452 -102.101099526775</t>
  </si>
  <si>
    <t>-899.037645794475 73.2046082022448 -49.2601525555643</t>
  </si>
  <si>
    <t>-885.671468255078 217.224864546877 327.481381171076</t>
  </si>
  <si>
    <t>-982.136944164806 261.499656752203 762.398481688518</t>
  </si>
  <si>
    <t>-860.630184863221 339.930666321284 826.98945479113</t>
  </si>
  <si>
    <t>-869.553873829967 -57.9650275612601 346.949593242186</t>
  </si>
  <si>
    <t>-868.022580176817 26.2673180479933 786.72840015301</t>
  </si>
  <si>
    <t>-763.337899933927 -69.6448677250214 856.937320608773</t>
  </si>
  <si>
    <t>9763-20170724T111217.514129700.bin</t>
  </si>
  <si>
    <t>-942.11507603123 127.817516222807 -487.218598241002</t>
  </si>
  <si>
    <t>-1057.21110163193 161.546669543164 -218.506063093998</t>
  </si>
  <si>
    <t>-847.224970222311 184.706147187675 -102.660007172831</t>
  </si>
  <si>
    <t>-898.943036390912 73.0967021600891 -49.2961345730577</t>
  </si>
  <si>
    <t>-885.653584760601 217.207218675496 327.413559780633</t>
  </si>
  <si>
    <t>-982.011456913517 261.342466324566 762.345915589543</t>
  </si>
  <si>
    <t>-860.663461493164 340.045928297407 826.903567487346</t>
  </si>
  <si>
    <t>-869.737840617237 -57.9991722494672 346.930341733025</t>
  </si>
  <si>
    <t>-868.056225131827 26.1269383091894 786.728100250928</t>
  </si>
  <si>
    <t>-763.139964807007 -69.531132751018 856.938259413655</t>
  </si>
  <si>
    <t>9763-20170724T111217.582349800.bin</t>
  </si>
  <si>
    <t>-941.914386921435 127.640095020739 -487.206495652744</t>
  </si>
  <si>
    <t>-1056.6582538296 161.034632961541 -218.301507619037</t>
  </si>
  <si>
    <t>-846.798998876118 185.282785170813 -102.44821069733</t>
  </si>
  <si>
    <t>-899.031810852772 72.6313907397407 -49.2405593360626</t>
  </si>
  <si>
    <t>-885.338452804705 216.565547660216 327.522066878495</t>
  </si>
  <si>
    <t>-981.889290256832 260.859305618492 762.526480868124</t>
  </si>
  <si>
    <t>-860.635418852448 339.853752207753 826.905778512612</t>
  </si>
  <si>
    <t>-869.620028251904 -58.1030005467546 346.915991823656</t>
  </si>
  <si>
    <t>-867.956735560446 26.1534847274233 786.716805275525</t>
  </si>
  <si>
    <t>-763.077125624464 -69.5241288843336 856.954424122607</t>
  </si>
  <si>
    <t>9763-20170724T111217.616437300.bin</t>
  </si>
  <si>
    <t>-942.099151453917 127.412235995922 -487.116769764197</t>
  </si>
  <si>
    <t>-1056.54283885832 160.652605944524 -218.064925448599</t>
  </si>
  <si>
    <t>-846.821845752761 185.531953122444 -102.095382132981</t>
  </si>
  <si>
    <t>-899.269622640678 72.2572717090579 -49.1182850985988</t>
  </si>
  <si>
    <t>-885.09089528394 215.875386811046 327.747014329075</t>
  </si>
  <si>
    <t>-981.867765918724 260.5384465427 762.722866064838</t>
  </si>
  <si>
    <t>-860.602198498036 339.609248352454 826.98611745438</t>
  </si>
  <si>
    <t>-869.554953582039 -58.281116725494 346.941952578608</t>
  </si>
  <si>
    <t>-867.925775467041 26.1482352593357 786.72626754806</t>
  </si>
  <si>
    <t>-763.072718605835 -69.5590523722813 856.963014829015</t>
  </si>
  <si>
    <t>9763-20170724T111217.680286500.bin</t>
  </si>
  <si>
    <t>-942.582158349642 126.954617745373 -486.888221554881</t>
  </si>
  <si>
    <t>-1056.36743546265 160.018431800921 -217.535447695442</t>
  </si>
  <si>
    <t>-846.874988788036 185.969722671829 -101.387802877981</t>
  </si>
  <si>
    <t>-899.488522327182 71.4453011682526 -48.7929976357862</t>
  </si>
  <si>
    <t>-884.308574295782 214.287260549151 328.328178502716</t>
  </si>
  <si>
    <t>-981.709988639959 259.716971823769 763.148691634442</t>
  </si>
  <si>
    <t>-860.576339352553 339.215154897061 827.13269690875</t>
  </si>
  <si>
    <t>-869.641871848513 -58.6225342197347 347.059744261157</t>
  </si>
  <si>
    <t>-867.852559170027 26.178007836329 786.772824651578</t>
  </si>
  <si>
    <t>-763.081381607332 -69.6243423185276 857.002499295343</t>
  </si>
  <si>
    <t>9763-20170724T111217.716382100.bin</t>
  </si>
  <si>
    <t>-942.776807013618 126.947089775396 -486.826865658364</t>
  </si>
  <si>
    <t>-1056.24432632741 160.079339152965 -217.348434447495</t>
  </si>
  <si>
    <t>-846.803105143495 186.448077056385 -101.202531613561</t>
  </si>
  <si>
    <t>-899.547442508128 71.2426124996532 -48.6925221549676</t>
  </si>
  <si>
    <t>-883.81708683666 213.711499671541 328.547246743149</t>
  </si>
  <si>
    <t>-981.678140140439 259.415920489183 763.246999235221</t>
  </si>
  <si>
    <t>-860.566577211643 339.040217658995 827.1162526907</t>
  </si>
  <si>
    <t>-869.759485988886 -58.7171192246894 347.114852210837</t>
  </si>
  <si>
    <t>-867.81506690388 26.1769333548555 786.796740673422</t>
  </si>
  <si>
    <t>-763.045924798221 -69.6215411437186 857.034978872361</t>
  </si>
  <si>
    <t>9763-20170724T111217.781566300.bin</t>
  </si>
  <si>
    <t>-942.771822913274 127.353198296635 -486.846850493212</t>
  </si>
  <si>
    <t>-1055.73450885286 160.63545255118 -217.175171245505</t>
  </si>
  <si>
    <t>-846.685235636609 187.533699600314 -100.445817317238</t>
  </si>
  <si>
    <t>-899.168703972843 71.3000049596694 -48.6808883447942</t>
  </si>
  <si>
    <t>-883.13214438061 213.760698535657 328.549053049989</t>
  </si>
  <si>
    <t>-981.771130951547 259.327776208595 763.012826016988</t>
  </si>
  <si>
    <t>-860.374723284075 338.558763269329 826.830068137205</t>
  </si>
  <si>
    <t>-869.685740936259 -58.6713763203138 347.128691687217</t>
  </si>
  <si>
    <t>-867.715626230603 26.2308851759217 786.813154954509</t>
  </si>
  <si>
    <t>-763.123976877139 -69.7346994265552 857.087869210863</t>
  </si>
  <si>
    <t>9763-20170724T111217.814657300.bin</t>
  </si>
  <si>
    <t>-942.468178470829 127.53626177393 -486.849955811566</t>
  </si>
  <si>
    <t>-1055.14335217629 161.047548990773 -217.086150370754</t>
  </si>
  <si>
    <t>-846.390767308009 187.765478902964 -99.7856755707791</t>
  </si>
  <si>
    <t>-898.8066526994 71.4818239219103 -48.7637724687947</t>
  </si>
  <si>
    <t>-882.834756101717 213.931914251305 328.472902509789</t>
  </si>
  <si>
    <t>-981.868733243228 259.410317983868 762.845756546947</t>
  </si>
  <si>
    <t>-860.480582130826 338.65059023642 826.6674857485</t>
  </si>
  <si>
    <t>-869.520701951033 -58.7526676734763 347.1085370421</t>
  </si>
  <si>
    <t>-867.739180269572 26.1372672443867 786.813712879346</t>
  </si>
  <si>
    <t>-763.026357249006 -69.7012224141927 857.080859361148</t>
  </si>
  <si>
    <t>9763-20170724T111217.879846700.bin</t>
  </si>
  <si>
    <t>-941.506515910174 128.005861974124 -486.919825434688</t>
  </si>
  <si>
    <t>-1053.64169912832 161.855797311151 -216.973370696231</t>
  </si>
  <si>
    <t>-844.975989698956 188.137037434684 -99.4201522554852</t>
  </si>
  <si>
    <t>-897.970386414695 71.9421348342457 -48.9774837715373</t>
  </si>
  <si>
    <t>-882.467923861994 214.330708427661 328.302021110888</t>
  </si>
  <si>
    <t>-981.971342561143 259.544660408358 762.547016353174</t>
  </si>
  <si>
    <t>-860.523945368865 338.724050057206 826.331572189566</t>
  </si>
  <si>
    <t>-869.068050976878 -58.7264852142398 347.050478439711</t>
  </si>
  <si>
    <t>-867.696207767222 26.1396810469109 786.784073629847</t>
  </si>
  <si>
    <t>-763.188628981451 -69.9230941725455 857.051246226612</t>
  </si>
  <si>
    <t>9763-20170724T111217.912924600.bin</t>
  </si>
  <si>
    <t>-941.006979817015 128.233465927075 -486.99916229156</t>
  </si>
  <si>
    <t>-1052.92566883331 162.006492682274 -216.953319092078</t>
  </si>
  <si>
    <t>-844.237290618906 188.321460465548 -99.4480838711613</t>
  </si>
  <si>
    <t>-897.575213873067 72.1853317231589 -49.0830613152339</t>
  </si>
  <si>
    <t>-882.221752369661 214.566056649885 328.205568161524</t>
  </si>
  <si>
    <t>-982.027261904818 259.624661853534 762.401346815202</t>
  </si>
  <si>
    <t>-860.538390918321 338.752170999148 826.170970415157</t>
  </si>
  <si>
    <t>-868.926674731503 -58.6832635778148 347.015465242855</t>
  </si>
  <si>
    <t>-867.6911451205 26.1030673352402 786.765157564863</t>
  </si>
  <si>
    <t>-763.092233318928 -69.8640986986438 857.026484003321</t>
  </si>
  <si>
    <t>9763-20170724T111217.983116600.bin</t>
  </si>
  <si>
    <t>-940.180506357877 128.572237843163 -487.126236823533</t>
  </si>
  <si>
    <t>-1051.94163637293 162.196925935895 -216.996628859689</t>
  </si>
  <si>
    <t>-843.763312511617 188.891095681978 -98.6744165940231</t>
  </si>
  <si>
    <t>-897.156417547071 72.4011486036866 -49.1934999007329</t>
  </si>
  <si>
    <t>-881.568547083361 214.726263056276 328.106379132106</t>
  </si>
  <si>
    <t>-982.068000976822 259.676052902816 762.198740864613</t>
  </si>
  <si>
    <t>-860.625618831117 338.889860451422 825.950001716599</t>
  </si>
  <si>
    <t>-868.697755406141 -58.6975847647504 346.965296803039</t>
  </si>
  <si>
    <t>-867.635287147713 26.1449245830795 786.739068773248</t>
  </si>
  <si>
    <t>-763.09505815625 -69.8914925535353 856.993403455331</t>
  </si>
  <si>
    <t>9763-20170724T111218.016207300.bin</t>
  </si>
  <si>
    <t>-939.797176885055 128.720855861613 -487.162564021333</t>
  </si>
  <si>
    <t>-1051.77507714423 162.345077422397 -217.122504200503</t>
  </si>
  <si>
    <t>-844.025459904623 189.228231926213 -98.0917211654081</t>
  </si>
  <si>
    <t>-896.971809730674 72.5228232700383 -49.219109905466</t>
  </si>
  <si>
    <t>-881.299896839564 214.796881121708 328.096611877265</t>
  </si>
  <si>
    <t>-982.236305841167 259.825978544304 762.111807773671</t>
  </si>
  <si>
    <t>-860.681473765259 338.863864279728 825.867126147693</t>
  </si>
  <si>
    <t>-868.618605795916 -58.7593750479407 346.961718114601</t>
  </si>
  <si>
    <t>-867.630728556138 26.1261441405672 786.733014536502</t>
  </si>
  <si>
    <t>-763.032514886473 -69.8596787713709 856.969678233325</t>
  </si>
  <si>
    <t>9763-20170724T111218.079310300.bin</t>
  </si>
  <si>
    <t>-939.03697447799 129.036015166216 -487.209405769102</t>
  </si>
  <si>
    <t>-1051.41436803591 162.677222000182 -217.337729056488</t>
  </si>
  <si>
    <t>-844.3571512058 189.495252039535 -97.0923393279616</t>
  </si>
  <si>
    <t>-896.495711601001 72.7720584465728 -49.2702374528728</t>
  </si>
  <si>
    <t>-880.902753683584 214.919617061614 328.096416185052</t>
  </si>
  <si>
    <t>-982.281866245366 259.868672852934 761.97634696601</t>
  </si>
  <si>
    <t>-860.498580773368 338.553417769594 825.732250104041</t>
  </si>
  <si>
    <t>-868.489141945709 -58.8560017248358 346.974092755083</t>
  </si>
  <si>
    <t>-867.673629807735 26.032030038954 786.744050378834</t>
  </si>
  <si>
    <t>-763.077703923125 -69.9926175955172 856.931252358744</t>
  </si>
  <si>
    <t>9763-20170724T111218.117410900.bin</t>
  </si>
  <si>
    <t>-938.662200789119 129.134243998441 -487.225998902833</t>
  </si>
  <si>
    <t>-1051.1197900306 162.6618446477 -217.373549352272</t>
  </si>
  <si>
    <t>-844.235343603833 189.474321526277 -96.8302795160771</t>
  </si>
  <si>
    <t>-896.141265209556 72.8404072984495 -49.2994416975752</t>
  </si>
  <si>
    <t>-880.658048984735 214.949639782901 328.086216317256</t>
  </si>
  <si>
    <t>-982.223198177473 259.830675072611 761.904061679222</t>
  </si>
  <si>
    <t>-860.6937293678 338.915446611393 825.649072322461</t>
  </si>
  <si>
    <t>-868.382891712719 -58.8948738942306 346.986296256072</t>
  </si>
  <si>
    <t>-867.671057578962 26.000120917854 786.739814042801</t>
  </si>
  <si>
    <t>-763.056072159302 -70.0119895421051 856.916065210943</t>
  </si>
  <si>
    <t>9763-20170724T111218.182122200.bin</t>
  </si>
  <si>
    <t>-938.169847167198 129.247251524413 -487.272963756846</t>
  </si>
  <si>
    <t>-1050.69893682907 162.422513032327 -217.406604262758</t>
  </si>
  <si>
    <t>-843.871066491308 189.119826037703 -96.7402136614635</t>
  </si>
  <si>
    <t>-895.837550205449 72.9999401799382 -49.3716793989848</t>
  </si>
  <si>
    <t>-880.422346936187 215.012554981884 328.053107803815</t>
  </si>
  <si>
    <t>-982.361778638826 259.962213701664 761.791117494138</t>
  </si>
  <si>
    <t>-860.739364711734 338.915193386043 825.522211082076</t>
  </si>
  <si>
    <t>-868.014676743909 -58.9380517499355 346.944916139183</t>
  </si>
  <si>
    <t>-867.612592917057 26.0100445787198 786.695521474561</t>
  </si>
  <si>
    <t>-762.985078433559 -69.9790216364249 856.884452757006</t>
  </si>
  <si>
    <t>9763-20170724T111218.214219500.bin</t>
  </si>
  <si>
    <t>-937.988174738537 129.384302376119 -487.254800250646</t>
  </si>
  <si>
    <t>-1050.59763224617 162.462230007695 -217.410014044296</t>
  </si>
  <si>
    <t>-843.525069037679 188.763090239363 -97.0772106167921</t>
  </si>
  <si>
    <t>-895.720513811443 73.0490139088793 -49.4106889382422</t>
  </si>
  <si>
    <t>-880.33419862419 214.977900037883 328.046780618202</t>
  </si>
  <si>
    <t>-982.330924429021 259.953272335831 761.755787290609</t>
  </si>
  <si>
    <t>-860.775639681437 339.007689035254 825.489430586401</t>
  </si>
  <si>
    <t>-867.813334218973 -58.983924608762 346.928554101157</t>
  </si>
  <si>
    <t>-867.585282717246 26.0392783271809 786.683277221726</t>
  </si>
  <si>
    <t>-763.008754442534 -70.0089472645473 856.867137435057</t>
  </si>
  <si>
    <t>9763-20170724T111218.281924200.bin</t>
  </si>
  <si>
    <t>-937.927430004044 129.926098808991 -487.183889369105</t>
  </si>
  <si>
    <t>-1050.47068325835 162.434973718507 -217.242242223146</t>
  </si>
  <si>
    <t>-843.358168717279 189.016393417355 -97.0393763034648</t>
  </si>
  <si>
    <t>-895.21164431547 73.1949402891801 -49.450787291372</t>
  </si>
  <si>
    <t>-880.149771655383 215.08061720761 328.035996013184</t>
  </si>
  <si>
    <t>-982.374711786668 260.039389988194 761.670054739855</t>
  </si>
  <si>
    <t>-860.72406201124 338.935086871375 825.418440187494</t>
  </si>
  <si>
    <t>-867.515801506888 -59.0045217541576 346.931672686368</t>
  </si>
  <si>
    <t>-867.563096707566 26.0606694196317 786.688485930589</t>
  </si>
  <si>
    <t>-763.024031591379 -70.0608013936987 856.828080895973</t>
  </si>
  <si>
    <t>9763-20170724T111218.313008400.bin</t>
  </si>
  <si>
    <t>-938.094553722086 130.217648788529 -487.125176081053</t>
  </si>
  <si>
    <t>-1050.5301409428 162.369575202546 -217.09610487114</t>
  </si>
  <si>
    <t>-843.545232788659 189.290851656612 -96.7487487938095</t>
  </si>
  <si>
    <t>-895.0254551337 73.2571558694467 -49.4643712647484</t>
  </si>
  <si>
    <t>-880.044121705769 215.04319928646 328.063029998967</t>
  </si>
  <si>
    <t>-982.425242232093 260.08956351888 761.653268736701</t>
  </si>
  <si>
    <t>-860.645823787366 338.791730656737 825.395357756392</t>
  </si>
  <si>
    <t>-867.455775692581 -59.0402140381416 346.946941019517</t>
  </si>
  <si>
    <t>-867.577565541206 26.0223488410752 786.693195343266</t>
  </si>
  <si>
    <t>-762.987220582676 -70.0666803071824 856.800468742754</t>
  </si>
  <si>
    <t>9763-20170724T111218.382229700.bin</t>
  </si>
  <si>
    <t>-938.411914867995 130.601652130059 -487.055650521325</t>
  </si>
  <si>
    <t>-1050.98047552275 161.999959407592 -216.993272168629</t>
  </si>
  <si>
    <t>-843.99326925789 189.716175788666 -96.83108028034</t>
  </si>
  <si>
    <t>-894.843252502266 73.2151467911135 -49.484801714925</t>
  </si>
  <si>
    <t>-879.814253615217 214.79476425315 328.118243467661</t>
  </si>
  <si>
    <t>-982.326512261311 260.025541210942 761.616995432714</t>
  </si>
  <si>
    <t>-860.753354045902 339.036045149802 825.370623723492</t>
  </si>
  <si>
    <t>-867.394850281694 -59.1245041325997 346.965258106171</t>
  </si>
  <si>
    <t>-867.556406939073 26.0023234613236 786.688111080859</t>
  </si>
  <si>
    <t>-762.944854890002 -70.0858311391441 856.7654456235</t>
  </si>
  <si>
    <t>9763-20170724T111218.414344600.bin</t>
  </si>
  <si>
    <t>-938.56928693559 130.662974753222 -487.055558368967</t>
  </si>
  <si>
    <t>-1051.26653632032 161.789786748353 -217.015533152551</t>
  </si>
  <si>
    <t>-844.276412593944 189.784533891982 -96.9231660543038</t>
  </si>
  <si>
    <t>-894.883855259543 73.2228667080594 -49.5190650408719</t>
  </si>
  <si>
    <t>-879.858857826653 214.700623470935 328.122283505033</t>
  </si>
  <si>
    <t>-982.371404700851 260.085208462412 761.608600613429</t>
  </si>
  <si>
    <t>-860.810919675626 339.100426975119 825.380795999854</t>
  </si>
  <si>
    <t>-867.323606512738 -59.126100818864 346.949184451827</t>
  </si>
  <si>
    <t>-867.514431532881 26.0272165673791 786.664570958248</t>
  </si>
  <si>
    <t>-762.945668569481 -70.0978339577293 856.754576040209</t>
  </si>
  <si>
    <t>9763-20170724T111218.483046500.bin</t>
  </si>
  <si>
    <t>-938.723487642754 130.54302882717 -487.036245765563</t>
  </si>
  <si>
    <t>-1051.58039208442 161.082748644649 -216.995614214961</t>
  </si>
  <si>
    <t>-844.123869847082 189.93400152055 -97.9146648995026</t>
  </si>
  <si>
    <t>-894.779470501413 73.1578036095925 -49.5594279625521</t>
  </si>
  <si>
    <t>-880.020443540218 214.610726812516 328.101656075661</t>
  </si>
  <si>
    <t>-982.286293095728 260.06862034335 761.596921423016</t>
  </si>
  <si>
    <t>-860.88108329005 339.283371087662 825.417574139253</t>
  </si>
  <si>
    <t>-866.95506299529 -59.2308240060693 346.932998456669</t>
  </si>
  <si>
    <t>-867.481217398899 26.0252047208678 786.635273821645</t>
  </si>
  <si>
    <t>-762.956135995256 -70.1519004912138 856.719233153774</t>
  </si>
  <si>
    <t>9763-20170724T111218.517154400.bin</t>
  </si>
  <si>
    <t>-938.852339497763 130.549383015303 -487.009661511402</t>
  </si>
  <si>
    <t>-1051.69769542133 161.092743930165 -216.964757316644</t>
  </si>
  <si>
    <t>-844.081611602213 190.136130325343 -98.2088125461869</t>
  </si>
  <si>
    <t>-894.88773997582 73.2681517305678 -49.5811253859446</t>
  </si>
  <si>
    <t>-880.193513489811 214.779095105163 328.060768831034</t>
  </si>
  <si>
    <t>-982.51390700527 260.289688766072 761.589268286225</t>
  </si>
  <si>
    <t>-860.894699972494 339.160129821969 825.429561575843</t>
  </si>
  <si>
    <t>-866.831037450783 -59.2141755166313 346.944141821275</t>
  </si>
  <si>
    <t>-867.440052296556 26.0840452173989 786.633712432245</t>
  </si>
  <si>
    <t>-763.047642016932 -70.2404598462585 856.713237318433</t>
  </si>
  <si>
    <t>9763-20170724T111218.580833600.bin</t>
  </si>
  <si>
    <t>-939.28035566597 130.395360756489 -487.017458854957</t>
  </si>
  <si>
    <t>-1051.92413725312 160.460877613009 -216.834877657985</t>
  </si>
  <si>
    <t>-844.19184452212 189.802506836526 -98.3563848437333</t>
  </si>
  <si>
    <t>-894.972395659258 73.2524989803005 -49.6151115325928</t>
  </si>
  <si>
    <t>-880.380586055587 214.940912759725 327.964144183171</t>
  </si>
  <si>
    <t>-982.421143244357 260.275441339433 761.556608316893</t>
  </si>
  <si>
    <t>-860.844501284577 339.174648816881 825.441606992308</t>
  </si>
  <si>
    <t>-866.812289639883 -59.2235135275184 346.952939365252</t>
  </si>
  <si>
    <t>-867.409992701562 26.0680888771044 786.625659644862</t>
  </si>
  <si>
    <t>-762.946772587529 -70.1808751032336 856.703466303478</t>
  </si>
  <si>
    <t>9763-20170724T111218.615929600.bin</t>
  </si>
  <si>
    <t>-939.546830652222 130.362148163505 -486.987543418542</t>
  </si>
  <si>
    <t>-1052.05999880864 160.258632267425 -216.731480115133</t>
  </si>
  <si>
    <t>-844.267250818893 189.643924166223 -98.3697330467353</t>
  </si>
  <si>
    <t>-895.01357276416 73.1655807737848 -49.6259682142974</t>
  </si>
  <si>
    <t>-880.456983257078 214.911034212638 327.933332367318</t>
  </si>
  <si>
    <t>-982.32859164219 260.225224448137 761.544680656834</t>
  </si>
  <si>
    <t>-860.850925224883 339.251656524611 825.460882692593</t>
  </si>
  <si>
    <t>-866.856077239946 -59.2291940251544 346.937319451939</t>
  </si>
  <si>
    <t>-867.382069038654 26.0669201464493 786.612265248641</t>
  </si>
  <si>
    <t>-762.937291378093 -70.1901931361813 856.706546826713</t>
  </si>
  <si>
    <t>9763-20170724T111218.681624600.bin</t>
  </si>
  <si>
    <t>-939.860342572663 130.348198742709 -486.983578868914</t>
  </si>
  <si>
    <t>-1052.35362699628 159.943220128434 -216.686395896115</t>
  </si>
  <si>
    <t>-844.49320666961 189.112738304756 -98.3902284941863</t>
  </si>
  <si>
    <t>-895.239997129868 73.0395538038588 -49.6273811776186</t>
  </si>
  <si>
    <t>-880.806867764953 214.84517692905 327.913993735479</t>
  </si>
  <si>
    <t>-982.418413493805 260.338719341969 761.582420756272</t>
  </si>
  <si>
    <t>-860.856411409506 339.199051149665 825.544082529307</t>
  </si>
  <si>
    <t>-867.045530359549 -59.321112881257 346.903847583525</t>
  </si>
  <si>
    <t>-867.354816278941 26.0300912135467 786.58944053165</t>
  </si>
  <si>
    <t>-762.836641078798 -70.13093904518 856.706151762874</t>
  </si>
  <si>
    <t>9763-20170724T111218.713708900.bin</t>
  </si>
  <si>
    <t>-939.923658783596 130.141356872668 -486.990489992132</t>
  </si>
  <si>
    <t>-1052.47922450203 159.814827668458 -216.727867509939</t>
  </si>
  <si>
    <t>-844.784341211095 188.776087534009 -98.0900263017438</t>
  </si>
  <si>
    <t>-895.28720137359 72.8566437428981 -49.6122861914736</t>
  </si>
  <si>
    <t>-880.89071748791 214.753567009137 327.896128904109</t>
  </si>
  <si>
    <t>-982.273931554464 260.234461752181 761.611997547552</t>
  </si>
  <si>
    <t>-860.973822235714 339.483623747742 825.590316754287</t>
  </si>
  <si>
    <t>-867.143296143541 -59.3951486204389 346.894837032749</t>
  </si>
  <si>
    <t>-867.347074577174 26.0219322631956 786.588315382881</t>
  </si>
  <si>
    <t>-762.814543483838 -70.121431764132 856.707333421781</t>
  </si>
  <si>
    <t>9763-20170724T111218.783547300.bin</t>
  </si>
  <si>
    <t>-940.153602252088 129.506430380951 -486.974041749808</t>
  </si>
  <si>
    <t>-1052.98334013442 159.469081988181 -216.857470843383</t>
  </si>
  <si>
    <t>-845.647975398639 187.969086543608 -97.4811693089628</t>
  </si>
  <si>
    <t>-895.349024488399 72.4132580321661 -49.5198230723</t>
  </si>
  <si>
    <t>-881.193065115521 214.554241567286 327.905939319204</t>
  </si>
  <si>
    <t>-982.03714834944 260.105750034954 761.6637488584</t>
  </si>
  <si>
    <t>-860.794203986924 339.375128475972 825.724513221932</t>
  </si>
  <si>
    <t>-867.378494792606 -59.6057946970723 346.890603704283</t>
  </si>
  <si>
    <t>-867.370287597649 25.9319440845879 786.588230602524</t>
  </si>
  <si>
    <t>-762.81057705316 -70.1857820944629 856.702011431084</t>
  </si>
  <si>
    <t>9763-20170724T111218.813628300.bin</t>
  </si>
  <si>
    <t>-940.289472366084 129.20729318137 -486.890882078574</t>
  </si>
  <si>
    <t>-1053.19066265887 159.397079849597 -216.829652851463</t>
  </si>
  <si>
    <t>-845.98581470096 187.783281529853 -97.2000618855898</t>
  </si>
  <si>
    <t>-895.332164378232 72.2312631922678 -49.4473034997922</t>
  </si>
  <si>
    <t>-881.371454107142 214.48917303291 327.941679533598</t>
  </si>
  <si>
    <t>-982.150845577189 260.241426418279 761.699452645224</t>
  </si>
  <si>
    <t>-860.81101479398 339.354019776042 825.770517518969</t>
  </si>
  <si>
    <t>-867.42655566355 -59.7357324813463 346.905657264657</t>
  </si>
  <si>
    <t>-867.380758574082 25.8860957945335 786.587982297005</t>
  </si>
  <si>
    <t>-762.801980633793 -70.2155346229601 856.695242050888</t>
  </si>
  <si>
    <t>9763-20170724T111218.881332600.bin</t>
  </si>
  <si>
    <t>-940.795248534187 128.692797915387 -486.674811500236</t>
  </si>
  <si>
    <t>-1053.71957816107 159.176476059181 -216.656113889246</t>
  </si>
  <si>
    <t>-846.998001744472 188.000235112241 -96.2971276789448</t>
  </si>
  <si>
    <t>-895.422240853423 71.7824208755119 -49.2633058728385</t>
  </si>
  <si>
    <t>-881.714563867499 214.211537426294 328.070470469238</t>
  </si>
  <si>
    <t>-982.300535454903 260.389755561605 761.850230061389</t>
  </si>
  <si>
    <t>-860.914394031074 339.433400566418 825.918717740354</t>
  </si>
  <si>
    <t>-867.513769634428 -60.0394359131342 346.966640716246</t>
  </si>
  <si>
    <t>-867.387614501634 25.8267998414535 786.58915777141</t>
  </si>
  <si>
    <t>-762.739213297521 -70.2181260220934 856.67066509666</t>
  </si>
  <si>
    <t>9763-20170724T111218.913419000.bin</t>
  </si>
  <si>
    <t>-941.065020427549 128.411911461191 -486.530359908868</t>
  </si>
  <si>
    <t>-1054.00349762466 158.952231076945 -216.524035718852</t>
  </si>
  <si>
    <t>-847.453315106804 187.735609343267 -95.8614800338877</t>
  </si>
  <si>
    <t>-895.390810366038 71.4541227101377 -49.1622490671018</t>
  </si>
  <si>
    <t>-881.755527924675 213.986441013758 328.135066461471</t>
  </si>
  <si>
    <t>-982.130369978856 260.248267943176 761.938312503179</t>
  </si>
  <si>
    <t>-860.975533867903 339.649651104428 826.002552677903</t>
  </si>
  <si>
    <t>-867.498469623145 -60.1799483856526 347.007412474399</t>
  </si>
  <si>
    <t>-867.34873177564 25.8783935918304 786.592473018011</t>
  </si>
  <si>
    <t>-762.749850124047 -70.2285918030868 856.662510495711</t>
  </si>
  <si>
    <t>9763-20170724T111218.982105700.bin</t>
  </si>
  <si>
    <t>-941.685076970413 128.071365556905 -486.232681202034</t>
  </si>
  <si>
    <t>-1054.82570258785 158.67755383743 -216.318768553097</t>
  </si>
  <si>
    <t>-848.540344330171 187.200396868982 -95.1425886093783</t>
  </si>
  <si>
    <t>-895.625824347068 71.0842838500703 -48.9821410298495</t>
  </si>
  <si>
    <t>-882.128898559232 213.728141966546 328.278004847613</t>
  </si>
  <si>
    <t>-982.291066033886 260.361680215787 762.09170907458</t>
  </si>
  <si>
    <t>-860.895371202375 339.398237835095 826.151105273435</t>
  </si>
  <si>
    <t>-867.605062157407 -60.435153399435 347.123970259653</t>
  </si>
  <si>
    <t>-867.352548450956 25.8366280531168 786.625820706339</t>
  </si>
  <si>
    <t>-762.699155296651 -70.2383717516338 856.658627764746</t>
  </si>
  <si>
    <t>9763-20170724T111219.018204500.bin</t>
  </si>
  <si>
    <t>-941.995823403028 127.914479907331 -486.143218158192</t>
  </si>
  <si>
    <t>-1055.15464799043 158.499752417823 -216.234145868904</t>
  </si>
  <si>
    <t>-848.990080596099 186.877874730182 -94.8184345829885</t>
  </si>
  <si>
    <t>-895.798920970746 70.9435008092032 -48.9364901576768</t>
  </si>
  <si>
    <t>-882.291463411665 213.595667867328 328.320091435638</t>
  </si>
  <si>
    <t>-982.362407947083 260.412790076188 762.149233929718</t>
  </si>
  <si>
    <t>-860.999277642332 339.491139179542 826.218965190969</t>
  </si>
  <si>
    <t>-867.652312932375 -60.4893615742815 347.173312409617</t>
  </si>
  <si>
    <t>-867.300569321999 25.9015198377492 786.62875078662</t>
  </si>
  <si>
    <t>-762.758473647679 -70.2880241031053 856.670140755626</t>
  </si>
  <si>
    <t>9763-20170724T111219.078212900.bin</t>
  </si>
  <si>
    <t>-942.681533397066 127.462925379543 -486.089907137332</t>
  </si>
  <si>
    <t>-1055.74897240322 158.089675863454 -216.14740885842</t>
  </si>
  <si>
    <t>-849.706383341858 186.328692019556 -94.4930559785686</t>
  </si>
  <si>
    <t>-896.050986216059 70.6431648282514 -48.9428318435868</t>
  </si>
  <si>
    <t>-882.526212181026 213.294232063176 328.31366024291</t>
  </si>
  <si>
    <t>-982.197999481281 260.283851485614 762.218066925936</t>
  </si>
  <si>
    <t>-861.084118722713 339.721843862911 826.314718480292</t>
  </si>
  <si>
    <t>-867.698243458698 -60.5917928796523 347.245045181388</t>
  </si>
  <si>
    <t>-867.282554679447 25.8816889405744 786.654729285343</t>
  </si>
  <si>
    <t>-762.696005984268 -70.2655977619479 856.687984666031</t>
  </si>
  <si>
    <t>9763-20170724T111219.116316800.bin</t>
  </si>
  <si>
    <t>-943.086453026968 127.289859617139 -486.144353296479</t>
  </si>
  <si>
    <t>-1056.10769222202 158.040919834731 -216.196485172976</t>
  </si>
  <si>
    <t>-850.067279986957 186.06579694534 -94.4884448843731</t>
  </si>
  <si>
    <t>-896.29870597889 70.677381397506 -48.9807680473784</t>
  </si>
  <si>
    <t>-882.779085923415 213.319971372461 328.279104518926</t>
  </si>
  <si>
    <t>-982.352501110643 260.415866405207 762.233110023678</t>
  </si>
  <si>
    <t>-861.080088495541 339.60026927218 826.343398327508</t>
  </si>
  <si>
    <t>-867.743220126985 -60.5506279314163 347.268154274281</t>
  </si>
  <si>
    <t>-867.247951696096 25.9181484258684 786.663427874914</t>
  </si>
  <si>
    <t>-762.695853841728 -70.2650715230493 856.698601991211</t>
  </si>
  <si>
    <t>9763-20170724T111219.178487400.bin</t>
  </si>
  <si>
    <t>-943.815751618946 126.724764665898 -486.396476647912</t>
  </si>
  <si>
    <t>-1056.69690802247 158.00504305116 -216.450905738937</t>
  </si>
  <si>
    <t>-850.586370810722 185.54430843682 -94.7511161155692</t>
  </si>
  <si>
    <t>-896.599199929947 70.6478142195788 -49.0419385810969</t>
  </si>
  <si>
    <t>-883.05009246228 213.411955527292 328.170745246345</t>
  </si>
  <si>
    <t>-982.292523885414 260.371774146329 762.219788544658</t>
  </si>
  <si>
    <t>-860.996801768501 339.501751980661 826.35319068801</t>
  </si>
  <si>
    <t>-867.787850070145 -60.4708153197962 347.296661197351</t>
  </si>
  <si>
    <t>-867.211984841664 25.9179304024278 786.690652272717</t>
  </si>
  <si>
    <t>-762.611066281995 -70.2117933579186 856.726961035844</t>
  </si>
  <si>
    <t>9763-20170724T111219.211575600.bin</t>
  </si>
  <si>
    <t>-944.121452319734 126.297895991274 -486.584792409351</t>
  </si>
  <si>
    <t>-1056.83221272551 157.846161122891 -216.599301988607</t>
  </si>
  <si>
    <t>-850.679201173919 185.060012563496 -94.8980007891273</t>
  </si>
  <si>
    <t>-896.664877587268 70.5509215464745 -49.0660519402717</t>
  </si>
  <si>
    <t>-883.073975292999 213.378089923006 328.121395871804</t>
  </si>
  <si>
    <t>-982.203854233802 260.293134568799 762.213379091961</t>
  </si>
  <si>
    <t>-861.086536540242 339.693604186107 826.349611446213</t>
  </si>
  <si>
    <t>-867.743072768922 -60.4895411443094 347.311864890904</t>
  </si>
  <si>
    <t>-867.202992125875 25.9101769729214 786.704112340865</t>
  </si>
  <si>
    <t>-762.525261543787 -70.1444001274433 856.728214738449</t>
  </si>
  <si>
    <t>9763-20170724T111219.279761900.bin</t>
  </si>
  <si>
    <t>-945.093347564913 125.508443474111 -486.958705037667</t>
  </si>
  <si>
    <t>-1057.16849738454 157.789624164961 -216.795223140819</t>
  </si>
  <si>
    <t>-850.591556769505 184.813237456604 -95.7719331550121</t>
  </si>
  <si>
    <t>-897.063193627798 70.4993318497454 -49.1238165248716</t>
  </si>
  <si>
    <t>-883.255388332462 213.435007369664 328.014671833163</t>
  </si>
  <si>
    <t>-982.224627117241 260.270873080105 762.186348189035</t>
  </si>
  <si>
    <t>-861.056203876448 339.596957643935 826.318047989344</t>
  </si>
  <si>
    <t>-867.673969411247 -60.4779034784756 347.340383433452</t>
  </si>
  <si>
    <t>-867.173945321003 25.9093407134037 786.724247492666</t>
  </si>
  <si>
    <t>-762.433433949697 -70.088708180517 856.731641721263</t>
  </si>
  <si>
    <t>9763-20170724T111219.314855100.bin</t>
  </si>
  <si>
    <t>-945.566212452727 125.181650267822 -487.151686687615</t>
  </si>
  <si>
    <t>-1057.22590171321 157.656745295743 -216.839578975817</t>
  </si>
  <si>
    <t>-850.305390881307 184.705802782627 -96.4109252838311</t>
  </si>
  <si>
    <t>-897.229420818144 70.5408220783388 -49.1842657419053</t>
  </si>
  <si>
    <t>-883.34174857024 213.439223966512 327.965476273075</t>
  </si>
  <si>
    <t>-982.221926965532 260.253346188439 762.15703750542</t>
  </si>
  <si>
    <t>-861.06877918453 339.603742930824 826.287967376277</t>
  </si>
  <si>
    <t>-867.64940702246 -60.4380562252115 347.346982903429</t>
  </si>
  <si>
    <t>-867.184386172159 25.8569888170791 786.737321921734</t>
  </si>
  <si>
    <t>-762.422811633933 -70.1242163556753 856.736883358456</t>
  </si>
  <si>
    <t>9763-20170724T111219.383486400.bin</t>
  </si>
  <si>
    <t>-946.1856620882 124.869480179445 -487.564227893728</t>
  </si>
  <si>
    <t>-1057.06318012291 157.817914293888 -216.98750843364</t>
  </si>
  <si>
    <t>-849.819359280588 184.932966152418 -97.130864045568</t>
  </si>
  <si>
    <t>-897.568337890341 70.6480037704846 -49.3138985684006</t>
  </si>
  <si>
    <t>-883.511200412036 213.620002638956 327.801489754512</t>
  </si>
  <si>
    <t>-982.367617052513 260.361604586943 762.055371831742</t>
  </si>
  <si>
    <t>-861.08159679661 339.512229189235 826.18191571242</t>
  </si>
  <si>
    <t>-867.629821277682 -60.2710289682232 347.346558456624</t>
  </si>
  <si>
    <t>-867.105396863117 25.9362727366906 786.749197164064</t>
  </si>
  <si>
    <t>-762.391089800353 -70.0906090100434 856.756317101637</t>
  </si>
  <si>
    <t>9763-20170724T111219.417576000.bin</t>
  </si>
  <si>
    <t>-945.628790864803 125.060932820772 -487.777618749776</t>
  </si>
  <si>
    <t>-1056.05680269431 158.093481906655 -217.027446068046</t>
  </si>
  <si>
    <t>-848.685446303088 185.391461044043 -97.4333107413963</t>
  </si>
  <si>
    <t>-897.684390917674 70.7083240192278 -49.3838304562229</t>
  </si>
  <si>
    <t>-883.516296476416 213.729591770343 327.708822816079</t>
  </si>
  <si>
    <t>-982.36400928828 260.356824120841 761.984680668799</t>
  </si>
  <si>
    <t>-861.076942770837 339.497552651867 826.120902433399</t>
  </si>
  <si>
    <t>-867.658302341801 -60.1803732126152 347.332633708201</t>
  </si>
  <si>
    <t>-867.071938535942 25.968928707433 786.749453012839</t>
  </si>
  <si>
    <t>-762.470700204518 -70.1701812276881 856.77152799936</t>
  </si>
  <si>
    <t>9763-20170724T111219.483618800.bin</t>
  </si>
  <si>
    <t>-944.24587516182 125.760080622518 -488.143452458584</t>
  </si>
  <si>
    <t>-1053.22005781192 158.975842797136 -216.827017249331</t>
  </si>
  <si>
    <t>-845.41046848606 186.884518840822 -98.1377982412589</t>
  </si>
  <si>
    <t>-897.73426166987 70.7584730254316 -49.5312734798554</t>
  </si>
  <si>
    <t>-883.370691519035 213.772084044427 327.556935565538</t>
  </si>
  <si>
    <t>-982.190385350945 260.196981517836 761.857883510214</t>
  </si>
  <si>
    <t>-861.064764128116 339.58483951197 825.993725052856</t>
  </si>
  <si>
    <t>-867.77643346305 -60.1096176143847 347.295142053678</t>
  </si>
  <si>
    <t>-867.062156302921 25.9167964665094 786.749635500701</t>
  </si>
  <si>
    <t>-762.388505339072 -70.1351389449319 856.783615271563</t>
  </si>
  <si>
    <t>9763-20170724T111219.510688800.bin</t>
  </si>
  <si>
    <t>-944.25807099971 125.865227555744 -488.244559912939</t>
  </si>
  <si>
    <t>-1052.2453280797 159.248154847022 -216.554329785266</t>
  </si>
  <si>
    <t>-844.041111656028 187.81761251283 -98.7170049080587</t>
  </si>
  <si>
    <t>-897.731365557613 70.7934581416639 -49.6174500993451</t>
  </si>
  <si>
    <t>-883.300477721793 213.825550671663 327.461113380071</t>
  </si>
  <si>
    <t>-982.237222732478 260.223215335223 761.778935039481</t>
  </si>
  <si>
    <t>-861.210968454409 339.777463325394 825.896879037939</t>
  </si>
  <si>
    <t>-867.834923511131 -60.0776008075629 347.285530116863</t>
  </si>
  <si>
    <t>-867.046360881918 25.9114203481458 786.753628606833</t>
  </si>
  <si>
    <t>-762.305490764665 -70.0653662362508 856.789908263208</t>
  </si>
  <si>
    <t>9763-20170724T111219.582468700.bin</t>
  </si>
  <si>
    <t>-946.415924535367 125.875942268854 -488.174430162784</t>
  </si>
  <si>
    <t>-1051.90095954805 159.631395171511 -215.548663793886</t>
  </si>
  <si>
    <t>-843.177159129962 190.619981908922 -99.2516090289712</t>
  </si>
  <si>
    <t>-897.656891635033 70.9473994518871 -49.7695725719738</t>
  </si>
  <si>
    <t>-883.052069636318 214.073410404143 327.266715189657</t>
  </si>
  <si>
    <t>-982.26388911911 260.22858784829 761.568919720789</t>
  </si>
  <si>
    <t>-861.042724513987 339.509466637304 825.656910593469</t>
  </si>
  <si>
    <t>-867.980365528231 -59.9131591471551 347.298571591368</t>
  </si>
  <si>
    <t>-866.981174777469 25.9651552204468 786.781722157977</t>
  </si>
  <si>
    <t>-762.36455777293 -70.1386968858556 856.828918092978</t>
  </si>
  <si>
    <t>9763-20170724T111219.612549400.bin</t>
  </si>
  <si>
    <t>-947.677148126442 125.961358035023 -488.057303660911</t>
  </si>
  <si>
    <t>-1051.81301285534 159.936115083491 -214.94081690857</t>
  </si>
  <si>
    <t>-842.901346941999 191.929938848944 -99.2554104576702</t>
  </si>
  <si>
    <t>-897.461801789201 70.9620509111855 -49.8467569728969</t>
  </si>
  <si>
    <t>-882.738540781262 214.150179624428 327.161211199934</t>
  </si>
  <si>
    <t>-982.153383215034 260.124177609981 761.437316321496</t>
  </si>
  <si>
    <t>-861.108810297582 339.679301414887 825.519529029978</t>
  </si>
  <si>
    <t>-867.977129891277 -59.938176895256 347.323810953258</t>
  </si>
  <si>
    <t>-866.999753775088 25.8989471042473 786.805942067223</t>
  </si>
  <si>
    <t>-762.299396888284 -70.1205265528854 856.844496170018</t>
  </si>
  <si>
    <t>9763-20170724T111219.681723700.bin</t>
  </si>
  <si>
    <t>-949.912900979611 126.231885097759 -487.676544567035</t>
  </si>
  <si>
    <t>-1052.07055882795 160.295751966068 -213.824960981231</t>
  </si>
  <si>
    <t>-843.299483271547 192.971309518915 -98.0762653478989</t>
  </si>
  <si>
    <t>-896.820684924867 71.0245511243552 -49.9501637960029</t>
  </si>
  <si>
    <t>-882.036895789727 214.434370088447 326.971165126052</t>
  </si>
  <si>
    <t>-982.161519348328 260.093363043306 761.130525076048</t>
  </si>
  <si>
    <t>-861.052557297461 339.534670726459 825.231830270965</t>
  </si>
  <si>
    <t>-867.689070987109 -60.0774577510895 347.407070947307</t>
  </si>
  <si>
    <t>-866.995463324079 25.8562710556093 786.857378782836</t>
  </si>
  <si>
    <t>-762.266640617107 -70.1486014553298 856.873501705128</t>
  </si>
  <si>
    <t>9763-20170724T111219.712808000.bin</t>
  </si>
  <si>
    <t>-950.227870835178 126.373076054991 -487.46078882779</t>
  </si>
  <si>
    <t>-1051.95833190204 160.078283634438 -213.405836204306</t>
  </si>
  <si>
    <t>-843.239207723462 192.515208509724 -97.4963456287747</t>
  </si>
  <si>
    <t>-896.406475267202 70.9840248607861 -49.966702500969</t>
  </si>
  <si>
    <t>-881.556672988449 214.476079881279 326.920744354472</t>
  </si>
  <si>
    <t>-982.064305909498 259.986548484298 760.997619762121</t>
  </si>
  <si>
    <t>-861.077852524343 339.610900015642 825.103410638788</t>
  </si>
  <si>
    <t>-867.406900811324 -60.2161844396444 347.458511716029</t>
  </si>
  <si>
    <t>-866.990921870396 25.8421462687324 786.881825506747</t>
  </si>
  <si>
    <t>-762.288656518657 -70.2042738351693 856.88050396356</t>
  </si>
  <si>
    <t>9763-20170724T111219.778591200.bin</t>
  </si>
  <si>
    <t>-950.434516347163 126.572438319344 -487.058902604376</t>
  </si>
  <si>
    <t>-1051.59189393001 158.953946252125 -212.632447903954</t>
  </si>
  <si>
    <t>-842.361442233642 191.324533566884 -97.6297223091857</t>
  </si>
  <si>
    <t>-895.745998422695 70.7509311234917 -49.9347296777573</t>
  </si>
  <si>
    <t>-880.635336176732 214.448266486182 326.864182412865</t>
  </si>
  <si>
    <t>-981.911589140694 259.784808232869 760.763964551778</t>
  </si>
  <si>
    <t>-861.008049563008 339.543694325408 824.859131866845</t>
  </si>
  <si>
    <t>-867.031126104238 -60.4707541031325 347.520261634922</t>
  </si>
  <si>
    <t>-866.954052248468 25.8876343395496 786.909903289587</t>
  </si>
  <si>
    <t>-762.289588297258 -70.2293117051422 856.868225185171</t>
  </si>
  <si>
    <t>9763-20170724T111219.814687600.bin</t>
  </si>
  <si>
    <t>-950.533180479809 126.649557207004 -486.834234881032</t>
  </si>
  <si>
    <t>-1051.28826374369 158.48648379015 -212.19631423639</t>
  </si>
  <si>
    <t>-841.959187893206 190.731150821047 -97.337768046223</t>
  </si>
  <si>
    <t>-895.552100587236 70.6606938612181 -49.9534139817832</t>
  </si>
  <si>
    <t>-880.325333971273 214.424378871241 326.815446252219</t>
  </si>
  <si>
    <t>-981.93072980714 259.773828694671 760.65437327791</t>
  </si>
  <si>
    <t>-861.053771763946 339.57455063752 824.747451213994</t>
  </si>
  <si>
    <t>-867.008224554254 -60.6093166835221 347.517040411003</t>
  </si>
  <si>
    <t>-867.00260074553 25.7727310168498 786.91670327076</t>
  </si>
  <si>
    <t>-762.136154947582 -70.1438012754938 856.847861415498</t>
  </si>
  <si>
    <t>9763-20170724T111219.880872800.bin</t>
  </si>
  <si>
    <t>-951.637442679107 127.884107936871 -486.123123484161</t>
  </si>
  <si>
    <t>-1050.82645127906 158.034791060025 -210.725842436256</t>
  </si>
  <si>
    <t>-840.937847203794 190.467141022403 -96.9464025189931</t>
  </si>
  <si>
    <t>-895.26664393308 70.7126714935621 -50.0308796210567</t>
  </si>
  <si>
    <t>-880.003306503457 214.48524900315 326.733186761325</t>
  </si>
  <si>
    <t>-982.181200070956 259.951411270873 760.431915007729</t>
  </si>
  <si>
    <t>-860.979106722691 339.292259326874 824.481789587639</t>
  </si>
  <si>
    <t>-867.494956822458 -60.6641171982071 347.475333803812</t>
  </si>
  <si>
    <t>-867.043917606214 25.6240856073096 786.909641629964</t>
  </si>
  <si>
    <t>-762.079806354477 -70.1847592095971 856.841676721313</t>
  </si>
  <si>
    <t>9763-20170724T111219.917971700.bin</t>
  </si>
  <si>
    <t>-953.738959961398 129.213571602098 -485.374473130984</t>
  </si>
  <si>
    <t>-1051.12545411492 157.815394540868 -209.169700713336</t>
  </si>
  <si>
    <t>-840.566433252214 191.292985360797 -96.9420317073049</t>
  </si>
  <si>
    <t>-894.918856401822 70.6343271029436 -50.0943906048789</t>
  </si>
  <si>
    <t>-879.640729435308 214.413455422575 326.66655545156</t>
  </si>
  <si>
    <t>-981.968460964281 259.761620228468 760.293837142189</t>
  </si>
  <si>
    <t>-860.971006810046 339.429670188517 824.324600883128</t>
  </si>
  <si>
    <t>-868.041604050714 -60.5974058476043 347.437947100512</t>
  </si>
  <si>
    <t>-867.046504524484 25.5660917313357 786.902220920717</t>
  </si>
  <si>
    <t>-762.057364475808 -70.1934711427341 856.864021827597</t>
  </si>
  <si>
    <t>9763-20170724T111219.977798800.bin</t>
  </si>
  <si>
    <t>-958.858719840426 132.231400548672 -483.878704126277</t>
  </si>
  <si>
    <t>-1051.35915853533 156.598534590318 -205.596272072515</t>
  </si>
  <si>
    <t>-839.225263591585 193.543508442691 -97.4980441846914</t>
  </si>
  <si>
    <t>-895.17222828768 70.7701709177704 -50.0591022983508</t>
  </si>
  <si>
    <t>-878.794286300212 214.651654062374 326.616501938905</t>
  </si>
  <si>
    <t>-981.958828847297 259.593697702639 760.176365676215</t>
  </si>
  <si>
    <t>-861.024051218729 339.406831614411 824.144816909165</t>
  </si>
  <si>
    <t>-870.247497553048 -60.1232694452251 347.251880762454</t>
  </si>
  <si>
    <t>-867.043576857892 25.4725430144576 786.924294971115</t>
  </si>
  <si>
    <t>-762.16813707785 -70.3428557093157 856.980507715278</t>
  </si>
  <si>
    <t>9763-20170724T111220.014897700.bin</t>
  </si>
  <si>
    <t>-960.050186296099 133.427440213868 -483.542122687065</t>
  </si>
  <si>
    <t>-1051.50702227251 156.441448603213 -204.799935143965</t>
  </si>
  <si>
    <t>-839.090236810181 195.005750073075 -97.8293111450424</t>
  </si>
  <si>
    <t>-895.73247187317 70.9193630010386 -49.8842104196218</t>
  </si>
  <si>
    <t>-878.4014919828 214.806431758902 326.746715288924</t>
  </si>
  <si>
    <t>-982.020762826284 259.539359461792 760.129342046189</t>
  </si>
  <si>
    <t>-860.961328177353 339.220143543911 824.026563147055</t>
  </si>
  <si>
    <t>-871.770439366424 -59.7270543136729 347.162185083143</t>
  </si>
  <si>
    <t>-867.074208104387 25.3516784920212 786.956845172756</t>
  </si>
  <si>
    <t>-762.193223749923 -70.4233313801421 857.059738845708</t>
  </si>
  <si>
    <t>9763-20170724T111220.082086100.bin</t>
  </si>
  <si>
    <t>-959.575728945485 134.395426537938 -484.126526963806</t>
  </si>
  <si>
    <t>-1052.06782333251 157.520712840256 -205.735385573835</t>
  </si>
  <si>
    <t>-840.196371620101 196.860548829243 -97.9681397949595</t>
  </si>
  <si>
    <t>-896.845802956491 71.0244181328535 -49.7709594616931</t>
  </si>
  <si>
    <t>-878.249955149381 214.775482677741 326.851527889145</t>
  </si>
  <si>
    <t>-982.136963616537 259.491272220685 760.017351119508</t>
  </si>
  <si>
    <t>-860.792288535674 338.818558250322 823.813034875008</t>
  </si>
  <si>
    <t>-873.957495078258 -59.2135965139539 347.027221754119</t>
  </si>
  <si>
    <t>-867.159527956217 25.0566948475566 787.011593238406</t>
  </si>
  <si>
    <t>-762.261123019259 -70.6647376263488 857.161333896644</t>
  </si>
  <si>
    <t>9763-20170724T111220.115174300.bin</t>
  </si>
  <si>
    <t>-958.94442941393 134.257376699064 -484.596431052191</t>
  </si>
  <si>
    <t>-1052.40985879763 158.068828328167 -206.588417392433</t>
  </si>
  <si>
    <t>-840.878993974352 196.979641577026 -97.9994270410025</t>
  </si>
  <si>
    <t>-896.985641459547 70.883025907171 -49.8934774833418</t>
  </si>
  <si>
    <t>-878.425750486081 214.542097549715 326.765928584814</t>
  </si>
  <si>
    <t>-982.068377879755 259.472120208106 759.890293327438</t>
  </si>
  <si>
    <t>-860.819921382169 338.939021759643 823.696022276026</t>
  </si>
  <si>
    <t>-874.419704274727 -59.2288681721259 346.954125423079</t>
  </si>
  <si>
    <t>-867.18229236115 24.9572652049974 787.008958920537</t>
  </si>
  <si>
    <t>-762.240412296484 -70.7153899527191 857.160896025484</t>
  </si>
  <si>
    <t>9763-20170724T111220.183871900.bin</t>
  </si>
  <si>
    <t>-957.363211641532 133.506146384396 -485.159211237905</t>
  </si>
  <si>
    <t>-1052.06549497199 158.442782488271 -207.668767829539</t>
  </si>
  <si>
    <t>-841.12625833054 197.20707655261 -97.8835049007422</t>
  </si>
  <si>
    <t>-896.899054654785 70.6985344881277 -50.1301302773169</t>
  </si>
  <si>
    <t>-879.128966489156 213.586377234307 326.86050513604</t>
  </si>
  <si>
    <t>-982.146617365698 259.456977027333 760.029460880404</t>
  </si>
  <si>
    <t>-860.846545762456 339.024917545294 823.61033687567</t>
  </si>
  <si>
    <t>-874.184974777227 -59.4251831854169 346.840447379291</t>
  </si>
  <si>
    <t>-867.158657715494 24.8305194880627 786.939186143972</t>
  </si>
  <si>
    <t>-762.260325892876 -70.8880892719842 857.093119582763</t>
  </si>
  <si>
    <t>9763-20170724T111220.216962500.bin</t>
  </si>
  <si>
    <t>-956.440531732095 132.757997151582 -485.343752885362</t>
  </si>
  <si>
    <t>-1051.79348765472 158.067377641186 -208.110181962878</t>
  </si>
  <si>
    <t>-841.247810847511 197.229738278957 -97.7126058614208</t>
  </si>
  <si>
    <t>-897.055712743962 70.4546626338561 -50.1234678713296</t>
  </si>
  <si>
    <t>-879.34894838374 212.830386135714 327.063871028446</t>
  </si>
  <si>
    <t>-982.125271953484 259.286417317593 760.27284255343</t>
  </si>
  <si>
    <t>-860.813404538255 338.970964433153 823.685247913896</t>
  </si>
  <si>
    <t>-873.632710271592 -59.6275585662154 346.824868507072</t>
  </si>
  <si>
    <t>-867.130606756432 24.7933112343544 786.89677090158</t>
  </si>
  <si>
    <t>-762.160570143024 -70.8566736135415 857.037321767881</t>
  </si>
  <si>
    <t>9763-20170724T111220.282646000.bin</t>
  </si>
  <si>
    <t>-954.117854613876 130.666090517286 -485.710209655549</t>
  </si>
  <si>
    <t>-1051.46705971597 156.889452427145 -209.256485770313</t>
  </si>
  <si>
    <t>-842.090058642759 196.451243092475 -96.7976009840698</t>
  </si>
  <si>
    <t>-897.64490405693 69.7256983775278 -49.9730443204111</t>
  </si>
  <si>
    <t>-879.143194862424 211.137228545226 327.538722639927</t>
  </si>
  <si>
    <t>-981.758977582772 258.655418504956 760.751992094138</t>
  </si>
  <si>
    <t>-860.633576320414 338.683413518495 824.088139488642</t>
  </si>
  <si>
    <t>-872.463393586449 -60.1817650187982 346.873963401772</t>
  </si>
  <si>
    <t>-867.02550099678 24.819241776569 786.82603685546</t>
  </si>
  <si>
    <t>-762.150922923462 -70.9444959604032 856.954035157252</t>
  </si>
  <si>
    <t>9763-20170724T111220.315734500.bin</t>
  </si>
  <si>
    <t>-952.506959603379 129.954583769879 -485.904787665761</t>
  </si>
  <si>
    <t>-1050.89979110344 156.733487740579 -209.874120125503</t>
  </si>
  <si>
    <t>-841.933476177505 196.237379312523 -96.6335178182212</t>
  </si>
  <si>
    <t>-897.595757646958 69.6259297435849 -49.9222317702804</t>
  </si>
  <si>
    <t>-879.00689830429 210.890493283673 327.640233093084</t>
  </si>
  <si>
    <t>-981.675193268272 258.571041601762 760.83943835779</t>
  </si>
  <si>
    <t>-860.538304217235 338.551826597627 824.213136278901</t>
  </si>
  <si>
    <t>-871.956993451553 -60.3963098880511 346.919603180966</t>
  </si>
  <si>
    <t>-867.01465549228 24.7578873621687 786.81169976656</t>
  </si>
  <si>
    <t>-762.124635377322 -70.99062329408 856.937589765022</t>
  </si>
  <si>
    <t>9763-20170724T111220.379922800.bin</t>
  </si>
  <si>
    <t>-949.816565478849 129.233759115986 -486.089574469745</t>
  </si>
  <si>
    <t>-1049.46155112286 156.713890401548 -210.57744439773</t>
  </si>
  <si>
    <t>-840.231348213798 196.211296231117 -97.8229609939769</t>
  </si>
  <si>
    <t>-896.635869184933 69.6466694681217 -49.8479653557444</t>
  </si>
  <si>
    <t>-878.745193628204 210.887040604696 327.757263726988</t>
  </si>
  <si>
    <t>-981.789721290882 258.649547028353 760.881461726397</t>
  </si>
  <si>
    <t>-860.869114448923 339.029539100406 824.162981317225</t>
  </si>
  <si>
    <t>-871.024483526507 -60.6159845829388 347.032523507209</t>
  </si>
  <si>
    <t>-866.960583442478 24.7242705427893 786.818687336033</t>
  </si>
  <si>
    <t>-762.12070635054 -71.082487543342 856.939992900484</t>
  </si>
  <si>
    <t>9763-20170724T111220.417020600.bin</t>
  </si>
  <si>
    <t>-949.100848335196 129.277821048048 -486.114559417995</t>
  </si>
  <si>
    <t>-1049.23985022781 156.865525945351 -210.792324563623</t>
  </si>
  <si>
    <t>-839.861057115406 196.621128095529 -98.4045781305171</t>
  </si>
  <si>
    <t>-896.354474372938 69.7266739358588 -49.8191869281198</t>
  </si>
  <si>
    <t>-878.795346852277 210.903465556305 327.825387238944</t>
  </si>
  <si>
    <t>-981.952949746341 258.742681460426 760.90588396653</t>
  </si>
  <si>
    <t>-860.849501072488 338.921367683314 824.093769973084</t>
  </si>
  <si>
    <t>-870.778102175513 -60.7452922856205 347.07930346402</t>
  </si>
  <si>
    <t>-866.954661964245 24.6720903575006 786.821075342038</t>
  </si>
  <si>
    <t>-762.040157803538 -71.0599812526295 856.932335384284</t>
  </si>
  <si>
    <t>9763-20170724T111220.482802800.bin</t>
  </si>
  <si>
    <t>-948.001930655954 129.95821487015 -486.218318519035</t>
  </si>
  <si>
    <t>-1049.22173094472 157.4277578734 -211.279768464276</t>
  </si>
  <si>
    <t>-840.185135685479 198.389946109059 -98.6887388623447</t>
  </si>
  <si>
    <t>-896.268395857373 69.9439719345196 -49.8011083174622</t>
  </si>
  <si>
    <t>-878.856364754147 210.890499219693 327.936393852137</t>
  </si>
  <si>
    <t>-982.091934255199 258.792250785283 760.994163694569</t>
  </si>
  <si>
    <t>-860.997272766368 339.076042129635 824.065104790983</t>
  </si>
  <si>
    <t>-870.647432547142 -60.768723518481 347.062847073374</t>
  </si>
  <si>
    <t>-866.896933346567 24.6956639473547 786.810441630333</t>
  </si>
  <si>
    <t>-762.131177075434 -71.2075531387857 856.910875439601</t>
  </si>
  <si>
    <t>9763-20170724T111220.514888900.bin</t>
  </si>
  <si>
    <t>-947.580924066567 130.260817320954 -486.262653695838</t>
  </si>
  <si>
    <t>-1049.29790748741 157.656405081985 -211.500170912433</t>
  </si>
  <si>
    <t>-840.33164567887 198.946125493007 -98.8981850114264</t>
  </si>
  <si>
    <t>-896.221100396932 70.0124725696583 -49.7645410411048</t>
  </si>
  <si>
    <t>-878.910555098964 210.82160870079 328.02873377839</t>
  </si>
  <si>
    <t>-982.17359104836 258.852338630296 761.04666001448</t>
  </si>
  <si>
    <t>-860.999401933822 339.027719281929 824.102513025154</t>
  </si>
  <si>
    <t>-870.710932564718 -60.7705202776003 347.033037229907</t>
  </si>
  <si>
    <t>-866.884643592907 24.6871446810846 786.799300228888</t>
  </si>
  <si>
    <t>-762.107889464619 -71.2109264235776 856.890003261697</t>
  </si>
  <si>
    <t>9763-20170724T111220.582991200.bin</t>
  </si>
  <si>
    <t>-946.94279150546 130.430555246593 -486.258183471847</t>
  </si>
  <si>
    <t>-1049.27421135015 157.938708104437 -211.735269689966</t>
  </si>
  <si>
    <t>-840.048428419178 199.136639320181 -99.5827125714278</t>
  </si>
  <si>
    <t>-895.835149494364 70.0063290748949 -49.6382240807206</t>
  </si>
  <si>
    <t>-878.810235565002 210.610082951927 328.244575746768</t>
  </si>
  <si>
    <t>-982.160857391835 258.864818942277 761.196200858858</t>
  </si>
  <si>
    <t>-860.956319572622 338.99140170698 824.255456838762</t>
  </si>
  <si>
    <t>-870.488228970836 -60.8658000733492 346.979564209086</t>
  </si>
  <si>
    <t>-866.812846036213 24.7535398270293 786.750299561939</t>
  </si>
  <si>
    <t>-762.275501889948 -71.4076195474445 856.837864470192</t>
  </si>
  <si>
    <t>9763-20170724T111220.611059200.bin</t>
  </si>
  <si>
    <t>-946.860909460959 130.324370981929 -486.185021564829</t>
  </si>
  <si>
    <t>-1049.36237698974 157.908087487726 -211.733151983613</t>
  </si>
  <si>
    <t>-839.971082797331 198.589450253723 -99.7010193410349</t>
  </si>
  <si>
    <t>-895.510841500939 69.9948730182596 -49.5644217228374</t>
  </si>
  <si>
    <t>-878.593399043512 210.558139570975 328.338333363198</t>
  </si>
  <si>
    <t>-982.042112356473 258.78929194297 761.267211725407</t>
  </si>
  <si>
    <t>-860.965596794407 339.117451743559 824.3159402347</t>
  </si>
  <si>
    <t>-870.176114355985 -61.0096299467273 346.993673239566</t>
  </si>
  <si>
    <t>-866.811338426834 24.7251668576978 786.732673445796</t>
  </si>
  <si>
    <t>-762.164752643641 -71.3328975945635 856.798633670586</t>
  </si>
  <si>
    <t>9763-20170724T111220.680264600.bin</t>
  </si>
  <si>
    <t>-947.144338425916 130.135595974406 -485.980517738584</t>
  </si>
  <si>
    <t>-1049.77426449012 158.277118628241 -211.633322441847</t>
  </si>
  <si>
    <t>-839.556759331355 197.555026551593 -100.652726345951</t>
  </si>
  <si>
    <t>-895.064518699516 70.0256164188986 -49.3931586916834</t>
  </si>
  <si>
    <t>-878.163093317075 210.733658867086 328.456344224999</t>
  </si>
  <si>
    <t>-982.177775638793 258.944510702494 761.34505303504</t>
  </si>
  <si>
    <t>-861.05427182017 339.202935721371 824.391806958066</t>
  </si>
  <si>
    <t>-869.223630487061 -61.3190064753728 347.06733802972</t>
  </si>
  <si>
    <t>-866.812868135349 24.6454784855969 786.703493161922</t>
  </si>
  <si>
    <t>-762.07196705339 -71.3295099180186 856.742761367844</t>
  </si>
  <si>
    <t>9763-20170724T111220.713352800.bin</t>
  </si>
  <si>
    <t>-947.204543785474 130.052991906004 -485.842364735464</t>
  </si>
  <si>
    <t>-1049.91429869665 158.718762587005 -211.579219853303</t>
  </si>
  <si>
    <t>-839.264936570064 197.009639351361 -101.073272420916</t>
  </si>
  <si>
    <t>-894.747794521076 70.0133370671088 -49.3009273359698</t>
  </si>
  <si>
    <t>-877.953075783631 210.779313249413 328.531829624253</t>
  </si>
  <si>
    <t>-982.207053494476 258.990503631909 761.368091344023</t>
  </si>
  <si>
    <t>-861.008558004089 339.124849575549 824.429102386746</t>
  </si>
  <si>
    <t>-868.590875271206 -61.4549059416468 347.111346716389</t>
  </si>
  <si>
    <t>-866.775685967047 24.6900540933098 786.691125062604</t>
  </si>
  <si>
    <t>-762.117389479374 -71.378145468977 856.725536312468</t>
  </si>
  <si>
    <t>9763-20170724T111220.782688300.bin</t>
  </si>
  <si>
    <t>-947.215618317216 129.991041830599 -485.555050238748</t>
  </si>
  <si>
    <t>-1050.24541408559 159.029543295353 -211.451467189591</t>
  </si>
  <si>
    <t>-839.176290016489 196.605810596621 -101.50263724782</t>
  </si>
  <si>
    <t>-893.982847675661 69.853390552571 -49.1491549503992</t>
  </si>
  <si>
    <t>-877.460082156907 210.637787817384 328.688684142007</t>
  </si>
  <si>
    <t>-982.066768700685 258.928018686903 761.419833816409</t>
  </si>
  <si>
    <t>-861.092749581454 339.388566783608 824.49644085754</t>
  </si>
  <si>
    <t>-867.360137647009 -61.9033383805563 347.215154368334</t>
  </si>
  <si>
    <t>-866.780089449676 24.6341506617719 786.681822988295</t>
  </si>
  <si>
    <t>-761.963869896126 -71.2850004345412 856.684408990335</t>
  </si>
  <si>
    <t>9763-20170724T111220.815776100.bin</t>
  </si>
  <si>
    <t>-947.351250013546 130.119102085363 -485.408041585297</t>
  </si>
  <si>
    <t>-1050.36546596014 159.27662802636 -211.311085293658</t>
  </si>
  <si>
    <t>-839.384847620597 196.777883370835 -101.16648456502</t>
  </si>
  <si>
    <t>-893.725398684272 69.9088046988309 -49.0792917064682</t>
  </si>
  <si>
    <t>-877.289258863693 210.689271368244 328.763930608337</t>
  </si>
  <si>
    <t>-982.251836001545 259.100637065878 761.427279230435</t>
  </si>
  <si>
    <t>-860.990920338757 339.130515406962 824.50120591993</t>
  </si>
  <si>
    <t>-866.972805110253 -62.0233621264547 347.28018019167</t>
  </si>
  <si>
    <t>-866.762248340053 24.6717097458131 786.692569518497</t>
  </si>
  <si>
    <t>-761.979605929391 -71.2957493130145 856.678841102739</t>
  </si>
  <si>
    <t>9763-20170724T111220.883503700.bin</t>
  </si>
  <si>
    <t>-948.052718053783 130.504514584532 -485.174601592114</t>
  </si>
  <si>
    <t>-1050.79424801565 159.565835227524 -210.96508750508</t>
  </si>
  <si>
    <t>-840.104228351341 197.190954061506 -100.307831774676</t>
  </si>
  <si>
    <t>-893.285110078825 70.032638510078 -49.0016040557127</t>
  </si>
  <si>
    <t>-876.832811544187 210.812957077743 328.840751796192</t>
  </si>
  <si>
    <t>-982.203076206132 259.103588590099 761.415438716229</t>
  </si>
  <si>
    <t>-861.050245285384 339.281849118355 824.507720992591</t>
  </si>
  <si>
    <t>-866.780945537582 -62.0504695429668 347.375181713194</t>
  </si>
  <si>
    <t>-866.796307890399 24.6326423990104 786.746342539568</t>
  </si>
  <si>
    <t>-762.06505426593 -71.420711661272 856.691442813848</t>
  </si>
  <si>
    <t>9763-20170724T111220.917594700.bin</t>
  </si>
  <si>
    <t>-948.592854915277 130.869645266947 -485.066163502979</t>
  </si>
  <si>
    <t>-1051.14608738719 159.695728506197 -210.761451942187</t>
  </si>
  <si>
    <t>-840.395634283923 197.266882373726 -100.201574708179</t>
  </si>
  <si>
    <t>-893.246300648793 70.1784990291831 -48.9800687092026</t>
  </si>
  <si>
    <t>-876.766639614923 210.982952086759 328.852189171982</t>
  </si>
  <si>
    <t>-982.337334170864 259.224193061068 761.401034979144</t>
  </si>
  <si>
    <t>-861.061113830763 339.213177234933 824.497284175031</t>
  </si>
  <si>
    <t>-866.759840320817 -61.975826552032 347.402800790958</t>
  </si>
  <si>
    <t>-866.76384366834 24.6964041462784 786.771638716157</t>
  </si>
  <si>
    <t>-762.051932125365 -71.3904700617786 856.700291611811</t>
  </si>
  <si>
    <t>9763-20170724T111220.990800500.bin</t>
  </si>
  <si>
    <t>-949.572218419591 131.383801789705 -484.835319666265</t>
  </si>
  <si>
    <t>-1051.79005088256 159.80138539175 -210.362767987389</t>
  </si>
  <si>
    <t>-840.931879554712 196.910649326343 -99.8526208165395</t>
  </si>
  <si>
    <t>-893.193949833737 70.2841071050316 -48.95466389949</t>
  </si>
  <si>
    <t>-876.724228199462 211.070231889972 328.884803233314</t>
  </si>
  <si>
    <t>-982.378091787534 259.274506438522 761.397496729109</t>
  </si>
  <si>
    <t>-860.942516254814 339.036381083537 824.474146191497</t>
  </si>
  <si>
    <t>-866.673027355477 -61.9818428725414 347.411032688025</t>
  </si>
  <si>
    <t>-866.750057269582 24.6872507115268 786.778276039912</t>
  </si>
  <si>
    <t>-761.98562094752 -71.3479653747804 856.699271707491</t>
  </si>
  <si>
    <t>9763-20170724T111221.012859900.bin</t>
  </si>
  <si>
    <t>-949.886472089654 131.391492935686 -484.761969869098</t>
  </si>
  <si>
    <t>-1052.00765050437 159.628146195893 -210.234863266008</t>
  </si>
  <si>
    <t>-841.223090326969 196.374037225277 -99.4624963769562</t>
  </si>
  <si>
    <t>-893.129770644117 70.2354400176091 -48.9455162816959</t>
  </si>
  <si>
    <t>-876.701513778952 211.001501911754 328.90328147235</t>
  </si>
  <si>
    <t>-982.236016812183 259.171054669923 761.403419536326</t>
  </si>
  <si>
    <t>-861.034256002382 339.293081503956 824.474288619681</t>
  </si>
  <si>
    <t>-866.553762794048 -62.0463160084951 347.396160013727</t>
  </si>
  <si>
    <t>-866.737112392067 24.6858590983979 786.765425753251</t>
  </si>
  <si>
    <t>-761.97785975382 -71.3496183087493 856.693893982601</t>
  </si>
  <si>
    <t>9763-20170724T111221.081101200.bin</t>
  </si>
  <si>
    <t>-950.145211578835 131.471826376607 -484.646026574224</t>
  </si>
  <si>
    <t>-1052.38909663286 159.466987013034 -210.13989312549</t>
  </si>
  <si>
    <t>-841.63294998399 195.314844570637 -99.0200972627368</t>
  </si>
  <si>
    <t>-893.160929915211 70.273464844623 -48.9332598346933</t>
  </si>
  <si>
    <t>-876.838188381065 211.122356481855 328.889284434954</t>
  </si>
  <si>
    <t>-982.338384963891 259.291129016523 761.412602662114</t>
  </si>
  <si>
    <t>-861.049114232 339.282445152272 824.480275431716</t>
  </si>
  <si>
    <t>-866.450974463177 -62.1101360303462 347.385940184605</t>
  </si>
  <si>
    <t>-866.707886507508 24.7272677459218 786.752114803859</t>
  </si>
  <si>
    <t>-761.98614353592 -71.3425486324913 856.689236241485</t>
  </si>
  <si>
    <t>9763-20170724T111221.118199400.bin</t>
  </si>
  <si>
    <t>-950.09983851387 131.415515008192 -484.625588721016</t>
  </si>
  <si>
    <t>-1052.43865964779 159.084620359412 -210.121740350923</t>
  </si>
  <si>
    <t>-841.669567779476 194.6464215329 -98.9345673421827</t>
  </si>
  <si>
    <t>-893.082730821341 70.2658247948461 -48.9433810261265</t>
  </si>
  <si>
    <t>-876.827059285133 211.152320194728 328.867882004116</t>
  </si>
  <si>
    <t>-982.216001395155 259.212910204411 761.399911462772</t>
  </si>
  <si>
    <t>-861.048148166081 339.386158888061 824.471287646913</t>
  </si>
  <si>
    <t>-866.462058286085 -62.1801047841388 347.403063854887</t>
  </si>
  <si>
    <t>-866.767406013388 24.6044754547434 786.762781981334</t>
  </si>
  <si>
    <t>-761.920273322876 -71.336674004915 856.688833876726</t>
  </si>
  <si>
    <t>9763-20170724T111221.180372500.bin</t>
  </si>
  <si>
    <t>-950.139513506774 131.368761900345 -484.660570647863</t>
  </si>
  <si>
    <t>-1052.54020564459 158.282165311428 -210.104589262532</t>
  </si>
  <si>
    <t>-841.426889195013 193.294335716854 -99.396931656257</t>
  </si>
  <si>
    <t>-893.141027905233 70.3713469047275 -49.0139298129793</t>
  </si>
  <si>
    <t>-876.895880493363 211.227186715319 328.809262359307</t>
  </si>
  <si>
    <t>-982.199282366096 259.256888312096 761.364004749826</t>
  </si>
  <si>
    <t>-860.994063732431 339.324126277982 824.497849282966</t>
  </si>
  <si>
    <t>-866.495240490219 -62.1135017627591 347.416464958268</t>
  </si>
  <si>
    <t>-866.746164913455 24.6368994192494 786.773046342404</t>
  </si>
  <si>
    <t>-761.993375963228 -71.4132028226293 856.691013331465</t>
  </si>
  <si>
    <t>9763-20170724T111221.238527900.bin</t>
  </si>
  <si>
    <t>-950.285550707711 131.206147284046 -484.712344182255</t>
  </si>
  <si>
    <t>-1052.56263330566 157.909659156554 -210.089946822971</t>
  </si>
  <si>
    <t>-841.113482435047 192.546285111905 -99.9062643311138</t>
  </si>
  <si>
    <t>-893.307749480821 70.4073077170306 -49.0499738096813</t>
  </si>
  <si>
    <t>-876.974552591636 211.266457556372 328.768228173292</t>
  </si>
  <si>
    <t>-982.276116889722 259.340305879544 761.372465089552</t>
  </si>
  <si>
    <t>-860.947981038183 339.206438733679 824.524479914974</t>
  </si>
  <si>
    <t>-866.607886455631 -62.1514662752161 347.420533707217</t>
  </si>
  <si>
    <t>-866.785715345134 24.5577068332236 786.780981573107</t>
  </si>
  <si>
    <t>-761.899920030472 -71.357697919789 856.684693670923</t>
  </si>
  <si>
    <t>9763-20170724T111221.282194300.bin</t>
  </si>
  <si>
    <t>-950.133582602105 130.166230769539 -485.109149784195</t>
  </si>
  <si>
    <t>-1051.58237303839 157.280428730004 -210.219656954226</t>
  </si>
  <si>
    <t>-839.452297090389 191.289342678634 -101.154948390961</t>
  </si>
  <si>
    <t>-893.062930363411 70.2090606164029 -49.1267530803763</t>
  </si>
  <si>
    <t>-876.687740862866 211.1924237315 328.643208401989</t>
  </si>
  <si>
    <t>-981.908334615918 259.055830639074 761.31028647359</t>
  </si>
  <si>
    <t>-861.064038750271 339.63262519983 824.487593454439</t>
  </si>
  <si>
    <t>-866.744671723162 -62.2081805938856 347.472027054767</t>
  </si>
  <si>
    <t>-866.780606928604 24.5629708898168 786.816259827693</t>
  </si>
  <si>
    <t>-761.889922829149 -71.3594039652839 856.702953710273</t>
  </si>
  <si>
    <t>9763-20170724T111221.315282100.bin</t>
  </si>
  <si>
    <t>-949.991763510627 129.453827215355 -485.599367241287</t>
  </si>
  <si>
    <t>-1050.96419096211 157.309497983189 -210.60887743198</t>
  </si>
  <si>
    <t>-838.592797872638 191.064614671671 -101.935857780897</t>
  </si>
  <si>
    <t>-892.977426384777 70.1732850779454 -49.1958838070984</t>
  </si>
  <si>
    <t>-876.504113993487 211.21069680997 328.549658405957</t>
  </si>
  <si>
    <t>-981.87282362361 259.018260954833 761.241716976782</t>
  </si>
  <si>
    <t>-860.9646354537 339.491357729055 824.429555565866</t>
  </si>
  <si>
    <t>-866.822183725262 -62.1737191963136 347.526737588674</t>
  </si>
  <si>
    <t>-866.744475874249 24.623931896409 786.842122426772</t>
  </si>
  <si>
    <t>-761.974452721119 -71.42844218153 856.730858734483</t>
  </si>
  <si>
    <t>9763-20170724T111221.382470900.bin</t>
  </si>
  <si>
    <t>-949.681905691347 127.916417522352 -486.85507632566</t>
  </si>
  <si>
    <t>-1049.7373174741 157.475252986997 -211.707284929285</t>
  </si>
  <si>
    <t>-836.623627679122 191.166159551272 -104.476975436456</t>
  </si>
  <si>
    <t>-892.856215049993 70.0768037266362 -49.4453640274811</t>
  </si>
  <si>
    <t>-876.015601563227 211.09850103281 328.289926660145</t>
  </si>
  <si>
    <t>-981.785381639834 258.873482980495 761.015282565664</t>
  </si>
  <si>
    <t>-860.95233406589 339.473235734215 824.183930539046</t>
  </si>
  <si>
    <t>-867.02773543221 -62.1964365903009 347.669301564993</t>
  </si>
  <si>
    <t>-866.731926419229 24.6262699594258 786.926489291654</t>
  </si>
  <si>
    <t>-761.994608452406 -71.468150391072 856.806528354955</t>
  </si>
  <si>
    <t>9763-20170724T111221.416562900.bin</t>
  </si>
  <si>
    <t>-949.673828491211 127.422510590412 -487.372223443134</t>
  </si>
  <si>
    <t>-1048.93743605944 157.490613041564 -211.992678898352</t>
  </si>
  <si>
    <t>-835.202535331032 191.426900443367 -106.084331357875</t>
  </si>
  <si>
    <t>-892.866436752151 70.0411741258063 -49.5976576849876</t>
  </si>
  <si>
    <t>-875.798570229201 211.03793875878 328.136715391013</t>
  </si>
  <si>
    <t>-981.735336599368 258.780106445485 760.862697493933</t>
  </si>
  <si>
    <t>-860.889112372972 339.379372322922 824.007747416708</t>
  </si>
  <si>
    <t>-867.192309544234 -62.1855748282392 347.730990365662</t>
  </si>
  <si>
    <t>-866.749204497358 24.5815461597945 786.977691115364</t>
  </si>
  <si>
    <t>-761.958522752169 -71.463747092183 856.84588826267</t>
  </si>
  <si>
    <t>9763-20170724T111221.481065500.bin</t>
  </si>
  <si>
    <t>-949.780684527456 127.160027750212 -487.883306667825</t>
  </si>
  <si>
    <t>-1046.33802911627 157.527387213891 -211.576132733024</t>
  </si>
  <si>
    <t>-830.782569076944 192.891907642864 -109.90985709392</t>
  </si>
  <si>
    <t>-893.2190152501 70.004490606083 -49.8875125580903</t>
  </si>
  <si>
    <t>-875.548628594446 210.951168496828 327.837842732406</t>
  </si>
  <si>
    <t>-981.508599006868 258.505063259986 760.533211266185</t>
  </si>
  <si>
    <t>-860.844296462414 339.4286961185 823.611538730827</t>
  </si>
  <si>
    <t>-867.411018848772 -62.1259753568436 347.760025532746</t>
  </si>
  <si>
    <t>-866.74383857608 24.5588240315974 787.031214754473</t>
  </si>
  <si>
    <t>-761.949996166003 -71.4888644932873 856.890715617217</t>
  </si>
  <si>
    <t>9763-20170724T111221.513150500.bin</t>
  </si>
  <si>
    <t>-949.94202368455 127.226928867847 -487.939293230828</t>
  </si>
  <si>
    <t>-1044.55109776008 157.551987770421 -210.954225517622</t>
  </si>
  <si>
    <t>-827.9451885451 193.801395974296 -111.864777464667</t>
  </si>
  <si>
    <t>-893.544070227059 70.0467562817485 -50.0032770863686</t>
  </si>
  <si>
    <t>-875.636984888979 210.98977955671 327.712369318613</t>
  </si>
  <si>
    <t>-981.60822685066 258.5414217341 760.392623873707</t>
  </si>
  <si>
    <t>-860.890465813987 339.432785345958 823.409624363823</t>
  </si>
  <si>
    <t>-867.476524095937 -62.0824175607061 347.725757479851</t>
  </si>
  <si>
    <t>-866.759375740895 24.5131356580714 787.040761336476</t>
  </si>
  <si>
    <t>-761.97461631855 -71.5495536453361 856.893404914975</t>
  </si>
  <si>
    <t>9763-20170724T111221.581339900.bin</t>
  </si>
  <si>
    <t>-950.115889282014 127.317430011803 -487.954609710557</t>
  </si>
  <si>
    <t>-1040.15084851795 158.375459850135 -209.529709972869</t>
  </si>
  <si>
    <t>-821.420767386279 195.830973220219 -115.693926373134</t>
  </si>
  <si>
    <t>-894.171951699321 70.1513517966046 -50.2242210991749</t>
  </si>
  <si>
    <t>-876.04488699427 211.115445328915 327.47302218365</t>
  </si>
  <si>
    <t>-981.665526016749 258.523847628095 760.148875308571</t>
  </si>
  <si>
    <t>-860.693908881525 339.117701371114 823.059883599999</t>
  </si>
  <si>
    <t>-867.700673594691 -62.0188988430671 347.620732150855</t>
  </si>
  <si>
    <t>-866.809560723991 24.3795822189236 787.024217919696</t>
  </si>
  <si>
    <t>-761.848050252909 -71.5009621493757 856.862071296424</t>
  </si>
  <si>
    <t>9763-20170724T111221.615430300.bin</t>
  </si>
  <si>
    <t>-950.06363219942 127.209706732281 -488.0857615914</t>
  </si>
  <si>
    <t>-1037.74109717869 158.84310590535 -208.974225528595</t>
  </si>
  <si>
    <t>-818.06622058367 196.587492262025 -117.491091334489</t>
  </si>
  <si>
    <t>-894.374587465618 70.1479018405412 -50.3531050030139</t>
  </si>
  <si>
    <t>-876.173134053735 211.16947668567 327.319120549254</t>
  </si>
  <si>
    <t>-981.536935096998 258.435396104508 760.011156959568</t>
  </si>
  <si>
    <t>-860.759901968196 339.333435391886 822.905395472897</t>
  </si>
  <si>
    <t>-867.801710424156 -62.015243287145 347.552208685155</t>
  </si>
  <si>
    <t>-866.816722847124 24.3112541162868 786.990818230363</t>
  </si>
  <si>
    <t>-761.819117900432 -71.5144757945027 856.849607380715</t>
  </si>
  <si>
    <t>9763-20170724T111221.682152500.bin</t>
  </si>
  <si>
    <t>-949.474654042272 127.187498781473 -488.445829967343</t>
  </si>
  <si>
    <t>-1032.87608574069 160.064033217688 -208.170064022652</t>
  </si>
  <si>
    <t>-811.540332358417 198.606983930215 -121.130908860689</t>
  </si>
  <si>
    <t>-894.803080739502 70.429312342404 -50.6690266707866</t>
  </si>
  <si>
    <t>-876.52894679764 211.556143049785 326.960335738022</t>
  </si>
  <si>
    <t>-981.72219584935 258.718474610316 759.666306444469</t>
  </si>
  <si>
    <t>-860.816756392856 339.361618789739 822.640701887311</t>
  </si>
  <si>
    <t>-867.88275280006 -61.8370077905315 347.412258132097</t>
  </si>
  <si>
    <t>-866.763607177841 24.3179098837641 786.92037830636</t>
  </si>
  <si>
    <t>-761.831830391349 -71.5439952827426 856.828491342634</t>
  </si>
  <si>
    <t>9763-20170724T111221.715239300.bin</t>
  </si>
  <si>
    <t>-948.854954482988 127.245715096565 -488.545512580131</t>
  </si>
  <si>
    <t>-1030.06475954021 160.930999435737 -207.722664883742</t>
  </si>
  <si>
    <t>-807.864197112035 199.871849633735 -123.097482903959</t>
  </si>
  <si>
    <t>-894.76766893562 70.5214082819298 -50.8362961553538</t>
  </si>
  <si>
    <t>-876.429918526895 211.655414173759 326.787308192589</t>
  </si>
  <si>
    <t>-981.588240989631 258.716071360961 759.482528637886</t>
  </si>
  <si>
    <t>-860.869389425231 339.580967426484 822.531190258582</t>
  </si>
  <si>
    <t>-867.891970518667 -61.8353712784408 347.350227880097</t>
  </si>
  <si>
    <t>-866.795244224816 24.2178062258031 786.888517906967</t>
  </si>
  <si>
    <t>-761.681373352328 -71.4432506273979 856.798218814527</t>
  </si>
  <si>
    <t>9763-20170724T111221.780918100.bin</t>
  </si>
  <si>
    <t>-947.391512587864 127.54499127105 -488.787104413149</t>
  </si>
  <si>
    <t>-1023.28257736039 163.935367653 -206.816436579347</t>
  </si>
  <si>
    <t>-799.314997478041 203.319348385005 -127.203478433566</t>
  </si>
  <si>
    <t>-894.67823638909 70.863645377603 -50.9245667703129</t>
  </si>
  <si>
    <t>-875.760370445853 212.115382876236 326.62634835596</t>
  </si>
  <si>
    <t>-981.778041879192 258.960836281588 759.243901336427</t>
  </si>
  <si>
    <t>-860.85135780982 339.447303716693 822.378240781811</t>
  </si>
  <si>
    <t>-867.937833531436 -61.7434516280055 347.311221602181</t>
  </si>
  <si>
    <t>-866.752047675507 24.24949558656 786.866594284094</t>
  </si>
  <si>
    <t>-761.704227139087 -71.4782061026929 856.783866899907</t>
  </si>
  <si>
    <t>9763-20170724T111221.810998200.bin</t>
  </si>
  <si>
    <t>-946.746896526759 127.557592357188 -488.894119333795</t>
  </si>
  <si>
    <t>-1019.15900044345 166.243799457221 -206.314825540216</t>
  </si>
  <si>
    <t>-794.331351488454 205.296073767975 -128.994742763664</t>
  </si>
  <si>
    <t>-894.701875776707 70.9778066437989 -50.8616494843129</t>
  </si>
  <si>
    <t>-875.223945526679 212.398550097299 326.597637075578</t>
  </si>
  <si>
    <t>-981.761016873218 258.919754190963 759.168694480205</t>
  </si>
  <si>
    <t>-860.846871782541 339.417554618387 822.312981352438</t>
  </si>
  <si>
    <t>-868.02795960743 -61.6377276683634 347.33323266901</t>
  </si>
  <si>
    <t>-866.720893265304 24.2674121667615 786.871391163592</t>
  </si>
  <si>
    <t>-761.768333126004 -71.5505827618708 856.808419321169</t>
  </si>
  <si>
    <t>9763-20170724T111221.881022300.bin</t>
  </si>
  <si>
    <t>-945.162798274543 126.872039564979 -489.282784816006</t>
  </si>
  <si>
    <t>-1010.49732294266 171.196348769719 -205.807856945596</t>
  </si>
  <si>
    <t>-784.230343788809 209.17444245392 -132.243440679847</t>
  </si>
  <si>
    <t>-894.539758268064 71.1028137983376 -50.8870437000037</t>
  </si>
  <si>
    <t>-874.46011859073 212.594645053817 326.513988605483</t>
  </si>
  <si>
    <t>-981.771014843519 258.791997824211 758.996244688683</t>
  </si>
  <si>
    <t>-860.847758000843 339.317125303186 822.087813793846</t>
  </si>
  <si>
    <t>-868.227191199205 -61.5059785274475 347.40032895828</t>
  </si>
  <si>
    <t>-866.731935060703 24.1635088762305 786.925927402947</t>
  </si>
  <si>
    <t>-761.716908588749 -71.5763582247898 856.876043466964</t>
  </si>
  <si>
    <t>9763-20170724T111221.913108000.bin</t>
  </si>
  <si>
    <t>-944.342829083097 126.401722801108 -489.650492846642</t>
  </si>
  <si>
    <t>-1006.31274152232 173.041494731019 -205.791901419952</t>
  </si>
  <si>
    <t>-779.37016248101 210.620345333658 -134.127945159032</t>
  </si>
  <si>
    <t>-894.341921108463 71.209518485166 -51.0638886141511</t>
  </si>
  <si>
    <t>-874.358215232509 212.43361148931 326.442455421975</t>
  </si>
  <si>
    <t>-981.767832013931 258.677518297382 758.924237300608</t>
  </si>
  <si>
    <t>-860.788931207224 339.176231227395 821.943340198291</t>
  </si>
  <si>
    <t>-868.208147238084 -61.4407050883065 347.423483727637</t>
  </si>
  <si>
    <t>-866.68164275726 24.2180168949981 786.946573094528</t>
  </si>
  <si>
    <t>-761.691266363463 -71.5410861976168 856.907239036545</t>
  </si>
  <si>
    <t>9763-20170724T111221.982017900.bin</t>
  </si>
  <si>
    <t>-943.044051478578 125.364647717383 -490.4282034309</t>
  </si>
  <si>
    <t>-998.879647150873 175.695307103962 -205.927892030148</t>
  </si>
  <si>
    <t>-770.754407890889 212.895112699694 -137.91336400429</t>
  </si>
  <si>
    <t>-893.678965923818 71.3067469492712 -51.5610467449903</t>
  </si>
  <si>
    <t>-874.118347766177 211.57389319195 326.324144365435</t>
  </si>
  <si>
    <t>-981.800213580906 258.457736780735 758.760810697261</t>
  </si>
  <si>
    <t>-860.817570318459 339.10990642199 821.57539223577</t>
  </si>
  <si>
    <t>-867.924740722471 -61.4520467256127 347.46205814356</t>
  </si>
  <si>
    <t>-866.61328199738 24.2794925581843 786.973068570766</t>
  </si>
  <si>
    <t>-761.88151466847 -71.7464829888204 856.955715682424</t>
  </si>
  <si>
    <t>9763-20170724T111222.015111400.bin</t>
  </si>
  <si>
    <t>-942.60739051687 124.891451944681 -490.783058345396</t>
  </si>
  <si>
    <t>-995.976887603158 176.593299429349 -206.055397770199</t>
  </si>
  <si>
    <t>-767.349470284092 213.546094787737 -139.611296431974</t>
  </si>
  <si>
    <t>-893.367956974668 71.4306584655983 -51.7980419174717</t>
  </si>
  <si>
    <t>-873.94030626973 211.281764454488 326.248141621409</t>
  </si>
  <si>
    <t>-982.012211069094 258.578629977131 758.604430922123</t>
  </si>
  <si>
    <t>-860.702243485855 338.799425504367 821.340631421829</t>
  </si>
  <si>
    <t>-867.716769443621 -61.4954051287418 347.47576511504</t>
  </si>
  <si>
    <t>-866.61616383196 24.2694206995338 786.97572131485</t>
  </si>
  <si>
    <t>-761.905885245436 -71.7851787835632 856.951484932912</t>
  </si>
  <si>
    <t>9763-20170724T111222.083022600.bin</t>
  </si>
  <si>
    <t>-942.311416183469 123.96731435843 -491.530196088945</t>
  </si>
  <si>
    <t>-992.368550763105 177.885497765288 -206.612071071817</t>
  </si>
  <si>
    <t>-762.960295021994 213.584040815083 -142.204449546906</t>
  </si>
  <si>
    <t>-892.15444911577 71.5014699334479 -52.1102390145625</t>
  </si>
  <si>
    <t>-872.901311519949 210.960441946046 326.089741099496</t>
  </si>
  <si>
    <t>-981.982131847265 258.503058198648 758.236138381149</t>
  </si>
  <si>
    <t>-860.805606245155 339.020775236645 820.850019448054</t>
  </si>
  <si>
    <t>-867.19401456185 -61.6526274842117 347.531529984688</t>
  </si>
  <si>
    <t>-866.585641627883 24.3706028271936 786.985082463261</t>
  </si>
  <si>
    <t>-762.099122815107 -71.9420002923105 856.940252335908</t>
  </si>
  <si>
    <t>9763-20170724T111222.116108000.bin</t>
  </si>
  <si>
    <t>-942.781351051022 123.717536702574 -491.846608312379</t>
  </si>
  <si>
    <t>-991.71906857385 178.495149967882 -206.897920657269</t>
  </si>
  <si>
    <t>-762.063791206272 213.435483860353 -142.956622189958</t>
  </si>
  <si>
    <t>-891.430145803296 71.5840713780558 -52.2233967138468</t>
  </si>
  <si>
    <t>-872.190371437056 211.086391858165 325.961147102101</t>
  </si>
  <si>
    <t>-981.933531676564 258.43848551868 758.011172654542</t>
  </si>
  <si>
    <t>-860.730700452518 338.930744089625 820.606180680838</t>
  </si>
  <si>
    <t>-866.968664721943 -61.6867381678085 347.590832789372</t>
  </si>
  <si>
    <t>-866.544292586281 24.4695439925736 787.009659918131</t>
  </si>
  <si>
    <t>-762.158097955176 -71.9646841723275 856.94756890243</t>
  </si>
  <si>
    <t>9763-20170724T111222.181297400.bin</t>
  </si>
  <si>
    <t>-942.589532115046 123.746537310626 -492.098625590065</t>
  </si>
  <si>
    <t>-991.526926439852 178.863920195631 -207.215546717182</t>
  </si>
  <si>
    <t>-762.075023078081 214.675024261828 -143.026259601212</t>
  </si>
  <si>
    <t>-890.150560697897 71.7826117535469 -52.3898827641893</t>
  </si>
  <si>
    <t>-870.389576766727 211.309500015943 325.75880467316</t>
  </si>
  <si>
    <t>-981.713417943236 258.406269234318 757.3976612609</t>
  </si>
  <si>
    <t>-860.50302070623 338.880136109079 820.002422205815</t>
  </si>
  <si>
    <t>-866.398235467127 -61.7527623789638 347.693166269251</t>
  </si>
  <si>
    <t>-866.579741633224 24.4474974645013 787.043998078836</t>
  </si>
  <si>
    <t>-762.161465710054 -71.9796983150345 856.942881409078</t>
  </si>
  <si>
    <t>9763-20170724T111222.216390200.bin</t>
  </si>
  <si>
    <t>-942.211864678367 124.011810677684 -492.213843799664</t>
  </si>
  <si>
    <t>-991.676263645153 178.617489646047 -207.323194860056</t>
  </si>
  <si>
    <t>-762.450729797557 215.642613764474 -143.015004224096</t>
  </si>
  <si>
    <t>-890.100698434452 72.1358250994599 -52.5812591784709</t>
  </si>
  <si>
    <t>-869.384300572917 211.12499954825 325.71419215333</t>
  </si>
  <si>
    <t>-981.617037773724 258.504044769168 757.011839178914</t>
  </si>
  <si>
    <t>-860.21657585971 338.593242428653 819.741202213743</t>
  </si>
  <si>
    <t>-866.088708252727 -61.7393837326756 347.658992870992</t>
  </si>
  <si>
    <t>-866.614920358661 24.4412729659089 787.030572435173</t>
  </si>
  <si>
    <t>-762.245094363378 -72.048769542391 856.915547045542</t>
  </si>
  <si>
    <t>9763-20170724T111222.282157600.bin</t>
  </si>
  <si>
    <t>-941.841611593325 124.474882711419 -492.30296416401</t>
  </si>
  <si>
    <t>-991.473726809823 177.497616240777 -207.142509558793</t>
  </si>
  <si>
    <t>-763.005019779385 219.204729979789 -143.00610966227</t>
  </si>
  <si>
    <t>-889.88427881172 72.3950164113962 -52.60131899592</t>
  </si>
  <si>
    <t>-866.602291107969 210.71894887923 325.788845569742</t>
  </si>
  <si>
    <t>-981.280443799439 258.392361125 756.381551184129</t>
  </si>
  <si>
    <t>-860.101397417216 338.559667695399 819.437905027948</t>
  </si>
  <si>
    <t>-865.50523481417 -62.0324159134227 347.552473110418</t>
  </si>
  <si>
    <t>-866.866247538585 24.1594438839616 787.01282558783</t>
  </si>
  <si>
    <t>-762.110338858176 -71.9632074782235 856.826405221947</t>
  </si>
  <si>
    <t>9763-20170724T111222.314242200.bin</t>
  </si>
  <si>
    <t>-941.790954914933 124.630827714898 -492.159358000053</t>
  </si>
  <si>
    <t>-990.641205378753 176.739891049545 -206.695655918564</t>
  </si>
  <si>
    <t>-762.631062175018 222.326209386463 -143.576100629844</t>
  </si>
  <si>
    <t>-889.534615545265 72.3456976479392 -52.4092069401078</t>
  </si>
  <si>
    <t>-864.988183328505 210.76046760096 325.867846346286</t>
  </si>
  <si>
    <t>-981.138910950075 258.487144989682 756.004426515701</t>
  </si>
  <si>
    <t>-859.882006729078 338.465447950668 819.150900059728</t>
  </si>
  <si>
    <t>-865.223433022354 -62.1776662679588 347.597488225873</t>
  </si>
  <si>
    <t>-866.924774905193 24.1594733676111 787.039764370359</t>
  </si>
  <si>
    <t>-762.240029613094 -72.0617543076535 856.824223005424</t>
  </si>
  <si>
    <t>9763-20170724T111222.381429600.bin</t>
  </si>
  <si>
    <t>-940.454406683523 125.304942700287 -491.707523353654</t>
  </si>
  <si>
    <t>-985.925644698644 176.561404762622 -205.532117007128</t>
  </si>
  <si>
    <t>-760.764267486366 232.888289580764 -140.875313216863</t>
  </si>
  <si>
    <t>-886.348778206672 72.2910271446458 -51.9091428338727</t>
  </si>
  <si>
    <t>-860.170181522299 210.558694052255 326.312270431958</t>
  </si>
  <si>
    <t>-981.51351629066 262.399049517455 754.177606990599</t>
  </si>
  <si>
    <t>-858.051543803277 338.302995753272 818.076102624762</t>
  </si>
  <si>
    <t>-863.845890859185 -62.2214202338275 347.736503526382</t>
  </si>
  <si>
    <t>-866.979411415505 24.0731197747177 787.164389663413</t>
  </si>
  <si>
    <t>-762.32385540266 -72.1985838447913 856.923134351425</t>
  </si>
  <si>
    <t>9763-20170724T111222.413514600.bin</t>
  </si>
  <si>
    <t>-939.152769667822 126.089833755108 -491.521573138854</t>
  </si>
  <si>
    <t>-982.021574823315 177.598044311321 -204.989955878577</t>
  </si>
  <si>
    <t>-759.073256776207 239.790025527376 -138.079026404901</t>
  </si>
  <si>
    <t>-883.578120352473 72.6098529960304 -51.7111580838049</t>
  </si>
  <si>
    <t>-857.402170045748 210.014796876629 326.824643405177</t>
  </si>
  <si>
    <t>-981.991920282236 266.351121913617 752.878201938848</t>
  </si>
  <si>
    <t>-856.58557745084 338.308934865579 817.550803881465</t>
  </si>
  <si>
    <t>-862.741924126909 -62.0431494856196 347.734812353506</t>
  </si>
  <si>
    <t>-866.973169189706 23.9493596008297 787.214958000042</t>
  </si>
  <si>
    <t>-762.111805198639 -72.1078071804602 856.960508389083</t>
  </si>
  <si>
    <t>9763-20170724T111222.481497100.bin</t>
  </si>
  <si>
    <t>-935.676159678279 129.669615335231 -491.691346891498</t>
  </si>
  <si>
    <t>-972.2353959585 181.649637527549 -204.371384700052</t>
  </si>
  <si>
    <t>-755.25985387142 255.750939813828 -130.334284766363</t>
  </si>
  <si>
    <t>-878.012395929587 75.7018595754989 -51.7792777027566</t>
  </si>
  <si>
    <t>-852.013096280405 209.541600139072 328.043807335476</t>
  </si>
  <si>
    <t>-983.108036031805 277.449512458903 750.148149635565</t>
  </si>
  <si>
    <t>-852.531285357891 337.633547608345 816.592772877133</t>
  </si>
  <si>
    <t>-860.058067165867 -60.7512198716879 347.594159158458</t>
  </si>
  <si>
    <t>-866.720515939922 23.9329305221108 787.274585645231</t>
  </si>
  <si>
    <t>-761.913228045174 -72.1446608664005 857.073057560404</t>
  </si>
  <si>
    <t>9763-20170724T111222.549680600.bin</t>
  </si>
  <si>
    <t>-947.232937127512 0.544263239992688 -503.986462647205</t>
  </si>
  <si>
    <t>-934.0386004612 136.819973034108 -491.845538223316</t>
  </si>
  <si>
    <t>-963.973176328496 188.737845658158 -203.748890299315</t>
  </si>
  <si>
    <t>-753.56476840265 271.392951262004 -120.397975586657</t>
  </si>
  <si>
    <t>-877.415410239749 82.2225049942126 -52.2217052279989</t>
  </si>
  <si>
    <t>-850.437326755114 210.632508837101 329.403424600488</t>
  </si>
  <si>
    <t>-988.1929774409 289.349748638132 747.959277925543</t>
  </si>
  <si>
    <t>-852.98074941184 336.540062415512 815.620019034917</t>
  </si>
  <si>
    <t>-858.804752630919 -57.88686292588 347.278169068826</t>
  </si>
  <si>
    <t>-866.361186618517 24.0624922912907 787.306005918707</t>
  </si>
  <si>
    <t>-761.737601512877 -72.1676668127598 857.169616263668</t>
  </si>
  <si>
    <t>9763-20170724T111222.581551500.bin</t>
  </si>
  <si>
    <t>-947.229132868928 5.8241475927698 -504.326618235233</t>
  </si>
  <si>
    <t>-933.072152456298 141.967076540705 -491.820100359046</t>
  </si>
  <si>
    <t>-960.145651621314 193.489050499895 -203.36963227001</t>
  </si>
  <si>
    <t>-752.552298399786 278.673110033508 -115.622116347368</t>
  </si>
  <si>
    <t>-877.474493855626 86.971951729759 -52.6202672641476</t>
  </si>
  <si>
    <t>-848.955748569797 212.116001553384 329.976500422087</t>
  </si>
  <si>
    <t>-988.176491002752 294.512144423504 747.168942515054</t>
  </si>
  <si>
    <t>-851.077110096867 335.734938506661 814.931326929006</t>
  </si>
  <si>
    <t>-858.463630631457 -55.942886206356 347.029167505853</t>
  </si>
  <si>
    <t>-866.221004407304 24.1064304944593 787.292475017425</t>
  </si>
  <si>
    <t>-761.725420829949 -72.2390060587416 857.189219271825</t>
  </si>
  <si>
    <t>9763-20170724T111222.610628000.bin</t>
  </si>
  <si>
    <t>-947.580320581024 11.9651877652486 -504.817000199455</t>
  </si>
  <si>
    <t>-932.552339154505 148.001138186191 -491.973594915076</t>
  </si>
  <si>
    <t>-955.585903866637 198.456945706358 -202.984228925951</t>
  </si>
  <si>
    <t>-750.731651816663 286.738457191247 -111.923713239188</t>
  </si>
  <si>
    <t>-877.952230799662 92.5289802605612 -53.1507394107183</t>
  </si>
  <si>
    <t>-847.651244778678 214.46046496979 330.345364672712</t>
  </si>
  <si>
    <t>-988.056878689434 297.854951899664 746.999066483077</t>
  </si>
  <si>
    <t>-849.484908931415 334.430140441425 814.433386122675</t>
  </si>
  <si>
    <t>-858.298581061019 -53.4838079894298 346.678381192172</t>
  </si>
  <si>
    <t>-866.031061443864 24.3063328603207 787.243906445975</t>
  </si>
  <si>
    <t>-761.789523002462 -72.2837955026132 857.182134716683</t>
  </si>
  <si>
    <t>9763-20170724T111222.681824200.bin</t>
  </si>
  <si>
    <t>-880.074990340562 4.35987520771232 -53.6154471218257</t>
  </si>
  <si>
    <t>-923.095040631701 3.94027133462214 -161.157580116981</t>
  </si>
  <si>
    <t>-942.05775674292 2.73199437580752 -257.93366595854</t>
  </si>
  <si>
    <t>-952.473636353423 0.964151885623778 -346.401982664527</t>
  </si>
  <si>
    <t>-950.404927742315 22.973910437403 -506.077515458538</t>
  </si>
  <si>
    <t>-933.328155784915 158.724518344286 -492.607555334285</t>
  </si>
  <si>
    <t>-945.897888163058 207.180220937158 -202.632909984656</t>
  </si>
  <si>
    <t>-744.486522854101 300.044184670422 -108.502160315389</t>
  </si>
  <si>
    <t>-882.303891437567 101.021728900531 -54.3567104783041</t>
  </si>
  <si>
    <t>-850.497252197274 218.124524289693 330.519758206211</t>
  </si>
  <si>
    <t>-991.800162674497 295.37790475781 748.541362079341</t>
  </si>
  <si>
    <t>-852.129798759452 331.618627102037 813.856305799711</t>
  </si>
  <si>
    <t>-858.969618298019 -49.2500554377546 345.732881242951</t>
  </si>
  <si>
    <t>-865.860797448308 24.5664253300952 787.039683878035</t>
  </si>
  <si>
    <t>-761.838388240429 -72.2253051367043 857.024936160084</t>
  </si>
  <si>
    <t>9763-20170724T111222.715916700.bin</t>
  </si>
  <si>
    <t>-880.649306004643 8.40551066137095 -54.270837059079</t>
  </si>
  <si>
    <t>-923.573348558519 8.39045796710707 -161.852347556395</t>
  </si>
  <si>
    <t>-942.477734324485 7.48144087055607 -258.64303098741</t>
  </si>
  <si>
    <t>-952.852760214904 5.96638045475584 -347.120778908581</t>
  </si>
  <si>
    <t>-956.136299143774 3.51774410850658 -436.123362867179</t>
  </si>
  <si>
    <t>-950.515104395023 28.3425318643785 -506.737557530232</t>
  </si>
  <si>
    <t>-932.098695350076 163.886021180814 -492.977996119695</t>
  </si>
  <si>
    <t>-940.196221932489 211.857949198607 -202.763673150609</t>
  </si>
  <si>
    <t>-738.45632502498 304.692423126448 -109.310242590523</t>
  </si>
  <si>
    <t>-882.391741281635 104.695352128863 -54.94566986263</t>
  </si>
  <si>
    <t>-851.150769671312 220.436712031883 330.388708651837</t>
  </si>
  <si>
    <t>-992.419951470303 293.644228645559 749.329433256124</t>
  </si>
  <si>
    <t>-852.730297092941 331.830318704303 813.484714930593</t>
  </si>
  <si>
    <t>-858.799623890872 -47.3537219850359 345.259122539446</t>
  </si>
  <si>
    <t>-865.814297153676 24.7081928027342 786.932790735389</t>
  </si>
  <si>
    <t>-761.994127643224 -72.281482866973 856.944806153742</t>
  </si>
  <si>
    <t>9763-20170724T111222.781650900.bin</t>
  </si>
  <si>
    <t>-879.70404601133 16.1671101557758 -55.7122237781469</t>
  </si>
  <si>
    <t>-922.472540605261 16.6683039189479 -163.35441344489</t>
  </si>
  <si>
    <t>-941.186766023877 16.2270325843124 -260.185397225457</t>
  </si>
  <si>
    <t>-951.366495211208 15.146272896307 -348.692056564183</t>
  </si>
  <si>
    <t>-954.433232365947 13.1325518385142 -437.713322079261</t>
  </si>
  <si>
    <t>-951.26956845043 9.13951859336294 -562.191725282082</t>
  </si>
  <si>
    <t>-915.931695498871 7.36532481857785 -637.378926124892</t>
  </si>
  <si>
    <t>-948.143981514476 38.2244023106477 -508.176796113967</t>
  </si>
  <si>
    <t>-926.903460316691 173.277408346717 -493.739943612457</t>
  </si>
  <si>
    <t>-925.249157660493 224.031386783996 -203.890793202251</t>
  </si>
  <si>
    <t>-719.279967864575 312.118865311731 -115.188629434896</t>
  </si>
  <si>
    <t>-880.51635764227 111.469358254715 -56.2953817055824</t>
  </si>
  <si>
    <t>-850.602465099037 224.019932846416 330.08817371438</t>
  </si>
  <si>
    <t>-993.167372810133 292.618971473516 749.916098816121</t>
  </si>
  <si>
    <t>-853.285021015695 332.620957628248 812.526518835643</t>
  </si>
  <si>
    <t>-857.015497620242 -43.7007564157293 344.445015381937</t>
  </si>
  <si>
    <t>-865.799648171662 24.8720134279497 786.812994081342</t>
  </si>
  <si>
    <t>-762.278589410735 -72.4145195145752 856.855968584445</t>
  </si>
  <si>
    <t>9763-20170724T111222.815743000.bin</t>
  </si>
  <si>
    <t>-879.641352839175 21.0439575961468 -56.5236093048285</t>
  </si>
  <si>
    <t>-922.339582324108 21.7390812532703 -164.192476359552</t>
  </si>
  <si>
    <t>-940.926548574293 21.4547373809069 -261.04859883587</t>
  </si>
  <si>
    <t>-950.964018394011 20.5140398552298 -349.573178425779</t>
  </si>
  <si>
    <t>-953.861877389741 18.633472012059 -438.602984619713</t>
  </si>
  <si>
    <t>-950.435538046643 14.8173680092132 -563.079979484018</t>
  </si>
  <si>
    <t>-914.980553618705 12.8961715419005 -638.208425970059</t>
  </si>
  <si>
    <t>-947.170820902588 43.7824504072892 -509.00895120523</t>
  </si>
  <si>
    <t>-924.500889819645 178.53901865967 -494.214665830483</t>
  </si>
  <si>
    <t>-917.186416484478 231.974404670917 -204.935673944341</t>
  </si>
  <si>
    <t>-707.765699240033 316.680513884289 -121.158692592887</t>
  </si>
  <si>
    <t>-880.932439260438 116.613346549828 -57.3776369084048</t>
  </si>
  <si>
    <t>-850.987709253146 225.628164982245 330.015884677018</t>
  </si>
  <si>
    <t>-993.37407310432 292.947836858929 750.26645703083</t>
  </si>
  <si>
    <t>-853.064635330597 332.318997335499 812.318286833864</t>
  </si>
  <si>
    <t>-855.801046556233 -41.374783513322 343.980720025201</t>
  </si>
  <si>
    <t>-865.756528661914 25.0574156609018 786.709911279889</t>
  </si>
  <si>
    <t>-762.583517338428 -72.57943872295 856.779044239024</t>
  </si>
  <si>
    <t>9763-20170724T111222.879579000.bin</t>
  </si>
  <si>
    <t>-880.713408155744 32.0395033460932 -57.9000229101534</t>
  </si>
  <si>
    <t>-923.198602116265 33.2550920546582 -165.64866405847</t>
  </si>
  <si>
    <t>-941.392923507027 33.2598393404628 -262.579690124541</t>
  </si>
  <si>
    <t>-950.992629105159 32.521010371318 -351.154795264519</t>
  </si>
  <si>
    <t>-953.373495731096 30.7719516070661 -440.202455806462</t>
  </si>
  <si>
    <t>-949.145869310146 27.0625684961251 -564.658127925683</t>
  </si>
  <si>
    <t>-913.331466806725 24.7327389221168 -639.604419822386</t>
  </si>
  <si>
    <t>-945.689320523144 55.8816897593629 -510.52108495067</t>
  </si>
  <si>
    <t>-919.928353720499 190.057814534757 -495.208877052862</t>
  </si>
  <si>
    <t>-898.903197847716 247.234832198284 -207.320025246612</t>
  </si>
  <si>
    <t>-682.587754084247 325.412140100791 -135.579090328847</t>
  </si>
  <si>
    <t>-956.323072256874 1.50804893100531 -509.261620529271</t>
  </si>
  <si>
    <t>-882.429552541462 127.67399364405 -59.2372092516341</t>
  </si>
  <si>
    <t>-852.092732627176 227.227471558942 330.664663919959</t>
  </si>
  <si>
    <t>-993.906658264203 293.358142805139 751.926030949259</t>
  </si>
  <si>
    <t>-852.748313574485 332.055784265662 812.457962964425</t>
  </si>
  <si>
    <t>-853.155262845636 -36.1162853119893 343.098470552938</t>
  </si>
  <si>
    <t>-865.689695012368 25.4956915998978 786.394585205065</t>
  </si>
  <si>
    <t>-763.133080870405 -72.7276589642875 856.548490645473</t>
  </si>
  <si>
    <t>9763-20170724T111222.916679000.bin</t>
  </si>
  <si>
    <t>-881.264948400305 37.2389806196798 -58.7659377013121</t>
  </si>
  <si>
    <t>-923.718915431114 38.6821675952492 -166.523914156776</t>
  </si>
  <si>
    <t>-941.73231304057 38.7915456367118 -263.488741371703</t>
  </si>
  <si>
    <t>-951.105499166476 38.1118668434406 -352.088478294158</t>
  </si>
  <si>
    <t>-953.198944126204 36.3797235131115 -441.143784837421</t>
  </si>
  <si>
    <t>-948.50884788535 32.6473398544281 -565.582188571845</t>
  </si>
  <si>
    <t>-912.517315766532 30.0470169375844 -640.434597890741</t>
  </si>
  <si>
    <t>-944.960043291186 61.4176528476037 -511.425185117183</t>
  </si>
  <si>
    <t>-917.636843355035 195.265689623399 -495.891979425333</t>
  </si>
  <si>
    <t>-889.26566878072 253.743767119386 -208.896252002135</t>
  </si>
  <si>
    <t>-669.372973922581 327.968735427479 -144.175463324714</t>
  </si>
  <si>
    <t>-956.185513296609 7.1618030495697 -510.220862284282</t>
  </si>
  <si>
    <t>-883.141041458654 132.748620481753 -60.3286473567281</t>
  </si>
  <si>
    <t>-853.592604281493 227.45366962438 330.839535921274</t>
  </si>
  <si>
    <t>-994.094320394034 293.062434846923 752.618004279888</t>
  </si>
  <si>
    <t>-852.553393955468 331.684323746266 812.298731031547</t>
  </si>
  <si>
    <t>-851.706133976844 -33.540058373067 342.591519690894</t>
  </si>
  <si>
    <t>-865.61661646381 25.8497777349139 786.167119348898</t>
  </si>
  <si>
    <t>-763.594882899705 -72.8706217766735 856.403833166953</t>
  </si>
  <si>
    <t>9763-20170724T111222.981402200.bin</t>
  </si>
  <si>
    <t>-882.189166874612 48.3559502029188 -60.875443221998</t>
  </si>
  <si>
    <t>-924.450054026404 49.9647791592415 -168.706950077658</t>
  </si>
  <si>
    <t>-942.078553655664 50.1585909798687 -265.742391498724</t>
  </si>
  <si>
    <t>-951.014908509696 49.5319176761795 -354.387643303332</t>
  </si>
  <si>
    <t>-952.585999232965 47.8154677522675 -443.454132257411</t>
  </si>
  <si>
    <t>-947.080644086592 44.0598152276025 -567.858264903149</t>
  </si>
  <si>
    <t>-910.944741214753 40.8333083950024 -642.616616089088</t>
  </si>
  <si>
    <t>-943.295414869925 72.7117444734936 -513.654461347331</t>
  </si>
  <si>
    <t>-913.269361749085 205.920984535504 -497.766606852876</t>
  </si>
  <si>
    <t>-872.090713288332 265.749283475895 -212.606843949567</t>
  </si>
  <si>
    <t>-645.632076908091 331.719036828677 -163.460899106498</t>
  </si>
  <si>
    <t>-955.711171874253 18.7132591112668 -512.57366527818</t>
  </si>
  <si>
    <t>-884.57333768278 143.961819964018 -63.3052019866458</t>
  </si>
  <si>
    <t>-858.737729365434 229.417839404478 330.248423704733</t>
  </si>
  <si>
    <t>-994.161056380998 292.886693442056 754.177503147662</t>
  </si>
  <si>
    <t>-851.872009414579 330.474771524711 812.729269675229</t>
  </si>
  <si>
    <t>-848.604044789097 -28.287841008138 341.327057808454</t>
  </si>
  <si>
    <t>-865.576803850287 26.4754018068957 785.525804159933</t>
  </si>
  <si>
    <t>-764.497268745456 -73.0518029932662 855.985327339485</t>
  </si>
  <si>
    <t>9763-20170724T111223.015492900.bin</t>
  </si>
  <si>
    <t>-882.057421903087 54.1732683105251 -61.7147663559356</t>
  </si>
  <si>
    <t>-924.132508841725 55.8642125622141 -169.617754534049</t>
  </si>
  <si>
    <t>-941.548439043656 56.0678625534047 -266.691409118592</t>
  </si>
  <si>
    <t>-950.273281410295 55.4249817389464 -355.357706865629</t>
  </si>
  <si>
    <t>-951.616308972971 53.6602786571902 -444.426832786092</t>
  </si>
  <si>
    <t>-945.77752283337 49.8008957159946 -568.812715468912</t>
  </si>
  <si>
    <t>-909.670194239809 46.188076917153 -643.567235254753</t>
  </si>
  <si>
    <t>-941.844113640557 78.4291561944019 -514.607036280286</t>
  </si>
  <si>
    <t>-910.50625904689 211.333376362658 -498.56269422213</t>
  </si>
  <si>
    <t>-864.57021528229 270.98287514805 -214.092868557556</t>
  </si>
  <si>
    <t>-635.072417669394 331.7998090486 -173.06874719883</t>
  </si>
  <si>
    <t>-954.849602968138 24.5692457250161 -513.546281675081</t>
  </si>
  <si>
    <t>-884.201953539343 149.693360483878 -64.3782449141747</t>
  </si>
  <si>
    <t>-860.858806227319 231.493831413073 330.106793097469</t>
  </si>
  <si>
    <t>-994.046317944876 293.119881045126 755.202141152646</t>
  </si>
  <si>
    <t>-851.625109365984 330.642899261603 813.473053198103</t>
  </si>
  <si>
    <t>-846.996204650764 -25.3669031878117 340.771202217638</t>
  </si>
  <si>
    <t>-865.535778887183 26.8799854934073 785.222175443787</t>
  </si>
  <si>
    <t>-765.216264848933 -73.3139083908932 855.823085369346</t>
  </si>
  <si>
    <t>9763-20170724T111223.081679900.bin</t>
  </si>
  <si>
    <t>-880.932576759745 66.0742072843987 -62.7915538994088</t>
  </si>
  <si>
    <t>-922.582753355475 68.0485639514045 -170.85443401932</t>
  </si>
  <si>
    <t>-939.639785601732 68.1057556221103 -267.99215771965</t>
  </si>
  <si>
    <t>-948.053901095861 67.173352398278 -356.685703935592</t>
  </si>
  <si>
    <t>-949.109456369411 64.9512976718452 -445.748578279458</t>
  </si>
  <si>
    <t>-942.901053577568 60.2735321788673 -570.088421971932</t>
  </si>
  <si>
    <t>-907.182988333136 55.7157927908816 -644.978303409523</t>
  </si>
  <si>
    <t>-938.647746994858 89.1380690196011 -516.032377555888</t>
  </si>
  <si>
    <t>-905.3828505322 221.613180700984 -500.354991411156</t>
  </si>
  <si>
    <t>-856.162280301606 281.114397132619 -216.404156046309</t>
  </si>
  <si>
    <t>-621.174059184383 325.808576297208 -187.528241065928</t>
  </si>
  <si>
    <t>-952.618003212947 35.5258555571718 -514.71291386424</t>
  </si>
  <si>
    <t>-882.597479800135 161.487156424466 -65.5429126006051</t>
  </si>
  <si>
    <t>-863.632031310561 236.661029206029 330.492297707127</t>
  </si>
  <si>
    <t>-993.716404904724 293.809545931005 757.420932808767</t>
  </si>
  <si>
    <t>-851.04090061323 330.96048677973 815.307045710903</t>
  </si>
  <si>
    <t>-843.776143702763 -19.2027230587341 339.893083043279</t>
  </si>
  <si>
    <t>-865.617162894024 27.4558756483648 784.735561201427</t>
  </si>
  <si>
    <t>-766.2544389703 -73.50926127714 855.590347580106</t>
  </si>
  <si>
    <t>9763-20170724T111223.113765900.bin</t>
  </si>
  <si>
    <t>-880.544664363517 72.3254183731738 -63.062240342683</t>
  </si>
  <si>
    <t>-921.792466337172 74.5384572411958 -171.274702487392</t>
  </si>
  <si>
    <t>-938.556514200348 74.5051576222641 -268.463218101555</t>
  </si>
  <si>
    <t>-946.73549516036 73.3795007100971 -357.176757208481</t>
  </si>
  <si>
    <t>-947.591614489015 70.8537099357227 -446.233565138507</t>
  </si>
  <si>
    <t>-941.146296734084 65.6384470583498 -570.539975339503</t>
  </si>
  <si>
    <t>-905.73340497611 60.6507353482657 -645.547127940496</t>
  </si>
  <si>
    <t>-936.833736733253 94.6939217476961 -516.590973329892</t>
  </si>
  <si>
    <t>-903.153715788435 227.101461473876 -501.430684725328</t>
  </si>
  <si>
    <t>-857.059324870096 286.84205066286 -217.005758892374</t>
  </si>
  <si>
    <t>-619.912226566994 320.368347874941 -190.775681200205</t>
  </si>
  <si>
    <t>-951.131336974908 41.1729435951547 -515.086846538047</t>
  </si>
  <si>
    <t>-882.272772928636 167.734434381139 -65.8882075094081</t>
  </si>
  <si>
    <t>-864.522933049345 239.011587582186 330.923003243828</t>
  </si>
  <si>
    <t>-993.504629311457 293.97943572034 758.596642690999</t>
  </si>
  <si>
    <t>-850.720771221604 331.058281378357 816.261349356541</t>
  </si>
  <si>
    <t>-842.374689866577 -15.9746334871274 339.552407323552</t>
  </si>
  <si>
    <t>-865.704622189782 27.7077479021254 784.54237751463</t>
  </si>
  <si>
    <t>-766.890243267803 -73.7030684953522 855.527436903363</t>
  </si>
  <si>
    <t>9763-20170724T111223.180977900.bin</t>
  </si>
  <si>
    <t>-880.699063841827 85.3685828103535 -63.4378754806002</t>
  </si>
  <si>
    <t>-920.95803564267 87.983436284715 -172.01316417181</t>
  </si>
  <si>
    <t>-936.875992294503 88.0302034392448 -269.343895045039</t>
  </si>
  <si>
    <t>-944.302045376087 86.8920059581565 -358.123390413042</t>
  </si>
  <si>
    <t>-944.422223857033 84.2755453717282 -447.181707880601</t>
  </si>
  <si>
    <t>-936.971986469766 78.8611921583133 -571.423437468256</t>
  </si>
  <si>
    <t>-902.140870031508 73.4756393399753 -646.674968103108</t>
  </si>
  <si>
    <t>-932.925457083385 107.957151487891 -517.475658139734</t>
  </si>
  <si>
    <t>-898.460576080004 240.147396324942 -502.477631631751</t>
  </si>
  <si>
    <t>-865.916276382572 298.925072279388 -215.986308227657</t>
  </si>
  <si>
    <t>-626.866047703229 311.716925529645 -188.744627139058</t>
  </si>
  <si>
    <t>-947.576038814677 54.5303987892817 -516.025887022103</t>
  </si>
  <si>
    <t>-883.197792970286 180.917011939402 -66.4592061838543</t>
  </si>
  <si>
    <t>-866.178403173648 243.535433140708 331.842119185706</t>
  </si>
  <si>
    <t>-992.930458020605 294.113267649223 761.146096527678</t>
  </si>
  <si>
    <t>-849.852654133966 330.626600163631 818.441780340657</t>
  </si>
  <si>
    <t>-840.173088678608 -9.08401375005769 338.999610550244</t>
  </si>
  <si>
    <t>-865.909335854673 28.2071226216831 784.166581152739</t>
  </si>
  <si>
    <t>-767.998429519799 -73.8901335200871 855.418752074624</t>
  </si>
  <si>
    <t>9763-20170724T111223.250162200.bin</t>
  </si>
  <si>
    <t>-881.043963728026 98.1324650053948 -63.6518915120715</t>
  </si>
  <si>
    <t>-920.689880342171 100.584155878814 -172.456358659694</t>
  </si>
  <si>
    <t>-935.846163080526 100.893926693642 -269.908095239587</t>
  </si>
  <si>
    <t>-942.48126523576 100.166688982194 -358.754462122919</t>
  </si>
  <si>
    <t>-941.704895685915 98.1381935665268 -447.824738725351</t>
  </si>
  <si>
    <t>-932.888825147608 93.7341946146739 -572.016922084387</t>
  </si>
  <si>
    <t>-898.470069707663 88.5862320892206 -647.474760565866</t>
  </si>
  <si>
    <t>-929.444778043136 122.392512996128 -517.793899702665</t>
  </si>
  <si>
    <t>-894.727780426432 254.439777758085 -501.700095710593</t>
  </si>
  <si>
    <t>-873.711019977167 304.304988310798 -212.454626846845</t>
  </si>
  <si>
    <t>-634.931291210542 310.281005270471 -180.840914511519</t>
  </si>
  <si>
    <t>-944.092005606016 68.9519330165367 -516.938563934073</t>
  </si>
  <si>
    <t>-884.611140148528 194.003930598089 -66.8219752728706</t>
  </si>
  <si>
    <t>-868.084821871505 248.839709892578 332.645937140548</t>
  </si>
  <si>
    <t>-992.200304542945 294.547913674992 763.682229518969</t>
  </si>
  <si>
    <t>-848.81938709314 330.126352045685 820.808083238749</t>
  </si>
  <si>
    <t>-877.87062809908 2.03283291643584 -62.8883828418659</t>
  </si>
  <si>
    <t>-838.955246240199 -2.00234159655474 338.763222823179</t>
  </si>
  <si>
    <t>-866.270431427534 28.6738229865759 783.913302187801</t>
  </si>
  <si>
    <t>-769.043574221131 -73.9341804561559 855.368361594989</t>
  </si>
  <si>
    <t>9763-20170724T111223.283257800.bin</t>
  </si>
  <si>
    <t>-880.826657802371 104.104689809981 -63.882376202351</t>
  </si>
  <si>
    <t>-920.157594585727 106.258684542639 -172.807387294395</t>
  </si>
  <si>
    <t>-934.992790237498 106.574742952231 -270.308617468043</t>
  </si>
  <si>
    <t>-941.313784958181 105.96256771689 -359.178910008026</t>
  </si>
  <si>
    <t>-940.19781658958 104.159529573968 -448.250429030366</t>
  </si>
  <si>
    <t>-930.878106226779 100.18815503154 -572.420433490326</t>
  </si>
  <si>
    <t>-896.625015524 95.2292209656225 -647.966167901764</t>
  </si>
  <si>
    <t>-927.699024921184 128.66954397225 -518.088043281042</t>
  </si>
  <si>
    <t>-893.221037561022 260.741817684998 -501.464173747794</t>
  </si>
  <si>
    <t>-875.157333590828 304.869773205684 -211.089278788775</t>
  </si>
  <si>
    <t>-636.599229841918 311.050734195451 -177.882759859628</t>
  </si>
  <si>
    <t>-942.259472447007 75.2019762240852 -517.470768446546</t>
  </si>
  <si>
    <t>-884.836653361887 200.158185409312 -67.1191377363684</t>
  </si>
  <si>
    <t>-869.2947171834 251.734987937316 332.822003930101</t>
  </si>
  <si>
    <t>-991.794391386541 294.932861406708 764.808854279019</t>
  </si>
  <si>
    <t>-848.278103830558 329.970110199602 821.929180628987</t>
  </si>
  <si>
    <t>-877.078234913406 7.80528411757768 -62.9689577551759</t>
  </si>
  <si>
    <t>-838.954513116981 1.61005955156907 338.7309695022</t>
  </si>
  <si>
    <t>-866.595617714688 28.8231064894962 783.903235667836</t>
  </si>
  <si>
    <t>-769.532947113102 -73.9029025171901 855.4118355134</t>
  </si>
  <si>
    <t>9763-20170724T111223.313336700.bin</t>
  </si>
  <si>
    <t>-880.382604102978 109.922135134625 -64.2218980381501</t>
  </si>
  <si>
    <t>-919.365610379561 111.672019971541 -173.279141133116</t>
  </si>
  <si>
    <t>-933.915839607446 111.871346751539 -270.823644686122</t>
  </si>
  <si>
    <t>-939.983121465207 111.246502186074 -359.711412520296</t>
  </si>
  <si>
    <t>-938.616388617592 109.525378980715 -448.780986758323</t>
  </si>
  <si>
    <t>-928.947789332681 105.767232451813 -572.931000192587</t>
  </si>
  <si>
    <t>-894.82932018882 101.011095909952 -648.550534385555</t>
  </si>
  <si>
    <t>-925.971318356137 134.168767002174 -518.545229094173</t>
  </si>
  <si>
    <t>-891.764380935983 266.268767384182 -501.59232845621</t>
  </si>
  <si>
    <t>-875.533900548335 306.086578538465 -210.486977936884</t>
  </si>
  <si>
    <t>-637.056837947525 311.876821097547 -176.634335259806</t>
  </si>
  <si>
    <t>-940.433992952245 80.673476030162 -518.05214197499</t>
  </si>
  <si>
    <t>-884.83558790931 206.135384450892 -67.5150742208716</t>
  </si>
  <si>
    <t>-870.861776458913 254.786849135076 332.850336489882</t>
  </si>
  <si>
    <t>-991.365050109427 295.404652215794 765.823455505605</t>
  </si>
  <si>
    <t>-847.788671070272 330.130310421226 822.984194353208</t>
  </si>
  <si>
    <t>-876.161295109929 13.6733512207793 -63.0606784430387</t>
  </si>
  <si>
    <t>-839.12628847746 5.11996066887923 338.697899447966</t>
  </si>
  <si>
    <t>-866.993299266253 28.8895832996914 783.940838482328</t>
  </si>
  <si>
    <t>-769.975569525988 -73.8483217190164 855.492918947118</t>
  </si>
  <si>
    <t>9763-20170724T111223.382528300.bin</t>
  </si>
  <si>
    <t>-879.144944262144 121.244653602897 -64.7738189550935</t>
  </si>
  <si>
    <t>-917.011314440366 122.133274195453 -174.234169735487</t>
  </si>
  <si>
    <t>-930.848253312789 121.932335652795 -271.882285220555</t>
  </si>
  <si>
    <t>-936.376019720601 121.079010717775 -360.803242880363</t>
  </si>
  <si>
    <t>-934.574902329104 119.26258794387 -449.863432146847</t>
  </si>
  <si>
    <t>-924.408930200747 115.509049675486 -573.973756735649</t>
  </si>
  <si>
    <t>-890.487701144017 111.117809253897 -649.704292383795</t>
  </si>
  <si>
    <t>-921.695553291864 143.920738619127 -519.579529094598</t>
  </si>
  <si>
    <t>-887.690571788216 275.99812746224 -502.366226801353</t>
  </si>
  <si>
    <t>-874.812291238916 312.95559901041 -210.716657213075</t>
  </si>
  <si>
    <t>-636.238007617591 317.414060893715 -177.351237555028</t>
  </si>
  <si>
    <t>-936.06884304363 90.4008133350189 -519.138325113626</t>
  </si>
  <si>
    <t>-884.358875714537 217.456538720531 -68.3259098075461</t>
  </si>
  <si>
    <t>-874.75398052868 261.087869439451 332.746013685771</t>
  </si>
  <si>
    <t>-990.455995685803 296.567302940486 767.605112632999</t>
  </si>
  <si>
    <t>-846.93623519462 331.215204445852 824.954164362913</t>
  </si>
  <si>
    <t>-874.061909340255 25.0735847301007 -63.1760426493614</t>
  </si>
  <si>
    <t>-838.921640075555 11.5860079948848 338.617386329348</t>
  </si>
  <si>
    <t>-867.718936822052 29.1163295047941 784.000505011682</t>
  </si>
  <si>
    <t>-771.187088077275 -73.9841868323956 855.688273547125</t>
  </si>
  <si>
    <t>9763-20170724T111223.414622500.bin</t>
  </si>
  <si>
    <t>-878.658680522953 126.578325320171 -64.9212001696437</t>
  </si>
  <si>
    <t>-915.850623739746 127.110596407041 -174.614694462101</t>
  </si>
  <si>
    <t>-929.263837140111 126.741972448668 -272.321539589552</t>
  </si>
  <si>
    <t>-934.474450291644 125.793606108919 -361.260789329921</t>
  </si>
  <si>
    <t>-932.423240584432 123.940133936587 -450.314639969465</t>
  </si>
  <si>
    <t>-921.977970033221 120.195834829112 -574.402204934662</t>
  </si>
  <si>
    <t>-888.135311923069 115.943938654227 -650.175549319358</t>
  </si>
  <si>
    <t>-919.403768734579 148.607959063262 -520.001414243233</t>
  </si>
  <si>
    <t>-885.425809408654 280.681397180699 -502.708630978213</t>
  </si>
  <si>
    <t>-873.806042265607 317.351909845361 -210.969959993786</t>
  </si>
  <si>
    <t>-635.104787139379 320.05885327603 -178.332050112577</t>
  </si>
  <si>
    <t>-933.744888995142 95.0792681924131 -519.593376182629</t>
  </si>
  <si>
    <t>-884.278560228682 222.92153715357 -68.6698979482337</t>
  </si>
  <si>
    <t>-876.917035468279 263.786594884362 332.740747154425</t>
  </si>
  <si>
    <t>-989.974704953089 297.04711464151 768.448802629707</t>
  </si>
  <si>
    <t>-846.46843467927 331.574157130027 825.90459180059</t>
  </si>
  <si>
    <t>-873.29896314124 30.2585441697747 -63.1609736217339</t>
  </si>
  <si>
    <t>-838.625119573059 14.3880213788143 338.585844863436</t>
  </si>
  <si>
    <t>-868.114695402167 29.2061945543123 784.025526466028</t>
  </si>
  <si>
    <t>-771.7984591347 -74.0564832622806 855.770183782428</t>
  </si>
  <si>
    <t>9763-20170724T111223.478502300.bin</t>
  </si>
  <si>
    <t>-878.716990499125 136.059904893345 -65.0396884394007</t>
  </si>
  <si>
    <t>-914.804395273664 136.125590195882 -175.102983623086</t>
  </si>
  <si>
    <t>-927.478724326958 135.594237975171 -272.907549143922</t>
  </si>
  <si>
    <t>-932.111484448362 134.596983113207 -361.878259502099</t>
  </si>
  <si>
    <t>-929.572922948736 132.794706410495 -450.920699193059</t>
  </si>
  <si>
    <t>-918.541389108648 129.228136072571 -574.962589872036</t>
  </si>
  <si>
    <t>-884.848182424447 125.139221059485 -650.811542732099</t>
  </si>
  <si>
    <t>-916.27548711819 157.575832271497 -520.514509797329</t>
  </si>
  <si>
    <t>-882.512101856716 289.659966296364 -502.832429409722</t>
  </si>
  <si>
    <t>-871.429216268732 325.553342730632 -210.976120367614</t>
  </si>
  <si>
    <t>-632.244959381192 325.918868796515 -181.965806996365</t>
  </si>
  <si>
    <t>-930.516477792488 104.019384527374 -520.241126376507</t>
  </si>
  <si>
    <t>-885.350063237899 233.079531324106 -69.0990791912914</t>
  </si>
  <si>
    <t>-881.853814608516 267.986143182097 332.925763776118</t>
  </si>
  <si>
    <t>-988.957291010715 297.920130917837 770.261127874667</t>
  </si>
  <si>
    <t>-845.420997849432 331.932051158649 827.947468241037</t>
  </si>
  <si>
    <t>-872.591551008112 38.9267768868722 -63.0178083417579</t>
  </si>
  <si>
    <t>-837.921281852662 19.2880354293297 338.562773505407</t>
  </si>
  <si>
    <t>-868.861413966498 29.5187031118808 783.99675898527</t>
  </si>
  <si>
    <t>-772.938592998643 -74.0411621948272 855.840106334687</t>
  </si>
  <si>
    <t>9763-20170724T111223.515627900.bin</t>
  </si>
  <si>
    <t>-878.933058343923 140.161238229705 -65.0021992371013</t>
  </si>
  <si>
    <t>-914.495535581417 140.084040690122 -175.236068491079</t>
  </si>
  <si>
    <t>-926.850642411267 139.532527526927 -273.081475000309</t>
  </si>
  <si>
    <t>-931.250392611828 138.556949305072 -362.06427754929</t>
  </si>
  <si>
    <t>-928.535138060479 136.816844885249 -451.102679704348</t>
  </si>
  <si>
    <t>-917.314821412411 133.379000023205 -575.131339336972</t>
  </si>
  <si>
    <t>-883.683389373808 129.302526683668 -651.008249569359</t>
  </si>
  <si>
    <t>-915.140424806005 161.672570017846 -520.651371917939</t>
  </si>
  <si>
    <t>-881.412707600436 293.734344191506 -502.744396550656</t>
  </si>
  <si>
    <t>-869.256509353934 329.491742813373 -210.914208236763</t>
  </si>
  <si>
    <t>-629.709338567156 328.993163458801 -185.072680114786</t>
  </si>
  <si>
    <t>-929.363982651183 108.111194887927 -520.453374405421</t>
  </si>
  <si>
    <t>-885.841067413442 237.642369070264 -69.1253784918155</t>
  </si>
  <si>
    <t>-884.464495227351 269.675299769827 333.151447894394</t>
  </si>
  <si>
    <t>-988.4551088452 298.422772024114 771.231920045927</t>
  </si>
  <si>
    <t>-845.062758229624 332.859523616017 829.024523904029</t>
  </si>
  <si>
    <t>-872.386817337606 42.5371695593331 -62.9228638221803</t>
  </si>
  <si>
    <t>-837.544772754809 21.2678902234302 338.559809500459</t>
  </si>
  <si>
    <t>-869.294905784787 29.6262542504314 783.95460463416</t>
  </si>
  <si>
    <t>-773.445873489688 -73.9731500724126 855.839255282461</t>
  </si>
  <si>
    <t>9763-20170724T111223.579775000.bin</t>
  </si>
  <si>
    <t>-879.424398578409 147.706822394391 -64.8010420115979</t>
  </si>
  <si>
    <t>-913.89524343123 147.417274932938 -175.380838713944</t>
  </si>
  <si>
    <t>-925.623580072154 146.743543484147 -273.302587653</t>
  </si>
  <si>
    <t>-929.59048085181 145.678893232013 -362.304571827405</t>
  </si>
  <si>
    <t>-926.579290953904 143.870094733344 -451.332088737178</t>
  </si>
  <si>
    <t>-915.090364342974 140.355161519893 -575.33404164616</t>
  </si>
  <si>
    <t>-881.560006412466 136.141357915767 -651.248419325077</t>
  </si>
  <si>
    <t>-912.987744961217 168.670191799515 -520.862475444478</t>
  </si>
  <si>
    <t>-879.045315731098 300.662969990076 -502.829484832651</t>
  </si>
  <si>
    <t>-862.476979307385 337.504111244564 -211.351466448948</t>
  </si>
  <si>
    <t>-622.233770825897 333.86098739681 -193.44142217571</t>
  </si>
  <si>
    <t>-927.304540227759 115.133666786189 -520.67135676203</t>
  </si>
  <si>
    <t>-886.85136592921 246.094295479205 -68.9105582130429</t>
  </si>
  <si>
    <t>-889.400272145854 272.820095029248 333.747965351881</t>
  </si>
  <si>
    <t>-987.384138539889 299.180253198942 773.21866106579</t>
  </si>
  <si>
    <t>-844.160538718785 333.911360093517 831.252963412685</t>
  </si>
  <si>
    <t>-872.309892797742 49.1389332141557 -62.7121079255606</t>
  </si>
  <si>
    <t>-836.90382396396 25.0537293540315 338.562103124861</t>
  </si>
  <si>
    <t>-870.07717104158 30.0101577610885 783.851806186001</t>
  </si>
  <si>
    <t>-774.730222147865 -73.9654196879981 855.860858378329</t>
  </si>
  <si>
    <t>9763-20170724T111223.610858200.bin</t>
  </si>
  <si>
    <t>-879.700076103524 151.020861093282 -64.6129215452073</t>
  </si>
  <si>
    <t>-913.632912849894 150.725558427602 -175.358849745016</t>
  </si>
  <si>
    <t>-925.045135653638 149.95232874033 -273.317194998617</t>
  </si>
  <si>
    <t>-928.79190253124 148.756736906332 -362.327217877789</t>
  </si>
  <si>
    <t>-925.629393119103 146.773712844962 -451.345750181149</t>
  </si>
  <si>
    <t>-914.003258819315 142.968493013067 -575.326228488467</t>
  </si>
  <si>
    <t>-880.50684275621 138.62603732682 -651.248253227135</t>
  </si>
  <si>
    <t>-911.896438958118 171.393662648053 -520.912234965578</t>
  </si>
  <si>
    <t>-877.681782073031 303.331161385712 -503.087539907337</t>
  </si>
  <si>
    <t>-857.86194734873 341.733461040329 -212.014285425914</t>
  </si>
  <si>
    <t>-617.409812877866 335.853618121493 -197.905644807633</t>
  </si>
  <si>
    <t>-926.342357728912 117.892211573701 -520.624847301754</t>
  </si>
  <si>
    <t>-887.184038130736 249.742244133491 -68.6378781790114</t>
  </si>
  <si>
    <t>-891.391222112778 274.216835624369 334.149918944734</t>
  </si>
  <si>
    <t>-986.832949102243 299.413078356375 774.183644388539</t>
  </si>
  <si>
    <t>-843.616411690919 334.002944332204 832.320631163379</t>
  </si>
  <si>
    <t>-872.517911573311 52.0430458627989 -62.5683935987071</t>
  </si>
  <si>
    <t>-836.715006163906 26.7637085262359 338.597088552824</t>
  </si>
  <si>
    <t>-870.590584346676 30.0170370088781 783.819598450656</t>
  </si>
  <si>
    <t>-775.285170700922 -73.9593203601223 855.882387835885</t>
  </si>
  <si>
    <t>9763-20170724T111223.680049900.bin</t>
  </si>
  <si>
    <t>-880.343861238993 157.109205160631 -64.1257065789958</t>
  </si>
  <si>
    <t>-913.129026678919 156.902442106538 -175.217030159356</t>
  </si>
  <si>
    <t>-923.873371386035 155.958088239188 -273.24927236872</t>
  </si>
  <si>
    <t>-927.158742847533 154.510105186956 -362.273776823498</t>
  </si>
  <si>
    <t>-923.684307832843 152.175070880701 -451.272256081959</t>
  </si>
  <si>
    <t>-911.78441247053 147.774447028232 -575.207078828416</t>
  </si>
  <si>
    <t>-878.306303292652 143.14959124014 -651.120592420934</t>
  </si>
  <si>
    <t>-909.596597438776 176.405708080597 -520.90455624595</t>
  </si>
  <si>
    <t>-874.251863087941 308.133530782313 -503.708763758632</t>
  </si>
  <si>
    <t>-848.311769404043 349.356869311447 -213.503726175595</t>
  </si>
  <si>
    <t>-607.696687657323 339.716857833002 -205.609256795927</t>
  </si>
  <si>
    <t>-924.445189965748 123.016134813535 -520.43440918159</t>
  </si>
  <si>
    <t>-887.884890232445 256.295168726595 -68.0009307174062</t>
  </si>
  <si>
    <t>-894.477925562329 276.747831504845 334.979047868071</t>
  </si>
  <si>
    <t>-985.752239027393 299.660454234496 775.980601142613</t>
  </si>
  <si>
    <t>-842.552293202191 334.140764344253 834.222626710455</t>
  </si>
  <si>
    <t>-873.139050247959 57.6850652879775 -62.2658920455169</t>
  </si>
  <si>
    <t>-836.659601411598 30.1908248340987 338.692989221866</t>
  </si>
  <si>
    <t>-871.265023342955 30.5790827133787 783.723528453064</t>
  </si>
  <si>
    <t>-776.474685380939 -73.7574569607209 855.94529535289</t>
  </si>
  <si>
    <t>9763-20170724T111223.713138800.bin</t>
  </si>
  <si>
    <t>-880.883595584723 159.861860816698 -63.882154527464</t>
  </si>
  <si>
    <t>-913.152469574203 159.776329374029 -175.124845437365</t>
  </si>
  <si>
    <t>-923.62379527395 158.782837879016 -273.186198846316</t>
  </si>
  <si>
    <t>-926.738524679549 157.233203201948 -362.215039685085</t>
  </si>
  <si>
    <t>-923.172586618928 154.739884732723 -451.205643532928</t>
  </si>
  <si>
    <t>-911.230189749869 150.059119178221 -575.12594892394</t>
  </si>
  <si>
    <t>-877.824879861402 145.237448802459 -651.059238268335</t>
  </si>
  <si>
    <t>-908.930320779687 178.776817964335 -520.873559317617</t>
  </si>
  <si>
    <t>-872.83553052923 310.3515385537 -504.073012797133</t>
  </si>
  <si>
    <t>-844.840276033785 352.857199465238 -214.244166829487</t>
  </si>
  <si>
    <t>-604.263880366605 341.485235263666 -207.570151149018</t>
  </si>
  <si>
    <t>-924.040432198903 125.461292209705 -520.315930958134</t>
  </si>
  <si>
    <t>-888.420830394127 259.080417786009 -67.6575685553474</t>
  </si>
  <si>
    <t>-895.362103711144 278.052378612815 335.388991609686</t>
  </si>
  <si>
    <t>-985.209309936595 299.667121633459 776.788587717463</t>
  </si>
  <si>
    <t>-842.008998374021 334.130729423522 835.040232923474</t>
  </si>
  <si>
    <t>-873.778950970283 60.4497850918046 -62.0898773361371</t>
  </si>
  <si>
    <t>-836.886765361068 31.7047662415462 338.74350818055</t>
  </si>
  <si>
    <t>-871.640317451949 30.8292077819865 783.69774568603</t>
  </si>
  <si>
    <t>-776.97088394165 -73.563419234235 855.996970023861</t>
  </si>
  <si>
    <t>9763-20170724T111223.783329700.bin</t>
  </si>
  <si>
    <t>-882.094594785342 164.642824247398 -63.3014176973797</t>
  </si>
  <si>
    <t>-913.608659997219 164.898093544517 -174.759997851548</t>
  </si>
  <si>
    <t>-923.596998429318 163.902601934576 -272.871656842299</t>
  </si>
  <si>
    <t>-926.351502646362 162.239058614437 -361.910304080357</t>
  </si>
  <si>
    <t>-922.510053465744 159.516555489875 -450.882580914462</t>
  </si>
  <si>
    <t>-910.276175861527 154.395951234832 -574.75724908451</t>
  </si>
  <si>
    <t>-876.973900131756 149.162318310594 -650.708648347638</t>
  </si>
  <si>
    <t>-907.804555776307 183.219819746276 -520.568800789579</t>
  </si>
  <si>
    <t>-869.927196909504 314.378702930422 -504.444247121698</t>
  </si>
  <si>
    <t>-841.456351151218 358.542229509352 -214.909767456703</t>
  </si>
  <si>
    <t>-601.070483384883 344.326914006018 -206.942635262678</t>
  </si>
  <si>
    <t>-923.514724089627 130.0790379149 -519.92360576807</t>
  </si>
  <si>
    <t>-967.514273033844 3.29250493677046 -490.10361225486</t>
  </si>
  <si>
    <t>-889.128773121925 263.732181881831 -66.8823259421555</t>
  </si>
  <si>
    <t>-895.200761428724 280.616371368773 336.27120843116</t>
  </si>
  <si>
    <t>-984.126175347321 299.529226859192 778.172965880757</t>
  </si>
  <si>
    <t>-840.922026406957 334.041220100213 836.386698728511</t>
  </si>
  <si>
    <t>-875.297837226978 65.3179513275586 -61.7481111009437</t>
  </si>
  <si>
    <t>-837.646481498097 34.5776482347892 338.866515172377</t>
  </si>
  <si>
    <t>-872.40586272564 31.3493252378189 783.67638889343</t>
  </si>
  <si>
    <t>-778.271001405439 -73.4031316138528 856.152975847404</t>
  </si>
  <si>
    <t>9763-20170724T111223.818422200.bin</t>
  </si>
  <si>
    <t>-882.493009253753 166.471807974642 -62.9758653738722</t>
  </si>
  <si>
    <t>-913.75241261509 166.886699876625 -174.505643377482</t>
  </si>
  <si>
    <t>-923.510572224367 165.947326374613 -272.640888367592</t>
  </si>
  <si>
    <t>-926.055614431973 164.303886730848 -361.68624587171</t>
  </si>
  <si>
    <t>-922.00526409473 161.56837510116 -450.648888025768</t>
  </si>
  <si>
    <t>-909.481774065981 156.395236041524 -574.492440241936</t>
  </si>
  <si>
    <t>-876.179069005558 150.976885035603 -650.430425906803</t>
  </si>
  <si>
    <t>-906.998645153851 185.201044231199 -520.294789614741</t>
  </si>
  <si>
    <t>-868.255869330577 316.133974431986 -504.357582871068</t>
  </si>
  <si>
    <t>-840.725232260993 360.867348313315 -214.819678221553</t>
  </si>
  <si>
    <t>-600.458692936482 345.673451260008 -205.226235323621</t>
  </si>
  <si>
    <t>-922.986847070206 132.142542117262 -519.695159025026</t>
  </si>
  <si>
    <t>-967.824973002987 5.63480076350379 -489.937951921726</t>
  </si>
  <si>
    <t>-889.031991888161 265.328798159014 -66.446223222482</t>
  </si>
  <si>
    <t>-894.21558325526 281.767259804321 336.738038013042</t>
  </si>
  <si>
    <t>-983.583302937412 299.389240461137 778.711642960161</t>
  </si>
  <si>
    <t>-840.294777209299 333.603375094671 836.892937602923</t>
  </si>
  <si>
    <t>-876.094076987061 67.340106740704 -61.5287736276066</t>
  </si>
  <si>
    <t>-837.975746291536 35.786177094215 338.978396218425</t>
  </si>
  <si>
    <t>-872.850238883347 31.5428332577389 783.707841155633</t>
  </si>
  <si>
    <t>-779.006158035508 -73.4095097077779 856.272381875866</t>
  </si>
  <si>
    <t>9763-20170724T111223.880292400.bin</t>
  </si>
  <si>
    <t>-882.662634677511 169.407456724531 -62.2160258074067</t>
  </si>
  <si>
    <t>-913.524775807814 170.198274856015 -173.85438913651</t>
  </si>
  <si>
    <t>-922.929593890278 169.503243673302 -272.026272863219</t>
  </si>
  <si>
    <t>-925.15298687216 168.056428369765 -361.083515462143</t>
  </si>
  <si>
    <t>-920.781472151768 165.490716046421 -450.035989208387</t>
  </si>
  <si>
    <t>-907.812274320918 160.526141075245 -573.842171017793</t>
  </si>
  <si>
    <t>-874.470249330465 154.729170433527 -649.735144606216</t>
  </si>
  <si>
    <t>-905.282724712794 189.166531715015 -519.559265411932</t>
  </si>
  <si>
    <t>-865.193150383558 319.710112256806 -503.738787651601</t>
  </si>
  <si>
    <t>-839.626226751913 364.128969098227 -213.972472393462</t>
  </si>
  <si>
    <t>-599.499208336848 348.131929012917 -202.394151102662</t>
  </si>
  <si>
    <t>-921.756044806418 136.255200844154 -519.163392285345</t>
  </si>
  <si>
    <t>-968.027844218103 10.1714132134116 -489.870558186156</t>
  </si>
  <si>
    <t>-887.918823640118 267.627739524747 -65.5181583702197</t>
  </si>
  <si>
    <t>-891.587904057246 283.702938519731 337.697435918412</t>
  </si>
  <si>
    <t>-982.5316810297 299.119703304282 779.522861960313</t>
  </si>
  <si>
    <t>-839.160924493178 333.123242296933 837.625007798046</t>
  </si>
  <si>
    <t>-877.523575519807 71.0258096986904 -61.0026120509878</t>
  </si>
  <si>
    <t>-838.287701022188 37.7562691011472 339.257834874323</t>
  </si>
  <si>
    <t>-873.684606716493 31.9877808875772 783.801053841385</t>
  </si>
  <si>
    <t>-780.337515737107 -73.2980935695959 856.523444143461</t>
  </si>
  <si>
    <t>9763-20170724T111223.913383000.bin</t>
  </si>
  <si>
    <t>-882.671254337725 170.646595606871 -61.8416161811393</t>
  </si>
  <si>
    <t>-913.40211829911 171.650007573451 -173.514498228497</t>
  </si>
  <si>
    <t>-922.719806034918 171.117904010196 -271.695725369678</t>
  </si>
  <si>
    <t>-924.875150564973 169.815681686842 -360.756920684882</t>
  </si>
  <si>
    <t>-920.446821015562 167.391819545443 -449.71068839819</t>
  </si>
  <si>
    <t>-907.410252047965 162.625500356372 -573.517466400051</t>
  </si>
  <si>
    <t>-874.009457143343 156.661821109712 -649.371769482655</t>
  </si>
  <si>
    <t>-904.809329186641 191.147586107822 -519.175641894224</t>
  </si>
  <si>
    <t>-864.18420290708 321.524035165073 -503.30577467036</t>
  </si>
  <si>
    <t>-839.191129344301 365.276372575171 -213.38804180922</t>
  </si>
  <si>
    <t>-599.107302447101 349.067735508776 -201.224517963567</t>
  </si>
  <si>
    <t>-921.484493888327 138.298459879113 -518.896904253062</t>
  </si>
  <si>
    <t>-968.340563491358 12.3567860091057 -489.904916810699</t>
  </si>
  <si>
    <t>-887.381615804914 268.658602327899 -65.090048468402</t>
  </si>
  <si>
    <t>-890.451807124396 284.394623506686 338.143933244228</t>
  </si>
  <si>
    <t>-981.989440204702 298.955695124594 779.866596588636</t>
  </si>
  <si>
    <t>-838.514026786684 332.55073090372 837.948046338055</t>
  </si>
  <si>
    <t>-878.214657110385 72.5591738456565 -60.7461818388375</t>
  </si>
  <si>
    <t>-838.343646530764 38.565085474931 339.390571946254</t>
  </si>
  <si>
    <t>-874.13113093066 32.1673529948748 783.862031029461</t>
  </si>
  <si>
    <t>-781.007717223218 -73.2742516229885 856.645346619894</t>
  </si>
  <si>
    <t>9763-20170724T111223.982571500.bin</t>
  </si>
  <si>
    <t>-883.295007755938 173.104322130639 -61.2240729336067</t>
  </si>
  <si>
    <t>-913.8818887982 174.494775528683 -172.932205432289</t>
  </si>
  <si>
    <t>-923.185225456564 174.260106751425 -271.116063465732</t>
  </si>
  <si>
    <t>-925.371060992161 173.224160002308 -360.180005737884</t>
  </si>
  <si>
    <t>-921.017803845283 171.065119038381 -449.144212886751</t>
  </si>
  <si>
    <t>-908.130660327999 166.671059094839 -572.980515305365</t>
  </si>
  <si>
    <t>-874.578344169112 160.488365467833 -648.750216930142</t>
  </si>
  <si>
    <t>-905.297648829067 194.976462165631 -518.53704595867</t>
  </si>
  <si>
    <t>-863.720629119728 325.032576592758 -502.517656755039</t>
  </si>
  <si>
    <t>-838.976676655496 367.792058772675 -212.430504846473</t>
  </si>
  <si>
    <t>-598.990364737175 351.378591494047 -198.715547372862</t>
  </si>
  <si>
    <t>-922.305588076677 142.23283207649 -518.435459830116</t>
  </si>
  <si>
    <t>-970.088059892885 16.5510799529379 -489.869517150559</t>
  </si>
  <si>
    <t>-824.117593732624 3.6133826938717 -276.373210148487</t>
  </si>
  <si>
    <t>-887.192231054076 270.931480852565 -64.4005546163152</t>
  </si>
  <si>
    <t>-889.295939249115 285.509239451148 338.883096317942</t>
  </si>
  <si>
    <t>-980.92909484025 298.801846317827 780.553574488186</t>
  </si>
  <si>
    <t>-837.355589178252 332.005079840838 838.617910715601</t>
  </si>
  <si>
    <t>-879.805149638441 75.2087261522388 -60.2878223883348</t>
  </si>
  <si>
    <t>-838.945086942164 40.0156758587477 339.645401838943</t>
  </si>
  <si>
    <t>-875.253751109685 32.2388361820563 784.019044452069</t>
  </si>
  <si>
    <t>-782.276771620831 -73.2918527435038 856.860205924711</t>
  </si>
  <si>
    <t>9763-20170724T111224.012652600.bin</t>
  </si>
  <si>
    <t>-883.747412512864 174.073802043754 -61.0029644406327</t>
  </si>
  <si>
    <t>-914.309191682369 175.5921918084 -172.716441262385</t>
  </si>
  <si>
    <t>-923.631628977861 175.465729166417 -270.898485806603</t>
  </si>
  <si>
    <t>-925.850933745825 174.530019790393 -359.962850327986</t>
  </si>
  <si>
    <t>-921.547022633942 172.473402312338 -448.931743384304</t>
  </si>
  <si>
    <t>-908.745538990888 168.224362316479 -572.782032818801</t>
  </si>
  <si>
    <t>-875.095817594499 161.965933205068 -648.5022174293</t>
  </si>
  <si>
    <t>-905.790436419996 196.438583847599 -518.29784028858</t>
  </si>
  <si>
    <t>-863.709531518916 326.317077073374 -502.189334145423</t>
  </si>
  <si>
    <t>-838.819096639067 368.516483686158 -212.03265961785</t>
  </si>
  <si>
    <t>-598.903791043023 352.501440416428 -196.69859400927</t>
  </si>
  <si>
    <t>-922.966985015433 143.749929072555 -518.265624201523</t>
  </si>
  <si>
    <t>-971.243889294361 18.2167725724644 -489.854520191902</t>
  </si>
  <si>
    <t>-825.88057904291 8.08910249807195 -275.615939785891</t>
  </si>
  <si>
    <t>-887.178877016257 271.833760892875 -64.1293243780408</t>
  </si>
  <si>
    <t>-888.814855760192 285.945910911316 339.173113697817</t>
  </si>
  <si>
    <t>-980.376628008843 298.647467620863 780.865186342291</t>
  </si>
  <si>
    <t>-836.662482216431 331.237705949423 838.928780786398</t>
  </si>
  <si>
    <t>-880.629630409989 76.1881625871379 -60.0950696584175</t>
  </si>
  <si>
    <t>-839.41144162408 40.6619016775221 339.771890404847</t>
  </si>
  <si>
    <t>-875.820767303081 32.2725222175463 784.098232181698</t>
  </si>
  <si>
    <t>-782.664685724059 -73.1011567928706 856.938093741767</t>
  </si>
  <si>
    <t>9763-20170724T111224.082854400.bin</t>
  </si>
  <si>
    <t>-884.359604907604 175.6854441501 -60.6213842685625</t>
  </si>
  <si>
    <t>-914.784850345524 177.400202094447 -172.369350653614</t>
  </si>
  <si>
    <t>-924.025412930639 177.467170264266 -270.559222537814</t>
  </si>
  <si>
    <t>-926.185139579444 176.721334131568 -359.62676083704</t>
  </si>
  <si>
    <t>-921.835212370804 174.868470636205 -448.597959553036</t>
  </si>
  <si>
    <t>-908.983891088824 170.918944258533 -572.453025885139</t>
  </si>
  <si>
    <t>-875.151636928918 164.530928059635 -648.081001650952</t>
  </si>
  <si>
    <t>-905.909020535414 198.95486213854 -517.88338311081</t>
  </si>
  <si>
    <t>-863.144612838066 328.580378415421 -501.630572306676</t>
  </si>
  <si>
    <t>-838.419308358353 369.585186905273 -211.288682115061</t>
  </si>
  <si>
    <t>-598.482684182621 354.276851248329 -195.574791867578</t>
  </si>
  <si>
    <t>-923.369431914736 146.359063197053 -518.01786748433</t>
  </si>
  <si>
    <t>-972.636853491328 21.1510957729406 -489.811502044011</t>
  </si>
  <si>
    <t>-828.057692522952 16.3250363341426 -274.377748157067</t>
  </si>
  <si>
    <t>-886.865935313976 273.309742107355 -63.688971738745</t>
  </si>
  <si>
    <t>-887.72106743038 286.611759452432 339.643346180742</t>
  </si>
  <si>
    <t>-979.332843214672 298.396518535257 781.355660235401</t>
  </si>
  <si>
    <t>-835.521818322097 330.6087393841 839.390505183083</t>
  </si>
  <si>
    <t>-882.049435709313 77.8998144995676 -59.7630356353329</t>
  </si>
  <si>
    <t>-840.169078036 41.9323165786695 339.995707055706</t>
  </si>
  <si>
    <t>-876.807732928487 32.5667630070088 784.248694747266</t>
  </si>
  <si>
    <t>-783.96674925432 -73.0741764731504 857.103298040856</t>
  </si>
  <si>
    <t>9763-20170724T111224.115940500.bin</t>
  </si>
  <si>
    <t>-884.515918759373 176.395602981045 -60.4568903149135</t>
  </si>
  <si>
    <t>-914.775416144692 178.242991139804 -172.247669233799</t>
  </si>
  <si>
    <t>-923.939878163299 178.388630500732 -270.444686601813</t>
  </si>
  <si>
    <t>-926.057647418383 177.707081800787 -359.513672039174</t>
  </si>
  <si>
    <t>-921.694004865923 175.91321798717 -448.485568503947</t>
  </si>
  <si>
    <t>-908.851869426337 172.045004105571 -572.344009413451</t>
  </si>
  <si>
    <t>-874.946191222451 165.529714532271 -647.928191643358</t>
  </si>
  <si>
    <t>-905.724227138367 200.028760894264 -517.75050101524</t>
  </si>
  <si>
    <t>-862.847756879777 329.626506449535 -501.454010445014</t>
  </si>
  <si>
    <t>-838.326062965149 369.695700084048 -210.964260356618</t>
  </si>
  <si>
    <t>-598.24270057964 355.97364566848 -196.047346790918</t>
  </si>
  <si>
    <t>-923.281970282335 147.465885844586 -517.929305685616</t>
  </si>
  <si>
    <t>-972.892208744901 22.391059621456 -489.78031165133</t>
  </si>
  <si>
    <t>-828.617455600087 20.1756199285969 -274.085402042701</t>
  </si>
  <si>
    <t>-886.502067414957 273.964517838278 -63.4826552441001</t>
  </si>
  <si>
    <t>-887.218228545036 286.801409373271 339.865080655775</t>
  </si>
  <si>
    <t>-978.798186862861 298.194039312148 781.568979393519</t>
  </si>
  <si>
    <t>-834.835474611193 329.730468782881 839.599372832553</t>
  </si>
  <si>
    <t>-882.722680012459 78.7369123168123 -59.6238974942064</t>
  </si>
  <si>
    <t>-840.571360606372 42.510129140423 340.082895474352</t>
  </si>
  <si>
    <t>-877.375701945721 32.564171933207 784.304120781019</t>
  </si>
  <si>
    <t>-784.412567109238 -72.9661091157575 857.16367660261</t>
  </si>
  <si>
    <t>9763-20170724T111224.184177600.bin</t>
  </si>
  <si>
    <t>-885.197548961201 178.194797379407 -60.1964668275223</t>
  </si>
  <si>
    <t>-915.190990593433 180.292585260061 -172.054337832806</t>
  </si>
  <si>
    <t>-924.303456166869 180.523025645116 -270.256097533441</t>
  </si>
  <si>
    <t>-926.448211545124 179.880962976989 -359.32485958757</t>
  </si>
  <si>
    <t>-922.186350099708 178.094563534989 -448.301690108928</t>
  </si>
  <si>
    <t>-909.56411534109 174.209420141468 -572.182212603507</t>
  </si>
  <si>
    <t>-875.515901726444 167.27619898692 -647.665260532842</t>
  </si>
  <si>
    <t>-906.248060213924 202.169669432137 -517.588116164162</t>
  </si>
  <si>
    <t>-863.342048027175 331.805974837849 -501.467707344495</t>
  </si>
  <si>
    <t>-840.200101712526 369.942411243635 -210.604844818933</t>
  </si>
  <si>
    <t>-599.782113802098 361.57498298133 -197.188752250151</t>
  </si>
  <si>
    <t>-923.988843841371 149.668325378339 -517.749075851056</t>
  </si>
  <si>
    <t>-973.894152356485 24.7586827923697 -489.48762840784</t>
  </si>
  <si>
    <t>-828.072978211327 25.7913052004283 -273.75254968909</t>
  </si>
  <si>
    <t>-886.569707388426 275.588639637735 -63.1444774275848</t>
  </si>
  <si>
    <t>-886.472941167706 287.104005598851 340.243707386388</t>
  </si>
  <si>
    <t>-977.775346083669 297.794962628425 781.997884508327</t>
  </si>
  <si>
    <t>-833.699675641524 328.955819264412 839.950504098781</t>
  </si>
  <si>
    <t>-884.221303395865 80.7788904872177 -59.422103599113</t>
  </si>
  <si>
    <t>-841.395325176125 43.7651751709182 340.140917165187</t>
  </si>
  <si>
    <t>-878.352258210082 32.7809259448645 784.370592065848</t>
  </si>
  <si>
    <t>-785.718973207496 -73.0157270231807 857.264105751945</t>
  </si>
  <si>
    <t>9763-20170724T111224.214256900.bin</t>
  </si>
  <si>
    <t>-885.757589459362 179.167554620493 -60.1248924552343</t>
  </si>
  <si>
    <t>-915.743352264232 181.3376974201 -171.983576309236</t>
  </si>
  <si>
    <t>-924.906901284587 181.531844021658 -270.180465755588</t>
  </si>
  <si>
    <t>-927.122508286156 180.821010369304 -359.246905944574</t>
  </si>
  <si>
    <t>-922.957128441885 178.931917106354 -448.226166496083</t>
  </si>
  <si>
    <t>-910.497127320403 174.868373030475 -572.117435788659</t>
  </si>
  <si>
    <t>-876.396281701628 167.671647185349 -647.551904863048</t>
  </si>
  <si>
    <t>-907.06100013635 202.891008528449 -517.562657767934</t>
  </si>
  <si>
    <t>-864.18712493732 332.562328582243 -501.700027394707</t>
  </si>
  <si>
    <t>-842.815016665198 370.005469688162 -210.611535724646</t>
  </si>
  <si>
    <t>-602.330187400349 364.20343545033 -197.038402515464</t>
  </si>
  <si>
    <t>-924.899035922201 150.422095657007 -517.635606310082</t>
  </si>
  <si>
    <t>-974.912199026174 25.5883530420888 -489.164168532324</t>
  </si>
  <si>
    <t>-827.446512605038 27.0659922958444 -273.395640082617</t>
  </si>
  <si>
    <t>-886.902664032241 276.395063368698 -63.0228954689359</t>
  </si>
  <si>
    <t>-886.145707008546 287.387382848587 340.379181230115</t>
  </si>
  <si>
    <t>-977.275493414515 297.6091312713 782.192021490091</t>
  </si>
  <si>
    <t>-833.129841326262 328.540532900016 840.093894360017</t>
  </si>
  <si>
    <t>-885.032638161048 81.8144896421904 -59.3294760213695</t>
  </si>
  <si>
    <t>-841.782206427797 44.4164078170124 340.151977657524</t>
  </si>
  <si>
    <t>-878.830457585711 32.8789728149541 784.379310571948</t>
  </si>
  <si>
    <t>-786.119359016521 -72.8422537205736 857.283017308752</t>
  </si>
  <si>
    <t>9763-20170724T111224.280442100.bin</t>
  </si>
  <si>
    <t>-886.615293796443 180.843185087437 -59.9556718555576</t>
  </si>
  <si>
    <t>-916.534057243924 183.13880897933 -171.829717867566</t>
  </si>
  <si>
    <t>-925.71484569371 183.176885885721 -270.025371630411</t>
  </si>
  <si>
    <t>-927.981420434065 182.226991274069 -359.088226853639</t>
  </si>
  <si>
    <t>-923.905048369166 180.002950176671 -448.064020032096</t>
  </si>
  <si>
    <t>-911.612241058156 175.374358554741 -571.952147559159</t>
  </si>
  <si>
    <t>-877.375406419789 167.64291636568 -647.272139395024</t>
  </si>
  <si>
    <t>-908.020464292398 203.61721119009 -517.521079696937</t>
  </si>
  <si>
    <t>-865.192004701652 333.343469064434 -502.234776432134</t>
  </si>
  <si>
    <t>-848.976240844459 370.670346755466 -210.798693048895</t>
  </si>
  <si>
    <t>-608.595912272501 368.146916434725 -194.619458930878</t>
  </si>
  <si>
    <t>-926.02261543599 151.204960905557 -517.349102198698</t>
  </si>
  <si>
    <t>-976.196681539669 26.5212783695611 -488.405063544692</t>
  </si>
  <si>
    <t>-825.200414986193 27.5582084089237 -272.807301858183</t>
  </si>
  <si>
    <t>-886.990190545612 277.839042804871 -62.8345508048122</t>
  </si>
  <si>
    <t>-885.636600198334 288.160044175736 340.583776109306</t>
  </si>
  <si>
    <t>-976.279033290513 297.367181915226 782.520596020644</t>
  </si>
  <si>
    <t>-832.091324582709 328.186158643207 840.37707257412</t>
  </si>
  <si>
    <t>-886.422217645304 83.6542965468152 -59.170542161191</t>
  </si>
  <si>
    <t>-842.355648266886 45.7581255544533 340.174815565578</t>
  </si>
  <si>
    <t>-879.731314220449 33.1607613861966 784.392615533112</t>
  </si>
  <si>
    <t>-787.150731001571 -72.6484762685991 857.334626629022</t>
  </si>
  <si>
    <t>9763-20170724T111224.313529900.bin</t>
  </si>
  <si>
    <t>-886.868496868703 181.832546281599 -59.8296742902819</t>
  </si>
  <si>
    <t>-916.713260302531 184.116127465894 -171.723789415648</t>
  </si>
  <si>
    <t>-925.843695476795 184.062465250425 -269.924094701158</t>
  </si>
  <si>
    <t>-928.071963041357 182.999335987001 -358.986623794978</t>
  </si>
  <si>
    <t>-923.965687719323 180.632837048167 -447.95729617189</t>
  </si>
  <si>
    <t>-911.639968096714 175.776516133635 -571.833561311945</t>
  </si>
  <si>
    <t>-877.318185166312 167.818030470643 -647.091110052016</t>
  </si>
  <si>
    <t>-908.052686482126 204.116102316012 -517.452348509096</t>
  </si>
  <si>
    <t>-865.265545392077 333.87409533233 -502.37149581341</t>
  </si>
  <si>
    <t>-851.849636985753 370.958205551937 -210.762130977086</t>
  </si>
  <si>
    <t>-611.590918724171 370.023180110843 -192.714452407662</t>
  </si>
  <si>
    <t>-926.074570631876 151.710742123268 -517.191146171692</t>
  </si>
  <si>
    <t>-976.362356677831 27.1220383420009 -488.064624386772</t>
  </si>
  <si>
    <t>-824.085062441936 27.7735019930665 -272.866803474568</t>
  </si>
  <si>
    <t>-886.949436401273 278.766726202992 -62.7347299569955</t>
  </si>
  <si>
    <t>-885.53903618131 288.669352154201 340.693841334772</t>
  </si>
  <si>
    <t>-975.775382192807 297.337237671119 782.685709408672</t>
  </si>
  <si>
    <t>-831.552517458522 327.947010174177 840.56624936904</t>
  </si>
  <si>
    <t>-886.992806226182 84.8160100729447 -59.0137754438546</t>
  </si>
  <si>
    <t>-842.421392025351 46.3826218327326 340.224118785123</t>
  </si>
  <si>
    <t>-880.133234675427 33.3967628007467 784.421730202211</t>
  </si>
  <si>
    <t>-787.829356488747 -72.6456999975078 857.375275890547</t>
  </si>
  <si>
    <t>9763-20170724T111224.382745200.bin</t>
  </si>
  <si>
    <t>-887.740897695277 183.919693788788 -59.6001596645682</t>
  </si>
  <si>
    <t>-917.496671505115 186.077667538864 -171.520464721492</t>
  </si>
  <si>
    <t>-926.578830212742 185.800450260817 -269.724819028648</t>
  </si>
  <si>
    <t>-928.777887395765 184.490306543843 -358.784904442599</t>
  </si>
  <si>
    <t>-924.658134633084 181.832631498455 -447.746740243227</t>
  </si>
  <si>
    <t>-912.332130598732 176.52497877564 -571.604299904037</t>
  </si>
  <si>
    <t>-877.822500057143 168.052946353394 -646.719765885514</t>
  </si>
  <si>
    <t>-908.75233412684 205.064865140645 -517.327659508731</t>
  </si>
  <si>
    <t>-866.008118938244 334.874433438931 -502.494593694661</t>
  </si>
  <si>
    <t>-855.862359291126 370.452318549813 -210.565703667543</t>
  </si>
  <si>
    <t>-615.992113842607 374.126674193258 -188.21161218201</t>
  </si>
  <si>
    <t>-926.76019215729 152.656124233226 -516.873818516876</t>
  </si>
  <si>
    <t>-977.075187139991 28.139569843011 -487.491649057395</t>
  </si>
  <si>
    <t>-823.09852728953 29.525641031405 -273.145159220047</t>
  </si>
  <si>
    <t>-887.483647588491 280.798639063965 -62.55728680011</t>
  </si>
  <si>
    <t>-885.928976950649 289.998554945336 340.887368915317</t>
  </si>
  <si>
    <t>-974.76617293647 297.46583122631 783.040194674532</t>
  </si>
  <si>
    <t>-830.593846238284 328.097994198988 841.034236534317</t>
  </si>
  <si>
    <t>-888.273602016373 86.913006619016 -58.6457894129196</t>
  </si>
  <si>
    <t>-842.675526360835 47.4836905031284 340.37906678548</t>
  </si>
  <si>
    <t>-881.283400299938 33.3314154581149 784.498443649519</t>
  </si>
  <si>
    <t>-788.613753907081 -72.4146940714591 857.419100923678</t>
  </si>
  <si>
    <t>9763-20170724T111224.410817100.bin</t>
  </si>
  <si>
    <t>-888.356129202338 184.996154158364 -59.4904569762971</t>
  </si>
  <si>
    <t>-918.059831088492 187.019434167085 -171.427131833294</t>
  </si>
  <si>
    <t>-927.108235969598 186.628612010216 -269.634168577813</t>
  </si>
  <si>
    <t>-929.282065191839 185.214154300905 -358.693199890511</t>
  </si>
  <si>
    <t>-925.143101812483 182.449900403677 -447.65090587211</t>
  </si>
  <si>
    <t>-912.796208724385 176.989488458432 -571.49984592555</t>
  </si>
  <si>
    <t>-878.164937469864 168.254314636495 -646.52920001706</t>
  </si>
  <si>
    <t>-909.226763807613 205.596920363589 -517.257970394336</t>
  </si>
  <si>
    <t>-866.307278239104 335.339433675864 -502.43073599421</t>
  </si>
  <si>
    <t>-856.176473545584 370.414934948772 -210.440431005858</t>
  </si>
  <si>
    <t>-616.456350585342 375.797186335739 -186.857357105451</t>
  </si>
  <si>
    <t>-927.231677686938 153.187652171949 -516.742151377509</t>
  </si>
  <si>
    <t>-977.638309036426 28.7260724387229 -487.319390541568</t>
  </si>
  <si>
    <t>-822.699289059748 30.2639075658399 -273.164058922107</t>
  </si>
  <si>
    <t>-888.048199375934 281.877195161197 -62.5185606840578</t>
  </si>
  <si>
    <t>-886.375565590921 290.776031307555 340.932377655775</t>
  </si>
  <si>
    <t>-974.266244441673 297.588782201814 783.218398631036</t>
  </si>
  <si>
    <t>-830.126786881923 328.222019325242 841.292982459929</t>
  </si>
  <si>
    <t>-888.928717145292 87.9699920407566 -58.4648187674369</t>
  </si>
  <si>
    <t>-842.894799121545 48.1116786541384 340.467310353621</t>
  </si>
  <si>
    <t>-881.756118743186 33.4704527632762 784.55759151104</t>
  </si>
  <si>
    <t>-789.141441488702 -72.3411189783774 857.453053138512</t>
  </si>
  <si>
    <t>9763-20170724T111224.478016400.bin</t>
  </si>
  <si>
    <t>-889.937719710859 187.078893201371 -59.3002600851552</t>
  </si>
  <si>
    <t>-919.476872760479 188.830563152413 -171.284987640028</t>
  </si>
  <si>
    <t>-928.355519854102 188.147705451087 -269.505977374474</t>
  </si>
  <si>
    <t>-930.367153205161 186.439192904491 -358.563742048234</t>
  </si>
  <si>
    <t>-926.059899834103 183.34763978112 -447.502599584661</t>
  </si>
  <si>
    <t>-913.474825063048 177.392557668198 -571.304778538961</t>
  </si>
  <si>
    <t>-878.54508952644 168.074390098064 -646.125431745798</t>
  </si>
  <si>
    <t>-909.987398487065 206.208859065023 -517.168256946588</t>
  </si>
  <si>
    <t>-866.528759218317 335.807911964353 -502.547939784502</t>
  </si>
  <si>
    <t>-853.207778754583 371.115820803875 -210.714001172472</t>
  </si>
  <si>
    <t>-613.704252175441 378.865340876327 -185.638489792048</t>
  </si>
  <si>
    <t>-928.038313644852 153.817204500622 -516.482894881614</t>
  </si>
  <si>
    <t>-978.707082928032 29.5155318482612 -486.839716960415</t>
  </si>
  <si>
    <t>-821.660304461695 30.4383976151476 -272.510145596862</t>
  </si>
  <si>
    <t>-889.541175213211 284.036330651443 -62.4872734749437</t>
  </si>
  <si>
    <t>-887.563231438676 292.379596098263 340.974134514858</t>
  </si>
  <si>
    <t>-973.270871154185 297.862496417457 783.570565367992</t>
  </si>
  <si>
    <t>-829.225632940035 328.594529570718 841.826789013647</t>
  </si>
  <si>
    <t>-890.621325163987 89.9337158743128 -58.1304445126908</t>
  </si>
  <si>
    <t>-843.933187953725 49.6370755677403 340.681639132483</t>
  </si>
  <si>
    <t>-882.935743520339 33.4537985802995 784.749202096848</t>
  </si>
  <si>
    <t>-790.135443621298 -72.2784954446993 857.523564509872</t>
  </si>
  <si>
    <t>9763-20170724T111224.516114200.bin</t>
  </si>
  <si>
    <t>-890.824981816371 188.118098653239 -59.2285262382424</t>
  </si>
  <si>
    <t>-920.208030257528 189.770204761933 -171.255864597436</t>
  </si>
  <si>
    <t>-928.943043211187 188.906687473968 -269.488214907766</t>
  </si>
  <si>
    <t>-930.824278302694 186.993896809215 -358.544693872451</t>
  </si>
  <si>
    <t>-926.388582737027 183.656678918409 -447.468357989024</t>
  </si>
  <si>
    <t>-913.627922119043 177.313468008446 -571.233353087247</t>
  </si>
  <si>
    <t>-878.538697121529 167.709724429112 -645.943011211476</t>
  </si>
  <si>
    <t>-910.182186185335 206.287217843021 -517.178269593812</t>
  </si>
  <si>
    <t>-866.287033093386 335.751838969377 -502.778364587163</t>
  </si>
  <si>
    <t>-850.300110172004 372.177644621273 -211.215642483433</t>
  </si>
  <si>
    <t>-610.82290609772 380.331563054783 -186.015417397008</t>
  </si>
  <si>
    <t>-928.304503350472 153.922438427439 -516.36290061175</t>
  </si>
  <si>
    <t>-979.169565909189 29.7607701682937 -486.451637142902</t>
  </si>
  <si>
    <t>-821.091273472979 30.0551755138727 -272.082043292319</t>
  </si>
  <si>
    <t>-890.315073860907 285.129877124525 -62.4855223358028</t>
  </si>
  <si>
    <t>-888.291597212395 293.224091790273 340.98074104461</t>
  </si>
  <si>
    <t>-972.781286676409 298.029871145353 783.747397200949</t>
  </si>
  <si>
    <t>-828.783462798271 328.795617563787 842.10297080154</t>
  </si>
  <si>
    <t>-891.648777899644 90.9410257019822 -57.9917595642214</t>
  </si>
  <si>
    <t>-844.685992853037 50.5516651463563 340.77865780526</t>
  </si>
  <si>
    <t>-883.513450164055 33.4625754635676 784.847782637989</t>
  </si>
  <si>
    <t>-790.616052722627 -72.2297265279201 857.556439077824</t>
  </si>
  <si>
    <t>9763-20170724T111224.579281000.bin</t>
  </si>
  <si>
    <t>-892.589636819768 190.502345200972 -59.092747340023</t>
  </si>
  <si>
    <t>-921.663433794915 192.079650138134 -171.201885620684</t>
  </si>
  <si>
    <t>-930.170633638633 190.899141327403 -269.450952280016</t>
  </si>
  <si>
    <t>-931.868373033191 188.599256655008 -358.501949597709</t>
  </si>
  <si>
    <t>-927.276767599113 184.773245879991 -447.397991739051</t>
  </si>
  <si>
    <t>-914.331641361449 177.640216136933 -571.100667934906</t>
  </si>
  <si>
    <t>-879.052097125138 167.50501346955 -645.650542661336</t>
  </si>
  <si>
    <t>-910.82825192671 206.910733390512 -517.20928072933</t>
  </si>
  <si>
    <t>-865.707375480384 336.036289882961 -503.44444861377</t>
  </si>
  <si>
    <t>-843.955027232469 375.382495048501 -212.635383182556</t>
  </si>
  <si>
    <t>-604.433031708944 383.672866826525 -187.910573990254</t>
  </si>
  <si>
    <t>-929.22787648567 154.647461065097 -516.12120029352</t>
  </si>
  <si>
    <t>-980.711746738643 30.9217732410216 -485.45401886853</t>
  </si>
  <si>
    <t>-1049.62160115334 1.09433825617452 -200.931598716527</t>
  </si>
  <si>
    <t>-821.009302496205 31.1511932962903 -270.815321675032</t>
  </si>
  <si>
    <t>-891.671069996897 287.628977973421 -62.4774618767048</t>
  </si>
  <si>
    <t>-889.777854543896 295.07722006804 341.001914078493</t>
  </si>
  <si>
    <t>-971.79126788261 298.363542496163 784.136071874746</t>
  </si>
  <si>
    <t>-827.879859567368 329.122744660352 842.707841932169</t>
  </si>
  <si>
    <t>-893.877910630561 93.3432051245991 -57.7231388944664</t>
  </si>
  <si>
    <t>-846.067951184041 52.3472779824456 340.884705618746</t>
  </si>
  <si>
    <t>-884.521061325688 33.6021949720398 784.97332614201</t>
  </si>
  <si>
    <t>-791.603727245477 -72.1209025873825 857.611932475903</t>
  </si>
  <si>
    <t>9763-20170724T111224.618384900.bin</t>
  </si>
  <si>
    <t>-893.449464941627 191.80758635037 -58.9855199448724</t>
  </si>
  <si>
    <t>-922.363202977596 193.386089548789 -171.135896141352</t>
  </si>
  <si>
    <t>-930.766008721778 192.053458003816 -269.39210562622</t>
  </si>
  <si>
    <t>-932.386373822682 189.5582881443 -358.439206534128</t>
  </si>
  <si>
    <t>-927.736899514362 185.478341268113 -447.321052762277</t>
  </si>
  <si>
    <t>-914.733718838744 177.930324965459 -570.993145454101</t>
  </si>
  <si>
    <t>-879.336780032064 167.487831873224 -645.444563659342</t>
  </si>
  <si>
    <t>-911.166689084522 207.34997872161 -517.187284865301</t>
  </si>
  <si>
    <t>-865.434101046559 336.300095699454 -503.806332441768</t>
  </si>
  <si>
    <t>-841.188957689923 377.21614316768 -213.411286654488</t>
  </si>
  <si>
    <t>-601.627445909638 385.079385949248 -188.928391198214</t>
  </si>
  <si>
    <t>-929.744989987908 155.153289001064 -515.9550555801</t>
  </si>
  <si>
    <t>-981.632172768518 31.7028308492472 -484.855554308634</t>
  </si>
  <si>
    <t>-1050.46268157863 3.76454060773585 -200.122389913186</t>
  </si>
  <si>
    <t>-821.591827921529 32.581666217337 -269.682851070892</t>
  </si>
  <si>
    <t>-892.309659213998 289.002471673802 -62.4568498045406</t>
  </si>
  <si>
    <t>-890.446880465506 295.861318934579 341.033151955787</t>
  </si>
  <si>
    <t>-971.283371311367 298.459435426107 784.340323633155</t>
  </si>
  <si>
    <t>-827.34082549906 328.868315736353 843.018828080499</t>
  </si>
  <si>
    <t>-894.964876514769 94.59424232011 -57.5877134256633</t>
  </si>
  <si>
    <t>-846.718644263314 53.1748189333366 340.92377251448</t>
  </si>
  <si>
    <t>-885.026135816933 33.6449547749917 785.01206853347</t>
  </si>
  <si>
    <t>-791.978229044541 -71.9794323182141 857.626625867973</t>
  </si>
  <si>
    <t>9763-20170724T111224.678546600.bin</t>
  </si>
  <si>
    <t>-894.498936868501 194.61759058021 -58.7554907886927</t>
  </si>
  <si>
    <t>-923.096633823074 196.228395647952 -170.986486795681</t>
  </si>
  <si>
    <t>-931.277610092008 194.589257713835 -269.256649345102</t>
  </si>
  <si>
    <t>-932.724364647251 191.690399225989 -358.294707916423</t>
  </si>
  <si>
    <t>-927.934637332796 187.080910213534 -447.143113960166</t>
  </si>
  <si>
    <t>-914.775041221703 178.665148067118 -570.742430004753</t>
  </si>
  <si>
    <t>-879.10830655035 167.553388784737 -644.968110827215</t>
  </si>
  <si>
    <t>-911.090990066803 208.396129236676 -517.115891171998</t>
  </si>
  <si>
    <t>-864.233006523302 337.021280550722 -504.501615941242</t>
  </si>
  <si>
    <t>-837.199496104022 380.846883787689 -214.778051106757</t>
  </si>
  <si>
    <t>-597.614416787265 387.659407534589 -190.213758914327</t>
  </si>
  <si>
    <t>-930.040841129728 156.340808955448 -515.589081499761</t>
  </si>
  <si>
    <t>-983.021592476077 33.5263781857261 -483.826299247995</t>
  </si>
  <si>
    <t>-1053.08406979868 9.46161227347147 -199.03981665389</t>
  </si>
  <si>
    <t>-823.782299866053 36.0235465028436 -268.076199149381</t>
  </si>
  <si>
    <t>-892.692233495662 291.802363551221 -62.3565409908879</t>
  </si>
  <si>
    <t>-891.355895974453 297.506051944241 341.153481502034</t>
  </si>
  <si>
    <t>-970.30097667356 298.703347760233 784.739565703718</t>
  </si>
  <si>
    <t>-826.456878618927 329.23972527593 843.593044183948</t>
  </si>
  <si>
    <t>-896.52532371749 97.3319806969389 -57.3062371670206</t>
  </si>
  <si>
    <t>-847.574882294607 54.8844681704368 341.011105296267</t>
  </si>
  <si>
    <t>-885.825516199847 34.0053733753866 785.036265133363</t>
  </si>
  <si>
    <t>-793.391979023729 -72.1323381312366 857.686808796659</t>
  </si>
  <si>
    <t>9763-20170724T111224.716650500.bin</t>
  </si>
  <si>
    <t>-894.802554642333 195.877108784121 -58.6604735049783</t>
  </si>
  <si>
    <t>-923.298892951089 197.481349342197 -170.917393403784</t>
  </si>
  <si>
    <t>-931.408564503758 195.706706633798 -269.191260249264</t>
  </si>
  <si>
    <t>-932.800032001028 192.636865541798 -358.224266458425</t>
  </si>
  <si>
    <t>-927.965922016011 187.808143425793 -447.058730343119</t>
  </si>
  <si>
    <t>-914.757916760525 179.036001980474 -570.628190042168</t>
  </si>
  <si>
    <t>-879.001298171442 167.598899780068 -644.760976678005</t>
  </si>
  <si>
    <t>-911.012519287842 208.891648591449 -517.075137427765</t>
  </si>
  <si>
    <t>-863.58209882392 337.326074108018 -504.722281377864</t>
  </si>
  <si>
    <t>-835.439850198833 382.293576996327 -215.279518461689</t>
  </si>
  <si>
    <t>-595.892300755085 388.52070189521 -190.198803435858</t>
  </si>
  <si>
    <t>-930.127546132456 156.900679941996 -515.427566244147</t>
  </si>
  <si>
    <t>-983.701999578032 34.3991570568169 -483.458142385908</t>
  </si>
  <si>
    <t>-1054.21897504904 12.4006617719328 -198.616784112964</t>
  </si>
  <si>
    <t>-824.78759313707 37.4853006001599 -267.773747077864</t>
  </si>
  <si>
    <t>-892.762192880313 293.137226435215 -62.3050052773167</t>
  </si>
  <si>
    <t>-891.443810029779 298.209978482416 341.213533001934</t>
  </si>
  <si>
    <t>-969.798755281788 298.740268593766 784.912359584392</t>
  </si>
  <si>
    <t>-825.945769223363 329.087435704887 843.841794334022</t>
  </si>
  <si>
    <t>-897.107975396156 98.5013058477525 -57.143675508973</t>
  </si>
  <si>
    <t>-847.845513116808 55.590282562519 341.085559242396</t>
  </si>
  <si>
    <t>-886.30446245492 34.0786408903332 785.060253486064</t>
  </si>
  <si>
    <t>-793.811520907887 -72.0107147694405 857.705906767688</t>
  </si>
  <si>
    <t>9763-20170724T111224.796875800.bin</t>
  </si>
  <si>
    <t>-895.385760939003 197.863204388838 -58.4602232179084</t>
  </si>
  <si>
    <t>-923.601275839029 199.431574934341 -170.788514688339</t>
  </si>
  <si>
    <t>-931.542212580757 197.429429476711 -269.071642927084</t>
  </si>
  <si>
    <t>-932.815965082613 194.077489613053 -358.096255403619</t>
  </si>
  <si>
    <t>-927.903097150865 188.888262105156 -446.906099018638</t>
  </si>
  <si>
    <t>-914.629819561755 179.530880133658 -570.425676324178</t>
  </si>
  <si>
    <t>-878.714487595094 167.458684198792 -644.380994391708</t>
  </si>
  <si>
    <t>-910.74773847302 209.579575242992 -516.990487201217</t>
  </si>
  <si>
    <t>-862.237646510202 337.639497133362 -504.974966877377</t>
  </si>
  <si>
    <t>-831.074188579859 384.059053968105 -216.071408732168</t>
  </si>
  <si>
    <t>-591.536650310741 389.57364520572 -190.729197961772</t>
  </si>
  <si>
    <t>-930.193959207236 157.71772253884 -515.151223549182</t>
  </si>
  <si>
    <t>-984.84454040453 35.7816202317285 -482.867942213124</t>
  </si>
  <si>
    <t>-1054.82994783398 16.6168162890199 -197.690854999181</t>
  </si>
  <si>
    <t>-825.426831033867 39.335421584 -267.754912278521</t>
  </si>
  <si>
    <t>-892.711008560676 295.328722103744 -62.1812976262505</t>
  </si>
  <si>
    <t>-891.596552971341 299.230714766452 341.350832404069</t>
  </si>
  <si>
    <t>-968.818442815351 298.8351766638 785.20618124982</t>
  </si>
  <si>
    <t>-825.026528272093 329.186588748591 844.282799486181</t>
  </si>
  <si>
    <t>-898.247365826429 100.175155753163 -56.7688344154454</t>
  </si>
  <si>
    <t>-848.024821779475 56.5150068632502 341.258936421947</t>
  </si>
  <si>
    <t>-887.435953557448 34.0190856250251 785.142411877372</t>
  </si>
  <si>
    <t>-794.23501403277 -71.4943919267716 857.721893195149</t>
  </si>
  <si>
    <t>9763-20170724T111224.884108100.bin</t>
  </si>
  <si>
    <t>-896.06977634799 200.662151166321 -57.9037024554552</t>
  </si>
  <si>
    <t>-923.569294471184 202.427091698672 -170.406534916173</t>
  </si>
  <si>
    <t>-930.992685394806 200.22824741674 -268.725915693744</t>
  </si>
  <si>
    <t>-931.846704680655 196.563355976871 -357.743259655115</t>
  </si>
  <si>
    <t>-926.569441677878 190.928627327173 -446.504988377641</t>
  </si>
  <si>
    <t>-912.849707373606 180.813768770297 -569.91598761108</t>
  </si>
  <si>
    <t>-876.976706247053 167.947612305506 -643.757708707965</t>
  </si>
  <si>
    <t>-908.956111716059 211.113083331646 -516.623428819967</t>
  </si>
  <si>
    <t>-859.062635495523 338.701743480945 -505.024359691579</t>
  </si>
  <si>
    <t>-823.21664939085 385.747790066415 -216.765957977391</t>
  </si>
  <si>
    <t>-583.444849618387 389.887384494697 -193.460417600438</t>
  </si>
  <si>
    <t>-928.81812394847 159.416383294284 -514.594428363578</t>
  </si>
  <si>
    <t>-984.808127449166 38.1849184552611 -481.990632708937</t>
  </si>
  <si>
    <t>-1052.96502245099 20.5250896988855 -196.273948737204</t>
  </si>
  <si>
    <t>-823.609289990605 40.9609672926849 -267.190140422526</t>
  </si>
  <si>
    <t>-892.246380165241 298.72688450362 -61.6338457441789</t>
  </si>
  <si>
    <t>-892.305186039094 300.709685458982 341.913801401629</t>
  </si>
  <si>
    <t>-966.93159683404 299.221433876744 786.00269790141</t>
  </si>
  <si>
    <t>-823.430825565974 329.004533089768 846.067130065545</t>
  </si>
  <si>
    <t>-900.245041588259 102.441706914309 -56.2135272860595</t>
  </si>
  <si>
    <t>-848.40017525548 57.8913022049674 341.507557801689</t>
  </si>
  <si>
    <t>-889.07169814109 34.1918711102344 785.318753740746</t>
  </si>
  <si>
    <t>-795.794398529185 -71.3415300497022 857.771052356142</t>
  </si>
  <si>
    <t>9763-20170724T111224.911180200.bin</t>
  </si>
  <si>
    <t>-896.574109542984 201.55097962683 -57.6960381179061</t>
  </si>
  <si>
    <t>-923.83699754493 203.368759632991 -170.255590876554</t>
  </si>
  <si>
    <t>-931.058005017236 201.069309376533 -268.587773557259</t>
  </si>
  <si>
    <t>-931.73306086861 197.257769675058 -357.600582248623</t>
  </si>
  <si>
    <t>-926.283734404304 191.420667675261 -446.33870232103</t>
  </si>
  <si>
    <t>-912.332899089337 180.966662933444 -569.695493418028</t>
  </si>
  <si>
    <t>-876.505488756011 167.87918738053 -643.520810623653</t>
  </si>
  <si>
    <t>-908.486594063015 211.392672774221 -516.471696904731</t>
  </si>
  <si>
    <t>-858.214343621101 338.829505389336 -505.094140951806</t>
  </si>
  <si>
    <t>-820.616393070867 386.790057353557 -217.209829102889</t>
  </si>
  <si>
    <t>-580.878659341119 389.995790379297 -193.409414572231</t>
  </si>
  <si>
    <t>-928.457030279171 159.74133778642 -514.352900140328</t>
  </si>
  <si>
    <t>-984.772108316592 38.692844261866 -481.602314882308</t>
  </si>
  <si>
    <t>-1052.65084921213 21.3549495896309 -195.799966345344</t>
  </si>
  <si>
    <t>-823.391366081007 41.1056052662238 -267.220346416258</t>
  </si>
  <si>
    <t>-892.425619148881 299.804052249109 -61.3972982953826</t>
  </si>
  <si>
    <t>-892.418745905669 301.208841153288 342.15281754898</t>
  </si>
  <si>
    <t>-966.437046902355 299.268630529314 786.270451383316</t>
  </si>
  <si>
    <t>-822.984781867046 329.037133964015 846.458199590727</t>
  </si>
  <si>
    <t>-901.102690536613 103.204802561182 -56.0150673093393</t>
  </si>
  <si>
    <t>-848.683487315591 58.3352645267096 341.594834124691</t>
  </si>
  <si>
    <t>-889.659534229598 34.1655356861534 785.37200964969</t>
  </si>
  <si>
    <t>-796.039850488709 -71.0886527402531 857.789178950944</t>
  </si>
  <si>
    <t>9763-20170724T111224.979368000.bin</t>
  </si>
  <si>
    <t>-897.158635535202 203.296097042455 -57.1823900221972</t>
  </si>
  <si>
    <t>-924.131008676338 205.225865387287 -169.810114946283</t>
  </si>
  <si>
    <t>-931.046205475923 202.732024366025 -268.15947856894</t>
  </si>
  <si>
    <t>-931.429694716037 198.630612983563 -357.161103717624</t>
  </si>
  <si>
    <t>-925.678779910276 192.388284559225 -445.852707636116</t>
  </si>
  <si>
    <t>-911.302597372778 181.248107841566 -569.100579752997</t>
  </si>
  <si>
    <t>-875.490006543146 167.790711047811 -642.86637644157</t>
  </si>
  <si>
    <t>-907.50775904947 211.91908768247 -516.013898224203</t>
  </si>
  <si>
    <t>-856.27060946675 339.006809766179 -505.085870844623</t>
  </si>
  <si>
    <t>-814.609921809984 389.147855099895 -218.133748493538</t>
  </si>
  <si>
    <t>-575.058400659838 390.41331223709 -192.358528642194</t>
  </si>
  <si>
    <t>-927.749975309419 160.381550353178 -513.716596134116</t>
  </si>
  <si>
    <t>-984.871427612687 39.7722504679991 -480.711402217246</t>
  </si>
  <si>
    <t>-1052.71526834281 23.9906229088147 -194.810444741855</t>
  </si>
  <si>
    <t>-823.245447612777 41.2538820729246 -266.199444306388</t>
  </si>
  <si>
    <t>-892.242655858962 301.504244009845 -60.8931824384051</t>
  </si>
  <si>
    <t>-891.740835350445 302.101572283064 342.658556438853</t>
  </si>
  <si>
    <t>-965.574547035756 299.064869320079 786.710637614601</t>
  </si>
  <si>
    <t>-822.066612098384 328.626028421771 846.868164035286</t>
  </si>
  <si>
    <t>-902.250401414172 104.904786988554 -55.5157043356393</t>
  </si>
  <si>
    <t>-848.315748647191 59.1077663292235 341.785678933952</t>
  </si>
  <si>
    <t>-890.533098071612 34.5659221887358 785.453354035534</t>
  </si>
  <si>
    <t>-797.198061351647 -70.9489870245452 857.858007260671</t>
  </si>
  <si>
    <t>9763-20170724T111225.014461500.bin</t>
  </si>
  <si>
    <t>-897.265586800586 204.066381610592 -56.8694008125547</t>
  </si>
  <si>
    <t>-924.128201469394 206.073458487063 -169.521908501987</t>
  </si>
  <si>
    <t>-930.939894968958 203.48924507647 -267.876225850701</t>
  </si>
  <si>
    <t>-931.229046941504 199.243706471245 -356.871519856038</t>
  </si>
  <si>
    <t>-925.387691694616 192.793739312562 -445.542276988735</t>
  </si>
  <si>
    <t>-910.890846055605 181.297390614207 -568.743273567975</t>
  </si>
  <si>
    <t>-875.091563947094 167.650428447962 -642.480518725763</t>
  </si>
  <si>
    <t>-907.055428175628 212.08583095812 -515.727588371968</t>
  </si>
  <si>
    <t>-855.320132535892 339.002483498383 -505.050555800141</t>
  </si>
  <si>
    <t>-811.247004648679 389.548914116915 -218.530335157848</t>
  </si>
  <si>
    <t>-571.77434147622 390.092481768982 -192.007759004275</t>
  </si>
  <si>
    <t>-927.485132189314 160.626809848937 -513.329495177294</t>
  </si>
  <si>
    <t>-985.094531750284 40.304927185467 -480.146635112489</t>
  </si>
  <si>
    <t>-1053.23189949169 25.6038458915455 -194.257889795305</t>
  </si>
  <si>
    <t>-823.504432953566 41.1853531324346 -265.204063814807</t>
  </si>
  <si>
    <t>-891.930744872152 302.187460608638 -60.5902601691272</t>
  </si>
  <si>
    <t>-891.12049260356 302.490481963566 342.961368182091</t>
  </si>
  <si>
    <t>-965.199490115655 298.884930529223 786.929174218608</t>
  </si>
  <si>
    <t>-821.683891153269 328.653514739568 846.965655941333</t>
  </si>
  <si>
    <t>-902.759329948912 105.741794045151 -55.1847386448117</t>
  </si>
  <si>
    <t>-847.839656783455 59.3576926731475 341.913469039821</t>
  </si>
  <si>
    <t>-890.983791294469 34.6918378017094 785.467593941524</t>
  </si>
  <si>
    <t>-797.708898820528 -70.8737044254085 857.876464905227</t>
  </si>
  <si>
    <t>9763-20170724T111225.080643900.bin</t>
  </si>
  <si>
    <t>-897.307182317016 204.988908948004 -56.251338645615</t>
  </si>
  <si>
    <t>-924.011473643912 207.172042629835 -168.938234892407</t>
  </si>
  <si>
    <t>-930.678199050315 204.411137652027 -267.297702876471</t>
  </si>
  <si>
    <t>-930.841239382087 199.874732902045 -356.278817822237</t>
  </si>
  <si>
    <t>-924.885552041884 192.997600110708 -444.909908671573</t>
  </si>
  <si>
    <t>-910.248038922317 180.761140557998 -568.02297791441</t>
  </si>
  <si>
    <t>-874.60571494179 166.6780212401 -641.754476407471</t>
  </si>
  <si>
    <t>-906.226814866928 211.770705713152 -515.15003941167</t>
  </si>
  <si>
    <t>-853.249019510274 338.213690346157 -504.964505099751</t>
  </si>
  <si>
    <t>-804.364604541326 388.470314670679 -219.174814316737</t>
  </si>
  <si>
    <t>-564.960173092124 387.587378842719 -192.052263465428</t>
  </si>
  <si>
    <t>-927.151734068688 160.521268419172 -512.544024358002</t>
  </si>
  <si>
    <t>-985.960106897993 40.9003436041708 -478.930128770133</t>
  </si>
  <si>
    <t>-1054.62385535598 27.9210498159164 -193.083961114772</t>
  </si>
  <si>
    <t>-824.682964996963 40.3308309841664 -263.964562388259</t>
  </si>
  <si>
    <t>-891.255799419063 303.081060780064 -59.9669617021556</t>
  </si>
  <si>
    <t>-889.456414017427 302.613064517018 343.581327514553</t>
  </si>
  <si>
    <t>-964.508629846432 298.186080322491 787.330775027518</t>
  </si>
  <si>
    <t>-820.764337776075 327.750012954414 846.91978185919</t>
  </si>
  <si>
    <t>-903.545194193768 106.559327352293 -54.5836803215512</t>
  </si>
  <si>
    <t>-846.475903428229 59.4401484359328 342.124721057603</t>
  </si>
  <si>
    <t>-891.818433188375 34.9312741742197 785.420025245892</t>
  </si>
  <si>
    <t>-798.262887074543 -70.3683904799846 857.853779596439</t>
  </si>
  <si>
    <t>9763-20170724T111225.113761300.bin</t>
  </si>
  <si>
    <t>-897.316824706106 205.17752971503 -56.0164367467466</t>
  </si>
  <si>
    <t>-923.924055862191 207.486468537697 -168.72378543981</t>
  </si>
  <si>
    <t>-930.505577951603 204.680453480468 -267.087695206679</t>
  </si>
  <si>
    <t>-930.593976087724 200.041593032453 -356.063663376387</t>
  </si>
  <si>
    <t>-924.569976191066 192.999410130643 -444.677228447985</t>
  </si>
  <si>
    <t>-909.847180265427 180.465305323966 -567.750212427012</t>
  </si>
  <si>
    <t>-874.350743890964 166.177313720794 -641.512542549929</t>
  </si>
  <si>
    <t>-905.733907557986 211.550726738607 -514.928893172225</t>
  </si>
  <si>
    <t>-852.17897221567 337.770287850788 -504.963702190803</t>
  </si>
  <si>
    <t>-801.364332422078 387.73620684421 -219.459785724539</t>
  </si>
  <si>
    <t>-562.073852851879 386.280034609636 -191.373454796839</t>
  </si>
  <si>
    <t>-926.918154276906 160.411025364344 -512.254793983192</t>
  </si>
  <si>
    <t>-986.394929726928 41.1614618935205 -478.495019392972</t>
  </si>
  <si>
    <t>-1055.32965199438 29.2084715118467 -192.66932481625</t>
  </si>
  <si>
    <t>-825.258718497226 39.702455712988 -263.437447125867</t>
  </si>
  <si>
    <t>-890.92141122716 303.258579933973 -59.6945099714608</t>
  </si>
  <si>
    <t>-888.434886938527 302.250861027252 343.849175969042</t>
  </si>
  <si>
    <t>-964.192539466693 297.764303534417 787.504142335596</t>
  </si>
  <si>
    <t>-820.287470011554 327.10651130994 846.813834505682</t>
  </si>
  <si>
    <t>-903.920667128678 106.833473587089 -54.3865891825481</t>
  </si>
  <si>
    <t>-845.66585414413 59.4636618741119 342.11954505914</t>
  </si>
  <si>
    <t>-892.119303923634 35.1927787272916 785.247396556711</t>
  </si>
  <si>
    <t>-798.844440617918 -70.3161119135198 857.738356280962</t>
  </si>
  <si>
    <t>9763-20170724T111225.179465900.bin</t>
  </si>
  <si>
    <t>-897.410442894433 205.381431432487 -55.927240403489</t>
  </si>
  <si>
    <t>-923.892467239513 207.924952322245 -168.658985993587</t>
  </si>
  <si>
    <t>-930.336411538294 205.065866431893 -267.030439471462</t>
  </si>
  <si>
    <t>-930.295244733454 200.276249422941 -355.998579798893</t>
  </si>
  <si>
    <t>-924.142429467541 192.975031624935 -444.582220719219</t>
  </si>
  <si>
    <t>-909.246919605187 179.96393588022 -567.584839336566</t>
  </si>
  <si>
    <t>-874.226330655421 165.330497843421 -641.506724794059</t>
  </si>
  <si>
    <t>-904.977653170186 211.159411517381 -514.84081209112</t>
  </si>
  <si>
    <t>-850.533842543771 337.033482718009 -505.182928543841</t>
  </si>
  <si>
    <t>-798.434315257522 386.416998828271 -219.809269135566</t>
  </si>
  <si>
    <t>-559.382015940188 382.56482788671 -189.975399967884</t>
  </si>
  <si>
    <t>-926.625751173466 160.219545290899 -512.07413273503</t>
  </si>
  <si>
    <t>-987.104195943424 41.5777996740621 -478.007314150117</t>
  </si>
  <si>
    <t>-1056.43188626878 31.4356306086752 -192.206718464912</t>
  </si>
  <si>
    <t>-826.071169927872 38.1414557086159 -262.490635359486</t>
  </si>
  <si>
    <t>-890.726511237318 303.440029718437 -59.5642029764452</t>
  </si>
  <si>
    <t>-887.030794006761 301.591444956562 343.967227196365</t>
  </si>
  <si>
    <t>-963.499254264812 297.043436337263 787.564585010583</t>
  </si>
  <si>
    <t>-819.378229718365 326.207561607419 846.436755086668</t>
  </si>
  <si>
    <t>-904.31317079939 107.278399299119 -54.4140977674276</t>
  </si>
  <si>
    <t>-844.100764697767 59.5254798438095 341.753557515873</t>
  </si>
  <si>
    <t>-892.389584543958 35.8850568490725 784.551052876841</t>
  </si>
  <si>
    <t>-799.663891046681 -69.926576841985 857.305060849178</t>
  </si>
  <si>
    <t>9763-20170724T111225.217539100.bin</t>
  </si>
  <si>
    <t>-897.289995716505 205.714338816631 -56.0069590384304</t>
  </si>
  <si>
    <t>-923.745812841839 208.308142182135 -168.743719137003</t>
  </si>
  <si>
    <t>-930.145745320309 205.433348767071 -267.117671034341</t>
  </si>
  <si>
    <t>-930.059191810244 200.600786121247 -356.083294359042</t>
  </si>
  <si>
    <t>-923.858578343623 193.224423711584 -444.657607434367</t>
  </si>
  <si>
    <t>-908.896406520429 180.07167348755 -567.63686031674</t>
  </si>
  <si>
    <t>-874.1548510594 165.300672769763 -641.663053538448</t>
  </si>
  <si>
    <t>-904.563427698958 211.289297971675 -514.911361411566</t>
  </si>
  <si>
    <t>-849.903263464905 337.091738954062 -505.401141469232</t>
  </si>
  <si>
    <t>-799.249512662081 386.180339758872 -219.716481974382</t>
  </si>
  <si>
    <t>-560.317691742456 381.8617136869 -188.994031414625</t>
  </si>
  <si>
    <t>-926.397394270182 160.429853618693 -512.128299050111</t>
  </si>
  <si>
    <t>-987.244290259356 41.9933027069046 -477.957947274572</t>
  </si>
  <si>
    <t>-1056.69089504666 32.2124032501629 -192.173623021091</t>
  </si>
  <si>
    <t>-826.227666227549 37.5988367404557 -262.23476683659</t>
  </si>
  <si>
    <t>-890.442658178536 303.696626429767 -59.6012174843307</t>
  </si>
  <si>
    <t>-886.592114942266 301.74458104974 343.928183654197</t>
  </si>
  <si>
    <t>-963.114703601663 296.844771259104 787.558700968504</t>
  </si>
  <si>
    <t>-818.940131869343 325.963736385721 846.32119511047</t>
  </si>
  <si>
    <t>-904.234013491243 107.792404557846 -54.5750516626399</t>
  </si>
  <si>
    <t>-843.163854503188 59.6642636053098 341.415888435231</t>
  </si>
  <si>
    <t>-892.244733012309 36.41850721947 784.048161503843</t>
  </si>
  <si>
    <t>-800.112328402231 -69.7496350197639 857.035858062293</t>
  </si>
  <si>
    <t>9763-20170724T111225.285234200.bin</t>
  </si>
  <si>
    <t>-896.695451833708 206.591473071086 -56.3037110995409</t>
  </si>
  <si>
    <t>-923.105814605147 209.335697291517 -169.047503217264</t>
  </si>
  <si>
    <t>-929.468334775924 206.542236894068 -267.426214085446</t>
  </si>
  <si>
    <t>-929.352399296101 201.756521585916 -356.3943742792</t>
  </si>
  <si>
    <t>-923.129825623708 194.395917565721 -444.968251040465</t>
  </si>
  <si>
    <t>-908.147879346319 181.228554608698 -567.943806183982</t>
  </si>
  <si>
    <t>-874.00391191451 166.35847958507 -642.227716243093</t>
  </si>
  <si>
    <t>-903.736308994924 212.415669873511 -515.206624374437</t>
  </si>
  <si>
    <t>-848.964569113218 338.137932389269 -505.491859669911</t>
  </si>
  <si>
    <t>-804.361051150231 386.496905177037 -218.676281272454</t>
  </si>
  <si>
    <t>-565.559106911319 381.279666226606 -187.097378766065</t>
  </si>
  <si>
    <t>-925.744955910531 161.629926453522 -512.450169284512</t>
  </si>
  <si>
    <t>-986.867031312878 43.2887435516313 -478.413649440566</t>
  </si>
  <si>
    <t>-1056.48676856133 33.6570629236767 -192.666260603751</t>
  </si>
  <si>
    <t>-825.87895369363 36.7351665290998 -262.390812187224</t>
  </si>
  <si>
    <t>-889.88455881569 304.509061113935 -59.7332265889414</t>
  </si>
  <si>
    <t>-886.113429589193 301.987806060355 343.793845964385</t>
  </si>
  <si>
    <t>-962.267425719011 296.497070425368 787.526594456404</t>
  </si>
  <si>
    <t>-818.020171804384 325.436045383006 846.199904532693</t>
  </si>
  <si>
    <t>-903.669646983938 108.750512815148 -55.1951620838053</t>
  </si>
  <si>
    <t>-842.176789369426 60.7469521872827 340.745405317869</t>
  </si>
  <si>
    <t>-892.186570982823 37.3398358748877 783.268221954808</t>
  </si>
  <si>
    <t>-800.776807417901 -69.2071695512875 856.6115084434</t>
  </si>
  <si>
    <t>9763-20170724T111225.316317700.bin</t>
  </si>
  <si>
    <t>-896.552437189558 207.040759045565 -56.4690429132066</t>
  </si>
  <si>
    <t>-922.98192409173 209.869270550278 -169.20634374008</t>
  </si>
  <si>
    <t>-929.355555453206 207.169376432114 -267.587072696016</t>
  </si>
  <si>
    <t>-929.248199153556 202.473957013685 -356.559947600322</t>
  </si>
  <si>
    <t>-923.032997081499 195.207108667111 -445.14220898253</t>
  </si>
  <si>
    <t>-908.060109779945 182.172989265202 -568.133040648924</t>
  </si>
  <si>
    <t>-874.137439080494 167.347478529686 -642.527111152503</t>
  </si>
  <si>
    <t>-903.627290713767 213.295454413192 -515.359468353004</t>
  </si>
  <si>
    <t>-848.910748174072 339.014114136192 -505.406022059673</t>
  </si>
  <si>
    <t>-808.480793777649 387.067078402009 -217.921289817959</t>
  </si>
  <si>
    <t>-569.726523349271 381.894710619695 -185.975639941362</t>
  </si>
  <si>
    <t>-925.670529904947 162.521790386497 -512.662090356935</t>
  </si>
  <si>
    <t>-986.818428061157 44.1114054297709 -478.875405101653</t>
  </si>
  <si>
    <t>-1056.32262713745 34.2945418560566 -193.106273209209</t>
  </si>
  <si>
    <t>-825.676943272887 36.40614243136 -262.741476103611</t>
  </si>
  <si>
    <t>-889.791493853165 304.974655888173 -59.8162661529701</t>
  </si>
  <si>
    <t>-886.192619222065 302.011436957907 343.709348631751</t>
  </si>
  <si>
    <t>-961.820624697018 296.326671527543 787.51395830471</t>
  </si>
  <si>
    <t>-817.494304531104 324.878514427205 846.182219329623</t>
  </si>
  <si>
    <t>-903.657168603839 109.155216562828 -55.4635855180914</t>
  </si>
  <si>
    <t>-842.44621510474 61.423631696186 340.553623660322</t>
  </si>
  <si>
    <t>-892.505608035435 37.585712604277 783.113294915892</t>
  </si>
  <si>
    <t>-801.205400010829 -69.0204680008417 856.507502169403</t>
  </si>
  <si>
    <t>9763-20170724T111225.381040600.bin</t>
  </si>
  <si>
    <t>-896.931248550852 208.413165727896 -56.8434518673233</t>
  </si>
  <si>
    <t>-923.384722753668 211.406549424566 -169.570804937536</t>
  </si>
  <si>
    <t>-929.810615960547 208.944158401272 -267.954283897614</t>
  </si>
  <si>
    <t>-929.760628558225 204.50241059589 -356.940266098377</t>
  </si>
  <si>
    <t>-923.611034733826 197.527181616903 -445.55056845766</t>
  </si>
  <si>
    <t>-908.736441321646 184.939472748371 -568.599812900479</t>
  </si>
  <si>
    <t>-875.245033897326 170.374510007336 -643.240410988859</t>
  </si>
  <si>
    <t>-904.252469493716 215.866814441795 -515.715745195277</t>
  </si>
  <si>
    <t>-849.969709671397 341.739160484377 -505.290392493171</t>
  </si>
  <si>
    <t>-820.090675283694 388.339882621508 -216.280276045311</t>
  </si>
  <si>
    <t>-581.838574230668 385.438793133196 -180.526507515806</t>
  </si>
  <si>
    <t>-926.311504240301 165.090967091171 -513.187960318012</t>
  </si>
  <si>
    <t>-987.40318295123 46.538737331372 -479.826922096705</t>
  </si>
  <si>
    <t>-1056.1733727462 35.5699587601748 -193.922017878081</t>
  </si>
  <si>
    <t>-825.679466062921 35.2666469513251 -264.088963660724</t>
  </si>
  <si>
    <t>-889.918368355461 306.271604961617 -60.0324473915477</t>
  </si>
  <si>
    <t>-886.963066593414 302.23456494033 343.489087502453</t>
  </si>
  <si>
    <t>-960.917799037471 296.135957164792 787.508425891729</t>
  </si>
  <si>
    <t>-816.617109816398 324.705848633239 846.231489626749</t>
  </si>
  <si>
    <t>-904.375979896646 110.68212888252 -55.836483638195</t>
  </si>
  <si>
    <t>-844.058090463624 62.9548710790195 340.31818447646</t>
  </si>
  <si>
    <t>-893.411678790551 37.8660223037118 782.94053772443</t>
  </si>
  <si>
    <t>-802.19880459571 -68.8105090946467 856.340833230908</t>
  </si>
  <si>
    <t>9763-20170724T111225.413125600.bin</t>
  </si>
  <si>
    <t>-897.15321524666 209.094230118604 -57.0310731196869</t>
  </si>
  <si>
    <t>-923.585895146905 212.186119585627 -169.76070226921</t>
  </si>
  <si>
    <t>-930.043321131777 209.853452333728 -268.145268789851</t>
  </si>
  <si>
    <t>-930.039341901818 205.550794962321 -357.138170463868</t>
  </si>
  <si>
    <t>-923.95195772079 198.73757883794 -445.765282437566</t>
  </si>
  <si>
    <t>-909.179150277115 186.401846553055 -568.852187522962</t>
  </si>
  <si>
    <t>-875.838678579698 172.036829750287 -643.599056816008</t>
  </si>
  <si>
    <t>-904.655588116518 217.222115193068 -515.909464168102</t>
  </si>
  <si>
    <t>-850.673417924582 343.208841256888 -505.272357852797</t>
  </si>
  <si>
    <t>-827.205536822902 389.292324731298 -215.588428706491</t>
  </si>
  <si>
    <t>-589.545285590774 387.038946400625 -176.048284666558</t>
  </si>
  <si>
    <t>-926.704469940894 166.43775760684 -513.466131305137</t>
  </si>
  <si>
    <t>-987.725060173848 47.8050244949609 -480.253939753997</t>
  </si>
  <si>
    <t>-1056.08936825586 36.5288012997021 -194.263710234147</t>
  </si>
  <si>
    <t>-825.811319920736 34.7886818022548 -265.11587091241</t>
  </si>
  <si>
    <t>-889.729657110378 306.757363318169 -60.12726308642</t>
  </si>
  <si>
    <t>-887.214139356249 302.423614094459 343.39415658023</t>
  </si>
  <si>
    <t>-960.457992466676 296.047157176565 787.502109782852</t>
  </si>
  <si>
    <t>-816.1466051824 324.438760302912 846.285553989955</t>
  </si>
  <si>
    <t>-904.881099027731 111.496259829747 -56.0355421025914</t>
  </si>
  <si>
    <t>-845.129715299086 63.6099998022692 340.185810487291</t>
  </si>
  <si>
    <t>-894.050573603626 37.7451231283749 782.876094554807</t>
  </si>
  <si>
    <t>-802.435019267165 -68.5991792030652 856.257055415069</t>
  </si>
  <si>
    <t>9763-20170724T111225.481977000.bin</t>
  </si>
  <si>
    <t>-897.187541653194 210.48763728081 -57.2183267951343</t>
  </si>
  <si>
    <t>-923.56810065993 213.713543938465 -169.956347724098</t>
  </si>
  <si>
    <t>-930.05496734271 211.625921429891 -268.344401422246</t>
  </si>
  <si>
    <t>-930.101805609908 207.605737083829 -357.350487152716</t>
  </si>
  <si>
    <t>-924.08435477122 201.140197234534 -446.008567982869</t>
  </si>
  <si>
    <t>-909.42453996389 189.362737533833 -569.163800446305</t>
  </si>
  <si>
    <t>-876.215733323103 175.478769397172 -644.059787001103</t>
  </si>
  <si>
    <t>-904.887285457807 219.958003398091 -516.091437940091</t>
  </si>
  <si>
    <t>-851.404123340763 346.085449252346 -505.000844698237</t>
  </si>
  <si>
    <t>-842.49047603337 391.298149710413 -214.36777110274</t>
  </si>
  <si>
    <t>-607.00406549967 391.060367635248 -163.407601943036</t>
  </si>
  <si>
    <t>-926.86395853392 169.132992247403 -513.846958358195</t>
  </si>
  <si>
    <t>-987.891143583021 50.4276584706577 -480.894353886846</t>
  </si>
  <si>
    <t>-1055.24062760343 39.3634095101461 -194.655312426194</t>
  </si>
  <si>
    <t>-825.41898681891 33.9898216492074 -266.794467522522</t>
  </si>
  <si>
    <t>-888.962507074624 307.621656987604 -60.202353830306</t>
  </si>
  <si>
    <t>-886.915255034365 303.001118513789 343.318542941436</t>
  </si>
  <si>
    <t>-959.546374197153 295.885775967326 787.488299541054</t>
  </si>
  <si>
    <t>-815.262949969651 324.096474788282 846.427045765156</t>
  </si>
  <si>
    <t>-905.585000641248 113.32870184987 -56.2374855500208</t>
  </si>
  <si>
    <t>-846.616439479101 64.5604501804205 339.993593098015</t>
  </si>
  <si>
    <t>-895.059426527102 37.9319536515245 782.811087037215</t>
  </si>
  <si>
    <t>-803.625378626873 -68.5868331303454 856.165432205525</t>
  </si>
  <si>
    <t>9763-20170724T111225.513059800.bin</t>
  </si>
  <si>
    <t>-897.134678629552 211.170346950362 -57.2179634189553</t>
  </si>
  <si>
    <t>-923.53858941231 214.447839139805 -169.949035735447</t>
  </si>
  <si>
    <t>-930.029885004087 212.508806947403 -268.340073369054</t>
  </si>
  <si>
    <t>-930.069422371868 208.670277260651 -357.35402551181</t>
  </si>
  <si>
    <t>-924.030839461183 202.436363836704 -446.027174122789</t>
  </si>
  <si>
    <t>-909.323787775689 191.036512827966 -569.212213499896</t>
  </si>
  <si>
    <t>-876.125673741432 177.404223942204 -644.159421864934</t>
  </si>
  <si>
    <t>-904.847290240873 221.485883556863 -516.051083184702</t>
  </si>
  <si>
    <t>-851.359357634036 347.581552535583 -504.64831893674</t>
  </si>
  <si>
    <t>-849.280634432913 392.326832151076 -213.813633491368</t>
  </si>
  <si>
    <t>-615.180453992595 392.614431892398 -156.823216455802</t>
  </si>
  <si>
    <t>-926.743851507616 170.620021942652 -513.958077577685</t>
  </si>
  <si>
    <t>-987.754239455138 51.8587011560053 -481.162795692</t>
  </si>
  <si>
    <t>-1054.71893728566 41.0681067973378 -194.823042959774</t>
  </si>
  <si>
    <t>-825.06859244897 33.9111147822305 -267.350572998529</t>
  </si>
  <si>
    <t>-888.670683821247 308.105532454292 -60.1929016759074</t>
  </si>
  <si>
    <t>-886.506593960275 303.325638590317 343.325603448448</t>
  </si>
  <si>
    <t>-959.10595477706 295.843352380517 787.483391979734</t>
  </si>
  <si>
    <t>-814.845111899086 323.994802725106 846.505778744242</t>
  </si>
  <si>
    <t>-905.814093498643 114.17107349789 -56.2631180108541</t>
  </si>
  <si>
    <t>-847.224890160124 65.003272362223 339.974842309385</t>
  </si>
  <si>
    <t>-895.553344922055 38.0644682516604 782.811999230246</t>
  </si>
  <si>
    <t>-804.428712808923 -68.7372815645301 856.139742688551</t>
  </si>
  <si>
    <t>9763-20170724T111225.581873800.bin</t>
  </si>
  <si>
    <t>-897.045336737828 211.827920983815 -57.1888154292002</t>
  </si>
  <si>
    <t>-923.556470545427 215.141764974232 -169.893875205591</t>
  </si>
  <si>
    <t>-929.996933974186 213.49370303889 -268.29330354159</t>
  </si>
  <si>
    <t>-929.923438097356 210.028155926481 -357.322632114693</t>
  </si>
  <si>
    <t>-923.698682841441 204.28184564422 -446.015777871104</t>
  </si>
  <si>
    <t>-908.648063079309 193.686063694746 -569.23110747316</t>
  </si>
  <si>
    <t>-875.388299791448 180.554469795052 -644.240465917223</t>
  </si>
  <si>
    <t>-904.459128617749 223.846595318082 -515.882068532489</t>
  </si>
  <si>
    <t>-851.315086662008 350.037127467505 -503.659420447635</t>
  </si>
  <si>
    <t>-855.397741094904 393.338529248641 -212.627586132155</t>
  </si>
  <si>
    <t>-622.145559450423 394.683960367332 -152.273990949165</t>
  </si>
  <si>
    <t>-926.082938865687 172.851042983773 -514.138145636102</t>
  </si>
  <si>
    <t>-986.846436845695 53.8448228800853 -481.915120728186</t>
  </si>
  <si>
    <t>-1054.05711505764 42.863571534996 -195.640314416571</t>
  </si>
  <si>
    <t>-824.346185849329 33.4724627174483 -267.720532202008</t>
  </si>
  <si>
    <t>-888.15939154614 308.626256183025 -60.1526755268668</t>
  </si>
  <si>
    <t>-885.873756596907 303.68015239869 343.363135347808</t>
  </si>
  <si>
    <t>-958.223880638831 295.73449656876 787.47949576749</t>
  </si>
  <si>
    <t>-813.971689609166 323.553830053394 846.680485180768</t>
  </si>
  <si>
    <t>-906.11058486666 114.791348916738 -56.2234262164216</t>
  </si>
  <si>
    <t>-848.20599824854 65.270514759869 340.071144310317</t>
  </si>
  <si>
    <t>-896.819855851343 37.90648771718 782.886250043964</t>
  </si>
  <si>
    <t>-805.343670071537 -68.6796892105929 856.089776858008</t>
  </si>
  <si>
    <t>9763-20170724T111225.613963000.bin</t>
  </si>
  <si>
    <t>-896.926790263822 211.814368961527 -57.1931767171151</t>
  </si>
  <si>
    <t>-923.419405685213 215.091630528032 -169.903549756916</t>
  </si>
  <si>
    <t>-929.823541877672 213.498787733979 -268.306328564441</t>
  </si>
  <si>
    <t>-929.706966878986 210.119210044271 -357.338894588396</t>
  </si>
  <si>
    <t>-923.426407990598 204.49563227859 -446.036008983938</t>
  </si>
  <si>
    <t>-908.283328556966 194.110429185479 -569.25799951376</t>
  </si>
  <si>
    <t>-874.913764348943 181.124489600753 -644.243716402463</t>
  </si>
  <si>
    <t>-904.212300020609 224.212122530417 -515.866749928268</t>
  </si>
  <si>
    <t>-851.449025609718 350.549311041796 -503.377430110092</t>
  </si>
  <si>
    <t>-853.960563895714 393.30188431841 -212.246588038054</t>
  </si>
  <si>
    <t>-620.076307298342 394.048509656813 -154.380555204995</t>
  </si>
  <si>
    <t>-925.681688016835 173.148810013688 -514.201465802861</t>
  </si>
  <si>
    <t>-986.131132473082 53.921670622723 -482.227039901304</t>
  </si>
  <si>
    <t>-1054.08339874086 42.4765953563419 -196.145431367577</t>
  </si>
  <si>
    <t>-824.185735448882 32.6493165051706 -267.569811930771</t>
  </si>
  <si>
    <t>-887.854497825391 308.5715714217 -60.1357253439453</t>
  </si>
  <si>
    <t>-885.807769991775 303.78389861814 343.383282985481</t>
  </si>
  <si>
    <t>-957.835482347657 295.712167146577 787.473998693486</t>
  </si>
  <si>
    <t>-813.659141861456 323.859346190681 846.704051985079</t>
  </si>
  <si>
    <t>-906.118565883721 114.784240176829 -56.2205912673072</t>
  </si>
  <si>
    <t>-848.482174579906 65.2002119767894 340.10517544629</t>
  </si>
  <si>
    <t>-897.32329552241 37.9458833139029 782.902536105204</t>
  </si>
  <si>
    <t>-805.557035871079 -68.4219726085346 856.060651484285</t>
  </si>
  <si>
    <t>9763-20170724T111225.681172900.bin</t>
  </si>
  <si>
    <t>-896.724463157505 211.300242783591 -57.2759714614275</t>
  </si>
  <si>
    <t>-923.195461554064 214.457328018314 -169.99485693587</t>
  </si>
  <si>
    <t>-929.587501376129 212.763919502832 -268.396703020038</t>
  </si>
  <si>
    <t>-929.465323209543 209.286702267229 -357.425615062115</t>
  </si>
  <si>
    <t>-923.185273027594 203.557339955793 -446.115975088854</t>
  </si>
  <si>
    <t>-908.052239449808 193.013210353015 -569.325670888687</t>
  </si>
  <si>
    <t>-874.570144987389 180.198830786316 -644.290795449062</t>
  </si>
  <si>
    <t>-904.029685229862 223.205500048704 -515.981734530998</t>
  </si>
  <si>
    <t>-851.485377275624 349.60393314448 -503.506540670142</t>
  </si>
  <si>
    <t>-846.578517547711 392.775703223983 -212.46810881841</t>
  </si>
  <si>
    <t>-610.999447550621 390.802168213796 -161.976283298311</t>
  </si>
  <si>
    <t>-925.393912015178 172.101004719393 -514.232493193868</t>
  </si>
  <si>
    <t>-985.52726985162 52.6881377725354 -482.280217311054</t>
  </si>
  <si>
    <t>-1053.85871763929 40.1120259306335 -196.336499175433</t>
  </si>
  <si>
    <t>-823.588931586151 30.7428015574683 -266.614202703111</t>
  </si>
  <si>
    <t>-887.520335358502 308.167648604738 -60.208772777592</t>
  </si>
  <si>
    <t>-886.017272164646 303.563890106512 343.314723932362</t>
  </si>
  <si>
    <t>-957.107623160467 295.544758602099 787.429048429552</t>
  </si>
  <si>
    <t>-812.903669657654 323.5561167625 846.656479386117</t>
  </si>
  <si>
    <t>-906.128570470875 114.137408571612 -56.2963313285082</t>
  </si>
  <si>
    <t>-848.747019604301 64.825347162559 340.100427734242</t>
  </si>
  <si>
    <t>-898.268823985198 38.0148920448187 782.911668858209</t>
  </si>
  <si>
    <t>-806.2789903388 -68.1910232851783 856.02439022639</t>
  </si>
  <si>
    <t>9763-20170724T111225.715264000.bin</t>
  </si>
  <si>
    <t>-896.680319006763 211.117504174865 -57.28313286077</t>
  </si>
  <si>
    <t>-923.080070887979 214.23907896532 -170.019707799113</t>
  </si>
  <si>
    <t>-929.425643291435 212.470597584383 -268.423177593245</t>
  </si>
  <si>
    <t>-929.269333245776 208.906170778051 -357.448587505529</t>
  </si>
  <si>
    <t>-922.964855246778 203.069351595893 -446.130213515569</t>
  </si>
  <si>
    <t>-907.808054865666 192.354026537157 -569.32214315119</t>
  </si>
  <si>
    <t>-874.318377443079 179.60079117218 -644.29440131471</t>
  </si>
  <si>
    <t>-903.78594611144 222.6164202324 -516.018145323725</t>
  </si>
  <si>
    <t>-851.120129118231 348.984021617145 -503.690129662533</t>
  </si>
  <si>
    <t>-842.089269760318 392.72221837609 -212.835164158824</t>
  </si>
  <si>
    <t>-605.778392845699 389.109744895664 -165.984376687739</t>
  </si>
  <si>
    <t>-925.169396107153 171.522239479578 -514.204705516597</t>
  </si>
  <si>
    <t>-985.262953795044 52.1325699540116 -482.058285889666</t>
  </si>
  <si>
    <t>-1053.61587042706 39.4404909872269 -196.124793037267</t>
  </si>
  <si>
    <t>-823.270696396492 30.3420339455947 -266.190104212715</t>
  </si>
  <si>
    <t>-887.368467219197 308.075784920471 -60.2542947842537</t>
  </si>
  <si>
    <t>-886.128069693921 303.452101243841 343.269825126535</t>
  </si>
  <si>
    <t>-956.746171218365 295.549701012069 787.417153016387</t>
  </si>
  <si>
    <t>-812.626908326285 323.895424493034 846.691321034277</t>
  </si>
  <si>
    <t>-906.252580996641 113.964596934329 -56.3188744855322</t>
  </si>
  <si>
    <t>-849.057289502083 64.8079450941491 340.124095543473</t>
  </si>
  <si>
    <t>-898.704113608018 38.1143240005486 782.937280624298</t>
  </si>
  <si>
    <t>-806.741440032218 -68.1369192527375 856.018060679669</t>
  </si>
  <si>
    <t>9763-20170724T111225.779875800.bin</t>
  </si>
  <si>
    <t>-896.671475562901 211.110050117323 -57.2902853192664</t>
  </si>
  <si>
    <t>-922.93335398991 214.204568639797 -170.059791057393</t>
  </si>
  <si>
    <t>-929.122251857438 212.288858360958 -268.470517236953</t>
  </si>
  <si>
    <t>-928.811120164181 208.546385785001 -357.488315649114</t>
  </si>
  <si>
    <t>-922.340046707093 202.488192754744 -446.142990113915</t>
  </si>
  <si>
    <t>-906.939739149806 191.420422419215 -569.273611766725</t>
  </si>
  <si>
    <t>-873.504499538749 178.743927970982 -644.283106406676</t>
  </si>
  <si>
    <t>-903.004797300436 221.827978200773 -516.045497613252</t>
  </si>
  <si>
    <t>-849.852994531677 348.032618701861 -504.020054611102</t>
  </si>
  <si>
    <t>-834.471639697173 392.99913257913 -213.619309076764</t>
  </si>
  <si>
    <t>-597.472899368827 386.929310453065 -170.659470408026</t>
  </si>
  <si>
    <t>-924.428248988917 170.753727717693 -514.134256930684</t>
  </si>
  <si>
    <t>-984.615375023564 51.5039604554368 -481.610198973178</t>
  </si>
  <si>
    <t>-1052.92526618163 39.9967944710702 -195.616355274062</t>
  </si>
  <si>
    <t>-822.623148218183 31.5175540802479 -265.899931848428</t>
  </si>
  <si>
    <t>-886.810899036822 308.052554645297 -60.3088263032204</t>
  </si>
  <si>
    <t>-885.886723341251 303.320212865683 343.214944932091</t>
  </si>
  <si>
    <t>-955.971843927023 295.393398448061 787.415881492611</t>
  </si>
  <si>
    <t>-811.901958763948 323.75353706063 846.803295109164</t>
  </si>
  <si>
    <t>-906.891371984563 114.149544701366 -56.306322318656</t>
  </si>
  <si>
    <t>-850.207696578272 64.8512337431694 340.192438141861</t>
  </si>
  <si>
    <t>-899.773312537219 38.0159113952795 783.061272188293</t>
  </si>
  <si>
    <t>-807.612677117082 -68.1177833741904 856.064155080027</t>
  </si>
  <si>
    <t>9763-20170724T111225.812965100.bin</t>
  </si>
  <si>
    <t>-896.677082807141 211.448552884376 -57.2550397661096</t>
  </si>
  <si>
    <t>-922.864936686682 214.542641780657 -170.041722265649</t>
  </si>
  <si>
    <t>-928.947944647494 212.582930151848 -268.458251041023</t>
  </si>
  <si>
    <t>-928.523834393483 208.785935465072 -357.473168046883</t>
  </si>
  <si>
    <t>-921.923313853828 202.659883923113 -446.113603775287</t>
  </si>
  <si>
    <t>-906.325211765173 191.484200509458 -569.209648854308</t>
  </si>
  <si>
    <t>-872.94838906672 178.834961029981 -644.24965689898</t>
  </si>
  <si>
    <t>-902.470210017665 221.935923416809 -516.001079134217</t>
  </si>
  <si>
    <t>-849.066381322579 348.043041368561 -504.018838330634</t>
  </si>
  <si>
    <t>-831.962601192565 393.370889276455 -213.770549294187</t>
  </si>
  <si>
    <t>-594.652964302504 386.199080863814 -172.739429713724</t>
  </si>
  <si>
    <t>-923.908193244584 170.868254914311 -514.081305226709</t>
  </si>
  <si>
    <t>-984.192680289438 51.7049465329455 -481.441960864928</t>
  </si>
  <si>
    <t>-1052.6010677151 40.8951713878978 -195.444350585289</t>
  </si>
  <si>
    <t>-822.283402325941 32.6585636922691 -265.706902863371</t>
  </si>
  <si>
    <t>-886.46965104397 308.226110055526 -60.3040331547112</t>
  </si>
  <si>
    <t>-885.599298993736 303.399906525028 343.218717485065</t>
  </si>
  <si>
    <t>-955.596889348327 295.337744255811 787.408651358953</t>
  </si>
  <si>
    <t>-811.528400278915 323.548906682405 846.870239578853</t>
  </si>
  <si>
    <t>-907.185017964198 114.721693283909 -56.2353763207294</t>
  </si>
  <si>
    <t>-850.68625402991 65.050131750158 340.243280375513</t>
  </si>
  <si>
    <t>-900.128243054225 38.1985558229044 783.121295305625</t>
  </si>
  <si>
    <t>-808.056127371998 -68.0325302436343 856.093658844869</t>
  </si>
  <si>
    <t>9763-20170724T111225.879741600.bin</t>
  </si>
  <si>
    <t>-896.623176642054 212.235482976561 -57.1571296303797</t>
  </si>
  <si>
    <t>-922.657326439301 215.309696680141 -169.979976110694</t>
  </si>
  <si>
    <t>-928.542520312829 213.279101888035 -268.406940375828</t>
  </si>
  <si>
    <t>-927.9135962492 209.400156690929 -357.417116817041</t>
  </si>
  <si>
    <t>-921.082930433106 203.176449092609 -446.033398189091</t>
  </si>
  <si>
    <t>-905.137842403431 191.850057828208 -569.071177792753</t>
  </si>
  <si>
    <t>-871.880116830116 179.163919467672 -644.15780613608</t>
  </si>
  <si>
    <t>-901.430964163707 222.3659937927 -515.888934236608</t>
  </si>
  <si>
    <t>-847.77670629824 348.372471309191 -503.944143389204</t>
  </si>
  <si>
    <t>-827.359314517338 394.001047484297 -213.957290663281</t>
  </si>
  <si>
    <t>-589.436698244134 385.210339954885 -176.991607898539</t>
  </si>
  <si>
    <t>-922.878086383924 171.302213615751 -513.967714101044</t>
  </si>
  <si>
    <t>-983.266745744829 52.2126925954299 -481.278025092545</t>
  </si>
  <si>
    <t>-1052.26665411579 41.6270987701596 -195.414157198805</t>
  </si>
  <si>
    <t>-821.728913230248 34.6374412336704 -265.087440010723</t>
  </si>
  <si>
    <t>-885.835258444017 308.693631955782 -60.2481159447159</t>
  </si>
  <si>
    <t>-885.139343055208 303.726080585573 343.27324534269</t>
  </si>
  <si>
    <t>-954.795706758713 295.22765493586 787.434781845653</t>
  </si>
  <si>
    <t>-810.759041293721 323.090354668779 847.137235737639</t>
  </si>
  <si>
    <t>-907.588097247629 115.668694998546 -56.1043905233023</t>
  </si>
  <si>
    <t>-851.278420708077 65.3613818935969 340.321007677017</t>
  </si>
  <si>
    <t>-900.958943654001 38.2723626858883 783.212138456162</t>
  </si>
  <si>
    <t>-808.736480676252 -67.8608979364792 856.137153386204</t>
  </si>
  <si>
    <t>9763-20170724T111225.912829400.bin</t>
  </si>
  <si>
    <t>-896.563160656023 212.599568993256 -57.1072686626436</t>
  </si>
  <si>
    <t>-922.514808327378 215.645940109067 -169.949790178378</t>
  </si>
  <si>
    <t>-928.311681788334 213.562076223291 -268.381105965835</t>
  </si>
  <si>
    <t>-927.596548887502 209.623412815489 -357.387949657842</t>
  </si>
  <si>
    <t>-920.674381224535 203.32866425671 -445.99213195599</t>
  </si>
  <si>
    <t>-904.596322073698 191.891493594914 -569.002163509094</t>
  </si>
  <si>
    <t>-871.358531024058 179.163588469647 -644.090618925605</t>
  </si>
  <si>
    <t>-900.944673152277 222.454450245831 -515.843207670677</t>
  </si>
  <si>
    <t>-847.18508513782 348.419797510258 -503.952898050847</t>
  </si>
  <si>
    <t>-824.711092720392 394.245755561431 -214.14939072368</t>
  </si>
  <si>
    <t>-586.439584323365 384.255432416492 -179.830285298271</t>
  </si>
  <si>
    <t>-922.398315417286 171.394385129012 -513.899857792798</t>
  </si>
  <si>
    <t>-982.828721090931 52.3340083837579 -481.20184630887</t>
  </si>
  <si>
    <t>-1052.08792807527 41.4005990064097 -195.413651159274</t>
  </si>
  <si>
    <t>-821.392847559307 35.1293524071107 -264.632730195362</t>
  </si>
  <si>
    <t>-885.61192979322 309.017098589274 -60.2225799933332</t>
  </si>
  <si>
    <t>-885.059387629268 303.919366157401 343.297438985947</t>
  </si>
  <si>
    <t>-954.419143478319 295.212466729489 787.458641280858</t>
  </si>
  <si>
    <t>-810.45765659685 323.231157957762 847.269747228074</t>
  </si>
  <si>
    <t>-907.67171381601 115.998093353373 -56.0471366115714</t>
  </si>
  <si>
    <t>-851.351687445049 65.5285115493939 340.356142142671</t>
  </si>
  <si>
    <t>-901.299512087697 38.3919419955437 783.235323126002</t>
  </si>
  <si>
    <t>-809.233804378891 -67.8795545900468 856.157166728313</t>
  </si>
  <si>
    <t>9763-20170724T111225.982033400.bin</t>
  </si>
  <si>
    <t>-896.405654533768 212.941662320679 -57.0341916742924</t>
  </si>
  <si>
    <t>-922.179691475878 215.924389420914 -169.91918072682</t>
  </si>
  <si>
    <t>-927.827249267532 213.705114555287 -268.356073727883</t>
  </si>
  <si>
    <t>-926.981303411255 209.610913673549 -357.354894292546</t>
  </si>
  <si>
    <t>-919.935403001649 203.126418067265 -445.935553555469</t>
  </si>
  <si>
    <t>-903.693674904804 191.389277117793 -568.89596397556</t>
  </si>
  <si>
    <t>-870.406769085337 178.562857059372 -643.945976639006</t>
  </si>
  <si>
    <t>-900.104547264869 222.078724048661 -515.805477576139</t>
  </si>
  <si>
    <t>-846.109715838454 347.960214122487 -504.10876670274</t>
  </si>
  <si>
    <t>-818.844935742624 393.909483833098 -214.736039722694</t>
  </si>
  <si>
    <t>-579.974386309671 382.940927255172 -185.214849718209</t>
  </si>
  <si>
    <t>-921.577102918594 171.029997599776 -513.768885938705</t>
  </si>
  <si>
    <t>-982.086424155379 52.0417015800604 -480.948184164634</t>
  </si>
  <si>
    <t>-1051.62483166317 40.6625295131371 -195.245404253309</t>
  </si>
  <si>
    <t>-820.702504811587 34.8575295159512 -263.744487753856</t>
  </si>
  <si>
    <t>-885.248592210347 309.589620719831 -60.1956149068631</t>
  </si>
  <si>
    <t>-885.231179135076 304.10949399249 343.319754435893</t>
  </si>
  <si>
    <t>-953.712234325288 295.165216367202 787.5031866967</t>
  </si>
  <si>
    <t>-809.837333284844 323.319915873899 847.458038037689</t>
  </si>
  <si>
    <t>-907.803385783345 116.104386558749 -55.9758538012153</t>
  </si>
  <si>
    <t>-851.547569911525 65.6518923764229 340.438659429641</t>
  </si>
  <si>
    <t>-902.078760160323 38.4696280516741 783.27349215396</t>
  </si>
  <si>
    <t>-809.540126798706 -67.423014167357 856.147445193528</t>
  </si>
  <si>
    <t>9763-20170724T111226.014120200.bin</t>
  </si>
  <si>
    <t>-896.349297461152 213.254321526834 -57.0373180289787</t>
  </si>
  <si>
    <t>-922.038181189395 216.196651648993 -169.942745721438</t>
  </si>
  <si>
    <t>-927.633799858793 213.905447409492 -268.381163823424</t>
  </si>
  <si>
    <t>-926.751559308823 209.730715717641 -357.375743426392</t>
  </si>
  <si>
    <t>-919.68030080989 203.150459823962 -445.947375812219</t>
  </si>
  <si>
    <t>-903.415675757723 191.263060379652 -568.890378609667</t>
  </si>
  <si>
    <t>-870.116310854887 178.381839623357 -643.925193622923</t>
  </si>
  <si>
    <t>-899.828484676347 222.01355930101 -515.835281317936</t>
  </si>
  <si>
    <t>-845.744961834739 347.867491724825 -504.240574443812</t>
  </si>
  <si>
    <t>-815.344805392453 393.803393205904 -215.178311300291</t>
  </si>
  <si>
    <t>-576.209087006843 382.714115292196 -187.939552691556</t>
  </si>
  <si>
    <t>-921.317648141903 170.974648500326 -513.743123100194</t>
  </si>
  <si>
    <t>-981.871253897463 52.036464103142 -480.822397424826</t>
  </si>
  <si>
    <t>-1051.3794502467 40.8057388663706 -195.106214269028</t>
  </si>
  <si>
    <t>-820.424387721331 34.7668951518936 -263.474397676185</t>
  </si>
  <si>
    <t>-885.118634173172 309.953009420471 -60.2046285600389</t>
  </si>
  <si>
    <t>-885.265431327409 304.274528609265 343.307942118382</t>
  </si>
  <si>
    <t>-953.379411346583 295.111143331753 787.509004992401</t>
  </si>
  <si>
    <t>-809.492511295091 323.116596904516 847.505384273768</t>
  </si>
  <si>
    <t>-907.842194521187 116.457878513675 -55.9431740066198</t>
  </si>
  <si>
    <t>-851.649089007869 65.8194926351407 340.456564621576</t>
  </si>
  <si>
    <t>-902.448639946937 38.5346893770839 783.279605134971</t>
  </si>
  <si>
    <t>-810.073248941553 -67.5022863999159 856.150768104676</t>
  </si>
  <si>
    <t>9763-20170724T111226.082308200.bin</t>
  </si>
  <si>
    <t>-896.149931984198 214.115264878239 -57.0263260877983</t>
  </si>
  <si>
    <t>-921.645039748825 217.014124526191 -169.97680591548</t>
  </si>
  <si>
    <t>-927.114034753836 214.551051902538 -268.418018680181</t>
  </si>
  <si>
    <t>-926.137590929975 210.167788861906 -357.40163568208</t>
  </si>
  <si>
    <t>-918.995085279056 203.326209491835 -445.947752072664</t>
  </si>
  <si>
    <t>-902.658078303737 191.018068176702 -568.83976070705</t>
  </si>
  <si>
    <t>-869.389556231989 177.983421305931 -643.861932931579</t>
  </si>
  <si>
    <t>-899.062937752976 221.93394249773 -515.881225142493</t>
  </si>
  <si>
    <t>-844.635544388399 347.668194041601 -504.570275527375</t>
  </si>
  <si>
    <t>-807.241442224872 393.764419797798 -216.354999718709</t>
  </si>
  <si>
    <t>-567.746011871367 382.664927119747 -192.487931936889</t>
  </si>
  <si>
    <t>-920.63147683054 170.934490612799 -513.640883594975</t>
  </si>
  <si>
    <t>-981.339961957538 52.1531403052741 -480.445499826368</t>
  </si>
  <si>
    <t>-1050.7541248275 41.7542334329951 -194.674957373662</t>
  </si>
  <si>
    <t>-819.914854843334 34.6886512011797 -263.335121837889</t>
  </si>
  <si>
    <t>-884.620434557256 310.703968142228 -60.2010271131529</t>
  </si>
  <si>
    <t>-884.818399310636 304.781829245094 343.30797796168</t>
  </si>
  <si>
    <t>-952.741621432829 295.005408243174 787.517203381787</t>
  </si>
  <si>
    <t>-808.96021861187 323.429017586922 847.569438193408</t>
  </si>
  <si>
    <t>-907.910146808816 117.429097750457 -55.8774551120108</t>
  </si>
  <si>
    <t>-851.694492651574 66.3494716130854 340.462440725706</t>
  </si>
  <si>
    <t>-902.953926195059 38.9478214323699 783.248138743661</t>
  </si>
  <si>
    <t>-811.018861665179 -67.4554787135896 856.142338148829</t>
  </si>
  <si>
    <t>9763-20170724T111226.116397900.bin</t>
  </si>
  <si>
    <t>-896.070742192787 214.443129290441 -56.9929285793015</t>
  </si>
  <si>
    <t>-921.48751562259 217.340628875929 -169.961079592518</t>
  </si>
  <si>
    <t>-926.892152304579 214.760003918574 -268.402893296448</t>
  </si>
  <si>
    <t>-925.861674442357 210.224134278975 -357.378197316602</t>
  </si>
  <si>
    <t>-918.671391384232 203.183264495347 -445.90486795572</t>
  </si>
  <si>
    <t>-902.276698285403 190.549061480694 -568.755866408732</t>
  </si>
  <si>
    <t>-869.043227421135 177.387248820414 -643.771510199164</t>
  </si>
  <si>
    <t>-898.663592566264 221.587757803311 -515.870600208032</t>
  </si>
  <si>
    <t>-843.957220875923 347.214854055249 -504.808945946752</t>
  </si>
  <si>
    <t>-802.843682459276 393.554941955225 -217.13987399777</t>
  </si>
  <si>
    <t>-563.26423280152 382.818434110217 -193.961242576567</t>
  </si>
  <si>
    <t>-920.318638881686 170.630115644789 -513.519881862962</t>
  </si>
  <si>
    <t>-981.212835800365 51.9937052935434 -480.123613690709</t>
  </si>
  <si>
    <t>-1050.56788898993 42.0545233396178 -194.322374358036</t>
  </si>
  <si>
    <t>-819.849423089076 34.3015085920401 -263.314028528892</t>
  </si>
  <si>
    <t>-884.29634490758 310.940605804634 -60.1775032198698</t>
  </si>
  <si>
    <t>-884.434851448569 304.884184139238 343.329647847138</t>
  </si>
  <si>
    <t>-952.454450177574 294.8220947147 787.496776074339</t>
  </si>
  <si>
    <t>-808.602561601106 322.999934012828 847.495849942639</t>
  </si>
  <si>
    <t>-908.095770995164 117.780305217354 -55.8307924091587</t>
  </si>
  <si>
    <t>-851.758660753867 66.393688950317 340.452179537114</t>
  </si>
  <si>
    <t>-903.386672003842 38.8333261660455 783.215258219113</t>
  </si>
  <si>
    <t>-810.920594577384 -67.1124648843067 856.104460324935</t>
  </si>
  <si>
    <t>9763-20170724T111226.180184600.bin</t>
  </si>
  <si>
    <t>-895.476360676378 214.890198759679 -56.8968712912745</t>
  </si>
  <si>
    <t>-920.766827392688 217.832377993173 -169.892335839477</t>
  </si>
  <si>
    <t>-926.085022760163 215.025073707703 -268.332613724263</t>
  </si>
  <si>
    <t>-924.99155051607 210.179867023087 -357.290837933774</t>
  </si>
  <si>
    <t>-917.758874248341 202.724764699616 -445.780164994929</t>
  </si>
  <si>
    <t>-901.330886706522 189.40223423552 -568.554066125028</t>
  </si>
  <si>
    <t>-868.205030784772 175.908272310679 -643.558207630604</t>
  </si>
  <si>
    <t>-897.605925320295 220.683854974385 -515.819880178581</t>
  </si>
  <si>
    <t>-842.138878314319 346.03360765764 -505.382098878873</t>
  </si>
  <si>
    <t>-794.451268692156 392.790022210484 -218.797176520933</t>
  </si>
  <si>
    <t>-554.808121588499 382.512903841052 -196.072448633898</t>
  </si>
  <si>
    <t>-919.513934480837 169.845595654516 -513.234880497331</t>
  </si>
  <si>
    <t>-980.945075948493 51.6406488763437 -479.30683686342</t>
  </si>
  <si>
    <t>-1049.932049952 42.5603680659851 -193.388044343452</t>
  </si>
  <si>
    <t>-819.572419009785 33.5126431393296 -263.413435386761</t>
  </si>
  <si>
    <t>-883.203649997896 311.017493504796 -60.1319126923994</t>
  </si>
  <si>
    <t>-883.160225957471 304.393099230128 343.366313366925</t>
  </si>
  <si>
    <t>-952.061948265271 294.283624223767 787.373169909878</t>
  </si>
  <si>
    <t>-808.055589494133 322.584696064123 846.943372370413</t>
  </si>
  <si>
    <t>-907.934926423941 118.609643469891 -55.7826779999567</t>
  </si>
  <si>
    <t>-851.626248033941 66.6365180202174 340.427818244892</t>
  </si>
  <si>
    <t>-903.760632633235 39.2333040446238 783.080481005891</t>
  </si>
  <si>
    <t>-811.74263664417 -67.023728321813 856.083604329835</t>
  </si>
  <si>
    <t>9763-20170724T111226.215279500.bin</t>
  </si>
  <si>
    <t>-895.206933754393 215.001153726787 -56.9007471623771</t>
  </si>
  <si>
    <t>-920.495152393178 217.912150316492 -169.89754501603</t>
  </si>
  <si>
    <t>-925.829296495615 214.982850614279 -268.33343216737</t>
  </si>
  <si>
    <t>-924.760342353466 209.98763408157 -357.28371651017</t>
  </si>
  <si>
    <t>-917.564354265486 202.342399223914 -445.759666990497</t>
  </si>
  <si>
    <t>-901.202903022874 188.711275851034 -568.50868146183</t>
  </si>
  <si>
    <t>-868.145095672218 175.009993051772 -643.50526184109</t>
  </si>
  <si>
    <t>-897.382414285041 220.096893808432 -515.843173394693</t>
  </si>
  <si>
    <t>-841.598983627694 345.335545373453 -505.707702968618</t>
  </si>
  <si>
    <t>-791.637765314228 392.235545953058 -219.533665611941</t>
  </si>
  <si>
    <t>-551.972789337617 382.077713602459 -196.986598484763</t>
  </si>
  <si>
    <t>-919.423429379947 169.322360710775 -513.142675187987</t>
  </si>
  <si>
    <t>-981.059364076639 51.317988522359 -478.925612859241</t>
  </si>
  <si>
    <t>-1049.81511259112 42.8411649640184 -192.932619812092</t>
  </si>
  <si>
    <t>-819.607667308991 33.044196844407 -263.355438707289</t>
  </si>
  <si>
    <t>-882.842857970558 310.920292350737 -60.1830774533142</t>
  </si>
  <si>
    <t>-882.646368300628 304.042592658633 343.310791158111</t>
  </si>
  <si>
    <t>-951.910643041033 293.931992909876 787.268878879262</t>
  </si>
  <si>
    <t>-807.730018368851 321.973828226317 846.538501033855</t>
  </si>
  <si>
    <t>-907.804838331417 118.952483081015 -55.7624208860913</t>
  </si>
  <si>
    <t>-851.536346770234 66.6642648024153 340.412392301845</t>
  </si>
  <si>
    <t>-903.870293236694 39.4727386901468 783.005181905143</t>
  </si>
  <si>
    <t>-812.109357817811 -66.957930553715 856.078903838731</t>
  </si>
  <si>
    <t>9763-20170724T111226.280432600.bin</t>
  </si>
  <si>
    <t>-894.749358076883 214.836729431303 -57.0306879394022</t>
  </si>
  <si>
    <t>-920.070426859537 217.611438377296 -170.023438479922</t>
  </si>
  <si>
    <t>-925.492819569645 214.445527471557 -268.447166914006</t>
  </si>
  <si>
    <t>-924.534176619128 209.181331928079 -357.383242724061</t>
  </si>
  <si>
    <t>-917.48335318184 201.207081886395 -445.841934646653</t>
  </si>
  <si>
    <t>-901.365343211243 187.05077750934 -568.563634974225</t>
  </si>
  <si>
    <t>-868.450045728435 172.919100975108 -643.543018309726</t>
  </si>
  <si>
    <t>-897.340454864276 218.61889087405 -516.022497460564</t>
  </si>
  <si>
    <t>-841.133675434167 343.730031303603 -506.443024124359</t>
  </si>
  <si>
    <t>-792.263079935336 391.455618267188 -220.217310088679</t>
  </si>
  <si>
    <t>-552.502513528837 382.044799802746 -198.37261280099</t>
  </si>
  <si>
    <t>-919.575829783582 167.941492791976 -513.097042128151</t>
  </si>
  <si>
    <t>-981.526196068033 50.2245749715762 -478.394005503674</t>
  </si>
  <si>
    <t>-1049.95245781615 43.4288807515322 -192.277258200695</t>
  </si>
  <si>
    <t>-819.892953423394 32.1238569442594 -262.957803094168</t>
  </si>
  <si>
    <t>-882.280149095516 310.494213134309 -60.3465920755016</t>
  </si>
  <si>
    <t>-881.495045883608 303.623624221429 343.146695222227</t>
  </si>
  <si>
    <t>-951.526022143559 293.339857073939 787.067440433041</t>
  </si>
  <si>
    <t>-807.084053372489 320.98062203314 845.887993742836</t>
  </si>
  <si>
    <t>-907.338491971339 118.991558123335 -55.8465031848765</t>
  </si>
  <si>
    <t>-851.351270479006 66.6866513993405 340.365914257294</t>
  </si>
  <si>
    <t>-904.128447872506 39.8165356048908 782.889836798267</t>
  </si>
  <si>
    <t>-812.472927898908 -66.6073657083525 856.105706785964</t>
  </si>
  <si>
    <t>9763-20170724T111226.316527900.bin</t>
  </si>
  <si>
    <t>-894.366904101066 214.52525951967 -57.0495826361246</t>
  </si>
  <si>
    <t>-919.71104503051 217.271449916391 -170.037837339644</t>
  </si>
  <si>
    <t>-925.194929320966 214.048441525986 -268.456312693917</t>
  </si>
  <si>
    <t>-924.309928746304 208.719210666708 -357.389205050809</t>
  </si>
  <si>
    <t>-917.351676240795 200.665993703474 -445.848110530127</t>
  </si>
  <si>
    <t>-901.383052723561 186.384416979885 -568.574850497209</t>
  </si>
  <si>
    <t>-868.524635320956 172.120437969881 -643.554025934275</t>
  </si>
  <si>
    <t>-897.286558998952 218.002867126193 -516.069577529397</t>
  </si>
  <si>
    <t>-841.212447577091 343.177806360302 -506.696688782537</t>
  </si>
  <si>
    <t>-795.113817428152 391.447925734061 -220.102604366461</t>
  </si>
  <si>
    <t>-555.280448553957 382.751700047568 -198.768941839891</t>
  </si>
  <si>
    <t>-919.533474957525 167.335109216281 -513.068079762644</t>
  </si>
  <si>
    <t>-981.456682195114 49.6490810802961 -478.190683177808</t>
  </si>
  <si>
    <t>-1050.06330479612 43.63547835079 -192.099555218772</t>
  </si>
  <si>
    <t>-819.99728161173 31.7547113527103 -262.663762742269</t>
  </si>
  <si>
    <t>-881.753845682737 310.102882834462 -60.3697854713409</t>
  </si>
  <si>
    <t>-880.68403234038 303.376501883129 343.125305559872</t>
  </si>
  <si>
    <t>-951.296072131928 293.099198298805 786.988054292466</t>
  </si>
  <si>
    <t>-806.789697213235 320.709202964282 845.664096881063</t>
  </si>
  <si>
    <t>-907.095479671807 118.819278778557 -55.8697269976345</t>
  </si>
  <si>
    <t>-851.270869954667 66.6147688729261 340.378910508018</t>
  </si>
  <si>
    <t>-904.320178602082 39.9599999816246 782.932750576173</t>
  </si>
  <si>
    <t>-812.754344663239 -66.5125576437349 856.189491572146</t>
  </si>
  <si>
    <t>9763-20170724T111226.379202800.bin</t>
  </si>
  <si>
    <t>-893.634913011418 213.914860002515 -56.9301971765456</t>
  </si>
  <si>
    <t>-919.123707674122 216.679204084096 -169.885555553496</t>
  </si>
  <si>
    <t>-924.792009003546 213.486951674623 -268.294550124996</t>
  </si>
  <si>
    <t>-924.097816233098 208.190214700338 -357.231098562341</t>
  </si>
  <si>
    <t>-917.352719316614 200.174683943291 -445.709866991093</t>
  </si>
  <si>
    <t>-901.705174278258 185.950731853756 -568.484708294494</t>
  </si>
  <si>
    <t>-868.931092504009 171.608821986038 -643.485792045599</t>
  </si>
  <si>
    <t>-897.487657464914 217.551610331294 -515.978347963646</t>
  </si>
  <si>
    <t>-841.841531468962 342.909024283982 -506.647619035501</t>
  </si>
  <si>
    <t>-804.664287823524 392.349514543626 -218.959087714979</t>
  </si>
  <si>
    <t>-564.629850919321 386.248309596095 -199.029530710541</t>
  </si>
  <si>
    <t>-919.694297543178 166.868475081174 -512.936707090584</t>
  </si>
  <si>
    <t>-981.466921401436 49.1019765243263 -478.066028874111</t>
  </si>
  <si>
    <t>-1050.39764366191 43.6045759202716 -192.042399890048</t>
  </si>
  <si>
    <t>-820.213533003633 31.4029214582779 -262.165735925434</t>
  </si>
  <si>
    <t>-880.837533482364 309.279969282891 -60.2566010488498</t>
  </si>
  <si>
    <t>-879.135010958373 302.773351044476 343.239851417641</t>
  </si>
  <si>
    <t>-950.801288878602 292.691956575193 786.889804225931</t>
  </si>
  <si>
    <t>-806.209259777495 320.226027231534 845.390418047645</t>
  </si>
  <si>
    <t>-906.720947519789 118.552391018444 -55.7480085433424</t>
  </si>
  <si>
    <t>-851.161030260974 66.4347800055389 340.549237082373</t>
  </si>
  <si>
    <t>-904.778879415153 40.2252080030039 783.104079897119</t>
  </si>
  <si>
    <t>-813.384452744066 -66.3870498136162 856.37205339458</t>
  </si>
  <si>
    <t>9763-20170724T111226.413324500.bin</t>
  </si>
  <si>
    <t>-893.263331627955 213.721801204289 -56.8689470802312</t>
  </si>
  <si>
    <t>-918.804978794415 216.505949547263 -169.811823639999</t>
  </si>
  <si>
    <t>-924.566282015486 213.379426776033 -268.217462564172</t>
  </si>
  <si>
    <t>-923.973014172975 208.162944101375 -357.15953012612</t>
  </si>
  <si>
    <t>-917.34501457733 200.249286032614 -445.656364987898</t>
  </si>
  <si>
    <t>-901.875520755926 186.190739791073 -568.472763516994</t>
  </si>
  <si>
    <t>-869.118746306686 171.900115067307 -643.491477671792</t>
  </si>
  <si>
    <t>-897.597035126369 217.727384977465 -515.932754786879</t>
  </si>
  <si>
    <t>-842.355739824747 343.272625758364 -506.643048338215</t>
  </si>
  <si>
    <t>-810.903600807533 392.751030792654 -218.278886744583</t>
  </si>
  <si>
    <t>-570.971881043439 390.233071229576 -196.430177547574</t>
  </si>
  <si>
    <t>-919.768598447628 167.026920176227 -512.921850913986</t>
  </si>
  <si>
    <t>-981.445780086822 49.2008537488682 -478.088974762756</t>
  </si>
  <si>
    <t>-1050.32431986076 43.2751755298768 -192.061356847458</t>
  </si>
  <si>
    <t>-820.117994703455 31.2791427747429 -262.147114480149</t>
  </si>
  <si>
    <t>-880.278219934677 308.954849602642 -60.1999086937221</t>
  </si>
  <si>
    <t>-878.654965977786 302.487505753655 343.297560660899</t>
  </si>
  <si>
    <t>-950.535946406698 292.538294246213 786.869629636133</t>
  </si>
  <si>
    <t>-805.887362264971 319.854172039214 845.332561983874</t>
  </si>
  <si>
    <t>-906.511458453824 118.50458579993 -55.6815248804618</t>
  </si>
  <si>
    <t>-851.217160690687 66.2548575593323 340.635497200061</t>
  </si>
  <si>
    <t>-905.065786439727 40.2899048207792 783.201947082972</t>
  </si>
  <si>
    <t>-813.555604725614 -66.2410175702237 856.443569981494</t>
  </si>
  <si>
    <t>9763-20170724T111226.479031900.bin</t>
  </si>
  <si>
    <t>-892.32018598017 213.477528735277 -56.8215924606809</t>
  </si>
  <si>
    <t>-917.880329033998 216.31077556288 -169.759095544357</t>
  </si>
  <si>
    <t>-923.873420913097 213.32840463805 -268.155511378966</t>
  </si>
  <si>
    <t>-923.572338659875 208.292378963294 -357.109368692718</t>
  </si>
  <si>
    <t>-917.314191317967 200.614203125384 -445.653765800157</t>
  </si>
  <si>
    <t>-902.436843660995 186.945410721501 -568.587278242711</t>
  </si>
  <si>
    <t>-869.818517615715 172.901342560451 -643.712738177824</t>
  </si>
  <si>
    <t>-897.951026438104 218.334937468961 -515.976636562013</t>
  </si>
  <si>
    <t>-843.859428650518 344.393241368673 -506.769000516824</t>
  </si>
  <si>
    <t>-826.038745002743 394.002478314181 -217.264973419199</t>
  </si>
  <si>
    <t>-587.051058110131 397.410712606231 -186.866159930328</t>
  </si>
  <si>
    <t>-920.016235414879 167.586079622362 -513.004188853168</t>
  </si>
  <si>
    <t>-981.307320560074 49.5792728840038 -478.131763499141</t>
  </si>
  <si>
    <t>-1049.52342513144 42.9972614605144 -191.959765533335</t>
  </si>
  <si>
    <t>-819.483188282405 31.3197098956175 -262.641661432864</t>
  </si>
  <si>
    <t>-878.938132244257 308.539301637113 -60.1180134204142</t>
  </si>
  <si>
    <t>-877.91809010598 302.124516881192 343.38226738487</t>
  </si>
  <si>
    <t>-950.007369866616 292.372136772303 786.867586975094</t>
  </si>
  <si>
    <t>-805.339277659123 319.608969718944 845.319759204605</t>
  </si>
  <si>
    <t>-905.891338430553 118.397216841436 -55.6228650800614</t>
  </si>
  <si>
    <t>-851.367703317169 66.1367407910875 340.799483091199</t>
  </si>
  <si>
    <t>-905.628274008856 40.4174062450184 783.374338905616</t>
  </si>
  <si>
    <t>-814.363562845565 -66.3415277843201 856.590654269118</t>
  </si>
  <si>
    <t>9763-20170724T111226.514630000.bin</t>
  </si>
  <si>
    <t>-891.831446330753 213.303120924487 -56.7853568202091</t>
  </si>
  <si>
    <t>-917.365531621227 216.153276181242 -169.728276267531</t>
  </si>
  <si>
    <t>-923.451689160121 213.260686626929 -268.12155483892</t>
  </si>
  <si>
    <t>-923.279077259299 208.339262428108 -357.082151254947</t>
  </si>
  <si>
    <t>-917.191327489383 200.811715060422 -445.651640001733</t>
  </si>
  <si>
    <t>-902.593025353298 187.392378039685 -568.64600331028</t>
  </si>
  <si>
    <t>-870.108447767988 173.541752367119 -643.865225049347</t>
  </si>
  <si>
    <t>-898.025851372128 218.691245382608 -515.988218407192</t>
  </si>
  <si>
    <t>-844.522027435266 344.971099943429 -506.753234511867</t>
  </si>
  <si>
    <t>-834.383783720669 395.726538293266 -217.077044504566</t>
  </si>
  <si>
    <t>-596.276371354225 399.56392397024 -180.457865664893</t>
  </si>
  <si>
    <t>-920.007866662804 167.90359343082 -513.05609552609</t>
  </si>
  <si>
    <t>-981.074989109647 49.788029190905 -478.157073871827</t>
  </si>
  <si>
    <t>-1048.81953273189 43.0108743105238 -191.877540720579</t>
  </si>
  <si>
    <t>-818.941027594634 31.4365433619478 -263.101355306235</t>
  </si>
  <si>
    <t>-878.265502283984 308.320462191507 -60.0730678554709</t>
  </si>
  <si>
    <t>-877.578655614664 301.960976172993 343.428830798453</t>
  </si>
  <si>
    <t>-949.749551857453 292.323138044007 786.868831020619</t>
  </si>
  <si>
    <t>-805.105175676216 319.67800289493 845.324383771287</t>
  </si>
  <si>
    <t>-905.584792241991 118.242020006171 -55.6092614316505</t>
  </si>
  <si>
    <t>-851.435812522756 66.049940086024 340.873503071515</t>
  </si>
  <si>
    <t>-905.841402715638 40.5610417554667 783.453214923157</t>
  </si>
  <si>
    <t>-814.586283239842 -66.2172860004512 856.652947163252</t>
  </si>
  <si>
    <t>9763-20170724T111226.583550100.bin</t>
  </si>
  <si>
    <t>-890.911471799258 213.0368502432 -56.7112418385543</t>
  </si>
  <si>
    <t>-916.488397690302 215.911896994846 -169.643802945618</t>
  </si>
  <si>
    <t>-922.72131815887 213.220424367753 -268.033686254091</t>
  </si>
  <si>
    <t>-922.719122111607 208.559147388335 -357.008485156094</t>
  </si>
  <si>
    <t>-916.834529142289 201.373726462671 -445.619913487559</t>
  </si>
  <si>
    <t>-902.54860876358 188.521493544885 -568.711529519626</t>
  </si>
  <si>
    <t>-870.398989168436 175.070001913337 -644.146884107254</t>
  </si>
  <si>
    <t>-897.957324913444 219.623597427498 -515.939454058789</t>
  </si>
  <si>
    <t>-845.477728184873 346.31005957206 -506.436444258232</t>
  </si>
  <si>
    <t>-851.032230018709 397.547747164498 -216.720838753967</t>
  </si>
  <si>
    <t>-615.373678174217 403.398898303602 -166.904018857313</t>
  </si>
  <si>
    <t>-919.713196715007 168.73058359565 -513.150603604035</t>
  </si>
  <si>
    <t>-980.346891390378 50.3586619599064 -478.366644167688</t>
  </si>
  <si>
    <t>-1047.13514673615 43.3539736879939 -191.868043383685</t>
  </si>
  <si>
    <t>-817.503275167198 31.8525666070018 -263.894714754119</t>
  </si>
  <si>
    <t>-877.178078568171 308.088879612445 -59.9835359863501</t>
  </si>
  <si>
    <t>-876.98784738615 301.628719506132 343.517219250429</t>
  </si>
  <si>
    <t>-949.279401600146 292.270019667832 786.867376196215</t>
  </si>
  <si>
    <t>-804.700159264325 319.992483421734 845.310532379662</t>
  </si>
  <si>
    <t>-904.916934165317 117.91634008016 -55.5797459063257</t>
  </si>
  <si>
    <t>-851.623737507934 65.7985717162237 341.028730413849</t>
  </si>
  <si>
    <t>-906.409523166177 40.621574075305 783.619977749067</t>
  </si>
  <si>
    <t>-814.850374739511 -65.9367607553334 856.760473367473</t>
  </si>
  <si>
    <t>9763-20170724T111226.616639700.bin</t>
  </si>
  <si>
    <t>-890.443240313962 212.968308611805 -56.7093131165188</t>
  </si>
  <si>
    <t>-916.063610210311 215.832940709143 -169.632404524748</t>
  </si>
  <si>
    <t>-922.352006501297 213.244649045747 -268.021524252586</t>
  </si>
  <si>
    <t>-922.404437087813 208.724776351154 -357.003608869449</t>
  </si>
  <si>
    <t>-916.574387614708 201.732208018033 -445.634089367069</t>
  </si>
  <si>
    <t>-902.36159033086 189.204104954378 -568.767473006639</t>
  </si>
  <si>
    <t>-870.396825446679 175.954708430833 -644.317007457345</t>
  </si>
  <si>
    <t>-897.818709314657 220.200435642101 -515.929056045321</t>
  </si>
  <si>
    <t>-845.848715779137 347.077000420646 -506.193198547514</t>
  </si>
  <si>
    <t>-857.925784356479 397.203979301087 -216.481954157618</t>
  </si>
  <si>
    <t>-623.634849770805 404.038582778099 -160.697057912246</t>
  </si>
  <si>
    <t>-919.412955887363 169.233807251663 -513.236058495434</t>
  </si>
  <si>
    <t>-979.778488720922 50.689277460589 -478.538872566685</t>
  </si>
  <si>
    <t>-1046.24191985788 43.4384580961682 -191.970838473348</t>
  </si>
  <si>
    <t>-816.680688094211 32.1082102095475 -264.248835994912</t>
  </si>
  <si>
    <t>-876.67147317632 308.011093473932 -59.9659225555118</t>
  </si>
  <si>
    <t>-876.655225286127 301.480479080938 343.533834989426</t>
  </si>
  <si>
    <t>-949.039257572399 292.203895705677 786.860751927178</t>
  </si>
  <si>
    <t>-804.444182940458 319.843810557174 845.304092916721</t>
  </si>
  <si>
    <t>-904.472616445504 117.820339441032 -55.564704033088</t>
  </si>
  <si>
    <t>-851.634736860929 65.7453617792935 341.110320208273</t>
  </si>
  <si>
    <t>-906.665205407951 40.6786221622328 783.712603154905</t>
  </si>
  <si>
    <t>-815.263583298196 -66.0278867638403 856.83403663227</t>
  </si>
  <si>
    <t>9763-20170724T111226.681813600.bin</t>
  </si>
  <si>
    <t>-889.546627534496 212.610911785029 -56.7118804335062</t>
  </si>
  <si>
    <t>-915.261999267843 215.417263516565 -169.614834664018</t>
  </si>
  <si>
    <t>-921.619695886081 213.042687509028 -268.004795238465</t>
  </si>
  <si>
    <t>-921.720411972632 208.828794672722 -357.001825870069</t>
  </si>
  <si>
    <t>-915.917021855988 202.261997585694 -445.666571613622</t>
  </si>
  <si>
    <t>-901.711852426108 190.459077435126 -568.872617914301</t>
  </si>
  <si>
    <t>-870.056305218278 177.701537389619 -644.636805318921</t>
  </si>
  <si>
    <t>-897.403839077155 221.241392604279 -515.889546939697</t>
  </si>
  <si>
    <t>-846.394225529928 348.476491472214 -505.578946597374</t>
  </si>
  <si>
    <t>-865.339946574377 396.748111016651 -215.920231970336</t>
  </si>
  <si>
    <t>-633.28683006786 403.780723039388 -151.478076232419</t>
  </si>
  <si>
    <t>-918.521685000152 170.064345501622 -513.421876252074</t>
  </si>
  <si>
    <t>-977.998386004518 50.9941385660259 -479.047024275783</t>
  </si>
  <si>
    <t>-1044.3754288273 42.8701863718056 -192.482319772283</t>
  </si>
  <si>
    <t>-814.782960672674 32.4851986606977 -264.803300553657</t>
  </si>
  <si>
    <t>-875.652072957989 307.75057125796 -59.9318931622764</t>
  </si>
  <si>
    <t>-876.069374723086 301.077670886267 343.565288764798</t>
  </si>
  <si>
    <t>-948.569083920164 292.176278813348 786.849762149585</t>
  </si>
  <si>
    <t>-804.001267935485 319.860173216137 845.339122555214</t>
  </si>
  <si>
    <t>-903.618602164124 117.302872491441 -55.4956530003687</t>
  </si>
  <si>
    <t>-851.124170129374 65.3409413074919 341.239745250392</t>
  </si>
  <si>
    <t>-907.038210524177 40.90442567845 783.83938096346</t>
  </si>
  <si>
    <t>-815.729121289241 -65.8976585558471 856.937198766439</t>
  </si>
  <si>
    <t>9763-20170724T111226.714904700.bin</t>
  </si>
  <si>
    <t>-889.112963643533 212.230782561051 -56.6967998630118</t>
  </si>
  <si>
    <t>-914.888143436702 214.98964320069 -169.587280212038</t>
  </si>
  <si>
    <t>-921.285739228042 212.702221501617 -267.976752427738</t>
  </si>
  <si>
    <t>-921.414324457593 208.619513112692 -356.979921541063</t>
  </si>
  <si>
    <t>-915.627500982001 202.238501563569 -445.659375781624</t>
  </si>
  <si>
    <t>-901.430100922489 190.754291447277 -568.896389798223</t>
  </si>
  <si>
    <t>-869.906879676849 178.265478882208 -644.760258563237</t>
  </si>
  <si>
    <t>-897.248650291665 221.451857066672 -515.854045224783</t>
  </si>
  <si>
    <t>-846.816376951185 348.898352703617 -505.367885803864</t>
  </si>
  <si>
    <t>-865.546712948037 396.773207019427 -215.629426314173</t>
  </si>
  <si>
    <t>-633.906586949286 403.21897477762 -149.658312143036</t>
  </si>
  <si>
    <t>-918.106808079495 170.163904556804 -513.477534962681</t>
  </si>
  <si>
    <t>-977.028286440167 50.7776865803448 -479.275281901054</t>
  </si>
  <si>
    <t>-1043.35232093935 42.081439747591 -192.715197484852</t>
  </si>
  <si>
    <t>-813.692574819057 32.6700522676429 -264.955999244416</t>
  </si>
  <si>
    <t>-875.21863719722 307.417021854763 -59.8930167800253</t>
  </si>
  <si>
    <t>-875.886950994923 300.941288804394 343.607023209865</t>
  </si>
  <si>
    <t>-948.333720288884 292.155525309411 786.851429640371</t>
  </si>
  <si>
    <t>-803.787611635897 319.890248233674 845.370440646009</t>
  </si>
  <si>
    <t>-903.151090249392 116.81966963841 -55.4749014780385</t>
  </si>
  <si>
    <t>-850.712603016971 64.9737221909504 341.283078986539</t>
  </si>
  <si>
    <t>-907.208379085148 40.9893857584207 783.871721221685</t>
  </si>
  <si>
    <t>-815.925572737885 -65.83334953549 856.971958091823</t>
  </si>
  <si>
    <t>9763-20170724T111226.782800400.bin</t>
  </si>
  <si>
    <t>-888.609307865429 211.57695402411 -56.6644099948869</t>
  </si>
  <si>
    <t>-914.528123997827 214.068269199208 -169.52812840563</t>
  </si>
  <si>
    <t>-921.004253838274 211.786783885196 -267.912557744195</t>
  </si>
  <si>
    <t>-921.182814478227 207.795044871783 -356.919744609478</t>
  </si>
  <si>
    <t>-915.421462428785 201.591628825845 -445.613518436158</t>
  </si>
  <si>
    <t>-901.23200422807 190.441835573641 -568.882121942158</t>
  </si>
  <si>
    <t>-870.05609144574 178.351153651699 -644.953847910284</t>
  </si>
  <si>
    <t>-897.238243731646 221.071098592189 -515.785733658883</t>
  </si>
  <si>
    <t>-847.442272644078 348.749341100227 -505.051953141576</t>
  </si>
  <si>
    <t>-861.4934720529 396.052359012704 -214.955005228382</t>
  </si>
  <si>
    <t>-628.913727302595 398.941816365032 -152.112664387297</t>
  </si>
  <si>
    <t>-917.713855553628 169.625555674922 -513.489486262182</t>
  </si>
  <si>
    <t>-975.663513322117 49.7268256567936 -479.415343622305</t>
  </si>
  <si>
    <t>-1041.58466528762 39.2280714151038 -192.822523574084</t>
  </si>
  <si>
    <t>-811.82316317238 32.2904239668696 -265.019873148351</t>
  </si>
  <si>
    <t>-875.189575210292 307.014150032369 -59.9003862921805</t>
  </si>
  <si>
    <t>-875.817122851186 300.967257204674 343.606331828269</t>
  </si>
  <si>
    <t>-947.937953414362 292.276976860761 786.835490933515</t>
  </si>
  <si>
    <t>-803.56027665851 320.808002329431 845.387951340141</t>
  </si>
  <si>
    <t>-902.241160431381 115.918474728699 -55.4236670366525</t>
  </si>
  <si>
    <t>-850.09905600796 64.5223638237271 341.431921927624</t>
  </si>
  <si>
    <t>-907.418963372734 41.3198166113257 783.969429936348</t>
  </si>
  <si>
    <t>-816.076037418593 -65.4664022133579 857.047578097679</t>
  </si>
  <si>
    <t>9763-20170724T111226.814885100.bin</t>
  </si>
  <si>
    <t>-888.486275775953 211.080701314899 -56.6511573567736</t>
  </si>
  <si>
    <t>-914.434455417801 213.485226174663 -169.510081545215</t>
  </si>
  <si>
    <t>-920.921555133912 211.186937691363 -267.893473004434</t>
  </si>
  <si>
    <t>-921.103525074381 207.200440343133 -356.900790882072</t>
  </si>
  <si>
    <t>-915.338508773716 201.021903386173 -445.595911005962</t>
  </si>
  <si>
    <t>-901.135705716502 189.92836387572 -568.868186809519</t>
  </si>
  <si>
    <t>-870.18402602782 177.976935672383 -645.053259645364</t>
  </si>
  <si>
    <t>-897.214503742342 220.559758725595 -515.767604658229</t>
  </si>
  <si>
    <t>-847.511813072417 348.254956662739 -504.949850321951</t>
  </si>
  <si>
    <t>-858.109107920828 395.367208873265 -214.675332053075</t>
  </si>
  <si>
    <t>-624.452774940442 396.148543315175 -155.896209036567</t>
  </si>
  <si>
    <t>-917.556669328017 169.06087558507 -513.476795130843</t>
  </si>
  <si>
    <t>-975.111576102618 48.97209118826 -479.362811777433</t>
  </si>
  <si>
    <t>-1040.60050098939 37.8717203934802 -192.693678259974</t>
  </si>
  <si>
    <t>-810.838370039048 32.1234333137772 -264.993149048567</t>
  </si>
  <si>
    <t>-875.143146112192 306.671084230176 -59.9194138719732</t>
  </si>
  <si>
    <t>-875.841514958611 300.821469694862 343.590094527527</t>
  </si>
  <si>
    <t>-947.723674408428 292.221599167884 786.823353236406</t>
  </si>
  <si>
    <t>-803.312896758959 320.538173483309 845.39805905224</t>
  </si>
  <si>
    <t>-902.073101822432 115.277665403935 -55.4093751497269</t>
  </si>
  <si>
    <t>-850.128042901672 64.2475082089659 341.519184567355</t>
  </si>
  <si>
    <t>-907.73897532832 41.1588010928722 784.058385928379</t>
  </si>
  <si>
    <t>-815.726128803941 -65.0762779697006 857.100066048873</t>
  </si>
  <si>
    <t>9763-20170724T111226.879064600.bin</t>
  </si>
  <si>
    <t>-888.173633661686 210.514295497875 -56.615998806201</t>
  </si>
  <si>
    <t>-914.127482057591 212.842313693621 -169.475056478887</t>
  </si>
  <si>
    <t>-920.550436095117 210.479200477728 -267.861183912092</t>
  </si>
  <si>
    <t>-920.646301871441 206.434688337647 -356.866062235309</t>
  </si>
  <si>
    <t>-914.766138213731 200.20091540995 -445.549806627993</t>
  </si>
  <si>
    <t>-900.37261050338 189.033866882729 -568.793352487511</t>
  </si>
  <si>
    <t>-869.771812733032 177.277971165573 -645.150544322622</t>
  </si>
  <si>
    <t>-896.645254493956 219.739562273016 -515.721777080215</t>
  </si>
  <si>
    <t>-846.984303356565 347.466816271037 -504.896871218965</t>
  </si>
  <si>
    <t>-848.910415081313 394.206583612021 -214.375112036938</t>
  </si>
  <si>
    <t>-613.086102006062 391.364998024583 -165.083068529488</t>
  </si>
  <si>
    <t>-916.767932653195 168.156348281396 -513.397969038987</t>
  </si>
  <si>
    <t>-973.710320903133 47.8208387001609 -479.092146248875</t>
  </si>
  <si>
    <t>-1038.42924704521 36.6683488522294 -192.250223851738</t>
  </si>
  <si>
    <t>-808.824398609807 32.8602257431708 -265.174610969186</t>
  </si>
  <si>
    <t>-874.823949325183 306.260423352937 -59.9262236850279</t>
  </si>
  <si>
    <t>-875.742817920243 300.584325473721 343.585409605062</t>
  </si>
  <si>
    <t>-947.341973269292 292.214812130803 786.805813363252</t>
  </si>
  <si>
    <t>-802.991696625417 320.794175814126 845.40167555627</t>
  </si>
  <si>
    <t>-901.84140301951 114.728740268837 -55.3729757023503</t>
  </si>
  <si>
    <t>-850.234315366874 64.1697766329157 341.660050132562</t>
  </si>
  <si>
    <t>-908.044230403133 41.369133673521 784.240095209727</t>
  </si>
  <si>
    <t>-816.32405537861 -65.1112431573411 857.292264923834</t>
  </si>
  <si>
    <t>9763-20170724T111226.916970900.bin</t>
  </si>
  <si>
    <t>-888.073138996658 210.449794355962 -56.5663141840209</t>
  </si>
  <si>
    <t>-913.975857730788 212.740751526189 -169.437922013088</t>
  </si>
  <si>
    <t>-920.299815975904 210.298523661829 -267.828509589345</t>
  </si>
  <si>
    <t>-920.285250738434 206.163697472376 -356.829299366227</t>
  </si>
  <si>
    <t>-914.274070833302 199.822947765336 -445.496683078293</t>
  </si>
  <si>
    <t>-899.676486230694 188.488598788073 -568.700878156162</t>
  </si>
  <si>
    <t>-869.25378368597 176.786866867018 -645.137351979109</t>
  </si>
  <si>
    <t>-896.06799969339 219.278294115643 -515.669718822008</t>
  </si>
  <si>
    <t>-846.287130208797 346.967501013478 -504.913074767809</t>
  </si>
  <si>
    <t>-843.855338685342 394.466656709417 -214.518389008314</t>
  </si>
  <si>
    <t>-607.256413219988 389.323341175933 -169.29340651849</t>
  </si>
  <si>
    <t>-916.13232962231 167.674398906559 -513.299916267545</t>
  </si>
  <si>
    <t>-972.948463743785 47.3226141839295 -478.86627432685</t>
  </si>
  <si>
    <t>-1037.36944458376 36.3667145651384 -191.94975892558</t>
  </si>
  <si>
    <t>-807.869937115826 33.2154263383309 -265.235938070527</t>
  </si>
  <si>
    <t>-874.635832451552 306.136641835658 -59.9141359865255</t>
  </si>
  <si>
    <t>-875.675952722188 300.500017306285 343.597715976991</t>
  </si>
  <si>
    <t>-947.139145058129 292.131474721566 786.80658700703</t>
  </si>
  <si>
    <t>-802.779265565342 320.640993241196 845.413684855705</t>
  </si>
  <si>
    <t>-901.8172281937 114.758513967638 -55.3020938450168</t>
  </si>
  <si>
    <t>-850.357559593833 64.0670440738077 341.733086707476</t>
  </si>
  <si>
    <t>-908.227112188909 41.4363801453965 784.335907062718</t>
  </si>
  <si>
    <t>-816.41244360316 -64.9745399891153 857.370884139757</t>
  </si>
  <si>
    <t>9763-20170724T111226.980766800.bin</t>
  </si>
  <si>
    <t>-887.731208303296 210.659002562018 -56.4686412146161</t>
  </si>
  <si>
    <t>-913.550665312397 212.885695768096 -169.360772031525</t>
  </si>
  <si>
    <t>-919.696575945266 210.286522010163 -267.758514702358</t>
  </si>
  <si>
    <t>-919.479479334226 205.971669132642 -356.750501549877</t>
  </si>
  <si>
    <t>-913.226369360595 199.412324470397 -445.385203433527</t>
  </si>
  <si>
    <t>-898.251220147267 187.735312556951 -568.511998476563</t>
  </si>
  <si>
    <t>-868.147207468537 176.042613369238 -645.076110429366</t>
  </si>
  <si>
    <t>-894.811198396578 218.674757289064 -515.557048582564</t>
  </si>
  <si>
    <t>-844.557058260682 346.197290935515 -504.999443545417</t>
  </si>
  <si>
    <t>-836.578641697918 395.175583815055 -214.950018616572</t>
  </si>
  <si>
    <t>-598.98355026236 386.934375585183 -175.816490610497</t>
  </si>
  <si>
    <t>-914.87110273159 167.073017001293 -513.103026094876</t>
  </si>
  <si>
    <t>-971.73929017129 46.8221379876791 -478.390233759145</t>
  </si>
  <si>
    <t>-1035.94886018799 36.2308978816741 -191.412544863439</t>
  </si>
  <si>
    <t>-806.602897008876 33.8670724021354 -265.207171823365</t>
  </si>
  <si>
    <t>-874.041725833999 306.153048318255 -59.8875232285801</t>
  </si>
  <si>
    <t>-875.3191447219 300.485598285015 343.623170928127</t>
  </si>
  <si>
    <t>-946.773799087194 292.067914159341 786.807430320409</t>
  </si>
  <si>
    <t>-802.461878350922 320.81173965519 845.418026794554</t>
  </si>
  <si>
    <t>-901.636771968295 115.052327126588 -55.1451904332358</t>
  </si>
  <si>
    <t>-850.541488289831 64.1088982369861 341.904780436615</t>
  </si>
  <si>
    <t>-908.501333251021 41.7479455276252 784.53501469172</t>
  </si>
  <si>
    <t>-816.877177705121 -64.8528264169267 857.532441549145</t>
  </si>
  <si>
    <t>9763-20170724T111227.015860300.bin</t>
  </si>
  <si>
    <t>-887.541340968116 210.680472403234 -56.4253389571118</t>
  </si>
  <si>
    <t>-913.342239229346 212.86592778717 -169.322365346337</t>
  </si>
  <si>
    <t>-919.43233436409 210.201795857849 -267.721938750688</t>
  </si>
  <si>
    <t>-919.14841693634 205.817365151011 -356.710407775471</t>
  </si>
  <si>
    <t>-912.812735470351 199.178771629777 -445.33335343173</t>
  </si>
  <si>
    <t>-897.705834802395 187.381278046948 -568.432609676829</t>
  </si>
  <si>
    <t>-867.714476938755 175.641741393654 -645.033672104247</t>
  </si>
  <si>
    <t>-894.325964385972 218.373769663133 -515.504710241822</t>
  </si>
  <si>
    <t>-843.869878088466 345.823557914927 -504.983297661549</t>
  </si>
  <si>
    <t>-833.710654059443 395.18983387951 -215.067686446262</t>
  </si>
  <si>
    <t>-595.792690297718 385.919312631754 -178.189338901804</t>
  </si>
  <si>
    <t>-914.38099889307 166.771651797068 -513.020547773052</t>
  </si>
  <si>
    <t>-971.330169229349 46.5816705898083 -478.23701344574</t>
  </si>
  <si>
    <t>-1035.61354385416 36.0914846735909 -191.272163792583</t>
  </si>
  <si>
    <t>-806.263917519057 33.950136684824 -265.062575425481</t>
  </si>
  <si>
    <t>-873.729938998315 306.122784617148 -59.8769082322301</t>
  </si>
  <si>
    <t>-875.042750378302 300.459813870882 343.633813646118</t>
  </si>
  <si>
    <t>-946.58423112359 292.022829113502 786.804014596549</t>
  </si>
  <si>
    <t>-802.239559600679 320.565105245902 845.431823050631</t>
  </si>
  <si>
    <t>-901.597076910641 115.091132521411 -55.0474584329364</t>
  </si>
  <si>
    <t>-850.589450716053 64.1274027309564 342.011263695517</t>
  </si>
  <si>
    <t>-908.648165831551 41.8952016138519 784.648605935509</t>
  </si>
  <si>
    <t>-817.19009864666 -64.8625349004926 857.624641804752</t>
  </si>
  <si>
    <t>9763-20170724T111227.079037000.bin</t>
  </si>
  <si>
    <t>-887.310746054029 210.634069143918 -56.2953597201616</t>
  </si>
  <si>
    <t>-913.06320632752 212.7211179861 -169.205299531282</t>
  </si>
  <si>
    <t>-919.070254130155 209.942700277608 -267.606939745881</t>
  </si>
  <si>
    <t>-918.695682794118 205.443708774145 -356.589181978617</t>
  </si>
  <si>
    <t>-912.253627227638 198.679731628384 -445.195067450736</t>
  </si>
  <si>
    <t>-896.983052538805 186.696809284872 -568.256051632426</t>
  </si>
  <si>
    <t>-867.147798073251 174.778857596575 -644.8906782276</t>
  </si>
  <si>
    <t>-893.689377677489 217.775094748659 -515.373297025068</t>
  </si>
  <si>
    <t>-843.069878856188 345.156974613435 -504.895156841743</t>
  </si>
  <si>
    <t>-828.295614464786 394.516542305503 -215.17717497075</t>
  </si>
  <si>
    <t>-589.793307148673 385.408430981037 -182.244737098592</t>
  </si>
  <si>
    <t>-913.716651710042 166.164685353268 -512.832843560313</t>
  </si>
  <si>
    <t>-970.705386604968 45.9914505904048 -478.064219117604</t>
  </si>
  <si>
    <t>-1035.27992857052 35.3274000981587 -191.171088655856</t>
  </si>
  <si>
    <t>-805.8597689201 33.6013816548084 -264.752833928374</t>
  </si>
  <si>
    <t>-873.228187011457 306.18734910947 -59.8410964201023</t>
  </si>
  <si>
    <t>-874.912270344015 300.420843108187 343.666737879264</t>
  </si>
  <si>
    <t>-946.224121833785 292.03797755292 786.810129576308</t>
  </si>
  <si>
    <t>-801.977549003506 320.97101801735 845.488241664067</t>
  </si>
  <si>
    <t>-901.55966258727 114.96219115575 -54.8300904747688</t>
  </si>
  <si>
    <t>-850.633094366665 64.0538314530472 342.246056955421</t>
  </si>
  <si>
    <t>-909.034240835816 42.0495204527115 784.871985754785</t>
  </si>
  <si>
    <t>-817.41864736678 -64.6217044459156 857.776811942102</t>
  </si>
  <si>
    <t>9763-20170724T111227.114739800.bin</t>
  </si>
  <si>
    <t>-887.205384439199 210.67351930931 -56.2411130628519</t>
  </si>
  <si>
    <t>-912.900642804102 212.691442465441 -169.165414973255</t>
  </si>
  <si>
    <t>-918.869239855806 209.840750688274 -267.567123107642</t>
  </si>
  <si>
    <t>-918.464281966237 205.271120205479 -356.54577032082</t>
  </si>
  <si>
    <t>-911.996462224692 198.433146323463 -445.144029669852</t>
  </si>
  <si>
    <t>-896.695679078819 186.342347240559 -568.190851241492</t>
  </si>
  <si>
    <t>-866.93085836142 174.325004647722 -644.837206993597</t>
  </si>
  <si>
    <t>-893.435627647202 217.474669193767 -515.337686557334</t>
  </si>
  <si>
    <t>-842.797351318825 344.856517872737 -504.908585484238</t>
  </si>
  <si>
    <t>-825.062177247949 394.31968978761 -215.374423737161</t>
  </si>
  <si>
    <t>-586.355415082707 385.538520752151 -183.86476053778</t>
  </si>
  <si>
    <t>-913.421980637133 165.8507220502 -512.750437474596</t>
  </si>
  <si>
    <t>-970.353659617831 45.6675154343561 -477.948008554695</t>
  </si>
  <si>
    <t>-1034.95590524523 35.00099189199 -191.061302736472</t>
  </si>
  <si>
    <t>-805.487850858914 33.0994260133989 -264.488931432783</t>
  </si>
  <si>
    <t>-873.035492379977 306.317256455186 -59.824426570411</t>
  </si>
  <si>
    <t>-875.069856505733 300.428930180251 343.680049772743</t>
  </si>
  <si>
    <t>-946.019936084695 292.070384909865 786.829915899569</t>
  </si>
  <si>
    <t>-801.786932888903 320.901568123048 845.591798177054</t>
  </si>
  <si>
    <t>-901.548625252271 114.891733544009 -54.7124396576867</t>
  </si>
  <si>
    <t>-850.645863343409 63.9352043299486 342.360583939277</t>
  </si>
  <si>
    <t>-909.379382159902 41.9347145748916 784.997659186908</t>
  </si>
  <si>
    <t>-817.392681569693 -64.4636414988752 857.834012815352</t>
  </si>
  <si>
    <t>9763-20170724T111227.180446200.bin</t>
  </si>
  <si>
    <t>-887.266911439236 211.060983627926 -56.135526624305</t>
  </si>
  <si>
    <t>-912.778950819457 212.931709820866 -169.103934489245</t>
  </si>
  <si>
    <t>-918.619660917112 209.829829566117 -267.505689782384</t>
  </si>
  <si>
    <t>-918.114669431059 204.983225122382 -356.469219299882</t>
  </si>
  <si>
    <t>-911.565374385508 197.819525921983 -445.035738432203</t>
  </si>
  <si>
    <t>-896.171465634421 185.224279883956 -568.020228395768</t>
  </si>
  <si>
    <t>-866.444613151562 172.9194933915 -644.635758971285</t>
  </si>
  <si>
    <t>-892.969894987209 216.580167159795 -515.295713658365</t>
  </si>
  <si>
    <t>-842.208589833185 343.934796246253 -505.204656858903</t>
  </si>
  <si>
    <t>-817.947602113124 394.500765991768 -216.334873994295</t>
  </si>
  <si>
    <t>-579.007210834927 386.405070606849 -186.453980370794</t>
  </si>
  <si>
    <t>-912.92145799861 164.953517559601 -512.505938258796</t>
  </si>
  <si>
    <t>-969.757699901704 44.817349901004 -477.381280052442</t>
  </si>
  <si>
    <t>-1033.99021030476 34.2826500496667 -190.406735639397</t>
  </si>
  <si>
    <t>-804.56306837378 31.7975664481855 -263.945025117681</t>
  </si>
  <si>
    <t>-873.047974900937 306.888754266705 -59.8015930267271</t>
  </si>
  <si>
    <t>-875.568817575034 300.842685136476 343.697769436419</t>
  </si>
  <si>
    <t>-945.557970900393 292.265917606574 786.924072050377</t>
  </si>
  <si>
    <t>-801.416573312786 320.954305548907 845.979165565117</t>
  </si>
  <si>
    <t>-901.774076427052 115.061405479301 -54.495925412876</t>
  </si>
  <si>
    <t>-850.863545921743 63.9767391433479 342.559672767294</t>
  </si>
  <si>
    <t>-909.963537328329 41.9108543438101 785.232065799284</t>
  </si>
  <si>
    <t>-817.838107902061 -64.4552062628252 857.940172792969</t>
  </si>
  <si>
    <t>9763-20170724T111227.227579800.bin</t>
  </si>
  <si>
    <t>-887.469860827245 211.442048733982 -56.0564261479245</t>
  </si>
  <si>
    <t>-912.848183434903 213.238563494476 -169.056101862913</t>
  </si>
  <si>
    <t>-918.571887316192 209.958937211751 -267.45907264464</t>
  </si>
  <si>
    <t>-917.964380243322 204.905472822408 -356.410260280281</t>
  </si>
  <si>
    <t>-911.316868658108 197.489144988196 -444.948752620072</t>
  </si>
  <si>
    <t>-895.793365110053 184.493221233235 -567.875329441085</t>
  </si>
  <si>
    <t>-866.069570272743 171.984937110643 -644.459149856538</t>
  </si>
  <si>
    <t>-892.636183563231 216.016687902979 -515.248167200283</t>
  </si>
  <si>
    <t>-841.729548648376 343.334609013447 -505.421904872022</t>
  </si>
  <si>
    <t>-814.381815423661 394.717995423037 -216.97243717809</t>
  </si>
  <si>
    <t>-575.341100797937 387.201943419533 -187.750406195507</t>
  </si>
  <si>
    <t>-912.612751784193 164.407555444363 -512.314749370531</t>
  </si>
  <si>
    <t>-969.473138138748 44.3475993620018 -476.958352882049</t>
  </si>
  <si>
    <t>-1033.41379243437 34.2881256442388 -189.901509614339</t>
  </si>
  <si>
    <t>-804.07624347144 31.2919684314061 -263.699466210081</t>
  </si>
  <si>
    <t>-873.201936666084 307.41040125615 -59.779441024264</t>
  </si>
  <si>
    <t>-875.890564090783 301.135605899039 343.715423323789</t>
  </si>
  <si>
    <t>-945.330486663816 292.321704574179 786.984740563612</t>
  </si>
  <si>
    <t>-801.195959063237 320.769790932596 846.172871375541</t>
  </si>
  <si>
    <t>-902.067572362602 115.338318306302 -54.3756858930478</t>
  </si>
  <si>
    <t>-851.19345790257 64.161580312395 342.672741574658</t>
  </si>
  <si>
    <t>-910.35908290393 41.8060636768487 785.362287607437</t>
  </si>
  <si>
    <t>-817.988025322236 -64.4101403597681 857.977800212968</t>
  </si>
  <si>
    <t>9763-20170724T111227.279714000.bin</t>
  </si>
  <si>
    <t>-888.154270507884 212.791711235941 -55.8997206730027</t>
  </si>
  <si>
    <t>-913.161472369615 214.440711476077 -168.984454339457</t>
  </si>
  <si>
    <t>-918.626421625511 210.750198327 -267.387657806206</t>
  </si>
  <si>
    <t>-917.816318200034 205.214935633323 -356.308627039406</t>
  </si>
  <si>
    <t>-911.003151548066 197.208511610486 -444.782909801559</t>
  </si>
  <si>
    <t>-895.291217338634 183.276665234822 -567.583015517094</t>
  </si>
  <si>
    <t>-865.675404994937 170.204993533498 -644.114365412661</t>
  </si>
  <si>
    <t>-892.162467638381 215.180185981221 -515.183819478639</t>
  </si>
  <si>
    <t>-840.913195041578 342.421846380837 -506.122014542845</t>
  </si>
  <si>
    <t>-808.299889459543 395.434711360483 -218.516020991379</t>
  </si>
  <si>
    <t>-569.071642177287 389.385817721239 -190.513330537903</t>
  </si>
  <si>
    <t>-912.248185229912 163.634389415115 -511.905782260954</t>
  </si>
  <si>
    <t>-969.363159317564 43.8807216414207 -475.941581927471</t>
  </si>
  <si>
    <t>-1032.81467913381 35.6077813502925 -188.719163942595</t>
  </si>
  <si>
    <t>-803.619551782054 30.632829786392 -262.852739871486</t>
  </si>
  <si>
    <t>-873.562856208991 308.659709357239 -59.7167494916653</t>
  </si>
  <si>
    <t>-876.250320388393 302.075672665497 343.773160994125</t>
  </si>
  <si>
    <t>-944.976919609025 292.309092061545 787.063535645845</t>
  </si>
  <si>
    <t>-800.877006723081 320.756807260645 846.335804049597</t>
  </si>
  <si>
    <t>-903.038033309737 116.783024601463 -54.0594952168649</t>
  </si>
  <si>
    <t>-851.920761750145 64.648992221234 342.83311832655</t>
  </si>
  <si>
    <t>-911.156395706632 41.6482104281768 785.589842362529</t>
  </si>
  <si>
    <t>-818.442108229593 -64.4026807057469 858.00944671086</t>
  </si>
  <si>
    <t>9763-20170724T111227.314161100.bin</t>
  </si>
  <si>
    <t>-888.635113173808 213.744073539504 -55.7155654943714</t>
  </si>
  <si>
    <t>-913.326279093305 215.272008703562 -168.871310070937</t>
  </si>
  <si>
    <t>-918.613092034468 211.314563401189 -267.273855116037</t>
  </si>
  <si>
    <t>-917.684432282426 205.477084943867 -356.174361704589</t>
  </si>
  <si>
    <t>-910.797009232493 197.109530882837 -444.609556457216</t>
  </si>
  <si>
    <t>-895.030381449309 182.614481079545 -567.337466772077</t>
  </si>
  <si>
    <t>-865.503234385407 169.191530680855 -643.842481256772</t>
  </si>
  <si>
    <t>-891.883249575877 214.742538691997 -515.076594506077</t>
  </si>
  <si>
    <t>-840.400903277296 341.916557681039 -506.506097305425</t>
  </si>
  <si>
    <t>-805.559576493207 395.793836655081 -219.3222277498</t>
  </si>
  <si>
    <t>-566.225875055264 390.61768022419 -192.055011003864</t>
  </si>
  <si>
    <t>-912.053608417061 163.243441174687 -511.585366335251</t>
  </si>
  <si>
    <t>-969.384805483632 43.7114683285467 -475.204828568401</t>
  </si>
  <si>
    <t>-1032.52482729579 36.5950630108127 -187.882853047953</t>
  </si>
  <si>
    <t>-803.413124114383 30.3177017688445 -262.173788020462</t>
  </si>
  <si>
    <t>-873.502673330978 309.166713442283 -59.601717489306</t>
  </si>
  <si>
    <t>-875.740344963989 302.690279459414 343.892697188213</t>
  </si>
  <si>
    <t>-944.854966061324 292.205410863153 787.077956195352</t>
  </si>
  <si>
    <t>-800.672323782213 320.354698056824 846.291510636943</t>
  </si>
  <si>
    <t>-903.945376026661 118.195781160881 -53.7501060555046</t>
  </si>
  <si>
    <t>-851.89247270685 64.4303723185703 342.803195015943</t>
  </si>
  <si>
    <t>-911.710552224355 41.516035631204 785.742685393755</t>
  </si>
  <si>
    <t>-818.820193100577 -64.5128643768323 857.96840179357</t>
  </si>
  <si>
    <t>9763-20170724T111227.381357600.bin</t>
  </si>
  <si>
    <t>-890.864634702259 216.341273828233 -54.984776829445</t>
  </si>
  <si>
    <t>-915.051962094581 217.623658050246 -168.252259792126</t>
  </si>
  <si>
    <t>-919.976385112991 212.986229471028 -266.643903422056</t>
  </si>
  <si>
    <t>-918.755143492938 206.361157648004 -355.485678924003</t>
  </si>
  <si>
    <t>-911.617862422201 197.039763785302 -443.805641727757</t>
  </si>
  <si>
    <t>-895.551268569541 181.045625059862 -566.308160064936</t>
  </si>
  <si>
    <t>-866.137810730056 166.831684107535 -642.713895462727</t>
  </si>
  <si>
    <t>-892.41357957063 213.765163468765 -514.415111646609</t>
  </si>
  <si>
    <t>-840.235711805372 340.75696343352 -507.231554307966</t>
  </si>
  <si>
    <t>-801.590571202182 397.09013271159 -221.007239897002</t>
  </si>
  <si>
    <t>-562.230291211214 393.446148356334 -193.72532894621</t>
  </si>
  <si>
    <t>-912.82904157197 162.402439375573 -510.386671374176</t>
  </si>
  <si>
    <t>-970.761978232732 43.5258861035886 -472.884738322823</t>
  </si>
  <si>
    <t>-1033.29168294538 39.7778393333833 -185.365752199416</t>
  </si>
  <si>
    <t>-804.335400642986 29.113508985276 -259.636041027139</t>
  </si>
  <si>
    <t>-874.566973708678 310.691584894534 -59.1634287635723</t>
  </si>
  <si>
    <t>-873.67364086408 304.357101008091 344.338463988947</t>
  </si>
  <si>
    <t>-944.716442238565 292.021408063365 787.078226285914</t>
  </si>
  <si>
    <t>-800.443546125971 320.17572129994 846.069939426629</t>
  </si>
  <si>
    <t>-907.497485093066 121.361732419001 -52.5041885213454</t>
  </si>
  <si>
    <t>-852.279653555219 64.0355999071949 343.121123384458</t>
  </si>
  <si>
    <t>-913.220489765843 40.4927909116263 785.838149914946</t>
  </si>
  <si>
    <t>-818.530187455401 -64.2562683203148 857.592062326623</t>
  </si>
  <si>
    <t>9763-20170724T111227.415451100.bin</t>
  </si>
  <si>
    <t>-891.851141105055 216.74909858197 -54.66262845024</t>
  </si>
  <si>
    <t>-916.030684469104 217.967570212754 -167.932610774845</t>
  </si>
  <si>
    <t>-920.878168582836 212.962163916264 -266.310017918159</t>
  </si>
  <si>
    <t>-919.564101108781 205.884956445784 -355.115653328729</t>
  </si>
  <si>
    <t>-912.314399802571 195.993649592957 -443.364296599875</t>
  </si>
  <si>
    <t>-896.07513698743 179.08384635196 -565.720983000664</t>
  </si>
  <si>
    <t>-866.700914726495 164.382378565822 -642.049789421716</t>
  </si>
  <si>
    <t>-892.925624897907 212.158162644065 -514.054002358807</t>
  </si>
  <si>
    <t>-840.273748065154 339.006346931272 -507.73669312861</t>
  </si>
  <si>
    <t>-799.782139362268 396.924146846933 -222.084392320233</t>
  </si>
  <si>
    <t>-560.491156417372 393.252566000158 -194.206563284708</t>
  </si>
  <si>
    <t>-913.516824808691 160.892014689195 -509.701786549709</t>
  </si>
  <si>
    <t>-971.854132923236 42.4390043597678 -471.499875131407</t>
  </si>
  <si>
    <t>-1034.00120592695 40.6905614640418 -183.878740187098</t>
  </si>
  <si>
    <t>-805.184935536622 27.5602838628997 -258.184981262256</t>
  </si>
  <si>
    <t>-875.060856544805 310.950614654715 -58.9906658163658</t>
  </si>
  <si>
    <t>-872.504096296409 304.871365645268 344.507962395952</t>
  </si>
  <si>
    <t>-944.629016294103 291.972875955958 787.046933432249</t>
  </si>
  <si>
    <t>-800.335845932136 320.151201407677 845.977007820427</t>
  </si>
  <si>
    <t>-908.942044856407 121.803265815326 -52.1340518842427</t>
  </si>
  <si>
    <t>-852.278755790544 64.3534039417441 343.26893142323</t>
  </si>
  <si>
    <t>-913.47508008767 40.4319119988659 785.76726637652</t>
  </si>
  <si>
    <t>-818.875791383793 -64.4266974254124 857.481442636711</t>
  </si>
  <si>
    <t>9763-20170724T111227.482475200.bin</t>
  </si>
  <si>
    <t>-892.949328139942 217.733977011703 -54.0031816093318</t>
  </si>
  <si>
    <t>-917.150415855023 218.978519362244 -167.268282499485</t>
  </si>
  <si>
    <t>-921.977634377225 213.3533035499 -265.613184044751</t>
  </si>
  <si>
    <t>-920.642422166472 205.461126691228 -354.349691011641</t>
  </si>
  <si>
    <t>-913.380789619149 194.500669610571 -442.470996151952</t>
  </si>
  <si>
    <t>-897.143983943902 175.833386076821 -564.57221969096</t>
  </si>
  <si>
    <t>-867.886161670222 159.945742398355 -640.707577778322</t>
  </si>
  <si>
    <t>-893.763412233349 209.557925053624 -513.342036349578</t>
  </si>
  <si>
    <t>-839.803484833552 335.902248710407 -508.631582262207</t>
  </si>
  <si>
    <t>-795.656738760936 396.790810777477 -224.141089580267</t>
  </si>
  <si>
    <t>-556.456125590262 392.509813113025 -195.580682269768</t>
  </si>
  <si>
    <t>-914.814428235153 158.537878407411 -508.34112038502</t>
  </si>
  <si>
    <t>-974.228615380123 41.0554502264654 -468.750247433101</t>
  </si>
  <si>
    <t>-1034.96286407644 42.7868640207366 -180.827488666784</t>
  </si>
  <si>
    <t>-806.595246796683 23.9512711484749 -255.287158614443</t>
  </si>
  <si>
    <t>-875.294386017834 312.19619907989 -58.69799124239</t>
  </si>
  <si>
    <t>-871.928560156499 305.768206057966 344.789371414</t>
  </si>
  <si>
    <t>-944.384186778622 292.021397401498 787.066899261372</t>
  </si>
  <si>
    <t>-800.13367327628 320.314764788172 846.046084122939</t>
  </si>
  <si>
    <t>-910.582982855941 123.189885973747 -51.5060115261576</t>
  </si>
  <si>
    <t>-850.41729510277 64.5328049332547 343.201645972686</t>
  </si>
  <si>
    <t>-913.615024503975 40.434133129113 785.30672939667</t>
  </si>
  <si>
    <t>-818.818194800234 -64.1471869217419 857.165040352366</t>
  </si>
  <si>
    <t>9763-20170724T111227.514563000.bin</t>
  </si>
  <si>
    <t>-893.217536321489 218.890220467787 -53.8689432103964</t>
  </si>
  <si>
    <t>-917.388093915857 220.221172845374 -167.139541799837</t>
  </si>
  <si>
    <t>-922.249319270157 214.373200261638 -265.469753121868</t>
  </si>
  <si>
    <t>-920.976087107561 206.16298335503 -354.178369663385</t>
  </si>
  <si>
    <t>-913.812351279169 194.766600011386 -442.252378853658</t>
  </si>
  <si>
    <t>-897.755540082066 175.367636914927 -564.263351021859</t>
  </si>
  <si>
    <t>-868.575567740332 158.857837690347 -640.29625128953</t>
  </si>
  <si>
    <t>-894.16467248472 209.345134811546 -513.214934680311</t>
  </si>
  <si>
    <t>-839.471428958411 335.3981086926 -509.164320887763</t>
  </si>
  <si>
    <t>-793.541931574461 397.027389699503 -225.115860764897</t>
  </si>
  <si>
    <t>-554.360944964747 392.47337476116 -196.435085128286</t>
  </si>
  <si>
    <t>-915.478169544832 158.463243746909 -507.929890979662</t>
  </si>
  <si>
    <t>-975.573102319739 41.515688375629 -467.767965718695</t>
  </si>
  <si>
    <t>-1035.43028696486 45.1869849817112 -179.679581327277</t>
  </si>
  <si>
    <t>-807.490275001394 22.9496804404248 -254.511052962068</t>
  </si>
  <si>
    <t>-875.559828237084 313.73093470109 -58.6578830453615</t>
  </si>
  <si>
    <t>-872.711187702961 306.263972803663 344.815611904257</t>
  </si>
  <si>
    <t>-944.171234389491 292.191230498459 787.161395968411</t>
  </si>
  <si>
    <t>-800.023520949864 320.610024264538 846.331497866225</t>
  </si>
  <si>
    <t>-910.847839672551 124.078049175492 -51.3979070811465</t>
  </si>
  <si>
    <t>-849.105947543005 64.9447821509852 342.995117599865</t>
  </si>
  <si>
    <t>-913.43062173183 40.8160541152529 784.944784969087</t>
  </si>
  <si>
    <t>-819.465146412879 -64.4110890050858 856.951559275269</t>
  </si>
  <si>
    <t>9763-20170724T111227.581772200.bin</t>
  </si>
  <si>
    <t>-894.128565315006 220.867953524133 -54.0918765826776</t>
  </si>
  <si>
    <t>-918.143668520712 222.332873768835 -167.393781098846</t>
  </si>
  <si>
    <t>-923.051798337256 216.097091546737 -265.697980073299</t>
  </si>
  <si>
    <t>-921.90672917606 207.335748952443 -354.355552995175</t>
  </si>
  <si>
    <t>-914.968140756868 195.185676856493 -442.346848078112</t>
  </si>
  <si>
    <t>-899.336759486694 174.523163231865 -564.205566646752</t>
  </si>
  <si>
    <t>-870.313324446812 156.906133202406 -640.049330923067</t>
  </si>
  <si>
    <t>-895.291420563317 208.916286382234 -513.470180529938</t>
  </si>
  <si>
    <t>-839.117147470758 334.361668237055 -510.612685225156</t>
  </si>
  <si>
    <t>-790.02828741014 396.550807952772 -227.215377964555</t>
  </si>
  <si>
    <t>-550.836094735473 390.917411285455 -198.821061031764</t>
  </si>
  <si>
    <t>-917.139485891093 158.315430867883 -507.692779889113</t>
  </si>
  <si>
    <t>-978.72970260744 42.4924137740695 -466.609859360865</t>
  </si>
  <si>
    <t>-1037.32167115802 51.6187217663646 -178.382648766462</t>
  </si>
  <si>
    <t>-810.607697907312 20.7632715724903 -253.878716505803</t>
  </si>
  <si>
    <t>-877.125526351214 316.95587557912 -58.8164841370294</t>
  </si>
  <si>
    <t>-875.211959213437 307.190885702543 344.613401235869</t>
  </si>
  <si>
    <t>-943.64130462794 292.497092248809 787.422072058222</t>
  </si>
  <si>
    <t>-799.631888178475 320.654236666972 847.052044957406</t>
  </si>
  <si>
    <t>-911.303866160125 124.454024157397 -51.6501748210864</t>
  </si>
  <si>
    <t>-847.716855596488 66.3920304487137 342.608911487746</t>
  </si>
  <si>
    <t>-913.49215483885 41.1010837298754 784.201468144609</t>
  </si>
  <si>
    <t>-819.594358204742 -64.0817251915728 856.361478287169</t>
  </si>
  <si>
    <t>9763-20170724T111227.614834300.bin</t>
  </si>
  <si>
    <t>-894.813822285586 221.583799978586 -54.3656909752049</t>
  </si>
  <si>
    <t>-918.702708015573 223.06029399608 -167.694280992522</t>
  </si>
  <si>
    <t>-923.610167006671 216.622584625729 -265.985265601686</t>
  </si>
  <si>
    <t>-922.515845826217 207.592359713949 -354.616540623001</t>
  </si>
  <si>
    <t>-915.685194499604 195.084751330111 -442.566134570701</t>
  </si>
  <si>
    <t>-900.268864465208 173.829061064054 -564.350197887673</t>
  </si>
  <si>
    <t>-871.310272902343 155.721767008805 -640.103486903587</t>
  </si>
  <si>
    <t>-895.995863658215 208.411786330242 -513.762772170647</t>
  </si>
  <si>
    <t>-839.103710634489 333.537272103898 -511.446464809821</t>
  </si>
  <si>
    <t>-789.123585688328 395.968751176471 -228.258492023902</t>
  </si>
  <si>
    <t>-549.919653258618 389.612460243054 -200.117569131785</t>
  </si>
  <si>
    <t>-918.109692761915 157.953544032765 -507.755486342713</t>
  </si>
  <si>
    <t>-980.400645096656 42.6498860534425 -466.253529274346</t>
  </si>
  <si>
    <t>-1038.64967876187 54.8384587964474 -178.07017272002</t>
  </si>
  <si>
    <t>-812.698115079238 19.0067949390518 -253.653807091871</t>
  </si>
  <si>
    <t>-878.254375271687 318.443571701426 -59.0340164742496</t>
  </si>
  <si>
    <t>-876.52861918187 307.603771104945 344.369289937439</t>
  </si>
  <si>
    <t>-943.378585569362 292.534788268361 787.504508715886</t>
  </si>
  <si>
    <t>-799.397842000812 320.523420503513 847.282799315883</t>
  </si>
  <si>
    <t>-911.582894770512 124.50306433896 -51.9717555406463</t>
  </si>
  <si>
    <t>-847.553759027286 67.4411629532287 342.361767835417</t>
  </si>
  <si>
    <t>-913.521787703733 41.3042758480665 783.844706944806</t>
  </si>
  <si>
    <t>-819.733066026993 -63.9171521735234 856.090437231586</t>
  </si>
  <si>
    <t>9763-20170724T111227.683026600.bin</t>
  </si>
  <si>
    <t>-896.850110926333 223.867400964374 -54.8239210025542</t>
  </si>
  <si>
    <t>-920.675640249008 225.24053335162 -168.167046575255</t>
  </si>
  <si>
    <t>-925.694119746913 218.405083826473 -266.42562624055</t>
  </si>
  <si>
    <t>-924.78207529939 208.884744204068 -355.007533266542</t>
  </si>
  <si>
    <t>-918.224998838825 195.749865463456 -442.886681206448</t>
  </si>
  <si>
    <t>-903.297194260107 173.471865849727 -564.548810931414</t>
  </si>
  <si>
    <t>-874.43115851072 154.523418386198 -640.131347474961</t>
  </si>
  <si>
    <t>-898.563673050113 208.370272232988 -514.219771234999</t>
  </si>
  <si>
    <t>-840.384936159599 332.917313202607 -512.801663235805</t>
  </si>
  <si>
    <t>-789.26437043147 395.631932306605 -229.879767528175</t>
  </si>
  <si>
    <t>-550.183825546775 388.268572933135 -200.946682709354</t>
  </si>
  <si>
    <t>-921.168379560638 158.180557165167 -507.802722429953</t>
  </si>
  <si>
    <t>-984.725765018946 43.808767607356 -465.647707603095</t>
  </si>
  <si>
    <t>-1042.88473203107 61.8724880032414 -177.754486366901</t>
  </si>
  <si>
    <t>-818.593658010932 15.7543410623966 -252.70520331989</t>
  </si>
  <si>
    <t>-880.890080944793 321.280652041841 -59.4667913158675</t>
  </si>
  <si>
    <t>-878.180910927904 308.981743741973 343.88926629251</t>
  </si>
  <si>
    <t>-942.973377129879 292.353103635448 787.485453465682</t>
  </si>
  <si>
    <t>-798.899063669038 319.819542907741 847.280902614423</t>
  </si>
  <si>
    <t>-913.212906719117 126.603062992103 -52.2894780094035</t>
  </si>
  <si>
    <t>-847.483147852569 69.4843809020385 341.755757130523</t>
  </si>
  <si>
    <t>-913.605790619406 41.6865988437371 783.131200683053</t>
  </si>
  <si>
    <t>-820.111979787457 -63.6632273642936 855.571643298974</t>
  </si>
  <si>
    <t>9763-20170724T111227.715106000.bin</t>
  </si>
  <si>
    <t>-897.970093765794 225.436647816039 -54.9282316899021</t>
  </si>
  <si>
    <t>-921.923259489612 226.703091301516 -168.24578237376</t>
  </si>
  <si>
    <t>-927.072999274134 219.689718222314 -266.485046574866</t>
  </si>
  <si>
    <t>-926.293578368304 209.967569413273 -355.046518675583</t>
  </si>
  <si>
    <t>-919.888506361552 196.587305002671 -442.899580878041</t>
  </si>
  <si>
    <t>-905.196242136982 173.917069018885 -564.517880298383</t>
  </si>
  <si>
    <t>-876.355663761195 154.605288725425 -640.018326296904</t>
  </si>
  <si>
    <t>-900.270318368805 208.937167464086 -514.291880800814</t>
  </si>
  <si>
    <t>-841.776959183533 333.332178922461 -513.285963469106</t>
  </si>
  <si>
    <t>-790.377950426037 396.351974848778 -230.482413289119</t>
  </si>
  <si>
    <t>-551.347847102608 387.958718776438 -201.414660086474</t>
  </si>
  <si>
    <t>-923.052606620642 158.849425966357 -507.707393496524</t>
  </si>
  <si>
    <t>-987.090059489882 44.8270516142456 -465.314922066444</t>
  </si>
  <si>
    <t>-1045.68857931091 65.5446595552812 -177.689955466776</t>
  </si>
  <si>
    <t>-822.099363375367 14.0879387397035 -251.249348075704</t>
  </si>
  <si>
    <t>-882.07683418652 322.60994237525 -59.620458338295</t>
  </si>
  <si>
    <t>-878.479410783914 310.124256794105 343.722805431563</t>
  </si>
  <si>
    <t>-942.802756525132 292.264163147221 787.42636818176</t>
  </si>
  <si>
    <t>-798.742061028553 319.913828294395 847.169741942386</t>
  </si>
  <si>
    <t>-914.14243076652 128.381052305082 -52.2950268040535</t>
  </si>
  <si>
    <t>-847.416198120113 70.7299311752017 341.505223197593</t>
  </si>
  <si>
    <t>-913.413612617037 42.1659427839668 782.770034969386</t>
  </si>
  <si>
    <t>-820.284087797995 -63.4228201374788 855.331843603518</t>
  </si>
  <si>
    <t>9763-20170724T111227.779785200.bin</t>
  </si>
  <si>
    <t>-899.555249584888 227.975240167279 -55.1433782924767</t>
  </si>
  <si>
    <t>-923.823921798014 229.017953914738 -168.395936741951</t>
  </si>
  <si>
    <t>-929.348688590598 221.678165053864 -266.591035802705</t>
  </si>
  <si>
    <t>-928.960163205407 211.595647942832 -355.114779016245</t>
  </si>
  <si>
    <t>-923.005533149247 197.783029102698 -442.932627711987</t>
  </si>
  <si>
    <t>-909.012549006033 174.428756711933 -564.504051203259</t>
  </si>
  <si>
    <t>-880.264511654616 154.419215712559 -639.857772212816</t>
  </si>
  <si>
    <t>-903.638473600669 209.661741130822 -514.4732607636</t>
  </si>
  <si>
    <t>-844.598783612789 333.823305002034 -514.332826015546</t>
  </si>
  <si>
    <t>-794.714987158226 398.947522881776 -231.734801207501</t>
  </si>
  <si>
    <t>-555.736124113187 388.296482277183 -202.985602746858</t>
  </si>
  <si>
    <t>-926.702159862876 159.749945442237 -507.539784703105</t>
  </si>
  <si>
    <t>-991.51623946749 46.2912924283005 -464.827751707397</t>
  </si>
  <si>
    <t>-1052.33675131502 72.0625806682465 -178.073481863248</t>
  </si>
  <si>
    <t>-829.66095146482 9.75932087885803 -245.78352457837</t>
  </si>
  <si>
    <t>-884.194209616863 324.662290806511 -59.8928636555941</t>
  </si>
  <si>
    <t>-878.562553172087 312.022696816563 343.422357459177</t>
  </si>
  <si>
    <t>-942.466763552354 291.933193294858 787.238733178632</t>
  </si>
  <si>
    <t>-798.234213719785 319.076324205028 846.799489560005</t>
  </si>
  <si>
    <t>-914.997270398578 131.128769087796 -52.509274912491</t>
  </si>
  <si>
    <t>-847.341051897618 73.485801561907 341.133410887999</t>
  </si>
  <si>
    <t>-912.693343142162 43.2975127949712 782.101900353675</t>
  </si>
  <si>
    <t>-820.678767535272 -63.0120073183555 855.032422844224</t>
  </si>
  <si>
    <t>9763-20170724T111227.814379000.bin</t>
  </si>
  <si>
    <t>-899.895420650309 228.824040480426 -55.3057335856581</t>
  </si>
  <si>
    <t>-924.366898639858 229.864446291648 -168.514678081213</t>
  </si>
  <si>
    <t>-930.163456124171 222.415475436696 -266.685885337591</t>
  </si>
  <si>
    <t>-930.066575422573 212.18723388103 -355.193558866571</t>
  </si>
  <si>
    <t>-924.451707354073 198.179680994888 -443.003084985953</t>
  </si>
  <si>
    <t>-910.988532460453 174.498669509884 -564.571111447267</t>
  </si>
  <si>
    <t>-882.347893030578 154.175994588337 -639.881912679161</t>
  </si>
  <si>
    <t>-905.301594172603 209.824592848914 -514.640392859566</t>
  </si>
  <si>
    <t>-846.021961477643 333.887556579186 -514.941755451135</t>
  </si>
  <si>
    <t>-798.706472940241 400.509460631951 -232.251084909299</t>
  </si>
  <si>
    <t>-559.787880628269 388.438765078795 -203.561524467793</t>
  </si>
  <si>
    <t>-928.524485356471 160.014524755634 -507.509569136905</t>
  </si>
  <si>
    <t>-993.785606404368 46.8594727598975 -464.664702193828</t>
  </si>
  <si>
    <t>-1056.30258026504 74.9561870118528 -178.494392102481</t>
  </si>
  <si>
    <t>-833.973544340482 7.31743940936713 -242.100098568404</t>
  </si>
  <si>
    <t>-884.885614004302 325.399781685676 -60.0370519677477</t>
  </si>
  <si>
    <t>-878.354370472391 312.595441972516 343.259493105071</t>
  </si>
  <si>
    <t>-942.31018086967 291.759090100009 787.129847524622</t>
  </si>
  <si>
    <t>-798.021646038453 318.879209806001 846.565331074099</t>
  </si>
  <si>
    <t>-915.065967208927 132.162824465225 -52.6969404302399</t>
  </si>
  <si>
    <t>-847.214029632494 74.5450905797302 340.91587020952</t>
  </si>
  <si>
    <t>-912.354144465787 43.7861167891569 781.832490063868</t>
  </si>
  <si>
    <t>-820.802170530688 -62.7728847039398 854.980871792188</t>
  </si>
  <si>
    <t>9763-20170724T111227.880557200.bin</t>
  </si>
  <si>
    <t>-899.990322108155 230.138347563234 -55.4902225136462</t>
  </si>
  <si>
    <t>-924.789884164589 231.367826548715 -168.625913172326</t>
  </si>
  <si>
    <t>-931.101230772152 223.958496209495 -266.768248561579</t>
  </si>
  <si>
    <t>-931.572007800378 213.710842104588 -355.272596001393</t>
  </si>
  <si>
    <t>-926.633321644247 199.622320504818 -443.109666829245</t>
  </si>
  <si>
    <t>-914.23203198921 175.760355797006 -564.755175371846</t>
  </si>
  <si>
    <t>-885.99206719516 154.977843579316 -640.091944303111</t>
  </si>
  <si>
    <t>-907.873779049567 211.055834378479 -514.884314029566</t>
  </si>
  <si>
    <t>-848.040287649555 334.818450939176 -515.71256908344</t>
  </si>
  <si>
    <t>-810.89070601561 404.686057766053 -232.287609805826</t>
  </si>
  <si>
    <t>-571.935196177582 388.847166473525 -205.82622560538</t>
  </si>
  <si>
    <t>-931.504846567912 161.465819354106 -507.565848559698</t>
  </si>
  <si>
    <t>-997.916841573221 49.0077209768674 -464.633025389739</t>
  </si>
  <si>
    <t>-1063.98821519893 83.3277047581373 -179.943784378745</t>
  </si>
  <si>
    <t>-842.882707466173 4.74783326694933 -234.610718620022</t>
  </si>
  <si>
    <t>-885.067360472771 326.344152068271 -60.1801518675298</t>
  </si>
  <si>
    <t>-877.800702546283 313.13658905226 343.090765081666</t>
  </si>
  <si>
    <t>-941.94308877225 291.398807120186 786.969347472506</t>
  </si>
  <si>
    <t>-797.533247879099 318.308490702086 846.205726576511</t>
  </si>
  <si>
    <t>-915.142949573359 133.954227163522 -52.9326782410416</t>
  </si>
  <si>
    <t>-846.845074708168 75.8356684746677 340.529242733269</t>
  </si>
  <si>
    <t>-912.048190533607 44.5376350890051 781.478382447773</t>
  </si>
  <si>
    <t>-821.424751598926 -62.581007901977 854.964874995922</t>
  </si>
  <si>
    <t>9763-20170724T111227.912524100.bin</t>
  </si>
  <si>
    <t>-899.928963134676 230.554729176137 -55.5141385512368</t>
  </si>
  <si>
    <t>-924.878123880643 231.900073553572 -168.615663289448</t>
  </si>
  <si>
    <t>-931.412591051744 224.629967191354 -266.75396760119</t>
  </si>
  <si>
    <t>-932.123154849344 214.52291331305 -355.272795463059</t>
  </si>
  <si>
    <t>-927.463463587207 200.586270068823 -443.149276594813</t>
  </si>
  <si>
    <t>-915.492374356132 176.945770006055 -564.881193700078</t>
  </si>
  <si>
    <t>-887.549621022685 156.038580666421 -640.294214654018</t>
  </si>
  <si>
    <t>-908.839804549438 212.097359015507 -514.946971871298</t>
  </si>
  <si>
    <t>-848.783894243263 335.748266209082 -515.771963401982</t>
  </si>
  <si>
    <t>-819.022104165259 405.632927859062 -231.480688381411</t>
  </si>
  <si>
    <t>-579.894798688559 391.879069213901 -205.408540141225</t>
  </si>
  <si>
    <t>-932.680741302532 162.600298463128 -507.679034701399</t>
  </si>
  <si>
    <t>-999.792391391902 50.5296686243387 -464.780461817935</t>
  </si>
  <si>
    <t>-1067.76955337047 88.3990941993143 -180.991470608259</t>
  </si>
  <si>
    <t>-847.609920413707 4.2953399816688 -231.063635738438</t>
  </si>
  <si>
    <t>-884.834987756707 326.582686313783 -60.1671537469817</t>
  </si>
  <si>
    <t>-877.388451523146 313.195359798031 343.09453536235</t>
  </si>
  <si>
    <t>-941.735092385574 291.200245240963 786.931265270947</t>
  </si>
  <si>
    <t>-797.261158080275 317.924165893447 846.096258708873</t>
  </si>
  <si>
    <t>-915.27141725707 134.457600948192 -52.938645008221</t>
  </si>
  <si>
    <t>-846.953956130447 76.1845815034799 340.497038822977</t>
  </si>
  <si>
    <t>-912.229463005443 44.685319178609 781.467602608399</t>
  </si>
  <si>
    <t>-821.724233716056 -62.5081208231113 854.990602671231</t>
  </si>
  <si>
    <t>9763-20170724T111227.981212500.bin</t>
  </si>
  <si>
    <t>-899.555773632856 230.512538985933 -55.5112426598737</t>
  </si>
  <si>
    <t>-924.640139545376 232.142882779188 -168.579079197891</t>
  </si>
  <si>
    <t>-931.505733136024 225.223488368565 -266.719995117453</t>
  </si>
  <si>
    <t>-932.599423388386 215.478695468935 -355.275576412723</t>
  </si>
  <si>
    <t>-928.405023012027 201.945892905559 -443.23863763155</t>
  </si>
  <si>
    <t>-917.166785584671 178.91157310761 -565.156334760698</t>
  </si>
  <si>
    <t>-889.886847954612 157.988145229146 -640.807144372616</t>
  </si>
  <si>
    <t>-910.033499718868 213.731660896965 -515.056587333614</t>
  </si>
  <si>
    <t>-850.028622193169 337.423574355746 -515.621406105463</t>
  </si>
  <si>
    <t>-836.068480320372 405.373312532256 -229.650909527063</t>
  </si>
  <si>
    <t>-597.54198529044 398.60063741359 -196.333789821552</t>
  </si>
  <si>
    <t>-934.190767179938 164.364017764278 -507.956208293942</t>
  </si>
  <si>
    <t>-1002.36616040506 52.886949264871 -465.226902331794</t>
  </si>
  <si>
    <t>-1075.0712405601 98.372908204647 -183.737687475763</t>
  </si>
  <si>
    <t>-857.245050694356 3.86973800669193 -224.625228860065</t>
  </si>
  <si>
    <t>-883.862861250876 326.412469056079 -60.0897529095879</t>
  </si>
  <si>
    <t>-876.373962227068 312.656626147261 343.158742529937</t>
  </si>
  <si>
    <t>-941.305153404405 290.806402479846 786.881375129758</t>
  </si>
  <si>
    <t>-796.715963735842 317.13196766318 845.943007856058</t>
  </si>
  <si>
    <t>-915.4753556613 134.538644539487 -52.9816367245517</t>
  </si>
  <si>
    <t>-847.543243559713 76.5342938872177 340.560469912584</t>
  </si>
  <si>
    <t>-912.794342653672 44.8244085206757 781.523318303526</t>
  </si>
  <si>
    <t>-822.358854059413 -62.4299527098224 855.043635172484</t>
  </si>
  <si>
    <t>9763-20170724T111228.014550400.bin</t>
  </si>
  <si>
    <t>-899.409739220132 230.440891033898 -55.5037222563916</t>
  </si>
  <si>
    <t>-924.513250255735 232.219333503098 -168.565097282275</t>
  </si>
  <si>
    <t>-931.452376395256 225.490801446575 -266.71409004</t>
  </si>
  <si>
    <t>-932.632226794782 215.947334342497 -355.290513572387</t>
  </si>
  <si>
    <t>-928.540253680236 202.646130933611 -443.293770096425</t>
  </si>
  <si>
    <t>-917.459681528806 179.96749411088 -565.292592595133</t>
  </si>
  <si>
    <t>-890.398901007893 159.178337977389 -641.059004082144</t>
  </si>
  <si>
    <t>-910.235676544484 214.629396739022 -515.096119079378</t>
  </si>
  <si>
    <t>-850.427844900672 338.375676096553 -515.500698424264</t>
  </si>
  <si>
    <t>-843.604924542817 406.725915751254 -229.366216908836</t>
  </si>
  <si>
    <t>-606.029264381242 401.729950459287 -189.570326911598</t>
  </si>
  <si>
    <t>-934.435857683362 165.265048736724 -508.11772394142</t>
  </si>
  <si>
    <t>-1003.015721734 53.9476975930734 -465.573795854924</t>
  </si>
  <si>
    <t>-1078.20227604914 102.607824757221 -185.269681416738</t>
  </si>
  <si>
    <t>-861.496395066701 4.04153257811322 -222.339523250141</t>
  </si>
  <si>
    <t>-883.353556438504 326.28385394936 -60.0370876844338</t>
  </si>
  <si>
    <t>-876.146648154153 312.3030128539 343.208793281329</t>
  </si>
  <si>
    <t>-941.086530394922 290.676860495863 786.882976818315</t>
  </si>
  <si>
    <t>-796.472858482429 316.898010645477 845.930585614852</t>
  </si>
  <si>
    <t>-915.746906195144 134.632462056566 -52.9688791259385</t>
  </si>
  <si>
    <t>-847.845768952555 76.3629617981164 340.539363322958</t>
  </si>
  <si>
    <t>-913.150323769472 44.8558141108647 781.546712240713</t>
  </si>
  <si>
    <t>-822.545022160329 -62.2843476292228 855.024558834036</t>
  </si>
  <si>
    <t>9763-20170724T111228.080232000.bin</t>
  </si>
  <si>
    <t>-899.385069883269 230.501017362134 -55.4427622400077</t>
  </si>
  <si>
    <t>-924.565966760903 232.44718465433 -168.484268223871</t>
  </si>
  <si>
    <t>-931.546011872056 226.11104608031 -266.656438643758</t>
  </si>
  <si>
    <t>-932.740934947229 217.027897272624 -355.280960318423</t>
  </si>
  <si>
    <t>-928.633470012128 204.293214008034 -443.367253981829</t>
  </si>
  <si>
    <t>-917.491724699082 182.518793887982 -565.525175944605</t>
  </si>
  <si>
    <t>-890.699103115076 162.116480166143 -641.491793708427</t>
  </si>
  <si>
    <t>-910.37276398114 216.844982288355 -515.083714746466</t>
  </si>
  <si>
    <t>-850.814268709052 340.725356519097 -514.968594714441</t>
  </si>
  <si>
    <t>-851.346945924366 411.386154626314 -229.315022729688</t>
  </si>
  <si>
    <t>-616.332980153046 405.914901920681 -176.500170582038</t>
  </si>
  <si>
    <t>-934.41654154658 167.356276713357 -508.45535429145</t>
  </si>
  <si>
    <t>-1003.23293862824 55.9690945380144 -466.622691806704</t>
  </si>
  <si>
    <t>-1083.41020248073 108.04382914684 -188.322465860827</t>
  </si>
  <si>
    <t>-868.273058031914 4.15393473100403 -219.526473942364</t>
  </si>
  <si>
    <t>-882.786777442347 326.079649708111 -59.9479311045535</t>
  </si>
  <si>
    <t>-876.275845528538 311.911989813842 343.303309785076</t>
  </si>
  <si>
    <t>-940.632704275464 290.488047753109 786.939034890759</t>
  </si>
  <si>
    <t>-796.012268822214 316.590501504338 846.022614631601</t>
  </si>
  <si>
    <t>-916.152168466836 134.786169092562 -52.9411819519183</t>
  </si>
  <si>
    <t>-848.364323391698 75.9106173147802 340.496438741643</t>
  </si>
  <si>
    <t>-914.050765976208 44.7108616508635 781.567709515485</t>
  </si>
  <si>
    <t>-823.223043755286 -62.3333160202208 854.910235856401</t>
  </si>
  <si>
    <t>9763-20170724T111228.113770900.bin</t>
  </si>
  <si>
    <t>-899.539495793393 230.273998699522 -55.4795359328051</t>
  </si>
  <si>
    <t>-924.831990415561 232.215444342018 -168.49607308042</t>
  </si>
  <si>
    <t>-931.881862733279 226.029893259656 -266.672900809803</t>
  </si>
  <si>
    <t>-933.126300895435 217.140815876744 -355.316557928919</t>
  </si>
  <si>
    <t>-929.052595347581 204.655815939902 -443.440145283222</t>
  </si>
  <si>
    <t>-917.938873125334 183.286801620149 -565.672229637858</t>
  </si>
  <si>
    <t>-891.240776874693 163.052644203799 -641.71711237323</t>
  </si>
  <si>
    <t>-910.853483910317 217.466315142597 -515.12643706665</t>
  </si>
  <si>
    <t>-851.430744505706 341.410305419011 -514.610060180472</t>
  </si>
  <si>
    <t>-852.050947898981 411.590481751545 -228.838209335727</t>
  </si>
  <si>
    <t>-617.898826603594 405.848233610577 -172.351859314523</t>
  </si>
  <si>
    <t>-934.805625490581 167.914252009419 -508.641339865479</t>
  </si>
  <si>
    <t>-1003.59345996365 56.3873233058762 -467.177816812532</t>
  </si>
  <si>
    <t>-1085.3684461791 108.845090066516 -189.414894726282</t>
  </si>
  <si>
    <t>-870.757945208026 3.27860792753609 -218.552745842947</t>
  </si>
  <si>
    <t>-882.989176228419 325.796868676588 -59.94525723854</t>
  </si>
  <si>
    <t>-876.427344035595 311.849423716676 343.312818880006</t>
  </si>
  <si>
    <t>-940.415563327529 290.445780693747 786.967171093089</t>
  </si>
  <si>
    <t>-795.816499361352 316.614317300252 846.074150702076</t>
  </si>
  <si>
    <t>-916.20541821082 134.46516585126 -53.0283134457271</t>
  </si>
  <si>
    <t>-848.60298464566 75.8748185553468 340.483720565609</t>
  </si>
  <si>
    <t>-914.324818106629 44.8366050619084 781.541517169246</t>
  </si>
  <si>
    <t>-823.628155177678 -62.3533462673231 854.833588200739</t>
  </si>
  <si>
    <t>9763-20170724T111228.181457200.bin</t>
  </si>
  <si>
    <t>-900.160602739742 229.312350304691 -55.65006779671</t>
  </si>
  <si>
    <t>-925.580683138672 231.254929641871 -168.6379214972</t>
  </si>
  <si>
    <t>-932.795966924273 225.236700779425 -266.813176225545</t>
  </si>
  <si>
    <t>-934.212639608325 216.556305126692 -355.474847504501</t>
  </si>
  <si>
    <t>-930.333732383551 204.333479244767 -443.643968485221</t>
  </si>
  <si>
    <t>-919.515565029644 183.38065605049 -565.974485758693</t>
  </si>
  <si>
    <t>-893.069445178206 163.217019241073 -642.125913855805</t>
  </si>
  <si>
    <t>-912.316167830226 217.391602895832 -515.331305622198</t>
  </si>
  <si>
    <t>-852.625877928898 341.269978517612 -514.115979991505</t>
  </si>
  <si>
    <t>-849.999638936942 410.782432988833 -228.192262120636</t>
  </si>
  <si>
    <t>-616.462406667396 404.503707871116 -169.270225633071</t>
  </si>
  <si>
    <t>-936.236202652555 167.810283604111 -508.954379885531</t>
  </si>
  <si>
    <t>-1005.16349642791 56.1784346184531 -467.932560383986</t>
  </si>
  <si>
    <t>-1087.35621145261 107.872180289383 -190.149708125883</t>
  </si>
  <si>
    <t>-883.577169936334 324.89924193102 -60.0260179332861</t>
  </si>
  <si>
    <t>-876.990961924774 311.549265202001 343.251870181646</t>
  </si>
  <si>
    <t>-940.012043404584 290.301613070886 786.984990040063</t>
  </si>
  <si>
    <t>-795.408492495351 316.39159549883 846.116019060899</t>
  </si>
  <si>
    <t>-916.992587737252 133.461964739489 -53.2487203360841</t>
  </si>
  <si>
    <t>-849.508100310962 75.6181517890873 340.393995129904</t>
  </si>
  <si>
    <t>-915.13781338145 44.6539397473794 781.536439614695</t>
  </si>
  <si>
    <t>-823.666483755636 -61.9865675875685 854.666607389137</t>
  </si>
  <si>
    <t>9763-20170724T111228.215625800.bin</t>
  </si>
  <si>
    <t>-900.520478823466 228.899258771187 -55.7650454355937</t>
  </si>
  <si>
    <t>-925.93998430226 230.913720982462 -168.751802787386</t>
  </si>
  <si>
    <t>-933.195393727069 224.915948949422 -266.925299554693</t>
  </si>
  <si>
    <t>-934.66658711394 216.237525177788 -355.586213513642</t>
  </si>
  <si>
    <t>-930.861418204572 203.999372221144 -443.7565378867</t>
  </si>
  <si>
    <t>-920.167288155746 183.007879481336 -566.091429292211</t>
  </si>
  <si>
    <t>-893.820839775771 162.80262994819 -642.26646042947</t>
  </si>
  <si>
    <t>-912.873373642949 217.015074112044 -515.459157637942</t>
  </si>
  <si>
    <t>-852.904020668157 340.701080960659 -514.327327320512</t>
  </si>
  <si>
    <t>-849.722842378972 410.746881849839 -228.539508006543</t>
  </si>
  <si>
    <t>-616.228305139298 402.956350177249 -169.627823400904</t>
  </si>
  <si>
    <t>-936.8731072134 167.475474444846 -509.05664017161</t>
  </si>
  <si>
    <t>-1005.88189353215 55.9387132805764 -467.888287937144</t>
  </si>
  <si>
    <t>-1087.06680660643 107.64086369647 -189.810722462399</t>
  </si>
  <si>
    <t>-883.725192522464 324.468970152224 -60.1032605463025</t>
  </si>
  <si>
    <t>-877.29027771635 311.304994898746 343.183193016135</t>
  </si>
  <si>
    <t>-939.831005405331 290.251765258598 786.982981365829</t>
  </si>
  <si>
    <t>-795.265287730379 316.547983899076 846.114862304774</t>
  </si>
  <si>
    <t>-917.671075467113 133.133835424504 -53.3820075894968</t>
  </si>
  <si>
    <t>-850.107069095692 75.6183752008847 340.295181593137</t>
  </si>
  <si>
    <t>-915.434609174924 44.6651189706481 781.501811544897</t>
  </si>
  <si>
    <t>-823.810573256663 -61.8729758468698 854.59026854163</t>
  </si>
  <si>
    <t>9763-20170724T111228.281300000.bin</t>
  </si>
  <si>
    <t>-901.171171164023 228.667677671033 -55.875575206065</t>
  </si>
  <si>
    <t>-926.466003226099 230.906239296291 -168.88608836863</t>
  </si>
  <si>
    <t>-933.683405521201 225.001908551622 -267.068081553363</t>
  </si>
  <si>
    <t>-935.148959319135 216.374324337504 -355.734099113948</t>
  </si>
  <si>
    <t>-931.368128839724 204.154185658179 -443.907922607282</t>
  </si>
  <si>
    <t>-920.740550896904 183.153935586114 -566.246994695319</t>
  </si>
  <si>
    <t>-894.655545175931 162.83248673679 -642.481163131548</t>
  </si>
  <si>
    <t>-913.29543810429 217.107075270871 -515.600481690397</t>
  </si>
  <si>
    <t>-852.7713405503 340.539125105976 -514.763219081166</t>
  </si>
  <si>
    <t>-852.389571476407 410.204643016318 -228.864999038172</t>
  </si>
  <si>
    <t>-618.029287086445 401.310920961016 -173.665932277285</t>
  </si>
  <si>
    <t>-937.539007810713 167.683153784635 -509.222813234616</t>
  </si>
  <si>
    <t>-1007.17125384676 56.5837554691402 -467.868755888433</t>
  </si>
  <si>
    <t>-1085.51449685152 109.889170436435 -189.279254317311</t>
  </si>
  <si>
    <t>-883.760885049208 324.070999488423 -60.1995730774205</t>
  </si>
  <si>
    <t>-877.688975043249 310.913109906232 343.092696243489</t>
  </si>
  <si>
    <t>-939.404732917682 290.107565233033 786.983427616856</t>
  </si>
  <si>
    <t>-794.852235608548 316.250812665186 846.215569808715</t>
  </si>
  <si>
    <t>-918.853339831935 133.317245926012 -53.6737800257329</t>
  </si>
  <si>
    <t>-851.520381044593 76.0381086069006 340.077433709061</t>
  </si>
  <si>
    <t>-915.849360843011 44.9107626341661 781.408698385924</t>
  </si>
  <si>
    <t>-824.409038177495 -61.8223671118947 854.4430320909</t>
  </si>
  <si>
    <t>9763-20170724T111228.311514700.bin</t>
  </si>
  <si>
    <t>-901.347001345011 228.966001386875 -55.939331847449</t>
  </si>
  <si>
    <t>-926.560839793398 231.268983329584 -168.966649157071</t>
  </si>
  <si>
    <t>-933.744797862826 225.411268697586 -267.153881315767</t>
  </si>
  <si>
    <t>-935.192970847917 216.82650998339 -355.82436183651</t>
  </si>
  <si>
    <t>-931.406843954542 204.651576954189 -444.004116853269</t>
  </si>
  <si>
    <t>-920.782964979687 183.71909398502 -566.355221614228</t>
  </si>
  <si>
    <t>-894.854807599606 163.346749461144 -642.62921792687</t>
  </si>
  <si>
    <t>-913.315145719022 217.634280663248 -515.686705085548</t>
  </si>
  <si>
    <t>-852.704754808472 341.023079572464 -514.924221900223</t>
  </si>
  <si>
    <t>-853.944490524135 410.198974768922 -228.909616860661</t>
  </si>
  <si>
    <t>-618.896291062714 400.538366087172 -176.85323396226</t>
  </si>
  <si>
    <t>-937.600651401158 168.226579675556 -509.342422347842</t>
  </si>
  <si>
    <t>-1007.45023384275 57.2795865151852 -467.975205507014</t>
  </si>
  <si>
    <t>-1084.92292770884 111.657292400804 -189.349564564384</t>
  </si>
  <si>
    <t>-883.632608021142 324.182722471653 -60.2359840957854</t>
  </si>
  <si>
    <t>-877.840459254703 310.934212167955 343.057459994784</t>
  </si>
  <si>
    <t>-939.104898656785 290.125866934966 787.021101436183</t>
  </si>
  <si>
    <t>-794.596340159987 316.02466024696 846.466934964898</t>
  </si>
  <si>
    <t>-919.295238319972 133.889319020697 -53.7833061461118</t>
  </si>
  <si>
    <t>-852.350011517702 76.3205325873132 339.991764678681</t>
  </si>
  <si>
    <t>-916.104202329624 44.9563330393689 781.396262086532</t>
  </si>
  <si>
    <t>-824.715679003196 -61.844534759897 854.396618535022</t>
  </si>
  <si>
    <t>9763-20170724T111228.382715200.bin</t>
  </si>
  <si>
    <t>-901.458576895825 229.957801453187 -56.0251342483052</t>
  </si>
  <si>
    <t>-926.541628491059 232.215857134955 -169.082438136958</t>
  </si>
  <si>
    <t>-933.722853554212 226.290734278755 -267.265798768307</t>
  </si>
  <si>
    <t>-935.212231702262 217.640049430903 -355.929320279267</t>
  </si>
  <si>
    <t>-931.509587416044 205.396470390747 -444.103016232603</t>
  </si>
  <si>
    <t>-921.045631745951 184.368436606788 -566.451576242158</t>
  </si>
  <si>
    <t>-895.303581100436 163.867168423308 -642.754042735392</t>
  </si>
  <si>
    <t>-913.521147373599 218.327530051507 -515.820811042924</t>
  </si>
  <si>
    <t>-853.089576821837 341.795373887537 -515.251331663897</t>
  </si>
  <si>
    <t>-855.084191127622 410.868247977033 -229.2161426431</t>
  </si>
  <si>
    <t>-618.55377373915 400.539436541008 -184.522566090315</t>
  </si>
  <si>
    <t>-937.779615961805 168.916006676807 -509.403337953048</t>
  </si>
  <si>
    <t>-1007.61214096722 58.0128413146208 -467.917682995226</t>
  </si>
  <si>
    <t>-1084.60426494532 113.954020061768 -189.468450245624</t>
  </si>
  <si>
    <t>-883.294997110824 324.573058588025 -60.2679397830599</t>
  </si>
  <si>
    <t>-877.927345676722 311.443824744862 343.035287324165</t>
  </si>
  <si>
    <t>-938.585262321029 290.180603536783 787.093510954874</t>
  </si>
  <si>
    <t>-794.203128853133 316.054598106418 846.856950792599</t>
  </si>
  <si>
    <t>-919.802157363815 135.311060340634 -53.8851557934594</t>
  </si>
  <si>
    <t>-853.742924799586 77.1007291768174 339.945332429007</t>
  </si>
  <si>
    <t>-916.564545636843 45.0727468901691 781.444846603452</t>
  </si>
  <si>
    <t>-825.15323717059 -61.7588003501437 854.37180514037</t>
  </si>
  <si>
    <t>9763-20170724T111228.413798400.bin</t>
  </si>
  <si>
    <t>-901.413108637743 230.271673125309 -56.049780147255</t>
  </si>
  <si>
    <t>-926.44322838443 232.444603474012 -169.120661979748</t>
  </si>
  <si>
    <t>-933.626068245198 226.447614372757 -267.299401605961</t>
  </si>
  <si>
    <t>-935.137693999874 217.731582769125 -355.956029769211</t>
  </si>
  <si>
    <t>-931.478392167368 205.42278121181 -444.122709207361</t>
  </si>
  <si>
    <t>-921.097597876365 184.303812258155 -566.462477989641</t>
  </si>
  <si>
    <t>-895.373127730647 163.751730065424 -642.757224999065</t>
  </si>
  <si>
    <t>-913.544083634037 218.303337514677 -515.863159854917</t>
  </si>
  <si>
    <t>-853.188416361393 341.809090900982 -515.426597320131</t>
  </si>
  <si>
    <t>-854.934816890777 410.876420918819 -229.388461131546</t>
  </si>
  <si>
    <t>-617.990118130188 400.736761450185 -186.901265319617</t>
  </si>
  <si>
    <t>-937.787302440266 168.891354524013 -509.390493801487</t>
  </si>
  <si>
    <t>-1007.618057452 58.0188842494649 -467.801062954337</t>
  </si>
  <si>
    <t>-1084.51365028541 114.238571284594 -189.381184685193</t>
  </si>
  <si>
    <t>-883.203910929367 324.700085171444 -60.309778276002</t>
  </si>
  <si>
    <t>-877.997287676126 311.640877074319 342.997854796542</t>
  </si>
  <si>
    <t>-938.425387002753 290.182674996683 787.074151474936</t>
  </si>
  <si>
    <t>-794.072613452501 316.177155016258 846.856166067663</t>
  </si>
  <si>
    <t>-919.762721337793 135.642779993894 -53.9160134966278</t>
  </si>
  <si>
    <t>-854.102683354522 77.5075592726357 339.992323425321</t>
  </si>
  <si>
    <t>-916.670655469861 45.2724616546211 781.502432731026</t>
  </si>
  <si>
    <t>-825.676113959502 -61.9167067228939 854.425533513527</t>
  </si>
  <si>
    <t>9763-20170724T111228.478984700.bin</t>
  </si>
  <si>
    <t>-901.353121558392 230.051323122865 -56.0734379606719</t>
  </si>
  <si>
    <t>-926.351682876516 232.00756193516 -169.155099796752</t>
  </si>
  <si>
    <t>-933.532405583594 225.828810160983 -267.322878391482</t>
  </si>
  <si>
    <t>-935.052091476511 216.950329333082 -355.963285416321</t>
  </si>
  <si>
    <t>-931.411934587717 204.481801620233 -444.108169071777</t>
  </si>
  <si>
    <t>-921.067822157306 183.14360180389 -566.413080342681</t>
  </si>
  <si>
    <t>-895.255862645887 162.519937331774 -642.658920509706</t>
  </si>
  <si>
    <t>-913.556537043788 217.260372752205 -515.886624821343</t>
  </si>
  <si>
    <t>-853.515459574293 340.928186801721 -515.822765039564</t>
  </si>
  <si>
    <t>-854.027411651747 410.853990197333 -229.988251648486</t>
  </si>
  <si>
    <t>-617.118690678199 403.40142567004 -186.749592995933</t>
  </si>
  <si>
    <t>-937.682616738211 167.806399924862 -509.298877653477</t>
  </si>
  <si>
    <t>-1007.21762259605 56.8996694469947 -467.326620945927</t>
  </si>
  <si>
    <t>-1084.16816089081 114.087675342536 -189.11918633314</t>
  </si>
  <si>
    <t>-883.151595043651 324.485229537758 -60.427687113835</t>
  </si>
  <si>
    <t>-878.017233378632 311.634374139584 342.88752564514</t>
  </si>
  <si>
    <t>-938.153176293844 290.156745760065 786.994300767642</t>
  </si>
  <si>
    <t>-793.844064575842 316.493478488851 846.731936163414</t>
  </si>
  <si>
    <t>-919.76755030008 135.336007850377 -53.8183693529522</t>
  </si>
  <si>
    <t>-854.53899115527 77.4540805661213 340.198866335829</t>
  </si>
  <si>
    <t>-917.191191144357 45.2297928418452 781.727805700683</t>
  </si>
  <si>
    <t>-825.685974322326 -61.5964361634922 854.544444503145</t>
  </si>
  <si>
    <t>9763-20170724T111228.516594500.bin</t>
  </si>
  <si>
    <t>-901.355287059815 229.667015781451 -56.0713724634938</t>
  </si>
  <si>
    <t>-926.369843738958 231.526227286447 -169.151145271448</t>
  </si>
  <si>
    <t>-933.540387462171 225.243309544939 -267.31307118945</t>
  </si>
  <si>
    <t>-935.042395908411 216.260538300209 -355.943119449141</t>
  </si>
  <si>
    <t>-931.375063617764 203.679851234045 -444.070941978543</t>
  </si>
  <si>
    <t>-920.985004949321 182.176289765066 -566.343120954959</t>
  </si>
  <si>
    <t>-895.112591094095 161.510966098431 -642.557312003142</t>
  </si>
  <si>
    <t>-913.548283293147 216.387076055567 -515.869015202964</t>
  </si>
  <si>
    <t>-853.802212298953 340.205274104548 -516.007814694371</t>
  </si>
  <si>
    <t>-853.995476889128 410.522246622365 -230.268883384398</t>
  </si>
  <si>
    <t>-617.0815424572 405.889682673997 -186.665261856578</t>
  </si>
  <si>
    <t>-937.56612744274 166.890902225708 -509.205335167287</t>
  </si>
  <si>
    <t>-1006.84254119627 55.9181920208039 -466.997363091547</t>
  </si>
  <si>
    <t>-1084.14641274886 113.783735979264 -189.028221437617</t>
  </si>
  <si>
    <t>-883.176938645961 324.199044764209 -60.4654498073121</t>
  </si>
  <si>
    <t>-877.970979294822 311.493872488182 342.853479197748</t>
  </si>
  <si>
    <t>-937.992575349221 290.123502610122 786.969653709399</t>
  </si>
  <si>
    <t>-793.67532147461 316.390758852605 846.717768805114</t>
  </si>
  <si>
    <t>-919.760396159631 134.872113052716 -53.7461429717508</t>
  </si>
  <si>
    <t>-854.595088271018 77.199195628385 340.312185698417</t>
  </si>
  <si>
    <t>-917.464590189828 45.1822482106822 781.852980446721</t>
  </si>
  <si>
    <t>-825.825687962344 -61.564253281349 854.618313866768</t>
  </si>
  <si>
    <t>9763-20170724T111228.582554700.bin</t>
  </si>
  <si>
    <t>-901.16117447998 228.934647026409 -56.0093269589412</t>
  </si>
  <si>
    <t>-926.274890906247 230.583541963515 -169.070359552516</t>
  </si>
  <si>
    <t>-933.504594179745 224.082909574138 -267.213907090542</t>
  </si>
  <si>
    <t>-935.049332076851 214.888279278173 -355.821406780291</t>
  </si>
  <si>
    <t>-931.414150942335 202.083386112988 -443.918318452954</t>
  </si>
  <si>
    <t>-921.056837404184 180.255717862512 -566.135745319025</t>
  </si>
  <si>
    <t>-895.0896898633 159.51379406175 -642.296883821836</t>
  </si>
  <si>
    <t>-913.771552980307 214.675919113163 -515.782175240829</t>
  </si>
  <si>
    <t>-854.935068360352 338.917193179371 -516.390565827185</t>
  </si>
  <si>
    <t>-853.047854909968 410.243918546412 -230.908183916061</t>
  </si>
  <si>
    <t>-616.029662634616 409.983678505284 -187.627049971657</t>
  </si>
  <si>
    <t>-937.457696075164 165.046076201052 -508.925712317083</t>
  </si>
  <si>
    <t>-1005.80742036814 53.7202808556553 -466.133039308442</t>
  </si>
  <si>
    <t>-1084.26436952643 113.105014075717 -188.808008805377</t>
  </si>
  <si>
    <t>-883.16330304672 323.625122307415 -60.4831328427966</t>
  </si>
  <si>
    <t>-877.808414253806 311.317100651936 342.846188376511</t>
  </si>
  <si>
    <t>-937.684838125172 290.155011449407 786.945630748498</t>
  </si>
  <si>
    <t>-793.470405773525 316.82872616493 846.762068823754</t>
  </si>
  <si>
    <t>-919.361538389593 134.140646079506 -53.5731246050884</t>
  </si>
  <si>
    <t>-854.391033309355 76.458752359898 340.516055414866</t>
  </si>
  <si>
    <t>-917.893092246002 45.1833831075828 782.056619191925</t>
  </si>
  <si>
    <t>-825.986645660948 -61.3822235399582 854.749537133088</t>
  </si>
  <si>
    <t>9763-20170724T111228.616647200.bin</t>
  </si>
  <si>
    <t>-900.965514256123 228.738936089716 -55.9447973448302</t>
  </si>
  <si>
    <t>-926.13385980549 230.267372434073 -168.995360068451</t>
  </si>
  <si>
    <t>-933.404936847968 223.671205681224 -267.129387185646</t>
  </si>
  <si>
    <t>-934.986094992447 214.39134862728 -355.727424630771</t>
  </si>
  <si>
    <t>-931.384837998639 201.503715074017 -443.813677983982</t>
  </si>
  <si>
    <t>-921.072880368972 179.562937418189 -566.014662817628</t>
  </si>
  <si>
    <t>-895.02656179311 158.793784057839 -642.141248671256</t>
  </si>
  <si>
    <t>-913.850558541106 214.066554787737 -515.709190599479</t>
  </si>
  <si>
    <t>-855.458177449072 338.502236622481 -516.499488718324</t>
  </si>
  <si>
    <t>-851.881166780741 409.938366339397 -231.060740497356</t>
  </si>
  <si>
    <t>-614.930212919663 412.178780016341 -187.470782619459</t>
  </si>
  <si>
    <t>-937.370888876488 164.369350206593 -508.770983782712</t>
  </si>
  <si>
    <t>-1005.27655608018 52.8605496368218 -465.704433205148</t>
  </si>
  <si>
    <t>-1083.91886759461 112.612854746437 -188.510800044934</t>
  </si>
  <si>
    <t>-883.125258760795 323.469422604105 -60.466366035829</t>
  </si>
  <si>
    <t>-877.806639246295 311.332520550039 342.86859779637</t>
  </si>
  <si>
    <t>-937.518507403818 290.171185246449 786.9532227377</t>
  </si>
  <si>
    <t>-793.334645260294 316.861533624728 846.835441686923</t>
  </si>
  <si>
    <t>-918.972281837728 133.912305668756 -53.4867058645868</t>
  </si>
  <si>
    <t>-854.174145584272 76.2611205834583 340.635360425589</t>
  </si>
  <si>
    <t>-917.975723873433 45.3476381386663 782.144750054891</t>
  </si>
  <si>
    <t>-826.100250056718 -61.2535559173502 854.824695745268</t>
  </si>
  <si>
    <t>9763-20170724T111228.677813900.bin</t>
  </si>
  <si>
    <t>-900.705972857374 228.557481649994 -55.8467433972537</t>
  </si>
  <si>
    <t>-925.907033714316 229.869618957286 -168.892898619846</t>
  </si>
  <si>
    <t>-933.160334322714 223.11880962955 -267.01766266561</t>
  </si>
  <si>
    <t>-934.706624085415 213.709233039934 -355.602633273101</t>
  </si>
  <si>
    <t>-931.050879159253 200.704356174121 -443.669356865784</t>
  </si>
  <si>
    <t>-920.641400153792 178.612340582489 -565.834869112707</t>
  </si>
  <si>
    <t>-894.40892975637 157.786026424473 -641.881892607866</t>
  </si>
  <si>
    <t>-913.606171177669 213.243910585316 -515.590739026946</t>
  </si>
  <si>
    <t>-855.794177520705 337.962083864431 -516.615436600357</t>
  </si>
  <si>
    <t>-848.858298882635 409.312615314308 -231.217068853206</t>
  </si>
  <si>
    <t>-611.861271074338 415.090729913899 -188.206496611815</t>
  </si>
  <si>
    <t>-936.837766132549 163.423789607587 -508.560898302967</t>
  </si>
  <si>
    <t>-1003.99933160591 51.591949310975 -465.196624075351</t>
  </si>
  <si>
    <t>-1082.670128826 110.574176799074 -187.846353363849</t>
  </si>
  <si>
    <t>-869.0837859188 1.1554760076433 -209.27743432279</t>
  </si>
  <si>
    <t>-883.181785125402 323.410334398598 -60.4532960797402</t>
  </si>
  <si>
    <t>-877.968699264537 311.456090751545 342.888471497233</t>
  </si>
  <si>
    <t>-937.247295882334 290.198532985864 786.958625869235</t>
  </si>
  <si>
    <t>-793.155458457911 317.294934916332 846.880072570947</t>
  </si>
  <si>
    <t>-918.494134416412 133.571435856698 -53.3186014522954</t>
  </si>
  <si>
    <t>-853.940301297382 76.1305510626999 340.874250410009</t>
  </si>
  <si>
    <t>-918.27098525482 45.447715898365 782.337736192291</t>
  </si>
  <si>
    <t>-826.102753428048 -60.9325071614292 854.971197515527</t>
  </si>
  <si>
    <t>9763-20170724T111228.713909600.bin</t>
  </si>
  <si>
    <t>-900.749648469832 228.589735854931 -55.8393457862491</t>
  </si>
  <si>
    <t>-925.940314221193 229.797922695004 -168.888763641114</t>
  </si>
  <si>
    <t>-933.159419702159 222.970671778883 -267.01090154312</t>
  </si>
  <si>
    <t>-934.664051463613 213.496778529371 -355.589648614976</t>
  </si>
  <si>
    <t>-930.954361662519 200.433615256563 -443.645593608914</t>
  </si>
  <si>
    <t>-920.456279890546 178.268146238299 -565.790171724986</t>
  </si>
  <si>
    <t>-894.125160483858 157.423846683844 -641.798172879036</t>
  </si>
  <si>
    <t>-913.531777738069 212.962884802729 -515.574137762142</t>
  </si>
  <si>
    <t>-855.981095504965 337.804621191484 -516.649290791599</t>
  </si>
  <si>
    <t>-847.768560362502 408.817880804838 -231.200672594292</t>
  </si>
  <si>
    <t>-610.615582292543 414.979955847587 -189.112606791747</t>
  </si>
  <si>
    <t>-936.620225771062 163.081567283009 -508.506629953141</t>
  </si>
  <si>
    <t>-1003.41256479024 51.0687352183104 -465.039531968601</t>
  </si>
  <si>
    <t>-1082.01959316081 109.274567458971 -187.507102690115</t>
  </si>
  <si>
    <t>-867.498359697047 2.02883438820709 -210.525260053473</t>
  </si>
  <si>
    <t>-883.390446232677 323.500353721032 -60.4727609268375</t>
  </si>
  <si>
    <t>-878.003549437103 311.537210496351 342.866449415154</t>
  </si>
  <si>
    <t>-937.104257593289 290.22133886613 786.954292826899</t>
  </si>
  <si>
    <t>-793.051187397716 317.4237097571 846.921302599574</t>
  </si>
  <si>
    <t>-918.402273072798 133.574130233995 -53.2573043483736</t>
  </si>
  <si>
    <t>-853.96067466858 76.3033422412182 340.978630055854</t>
  </si>
  <si>
    <t>-918.347388653316 45.5999609271707 782.435304747443</t>
  </si>
  <si>
    <t>-826.415598088098 -60.9849122252426 855.068328129586</t>
  </si>
  <si>
    <t>9763-20170724T111228.780589900.bin</t>
  </si>
  <si>
    <t>-900.786247749933 228.791084887199 -55.7628925407707</t>
  </si>
  <si>
    <t>-925.915198597034 229.835427289782 -168.827755697372</t>
  </si>
  <si>
    <t>-933.00355452086 222.907085726355 -266.952238829553</t>
  </si>
  <si>
    <t>-934.356601477588 213.356280199242 -355.525363645965</t>
  </si>
  <si>
    <t>-930.460426230107 200.235155155237 -443.564539501271</t>
  </si>
  <si>
    <t>-919.663773522761 178.009067109995 -565.672130465547</t>
  </si>
  <si>
    <t>-893.097662435067 157.211941302158 -641.611298484419</t>
  </si>
  <si>
    <t>-913.036065116993 212.804459115986 -515.485692582212</t>
  </si>
  <si>
    <t>-855.981768402678 337.866298309309 -516.534456489986</t>
  </si>
  <si>
    <t>-845.124882999267 408.466764635854 -231.071882493465</t>
  </si>
  <si>
    <t>-607.511562343595 413.508975002858 -191.50867815176</t>
  </si>
  <si>
    <t>-935.793529933331 162.774854747951 -508.391430688669</t>
  </si>
  <si>
    <t>-1001.74650476833 50.3120872625186 -464.795694318214</t>
  </si>
  <si>
    <t>-1080.18331817732 106.448944548804 -186.789359940479</t>
  </si>
  <si>
    <t>-864.04370585367 3.63969913656683 -214.445912865608</t>
  </si>
  <si>
    <t>-883.548893374341 323.785334227123 -60.4517000603187</t>
  </si>
  <si>
    <t>-878.184638653229 311.858089585699 342.888891262199</t>
  </si>
  <si>
    <t>-936.687405582828 290.405872298438 787.031019782213</t>
  </si>
  <si>
    <t>-792.817931480229 317.812770618566 847.34552811534</t>
  </si>
  <si>
    <t>-918.239665192968 133.714549179439 -53.110999772288</t>
  </si>
  <si>
    <t>-853.834661891775 76.4534730534283 341.132329687673</t>
  </si>
  <si>
    <t>-918.605225444001 45.7024697006996 782.601617057996</t>
  </si>
  <si>
    <t>-826.766459178351 -60.9581985277068 855.240957348806</t>
  </si>
  <si>
    <t>9763-20170724T111228.813184700.bin</t>
  </si>
  <si>
    <t>-900.766499213957 228.988895673211 -55.7017006880692</t>
  </si>
  <si>
    <t>-925.870461099155 229.960896238467 -168.772757504406</t>
  </si>
  <si>
    <t>-932.897171648335 223.00406601365 -266.899554475762</t>
  </si>
  <si>
    <t>-934.176532528384 213.44132163282 -355.472518989295</t>
  </si>
  <si>
    <t>-930.187375601292 200.323382429955 -443.508057302144</t>
  </si>
  <si>
    <t>-919.239313013253 178.118195478526 -565.605809956115</t>
  </si>
  <si>
    <t>-892.552108433393 157.371507878959 -641.516229864889</t>
  </si>
  <si>
    <t>-912.764253860362 212.943857105983 -515.420397411272</t>
  </si>
  <si>
    <t>-855.900415336247 338.094056697347 -516.369117643927</t>
  </si>
  <si>
    <t>-843.441419225564 408.440444449683 -230.909160818478</t>
  </si>
  <si>
    <t>-605.556487439267 412.580240067427 -192.901612484096</t>
  </si>
  <si>
    <t>-935.349851962542 162.83548551542 -508.332783889241</t>
  </si>
  <si>
    <t>-1000.89573163433 50.1487940260954 -464.719537004457</t>
  </si>
  <si>
    <t>-1078.96784040342 105.095547821473 -186.372868827236</t>
  </si>
  <si>
    <t>-862.170484858035 4.35679109509465 -216.397145743567</t>
  </si>
  <si>
    <t>-883.594164404007 323.975458055383 -60.4036877957031</t>
  </si>
  <si>
    <t>-878.280786858254 312.079055201316 342.938539291124</t>
  </si>
  <si>
    <t>-936.465200710849 290.497959978617 787.089795322815</t>
  </si>
  <si>
    <t>-792.692286945111 317.949175548747 847.613062899307</t>
  </si>
  <si>
    <t>-918.127409904883 133.917959780018 -53.022876111043</t>
  </si>
  <si>
    <t>-853.651322721121 76.4502760615455 341.178844759782</t>
  </si>
  <si>
    <t>-918.692684932342 45.7956341310787 782.65356212035</t>
  </si>
  <si>
    <t>-826.816723554664 -60.8271194041711 855.301362264746</t>
  </si>
  <si>
    <t>9763-20170724T111228.881873900.bin</t>
  </si>
  <si>
    <t>-900.869099904638 229.109906443976 -55.5892739450335</t>
  </si>
  <si>
    <t>-925.873755090189 229.992188695919 -168.683114445616</t>
  </si>
  <si>
    <t>-932.767945673666 222.987734499128 -266.816067372185</t>
  </si>
  <si>
    <t>-933.907785866199 213.393335084137 -355.387391800498</t>
  </si>
  <si>
    <t>-929.757277558243 200.258019898068 -443.412749118178</t>
  </si>
  <si>
    <t>-918.559318106786 178.045008414633 -565.486542585192</t>
  </si>
  <si>
    <t>-891.627102587029 157.416254048414 -641.342669329762</t>
  </si>
  <si>
    <t>-912.353876202836 212.944438542785 -515.318434753968</t>
  </si>
  <si>
    <t>-855.887776054016 338.278892637687 -516.094154509381</t>
  </si>
  <si>
    <t>-839.226210941418 408.101399065181 -230.720117379904</t>
  </si>
  <si>
    <t>-600.877075407048 410.281269053694 -195.566373618739</t>
  </si>
  <si>
    <t>-934.619966822085 162.695172005811 -508.217286536933</t>
  </si>
  <si>
    <t>-999.300438661363 49.5485533815904 -464.481809890519</t>
  </si>
  <si>
    <t>-1076.51638240776 102.587721306017 -185.527010873621</t>
  </si>
  <si>
    <t>-858.682670972119 5.3209889504169 -219.270128986733</t>
  </si>
  <si>
    <t>-883.951513104462 324.250618608245 -60.2864892056481</t>
  </si>
  <si>
    <t>-878.5591581422 312.346618729801 343.054324395743</t>
  </si>
  <si>
    <t>-936.059674233566 290.623677407484 787.217516492422</t>
  </si>
  <si>
    <t>-792.465279638921 318.233126611723 848.091944348104</t>
  </si>
  <si>
    <t>-917.969004939137 133.742708068121 -52.928709407202</t>
  </si>
  <si>
    <t>-853.094962002995 76.51192900859 341.242142962956</t>
  </si>
  <si>
    <t>-918.868306728039 45.9017052104009 782.67994195612</t>
  </si>
  <si>
    <t>-827.092942277622 -60.7653418728103 855.389610927715</t>
  </si>
  <si>
    <t>9763-20170724T111228.914998400.bin</t>
  </si>
  <si>
    <t>-900.875882189134 228.875640864226 -55.6004233782841</t>
  </si>
  <si>
    <t>-925.819987136453 229.739296380115 -168.707654325742</t>
  </si>
  <si>
    <t>-932.639947531376 222.71488518473 -266.844424380863</t>
  </si>
  <si>
    <t>-933.70319326813 213.100435929953 -355.414514675948</t>
  </si>
  <si>
    <t>-929.466359883008 199.94476131705 -443.432861256765</t>
  </si>
  <si>
    <t>-918.138110256051 177.703402476987 -565.489500204439</t>
  </si>
  <si>
    <t>-891.088327901885 157.148560433692 -641.323682083898</t>
  </si>
  <si>
    <t>-912.057851758291 212.64427558083 -515.334890869248</t>
  </si>
  <si>
    <t>-855.703002459667 338.034620425236 -516.0494407045</t>
  </si>
  <si>
    <t>-836.714669430264 407.65572823398 -230.771583372859</t>
  </si>
  <si>
    <t>-598.22130262306 409.027684111559 -196.56777669506</t>
  </si>
  <si>
    <t>-934.188651507042 162.337304729859 -508.221910897132</t>
  </si>
  <si>
    <t>-998.491647293947 49.0043770075081 -464.430686512468</t>
  </si>
  <si>
    <t>-1075.490856258 101.051970548107 -185.22930928823</t>
  </si>
  <si>
    <t>-857.082810695061 5.57721634012614 -220.348345660591</t>
  </si>
  <si>
    <t>-883.988229540222 324.150261985214 -60.2925918993532</t>
  </si>
  <si>
    <t>-878.779161411831 312.248736885909 343.050839257845</t>
  </si>
  <si>
    <t>-935.807170102478 290.574293825865 787.177299474256</t>
  </si>
  <si>
    <t>-792.261874537456 318.177163637831 848.169977324833</t>
  </si>
  <si>
    <t>-917.933892553713 133.333580610693 -52.9497608206474</t>
  </si>
  <si>
    <t>-852.73647307793 76.36468450045 341.205659183623</t>
  </si>
  <si>
    <t>-918.987721206402 45.8799274958856 782.637591216961</t>
  </si>
  <si>
    <t>-827.09415308263 -60.660080026227 855.384424213256</t>
  </si>
  <si>
    <t>9763-20170724T111228.982201600.bin</t>
  </si>
  <si>
    <t>-900.880883994376 228.386861809129 -55.7200888086004</t>
  </si>
  <si>
    <t>-925.722394131024 229.211029790323 -168.850161676906</t>
  </si>
  <si>
    <t>-932.354694871333 222.146693046231 -266.996912876255</t>
  </si>
  <si>
    <t>-933.209409272917 212.490843080942 -355.564726408988</t>
  </si>
  <si>
    <t>-928.72461238535 199.289849107453 -443.563995610641</t>
  </si>
  <si>
    <t>-917.009968019513 176.980994397506 -565.571886569784</t>
  </si>
  <si>
    <t>-889.72312903419 156.594765080067 -641.36678537319</t>
  </si>
  <si>
    <t>-911.204873946044 211.997575579936 -515.43748999451</t>
  </si>
  <si>
    <t>-855.040876977714 337.475521324633 -516.001380841604</t>
  </si>
  <si>
    <t>-831.387445703399 406.706687982066 -230.977202825157</t>
  </si>
  <si>
    <t>-592.593128982682 406.558747925169 -198.911858208973</t>
  </si>
  <si>
    <t>-933.125244219164 161.598331953524 -508.326800201002</t>
  </si>
  <si>
    <t>-996.881910575354 47.9574272265045 -464.530653065885</t>
  </si>
  <si>
    <t>-1073.97815087753 98.7903985825055 -185.132388787385</t>
  </si>
  <si>
    <t>-854.476210610278 6.40079269001217 -221.655563402768</t>
  </si>
  <si>
    <t>-884.179889360273 323.961191052401 -60.4735312458512</t>
  </si>
  <si>
    <t>-879.364346962385 312.084712652405 342.875463998123</t>
  </si>
  <si>
    <t>-935.417296163179 290.543433034749 786.99417024809</t>
  </si>
  <si>
    <t>-791.957986786082 318.160504676446 848.1828271098</t>
  </si>
  <si>
    <t>-917.844232017239 132.679744143504 -53.1172715830751</t>
  </si>
  <si>
    <t>-852.08850712952 75.9992039720469 340.986980939611</t>
  </si>
  <si>
    <t>-919.077526219613 46.0917880843085 782.427009276968</t>
  </si>
  <si>
    <t>-827.116455425695 -60.3509724259725 855.230354763845</t>
  </si>
  <si>
    <t>9763-20170724T111229.015290800.bin</t>
  </si>
  <si>
    <t>-900.971008603758 228.304273385435 -55.8151731069463</t>
  </si>
  <si>
    <t>-925.787553367187 229.104953916554 -168.950982008374</t>
  </si>
  <si>
    <t>-932.347156043913 222.042620380417 -267.102765984035</t>
  </si>
  <si>
    <t>-933.115029380636 212.394097673534 -355.672204478137</t>
  </si>
  <si>
    <t>-928.523475657616 199.206460142743 -443.667954856407</t>
  </si>
  <si>
    <t>-916.638668017619 176.921139761859 -565.663550368208</t>
  </si>
  <si>
    <t>-889.25991195885 156.656412815114 -641.457784977623</t>
  </si>
  <si>
    <t>-910.954520639508 211.948853585967 -515.523244489599</t>
  </si>
  <si>
    <t>-854.862982930974 337.449318236773 -515.976289754209</t>
  </si>
  <si>
    <t>-828.838018726365 406.461772657514 -231.105758586739</t>
  </si>
  <si>
    <t>-589.920932813191 405.576007857485 -199.982026383555</t>
  </si>
  <si>
    <t>-932.782717836639 161.506493159941 -508.435249310255</t>
  </si>
  <si>
    <t>-996.333522879917 47.7276332767815 -464.672006805696</t>
  </si>
  <si>
    <t>-1073.63272754401 98.1880527616213 -185.262320702488</t>
  </si>
  <si>
    <t>-853.702472520854 6.96455748459584 -222.139146989383</t>
  </si>
  <si>
    <t>-884.45009247541 323.985452957017 -60.5608996289535</t>
  </si>
  <si>
    <t>-879.667722489039 312.064615501281 342.787222024022</t>
  </si>
  <si>
    <t>-935.245365082558 290.456570852816 786.961471203055</t>
  </si>
  <si>
    <t>-791.834659461755 318.226683016817 848.19425764026</t>
  </si>
  <si>
    <t>-917.790609715644 132.561394686817 -53.2417972488012</t>
  </si>
  <si>
    <t>-852.010449021613 75.9868619847543 340.873675289364</t>
  </si>
  <si>
    <t>-919.152960410919 46.1651845861352 782.305397297532</t>
  </si>
  <si>
    <t>-827.127984250946 -60.2143348956897 855.121141559719</t>
  </si>
  <si>
    <t>9763-20170724T111229.082002900.bin</t>
  </si>
  <si>
    <t>-901.178531671256 228.501323292009 -56.0146365246337</t>
  </si>
  <si>
    <t>-925.977435548834 229.219393807201 -169.154848754777</t>
  </si>
  <si>
    <t>-932.451400702629 222.156053124307 -267.312166335274</t>
  </si>
  <si>
    <t>-933.113734251272 212.530631359172 -355.885001327784</t>
  </si>
  <si>
    <t>-928.387228994401 199.38906047308 -443.880482777308</t>
  </si>
  <si>
    <t>-916.283657024181 177.191001798278 -565.870580062401</t>
  </si>
  <si>
    <t>-888.728234187501 157.274450709053 -641.693049695418</t>
  </si>
  <si>
    <t>-910.769725098961 212.215752855249 -515.70910364287</t>
  </si>
  <si>
    <t>-854.855304693568 337.797714327554 -515.91761916764</t>
  </si>
  <si>
    <t>-824.153615156857 405.917998720342 -231.298076667597</t>
  </si>
  <si>
    <t>-585.052860023397 403.989323076055 -201.66717222993</t>
  </si>
  <si>
    <t>-932.450133791861 161.702743216724 -508.668410892978</t>
  </si>
  <si>
    <t>-995.591343913371 47.681856202511 -464.951570574204</t>
  </si>
  <si>
    <t>-1073.54941732994 97.5257744108867 -185.61438575855</t>
  </si>
  <si>
    <t>-853.105458266555 7.74200624834066 -222.952760663691</t>
  </si>
  <si>
    <t>-884.939412748721 324.091203502163 -60.6762617424265</t>
  </si>
  <si>
    <t>-879.920725436301 312.30952079323 342.673034345417</t>
  </si>
  <si>
    <t>-934.984890564113 290.248570511387 786.97331560303</t>
  </si>
  <si>
    <t>-791.655810653235 318.493790310391 848.179740733329</t>
  </si>
  <si>
    <t>-917.702854211825 132.838762774619 -53.4620918561307</t>
  </si>
  <si>
    <t>-852.239098554622 76.2762648595144 340.707639354642</t>
  </si>
  <si>
    <t>-919.33653754278 46.2802978236641 782.134840163639</t>
  </si>
  <si>
    <t>-827.37838865613 -60.1447838262643 854.967760007891</t>
  </si>
  <si>
    <t>9763-20170724T111229.114143600.bin</t>
  </si>
  <si>
    <t>-901.298634644144 228.572994852411 -56.070286631112</t>
  </si>
  <si>
    <t>-926.108678157542 229.267198998063 -169.208121900772</t>
  </si>
  <si>
    <t>-932.556437579341 222.224003270245 -267.368679674597</t>
  </si>
  <si>
    <t>-933.180266996858 212.631483264019 -355.945373837505</t>
  </si>
  <si>
    <t>-928.399932473918 199.536263789971 -443.944967385486</t>
  </si>
  <si>
    <t>-916.204657517514 177.417599393352 -565.940207189394</t>
  </si>
  <si>
    <t>-888.57111752856 157.72832186313 -641.793558192146</t>
  </si>
  <si>
    <t>-910.751466834971 212.419046811812 -515.755879535985</t>
  </si>
  <si>
    <t>-854.838630979474 338.001743587635 -515.81150901322</t>
  </si>
  <si>
    <t>-822.253538465543 405.588343231656 -231.274194516514</t>
  </si>
  <si>
    <t>-583.098635318765 402.754241942414 -202.157987822565</t>
  </si>
  <si>
    <t>-932.390818261614 161.883162256182 -508.75638278397</t>
  </si>
  <si>
    <t>-995.440940575066 47.7836446621354 -465.107516665829</t>
  </si>
  <si>
    <t>-1073.74153880592 97.4611419811422 -185.836284041646</t>
  </si>
  <si>
    <t>-852.968827474058 8.24599510716416 -222.591198949452</t>
  </si>
  <si>
    <t>-885.121050305195 324.111142004984 -60.6840248183191</t>
  </si>
  <si>
    <t>-879.825811275089 312.475914825111 342.665961217333</t>
  </si>
  <si>
    <t>-934.932044219433 290.205570383959 787.009134914808</t>
  </si>
  <si>
    <t>-791.557415680346 318.330984906569 848.164296094255</t>
  </si>
  <si>
    <t>-917.75178268888 132.916622284234 -53.5145153416406</t>
  </si>
  <si>
    <t>-852.397494703676 76.3509550625622 340.672985872035</t>
  </si>
  <si>
    <t>-919.45946425905 46.2780797980431 782.090584482198</t>
  </si>
  <si>
    <t>-827.234625258842 -59.9167826050948 854.92271927766</t>
  </si>
  <si>
    <t>9763-20170724T111229.178318200.bin</t>
  </si>
  <si>
    <t>-901.130261990584 228.611977985523 -56.047187268949</t>
  </si>
  <si>
    <t>-926.004744733995 229.315147902131 -169.171015992956</t>
  </si>
  <si>
    <t>-932.409421986086 222.357277680041 -267.340293756851</t>
  </si>
  <si>
    <t>-932.952175907114 212.870289319455 -355.928994941096</t>
  </si>
  <si>
    <t>-928.048507369346 199.908308830255 -443.941404532192</t>
  </si>
  <si>
    <t>-915.635241775252 178.001788974723 -565.952861457249</t>
  </si>
  <si>
    <t>-887.867606060968 158.865325844116 -641.898924021768</t>
  </si>
  <si>
    <t>-910.282129895262 212.920059508194 -515.699838612319</t>
  </si>
  <si>
    <t>-854.200555693286 338.427071784848 -515.30145943507</t>
  </si>
  <si>
    <t>-818.853645375267 404.609413664716 -230.763567550296</t>
  </si>
  <si>
    <t>-579.619895517733 398.222751131911 -202.884657157696</t>
  </si>
  <si>
    <t>-931.913063196117 162.363470569953 -508.82341136021</t>
  </si>
  <si>
    <t>-994.82182971469 48.1229004346451 -465.362367427591</t>
  </si>
  <si>
    <t>-1074.27889965658 96.8083482619904 -186.243133897268</t>
  </si>
  <si>
    <t>-852.921341502997 8.70428995232396 -222.150998476965</t>
  </si>
  <si>
    <t>-884.845556349701 323.90119677237 -60.6270689106716</t>
  </si>
  <si>
    <t>-879.185480475611 312.519342566196 342.725242950839</t>
  </si>
  <si>
    <t>-934.756982200731 290.005388389349 787.042749237253</t>
  </si>
  <si>
    <t>-791.390259094806 318.351869679528 848.114882254495</t>
  </si>
  <si>
    <t>-917.581519290404 133.193964060984 -53.5224702254179</t>
  </si>
  <si>
    <t>-852.295469870476 76.5683602301569 340.667778967066</t>
  </si>
  <si>
    <t>-919.388874210974 46.6678006528705 782.032182741896</t>
  </si>
  <si>
    <t>-827.818442648424 -60.0275713715832 854.958406651624</t>
  </si>
  <si>
    <t>9763-20170724T111229.212026200.bin</t>
  </si>
  <si>
    <t>-900.934514323083 228.378374594379 -56.0298750486153</t>
  </si>
  <si>
    <t>-925.865035932091 229.128419880693 -169.141038394536</t>
  </si>
  <si>
    <t>-932.280155856238 222.254634261176 -267.315547209704</t>
  </si>
  <si>
    <t>-932.815770923349 212.859682305686 -355.914075524241</t>
  </si>
  <si>
    <t>-927.887935393579 200.004377341295 -443.940685696583</t>
  </si>
  <si>
    <t>-915.42308335848 178.261185567375 -565.976259551991</t>
  </si>
  <si>
    <t>-887.624593720016 159.412042141514 -641.982830053539</t>
  </si>
  <si>
    <t>-910.073720299745 213.105195179275 -515.671198566016</t>
  </si>
  <si>
    <t>-853.850484669166 338.547810445769 -515.029391375975</t>
  </si>
  <si>
    <t>-817.297424333839 403.824013762786 -230.43491693407</t>
  </si>
  <si>
    <t>-578.034976663158 394.785384279209 -203.552312690149</t>
  </si>
  <si>
    <t>-931.742485193283 162.553222531808 -508.877744896686</t>
  </si>
  <si>
    <t>-994.655033104441 48.2748513370875 -465.522798902039</t>
  </si>
  <si>
    <t>-1074.28891675368 96.264676057468 -186.333609985592</t>
  </si>
  <si>
    <t>-852.711769674405 8.75945074525225 -222.352469901084</t>
  </si>
  <si>
    <t>-884.551386563021 323.61863468831 -60.573330276558</t>
  </si>
  <si>
    <t>-878.813083786432 312.33880443211 342.78072183977</t>
  </si>
  <si>
    <t>-934.672133736893 289.888646265863 787.07341637005</t>
  </si>
  <si>
    <t>-791.287230148495 318.243303648434 848.098279952131</t>
  </si>
  <si>
    <t>-917.507032951404 132.965023165647 -53.5343901120947</t>
  </si>
  <si>
    <t>-852.287804452901 76.4178153201233 340.678150577539</t>
  </si>
  <si>
    <t>-919.47089631171 46.6380148674184 782.024390177191</t>
  </si>
  <si>
    <t>-827.623267631449 -59.796687808456 854.983311083896</t>
  </si>
  <si>
    <t>9763-20170724T111229.280219600.bin</t>
  </si>
  <si>
    <t>-900.271020038093 227.831924179306 -56.0162603407224</t>
  </si>
  <si>
    <t>-925.30307645276 228.754888392005 -169.1036609094</t>
  </si>
  <si>
    <t>-931.809001363891 222.158934613817 -267.291431572612</t>
  </si>
  <si>
    <t>-932.424720627996 213.06627867507 -355.920931690522</t>
  </si>
  <si>
    <t>-927.572217683921 200.561467978932 -444.002216175798</t>
  </si>
  <si>
    <t>-915.20582565196 179.356917948337 -566.142555968711</t>
  </si>
  <si>
    <t>-887.456421011486 161.123959441513 -642.317012916983</t>
  </si>
  <si>
    <t>-909.752766898311 213.952901946313 -515.677694182525</t>
  </si>
  <si>
    <t>-853.164897442509 339.230297454309 -514.405342999526</t>
  </si>
  <si>
    <t>-814.697056516576 401.822291069519 -229.460366521104</t>
  </si>
  <si>
    <t>-575.406847480123 388.021251670431 -204.953012148088</t>
  </si>
  <si>
    <t>-931.542560343276 163.423243979936 -509.111478616749</t>
  </si>
  <si>
    <t>-994.540650257506 49.0602671258093 -466.097128660596</t>
  </si>
  <si>
    <t>-1074.49692321395 94.3835368157397 -186.554715671065</t>
  </si>
  <si>
    <t>-852.158906826312 9.71873599828859 -224.613772049718</t>
  </si>
  <si>
    <t>-883.701531124494 322.964716154177 -60.4704408216243</t>
  </si>
  <si>
    <t>-878.361087978953 311.778903640859 342.891675061741</t>
  </si>
  <si>
    <t>-934.535304038531 289.681173359654 787.17662242618</t>
  </si>
  <si>
    <t>-791.081588009125 317.959277354772 848.07622822284</t>
  </si>
  <si>
    <t>-917.017121629237 132.578280792876 -53.6717018030064</t>
  </si>
  <si>
    <t>-852.159469454957 76.372549303097 340.649296506448</t>
  </si>
  <si>
    <t>-919.123702174148 47.2107599568121 781.984500458272</t>
  </si>
  <si>
    <t>-828.035547325423 -59.7621774214606 855.107874356788</t>
  </si>
  <si>
    <t>9763-20170724T111229.317323100.bin</t>
  </si>
  <si>
    <t>-899.924695737589 227.505199688191 -56.050136816802</t>
  </si>
  <si>
    <t>-925.009579108689 228.517173965672 -169.125096481545</t>
  </si>
  <si>
    <t>-931.556205051312 222.101938416172 -267.321965738158</t>
  </si>
  <si>
    <t>-932.203992740887 213.213860177234 -355.972078317213</t>
  </si>
  <si>
    <t>-927.377389925234 200.95333693716 -444.08908885401</t>
  </si>
  <si>
    <t>-915.038013022918 180.130445188196 -566.297914921491</t>
  </si>
  <si>
    <t>-887.339513186788 162.244531767586 -642.57302257655</t>
  </si>
  <si>
    <t>-909.538812715077 214.554195200384 -515.720375600067</t>
  </si>
  <si>
    <t>-852.758848678761 339.738110131779 -514.0213994819</t>
  </si>
  <si>
    <t>-813.61974326472 400.707689100801 -228.816031792983</t>
  </si>
  <si>
    <t>-574.284074606726 385.684516205115 -205.501142878051</t>
  </si>
  <si>
    <t>-931.397209262984 164.032854641127 -509.319109743601</t>
  </si>
  <si>
    <t>-994.464738926899 49.6049983278249 -466.580544393928</t>
  </si>
  <si>
    <t>-1074.51709041029 92.9401787261627 -186.750308722962</t>
  </si>
  <si>
    <t>-851.539928579899 11.0708819169881 -227.118508325107</t>
  </si>
  <si>
    <t>-883.233233108749 322.606032185945 -60.4525121857404</t>
  </si>
  <si>
    <t>-878.103641553368 311.490265498061 342.914222861607</t>
  </si>
  <si>
    <t>-934.409670141185 289.714627221722 787.19324802994</t>
  </si>
  <si>
    <t>-790.935992180931 317.971530644547 848.05456288381</t>
  </si>
  <si>
    <t>-916.796822138846 132.349389661231 -53.7593386870659</t>
  </si>
  <si>
    <t>-852.207836614809 76.3594226175169 340.636462015336</t>
  </si>
  <si>
    <t>-919.00348529009 47.4564246379514 782.01425580517</t>
  </si>
  <si>
    <t>-828.005150466453 -59.566054014311 855.177093278249</t>
  </si>
  <si>
    <t>9763-20170724T111229.380993000.bin</t>
  </si>
  <si>
    <t>-899.278564069825 226.508140088523 -56.177763682427</t>
  </si>
  <si>
    <t>-924.437925670137 227.70518055235 -169.234356694519</t>
  </si>
  <si>
    <t>-930.978826875262 221.72325111205 -267.458987125967</t>
  </si>
  <si>
    <t>-931.585481337768 213.335072137768 -356.15805099974</t>
  </si>
  <si>
    <t>-926.677358289109 201.678628072456 -444.352647908624</t>
  </si>
  <si>
    <t>-914.177132469317 181.80605849383 -566.703067104302</t>
  </si>
  <si>
    <t>-886.553349399784 164.750765217222 -643.195240890435</t>
  </si>
  <si>
    <t>-908.719087077469 215.825117742452 -515.848221951618</t>
  </si>
  <si>
    <t>-851.633056101757 340.857723465729 -512.954106356458</t>
  </si>
  <si>
    <t>-811.328953515422 398.640196290024 -227.247964770117</t>
  </si>
  <si>
    <t>-571.923692562072 382.150527032217 -205.706522151854</t>
  </si>
  <si>
    <t>-930.636851002764 165.277037521902 -509.877238905097</t>
  </si>
  <si>
    <t>-993.729943399136 50.5748384742656 -467.936867762492</t>
  </si>
  <si>
    <t>-1073.85006387375 90.8679014410177 -187.672008487395</t>
  </si>
  <si>
    <t>-850.446405394331 13.0074221945119 -233.272243389826</t>
  </si>
  <si>
    <t>-882.29763311652 321.46928723239 -60.4975904276371</t>
  </si>
  <si>
    <t>-877.627017688671 310.576883636104 342.880951408645</t>
  </si>
  <si>
    <t>-934.308191926094 289.567896707791 787.140280431015</t>
  </si>
  <si>
    <t>-790.875911067144 318.185979962635 847.931074128878</t>
  </si>
  <si>
    <t>-916.434105488624 131.45438177968 -53.9774818362379</t>
  </si>
  <si>
    <t>-852.609287906421 76.2330962627198 340.651068908856</t>
  </si>
  <si>
    <t>-918.974465226114 47.7273802033446 782.143859500093</t>
  </si>
  <si>
    <t>-828.198664735127 -59.4437478408217 855.365960475044</t>
  </si>
  <si>
    <t>9763-20170724T111229.414111600.bin</t>
  </si>
  <si>
    <t>-898.900484045419 225.924485759381 -56.2741659205209</t>
  </si>
  <si>
    <t>-924.10096316652 227.215452564494 -169.320557738735</t>
  </si>
  <si>
    <t>-930.637169494145 221.449889548574 -267.558453796346</t>
  </si>
  <si>
    <t>-931.220891056937 213.309130054796 -356.280731332625</t>
  </si>
  <si>
    <t>-926.268915697128 201.949213987242 -444.511590212683</t>
  </si>
  <si>
    <t>-913.684332691177 182.540388575673 -566.927838523783</t>
  </si>
  <si>
    <t>-886.110547623756 165.89808559045 -643.528902353019</t>
  </si>
  <si>
    <t>-908.24808392412 216.360918312944 -515.938239715076</t>
  </si>
  <si>
    <t>-851.020292265337 341.302680045228 -512.384271462397</t>
  </si>
  <si>
    <t>-809.959138901198 397.450626442323 -226.460149452391</t>
  </si>
  <si>
    <t>-570.454449226743 380.125329972211 -206.757835602999</t>
  </si>
  <si>
    <t>-930.196441246102 165.801384634419 -510.178503271873</t>
  </si>
  <si>
    <t>-993.304345818983 50.9372178301501 -468.695383164759</t>
  </si>
  <si>
    <t>-1073.09294252599 90.1125624628826 -188.177546372382</t>
  </si>
  <si>
    <t>-849.924300144084 12.9499093616373 -236.056852818636</t>
  </si>
  <si>
    <t>-881.75877350574 320.783391751716 -60.5223399015864</t>
  </si>
  <si>
    <t>-877.481728595082 309.996335260586 342.863289439551</t>
  </si>
  <si>
    <t>-934.227337285044 289.419326425569 787.11550805383</t>
  </si>
  <si>
    <t>-790.724255579791 317.745605342257 847.875654390488</t>
  </si>
  <si>
    <t>-916.213610719389 130.974118009713 -54.0885568240968</t>
  </si>
  <si>
    <t>-852.777821659147 76.0540905087432 340.644711183039</t>
  </si>
  <si>
    <t>-918.983604393809 47.8684173716219 782.223032463951</t>
  </si>
  <si>
    <t>-828.330722288313 -59.4007746955567 855.453464280036</t>
  </si>
  <si>
    <t>9763-20170724T111229.481291800.bin</t>
  </si>
  <si>
    <t>-898.360254307083 224.560974657396 -56.4438224901185</t>
  </si>
  <si>
    <t>-923.593304075491 226.034333328642 -169.480883046779</t>
  </si>
  <si>
    <t>-930.099868537625 220.702696038083 -267.745191868254</t>
  </si>
  <si>
    <t>-930.62803692493 213.059794954759 -356.512109681018</t>
  </si>
  <si>
    <t>-925.588531443505 202.297690411914 -444.812792332233</t>
  </si>
  <si>
    <t>-912.844911918786 183.824032077897 -567.357249269763</t>
  </si>
  <si>
    <t>-885.372418039479 167.994110939668 -644.166674547395</t>
  </si>
  <si>
    <t>-907.451864368972 217.244708041596 -516.100165701262</t>
  </si>
  <si>
    <t>-849.972247609831 342.031771848266 -511.295075829071</t>
  </si>
  <si>
    <t>-806.609195739233 395.226250160594 -225.14616553724</t>
  </si>
  <si>
    <t>-566.954651704715 377.526880484912 -207.732685466128</t>
  </si>
  <si>
    <t>-929.453820628976 166.662011604991 -510.762814814009</t>
  </si>
  <si>
    <t>-992.675362613158 51.4844161018555 -470.326405647479</t>
  </si>
  <si>
    <t>-1071.8176684973 87.1915761515033 -189.163315155344</t>
  </si>
  <si>
    <t>-848.794802773904 11.7614842804578 -240.369428965611</t>
  </si>
  <si>
    <t>-880.937539666187 319.305712022495 -60.5780689953311</t>
  </si>
  <si>
    <t>-877.818307903403 308.884929292946 342.827896079123</t>
  </si>
  <si>
    <t>-934.037402140259 289.2778866739 787.116867717364</t>
  </si>
  <si>
    <t>-790.54897714558 317.600711709661 847.912477960869</t>
  </si>
  <si>
    <t>-915.99303445581 129.686717302603 -54.364485308369</t>
  </si>
  <si>
    <t>-853.372838253114 75.4718356490839 340.596389110826</t>
  </si>
  <si>
    <t>-919.193459135329 47.8970564462652 782.370212679858</t>
  </si>
  <si>
    <t>-828.265876710822 -59.1668781490821 855.560363592114</t>
  </si>
  <si>
    <t>9763-20170724T111229.513432600.bin</t>
  </si>
  <si>
    <t>-898.186479365856 223.891178372701 -56.5423457353197</t>
  </si>
  <si>
    <t>-923.441774667697 225.464344878477 -169.573062641272</t>
  </si>
  <si>
    <t>-929.922538025875 220.346502875379 -267.85045655751</t>
  </si>
  <si>
    <t>-930.406412637773 212.945301048774 -356.638018081284</t>
  </si>
  <si>
    <t>-925.299534910068 202.472637571103 -444.96974684519</t>
  </si>
  <si>
    <t>-912.436355196364 184.45023047791 -567.568862063656</t>
  </si>
  <si>
    <t>-884.992528073623 169.027946398103 -644.471541972593</t>
  </si>
  <si>
    <t>-907.093614891212 217.681630635839 -516.183829742659</t>
  </si>
  <si>
    <t>-849.4987432521 342.379589171054 -510.776894799114</t>
  </si>
  <si>
    <t>-804.68092686707 394.34560135715 -224.626591045898</t>
  </si>
  <si>
    <t>-564.956186527363 376.48914412263 -208.374038318859</t>
  </si>
  <si>
    <t>-929.100053109069 167.079845932042 -511.054175133988</t>
  </si>
  <si>
    <t>-992.333102214121 51.7163947445642 -471.171927716474</t>
  </si>
  <si>
    <t>-1071.27373845048 85.6610526893533 -189.733871153141</t>
  </si>
  <si>
    <t>-848.094960409484 11.6706381129275 -242.341676732568</t>
  </si>
  <si>
    <t>-880.660869778479 318.638015513418 -60.6063193038291</t>
  </si>
  <si>
    <t>-878.056491439447 308.432543721765 342.808775465739</t>
  </si>
  <si>
    <t>-933.927478262099 289.299527871927 787.14709093606</t>
  </si>
  <si>
    <t>-790.514464519185 317.837647176596 848.020884173651</t>
  </si>
  <si>
    <t>-915.92491000723 129.060023320521 -54.5150451545001</t>
  </si>
  <si>
    <t>-853.619485971721 75.2555504778848 340.551762815696</t>
  </si>
  <si>
    <t>-919.10395197194 48.1821419882658 782.406668896616</t>
  </si>
  <si>
    <t>-828.413743969019 -59.0834122102774 855.596138131231</t>
  </si>
  <si>
    <t>9763-20170724T111229.582122400.bin</t>
  </si>
  <si>
    <t>-898.196127825775 222.303903551233 -56.7129836764013</t>
  </si>
  <si>
    <t>-923.541302451854 224.034324377306 -169.721123389947</t>
  </si>
  <si>
    <t>-930.002640125151 219.300280323774 -268.019317383649</t>
  </si>
  <si>
    <t>-930.424027816483 212.340537948668 -356.842809411376</t>
  </si>
  <si>
    <t>-925.206808913066 202.399058431859 -445.22935948104</t>
  </si>
  <si>
    <t>-912.135800047108 185.210171376916 -567.926094630345</t>
  </si>
  <si>
    <t>-884.728231580252 170.529474840867 -644.986730597174</t>
  </si>
  <si>
    <t>-906.876675394859 218.090429522986 -516.306954349248</t>
  </si>
  <si>
    <t>-849.039945798992 342.634286038015 -509.768545954936</t>
  </si>
  <si>
    <t>-801.057544502945 392.403298535012 -223.740553951936</t>
  </si>
  <si>
    <t>-561.203363598703 374.722513922822 -209.312058232944</t>
  </si>
  <si>
    <t>-928.898853595754 167.457945264242 -511.559771322966</t>
  </si>
  <si>
    <t>-992.137754048397 51.7693006231466 -472.649762375091</t>
  </si>
  <si>
    <t>-1070.57656001744 82.7535613780819 -190.730558938823</t>
  </si>
  <si>
    <t>-846.767607086785 12.0962336116886 -245.208736306158</t>
  </si>
  <si>
    <t>-880.494007881816 317.081292892246 -60.6664547068027</t>
  </si>
  <si>
    <t>-878.324242251679 307.396538466247 342.764004760914</t>
  </si>
  <si>
    <t>-933.766646375369 289.247259799989 787.180348302071</t>
  </si>
  <si>
    <t>-790.391990949184 317.878067412909 848.100157713263</t>
  </si>
  <si>
    <t>-916.145300390622 127.373000991707 -54.8289771863909</t>
  </si>
  <si>
    <t>-854.408352587074 74.7062808481946 340.480207804233</t>
  </si>
  <si>
    <t>-919.337686532583 48.0959720751557 782.48856082673</t>
  </si>
  <si>
    <t>-828.228987170915 -58.8333994872871 855.649661734669</t>
  </si>
  <si>
    <t>9763-20170724T111229.614637600.bin</t>
  </si>
  <si>
    <t>-898.179741472715 221.565359925134 -56.7980978612435</t>
  </si>
  <si>
    <t>-923.618236526576 223.366972927439 -169.78412716056</t>
  </si>
  <si>
    <t>-930.13503119549 218.841939825582 -268.088418115325</t>
  </si>
  <si>
    <t>-930.59312747117 212.128270542779 -356.930685474054</t>
  </si>
  <si>
    <t>-925.396585664076 202.48802265159 -445.351846248118</t>
  </si>
  <si>
    <t>-912.335477024367 185.775599211041 -568.115459413375</t>
  </si>
  <si>
    <t>-884.974698214963 171.437425328634 -645.257108311282</t>
  </si>
  <si>
    <t>-907.073076304037 218.455362962513 -516.369602299494</t>
  </si>
  <si>
    <t>-849.106924088591 342.901824058003 -509.326897711459</t>
  </si>
  <si>
    <t>-799.331997913062 391.767498325643 -223.449573714585</t>
  </si>
  <si>
    <t>-559.430380898466 374.380380566677 -209.455583743686</t>
  </si>
  <si>
    <t>-929.093149473726 167.803998424326 -511.816910867465</t>
  </si>
  <si>
    <t>-992.326048626233 51.9663894780192 -473.330131679809</t>
  </si>
  <si>
    <t>-1070.27442644018 81.8452752418993 -191.155618429721</t>
  </si>
  <si>
    <t>-846.245821490979 12.5828044302511 -246.515517983136</t>
  </si>
  <si>
    <t>-880.393407306439 316.265164793047 -60.7094875880631</t>
  </si>
  <si>
    <t>-878.47907339686 306.903596356401 342.729949389612</t>
  </si>
  <si>
    <t>-933.702257157593 289.19559001065 787.174961235042</t>
  </si>
  <si>
    <t>-790.299080506216 317.687076617855 848.093064926277</t>
  </si>
  <si>
    <t>-916.199175783253 126.753635560616 -54.9641512047654</t>
  </si>
  <si>
    <t>-854.67156628642 74.5444797021742 340.438495725121</t>
  </si>
  <si>
    <t>-919.239020632262 48.3470788584691 782.518302549909</t>
  </si>
  <si>
    <t>-828.610874155486 -58.9750988649625 855.701590180085</t>
  </si>
  <si>
    <t>9763-20170724T111229.680316100.bin</t>
  </si>
  <si>
    <t>-898.273460623586 220.259651605542 -56.9826295875476</t>
  </si>
  <si>
    <t>-923.911179695084 222.206940492911 -169.921390739624</t>
  </si>
  <si>
    <t>-930.655729777097 218.1443242411 -268.230355963452</t>
  </si>
  <si>
    <t>-931.332978288742 211.983062288472 -357.111317812546</t>
  </si>
  <si>
    <t>-926.362593348321 203.027154433968 -445.617401216265</t>
  </si>
  <si>
    <t>-913.618348996949 187.406980596691 -568.558007889768</t>
  </si>
  <si>
    <t>-886.418601133413 173.659095835263 -645.863854660297</t>
  </si>
  <si>
    <t>-908.22450317355 219.626635123072 -516.537690412629</t>
  </si>
  <si>
    <t>-850.022401393939 343.911409709272 -508.612614692386</t>
  </si>
  <si>
    <t>-796.9392084046 390.952928498398 -223.024695807299</t>
  </si>
  <si>
    <t>-556.879697262294 375.052838657846 -210.003178565115</t>
  </si>
  <si>
    <t>-930.228521643128 168.934510168585 -512.377988251724</t>
  </si>
  <si>
    <t>-993.473199794243 52.8402934733781 -474.682253902535</t>
  </si>
  <si>
    <t>-1070.28600799831 80.5817683160017 -191.978537234313</t>
  </si>
  <si>
    <t>-845.564630245366 14.1239732527333 -247.965654872955</t>
  </si>
  <si>
    <t>-880.305132668494 314.802909450748 -60.8112134307369</t>
  </si>
  <si>
    <t>-878.927064393534 306.079628280305 342.644697743733</t>
  </si>
  <si>
    <t>-933.588029499346 289.186741312503 787.17434729144</t>
  </si>
  <si>
    <t>-790.251305069529 317.999588299793 848.098254447911</t>
  </si>
  <si>
    <t>-916.463167155048 125.608268515025 -55.2299139416517</t>
  </si>
  <si>
    <t>-855.449208217967 74.1594658765789 340.351908888339</t>
  </si>
  <si>
    <t>-919.335783250556 48.4220203891091 782.596706136481</t>
  </si>
  <si>
    <t>-828.654700770706 -58.8613260491525 855.771468852501</t>
  </si>
  <si>
    <t>9763-20170724T111229.715915300.bin</t>
  </si>
  <si>
    <t>-898.424862175369 219.597265202347 -57.078646114461</t>
  </si>
  <si>
    <t>-924.18525487583 221.634069431993 -169.987876342724</t>
  </si>
  <si>
    <t>-931.109969076764 217.821981503017 -268.294462873703</t>
  </si>
  <si>
    <t>-931.974833283348 211.95901610874 -357.193867310252</t>
  </si>
  <si>
    <t>-927.212135432594 203.373240513645 -445.748158197332</t>
  </si>
  <si>
    <t>-914.775484956833 188.346222253761 -568.794151738255</t>
  </si>
  <si>
    <t>-887.69126312121 174.874535552286 -646.189086426027</t>
  </si>
  <si>
    <t>-909.268650723067 220.32198374605 -516.635352034958</t>
  </si>
  <si>
    <t>-851.049675616677 344.585502221863 -508.382779314958</t>
  </si>
  <si>
    <t>-796.278406987366 390.940077186452 -223.001287638664</t>
  </si>
  <si>
    <t>-556.136855004233 375.775825624272 -210.638019647128</t>
  </si>
  <si>
    <t>-931.22783279644 169.595507230828 -512.659894072185</t>
  </si>
  <si>
    <t>-994.343444717177 53.3252797197893 -475.309534578759</t>
  </si>
  <si>
    <t>-1070.80638144543 80.0822840314067 -192.416114423448</t>
  </si>
  <si>
    <t>-845.632255149428 15.1056094578107 -248.32203217029</t>
  </si>
  <si>
    <t>-880.394758625678 314.11416058446 -60.8592005241625</t>
  </si>
  <si>
    <t>-879.141376583453 305.672114374333 342.603060064852</t>
  </si>
  <si>
    <t>-933.519729035189 289.139353884501 787.177974236684</t>
  </si>
  <si>
    <t>-790.168582762236 317.874513242202 848.104178888722</t>
  </si>
  <si>
    <t>-916.723889776825 124.965732148818 -55.3667025011258</t>
  </si>
  <si>
    <t>-855.966363513043 74.0394063390881 340.322083131155</t>
  </si>
  <si>
    <t>-919.43373500518 48.3905404072411 782.647784328894</t>
  </si>
  <si>
    <t>-828.610363959085 -58.7811964531568 855.809728430886</t>
  </si>
  <si>
    <t>9763-20170724T111229.781088800.bin</t>
  </si>
  <si>
    <t>-898.842112106774 218.613916851234 -57.2698834275034</t>
  </si>
  <si>
    <t>-924.81967024791 220.80421490792 -170.126277835287</t>
  </si>
  <si>
    <t>-932.143826072388 217.378297256008 -268.418070936867</t>
  </si>
  <si>
    <t>-933.447205143827 211.972759773492 -357.341298886859</t>
  </si>
  <si>
    <t>-929.193268025507 203.955590786796 -445.974654361339</t>
  </si>
  <si>
    <t>-917.532326048375 189.8404224127 -569.204450700957</t>
  </si>
  <si>
    <t>-890.667318138002 176.838345014968 -646.756038339252</t>
  </si>
  <si>
    <t>-911.730084339011 221.443431667808 -516.850894983906</t>
  </si>
  <si>
    <t>-853.816770658612 345.838201934421 -508.345139531495</t>
  </si>
  <si>
    <t>-796.243208241031 391.630634278425 -223.424894857292</t>
  </si>
  <si>
    <t>-555.99612306427 377.874107904064 -211.472210485308</t>
  </si>
  <si>
    <t>-933.597259255898 170.660284160799 -513.103303659265</t>
  </si>
  <si>
    <t>-996.343291466203 54.0551534639953 -476.209264034773</t>
  </si>
  <si>
    <t>-1072.40857805405 78.9742133507243 -193.04087471127</t>
  </si>
  <si>
    <t>-846.280423805709 16.852929642494 -248.338129692093</t>
  </si>
  <si>
    <t>-880.775614541757 313.069214855332 -60.9652899010201</t>
  </si>
  <si>
    <t>-879.716096011914 305.168169045688 342.508498377399</t>
  </si>
  <si>
    <t>-933.441011745527 289.280319711684 787.196180423213</t>
  </si>
  <si>
    <t>-790.09158838507 318.051615128363 848.109577909171</t>
  </si>
  <si>
    <t>-917.157178020324 124.152452117141 -55.6592149749281</t>
  </si>
  <si>
    <t>-857.185356189358 74.0993583975824 340.260826381575</t>
  </si>
  <si>
    <t>-919.455335872332 48.5767671847971 782.741157477204</t>
  </si>
  <si>
    <t>-828.596962584959 -58.5627372903168 855.906841801406</t>
  </si>
  <si>
    <t>9763-20170724T111229.813772200.bin</t>
  </si>
  <si>
    <t>-899.086871557733 218.257069477465 -57.406751027044</t>
  </si>
  <si>
    <t>-925.26434672006 220.468169629935 -170.216653334385</t>
  </si>
  <si>
    <t>-932.865144746703 217.187343480138 -268.492425201702</t>
  </si>
  <si>
    <t>-934.457709714746 211.963356899487 -357.421587547961</t>
  </si>
  <si>
    <t>-930.52972577872 204.177415280306 -446.090739774638</t>
  </si>
  <si>
    <t>-919.360291223966 190.437472291495 -569.408433915977</t>
  </si>
  <si>
    <t>-892.633935013829 177.642402833839 -647.042335979343</t>
  </si>
  <si>
    <t>-913.343506366222 221.878729068815 -516.981818546772</t>
  </si>
  <si>
    <t>-855.670771459655 346.390741726475 -508.556534357182</t>
  </si>
  <si>
    <t>-797.428927262526 392.233396971722 -223.780115966493</t>
  </si>
  <si>
    <t>-557.149692700833 379.324899629844 -211.525232798121</t>
  </si>
  <si>
    <t>-935.207203688364 171.088901352073 -513.303095832896</t>
  </si>
  <si>
    <t>-997.773999003322 54.3516542046259 -476.516192283117</t>
  </si>
  <si>
    <t>-1073.52863995552 78.2129947621561 -193.173512196045</t>
  </si>
  <si>
    <t>-847.00346342646 17.4825505647013 -248.392136077475</t>
  </si>
  <si>
    <t>-881.298660703169 312.495544755279 -61.0536627153709</t>
  </si>
  <si>
    <t>-880.106540529851 305.047688851068 342.428437366376</t>
  </si>
  <si>
    <t>-933.452040598448 289.300362573052 787.180559501043</t>
  </si>
  <si>
    <t>-790.042569017943 318.037918540809 847.968002262331</t>
  </si>
  <si>
    <t>-917.180104926771 124.005862208708 -55.8091500729678</t>
  </si>
  <si>
    <t>-857.983600625382 74.2392947923672 340.263737888982</t>
  </si>
  <si>
    <t>-919.514254954871 48.606465954726 782.800970200642</t>
  </si>
  <si>
    <t>-828.713619548965 -58.5758051687819 855.975460481141</t>
  </si>
  <si>
    <t>9763-20170724T111229.878445400.bin</t>
  </si>
  <si>
    <t>-899.770548185025 217.610416099571 -57.6892671540072</t>
  </si>
  <si>
    <t>-926.355489039732 219.693056750154 -170.40628766497</t>
  </si>
  <si>
    <t>-934.551121775334 216.612537749618 -268.640628611002</t>
  </si>
  <si>
    <t>-936.776417542284 211.686326414429 -357.573400481012</t>
  </si>
  <si>
    <t>-933.571815968525 204.310719508581 -446.30658868314</t>
  </si>
  <si>
    <t>-923.503501889106 191.257242710589 -569.793534251904</t>
  </si>
  <si>
    <t>-897.068197552568 178.866489373644 -647.592569778787</t>
  </si>
  <si>
    <t>-917.006028124804 222.401314601615 -517.247070558293</t>
  </si>
  <si>
    <t>-859.789748505182 347.118230547633 -508.864598541212</t>
  </si>
  <si>
    <t>-802.928112711129 393.118303068065 -223.834743189959</t>
  </si>
  <si>
    <t>-562.495862940897 382.3386632665 -212.567952925758</t>
  </si>
  <si>
    <t>-938.862123379339 171.601582531559 -513.659030112317</t>
  </si>
  <si>
    <t>-1000.9252693835 54.5419381564707 -477.003180780818</t>
  </si>
  <si>
    <t>-1075.75042801346 76.9582819710918 -193.295680778854</t>
  </si>
  <si>
    <t>-848.677133322699 18.1585599155928 -248.350889870996</t>
  </si>
  <si>
    <t>-882.578535306632 311.33801953031 -61.3679361675499</t>
  </si>
  <si>
    <t>-880.885210394981 305.084964897337 342.132605404227</t>
  </si>
  <si>
    <t>-933.629201635467 289.485414692969 787.045717880217</t>
  </si>
  <si>
    <t>-790.219591502571 319.095020533819 847.413022019861</t>
  </si>
  <si>
    <t>-917.249216547817 123.857117388972 -56.0592567525123</t>
  </si>
  <si>
    <t>-859.363680862914 74.4427960861408 340.251400968416</t>
  </si>
  <si>
    <t>-919.435492959543 48.8836108152768 782.923911993416</t>
  </si>
  <si>
    <t>-829.366727214013 -58.8583460031473 856.181020721891</t>
  </si>
  <si>
    <t>9763-20170724T111229.914559400.bin</t>
  </si>
  <si>
    <t>-900.027444207625 216.972086989153 -57.7892101509884</t>
  </si>
  <si>
    <t>-926.81302372173 219.036103433547 -170.459178496802</t>
  </si>
  <si>
    <t>-935.282555190189 216.105143924461 -268.674770797838</t>
  </si>
  <si>
    <t>-937.794246890313 211.377710405501 -357.610696208009</t>
  </si>
  <si>
    <t>-934.910698018479 204.264112349522 -446.376205319369</t>
  </si>
  <si>
    <t>-925.325337379584 191.640609596931 -569.946452883535</t>
  </si>
  <si>
    <t>-898.998080150342 179.511154872791 -647.823111083546</t>
  </si>
  <si>
    <t>-918.653229044712 222.614757607569 -517.321303573017</t>
  </si>
  <si>
    <t>-861.77581523807 347.477750281153 -508.808620003375</t>
  </si>
  <si>
    <t>-807.102168434074 392.860239716745 -223.252269407085</t>
  </si>
  <si>
    <t>-566.563368798205 384.048804211866 -212.562262904293</t>
  </si>
  <si>
    <t>-940.433420209107 171.776469230918 -513.817324260646</t>
  </si>
  <si>
    <t>-1002.14768976868 54.4821143214249 -477.270690089425</t>
  </si>
  <si>
    <t>-1076.31846412096 76.3906891104148 -193.35190133039</t>
  </si>
  <si>
    <t>-849.056442433123 18.470335442631 -248.560896744495</t>
  </si>
  <si>
    <t>-882.872400179572 310.503644463626 -61.4827555361611</t>
  </si>
  <si>
    <t>-881.095385840727 304.904732494411 342.027055412557</t>
  </si>
  <si>
    <t>-933.687391752376 289.484920057915 786.971369492549</t>
  </si>
  <si>
    <t>-790.213981388178 319.196969773294 847.136983566943</t>
  </si>
  <si>
    <t>-917.327592667268 123.333998182698 -56.1785745127345</t>
  </si>
  <si>
    <t>-859.838388943009 74.2529147800315 340.231204452913</t>
  </si>
  <si>
    <t>-919.48461202873 48.9025670706737 783.016083626267</t>
  </si>
  <si>
    <t>-829.46828383559 -58.8778082865606 856.280681781187</t>
  </si>
  <si>
    <t>9763-20170724T111229.981241100.bin</t>
  </si>
  <si>
    <t>-900.194971683422 214.781664133359 -57.8553633261157</t>
  </si>
  <si>
    <t>-927.395048061763 216.834180368317 -170.426018017366</t>
  </si>
  <si>
    <t>-936.346036443787 214.276132033734 -268.609576554425</t>
  </si>
  <si>
    <t>-939.332253861396 210.039276764709 -357.555436514995</t>
  </si>
  <si>
    <t>-936.954816261877 203.572720770782 -446.385400937155</t>
  </si>
  <si>
    <t>-928.100121396702 192.01659564938 -570.114398870907</t>
  </si>
  <si>
    <t>-901.927147087564 180.525297060767 -648.139798275678</t>
  </si>
  <si>
    <t>-921.274279799051 222.601177255005 -517.281679577123</t>
  </si>
  <si>
    <t>-865.466126029745 347.904734440026 -508.155430276623</t>
  </si>
  <si>
    <t>-816.034078286863 392.068462519944 -221.454785600319</t>
  </si>
  <si>
    <t>-575.364852455747 387.056719844983 -211.251975467395</t>
  </si>
  <si>
    <t>-942.719050100376 171.6025507568 -514.053205412766</t>
  </si>
  <si>
    <t>-1003.42614800461 53.6223374475139 -478.084610706446</t>
  </si>
  <si>
    <t>-1076.69199206161 73.8185336770907 -193.804124324037</t>
  </si>
  <si>
    <t>-849.09111417716 17.9772836081734 -249.753821146716</t>
  </si>
  <si>
    <t>-883.017918708039 308.158789620075 -61.5611192874833</t>
  </si>
  <si>
    <t>-881.142746760512 303.714611028519 341.962584685898</t>
  </si>
  <si>
    <t>-933.75934467946 289.448745733663 786.862489952306</t>
  </si>
  <si>
    <t>-790.224727592491 319.468635823212 846.728311997436</t>
  </si>
  <si>
    <t>-917.516520356065 121.205357537578 -56.3449436147237</t>
  </si>
  <si>
    <t>-860.648645482652 73.4029421907103 340.310689636397</t>
  </si>
  <si>
    <t>-919.699206628514 48.8310266996577 783.294516553355</t>
  </si>
  <si>
    <t>-829.422894705157 -58.7872202303129 856.477811234267</t>
  </si>
  <si>
    <t>9763-20170724T111230.014334900.bin</t>
  </si>
  <si>
    <t>-900.213404698545 213.368330384241 -57.9009172942375</t>
  </si>
  <si>
    <t>-927.634019888139 215.446593200741 -170.417637869517</t>
  </si>
  <si>
    <t>-936.809924125817 213.109495289626 -268.585902154652</t>
  </si>
  <si>
    <t>-940.008021218922 209.152341735326 -357.537295707876</t>
  </si>
  <si>
    <t>-937.846298003343 203.046144522408 -446.398331890087</t>
  </si>
  <si>
    <t>-929.29330919571 192.078049628773 -570.202007653074</t>
  </si>
  <si>
    <t>-903.173880841307 180.931047150938 -648.295153817154</t>
  </si>
  <si>
    <t>-922.42923275074 222.448633397116 -517.250916474737</t>
  </si>
  <si>
    <t>-867.19006734273 347.972393840349 -507.726756481739</t>
  </si>
  <si>
    <t>-821.052337751515 391.642341455314 -220.402157307593</t>
  </si>
  <si>
    <t>-580.340563452068 388.452032027491 -210.474877521605</t>
  </si>
  <si>
    <t>-943.68524441599 171.360329787833 -514.193381708335</t>
  </si>
  <si>
    <t>-1003.89455479203 53.015460297755 -478.602876875835</t>
  </si>
  <si>
    <t>-1076.72999776875 71.5992898573595 -194.101845407561</t>
  </si>
  <si>
    <t>-848.936020697118 17.1597243511906 -250.645866272741</t>
  </si>
  <si>
    <t>-883.00143353774 306.766098418409 -61.5699713390964</t>
  </si>
  <si>
    <t>-881.289776209155 302.844065107741 341.959895088012</t>
  </si>
  <si>
    <t>-933.773162099789 289.439094568294 786.837061605407</t>
  </si>
  <si>
    <t>-790.215054814537 319.512730811589 846.618769134184</t>
  </si>
  <si>
    <t>-917.649750506403 119.833179007119 -56.4083228637944</t>
  </si>
  <si>
    <t>-860.897306983577 72.757267559145 340.350657833324</t>
  </si>
  <si>
    <t>-919.763477805375 48.8404982091602 783.432961663633</t>
  </si>
  <si>
    <t>-829.502679559322 -58.823840950248 856.567354007544</t>
  </si>
  <si>
    <t>9763-20170724T111230.085536100.bin</t>
  </si>
  <si>
    <t>-900.148473175562 210.35203387689 -58.0772740158193</t>
  </si>
  <si>
    <t>-927.927550532277 212.545534135842 -170.503825941914</t>
  </si>
  <si>
    <t>-937.538815215793 210.676918103519 -268.640334844618</t>
  </si>
  <si>
    <t>-941.171913604894 207.293151104323 -357.598834323582</t>
  </si>
  <si>
    <t>-939.477616198835 201.914312563335 -446.517008527142</t>
  </si>
  <si>
    <t>-931.602931251071 192.125170533143 -570.464439126613</t>
  </si>
  <si>
    <t>-905.61223433578 181.64411973407 -648.69274741426</t>
  </si>
  <si>
    <t>-924.6283307109 222.063992025822 -517.282222876121</t>
  </si>
  <si>
    <t>-870.559539606458 348.035860818607 -506.932829255095</t>
  </si>
  <si>
    <t>-832.385445981568 390.412977788161 -218.249230457276</t>
  </si>
  <si>
    <t>-591.786192802142 391.301216985861 -205.520181263916</t>
  </si>
  <si>
    <t>-945.508046335351 170.801779865467 -514.560425934512</t>
  </si>
  <si>
    <t>-1004.69518866314 51.7293117116542 -479.676000185368</t>
  </si>
  <si>
    <t>-1076.37105417683 67.1362841622099 -194.691116643088</t>
  </si>
  <si>
    <t>-848.413878656467 15.2323887609437 -252.934959464886</t>
  </si>
  <si>
    <t>-882.856349369312 303.981340724855 -61.5993056407225</t>
  </si>
  <si>
    <t>-882.020241208808 300.906171253312 341.940664101746</t>
  </si>
  <si>
    <t>-933.746992362766 289.428431848256 786.829038419326</t>
  </si>
  <si>
    <t>-790.198340893319 319.608935467377 846.581097000843</t>
  </si>
  <si>
    <t>-917.69724999674 116.664497287155 -56.661030455113</t>
  </si>
  <si>
    <t>-861.492005659167 71.2977722991295 340.374872839087</t>
  </si>
  <si>
    <t>-920.003530331047 48.6626562214274 783.677186322959</t>
  </si>
  <si>
    <t>-829.210538284509 -58.6385558638187 856.686863471538</t>
  </si>
  <si>
    <t>9763-20170724T111230.113610400.bin</t>
  </si>
  <si>
    <t>-899.97044159261 208.89016280318 -58.1904538881255</t>
  </si>
  <si>
    <t>-927.896754038125 211.167748218638 -170.578786676346</t>
  </si>
  <si>
    <t>-937.727379353045 209.545604187812 -268.698008311741</t>
  </si>
  <si>
    <t>-941.591479299685 206.457544204659 -357.657487601559</t>
  </si>
  <si>
    <t>-940.15633579753 201.449874412802 -446.601814141127</t>
  </si>
  <si>
    <t>-932.669488785791 192.259857566065 -570.619228862435</t>
  </si>
  <si>
    <t>-906.748875563889 182.073598601215 -648.909709915403</t>
  </si>
  <si>
    <t>-925.615671507629 221.976095361754 -517.322917665372</t>
  </si>
  <si>
    <t>-872.155787453079 348.170648231994 -506.557662418645</t>
  </si>
  <si>
    <t>-839.000702188278 389.37807565863 -217.085984216035</t>
  </si>
  <si>
    <t>-598.629002387547 392.723328568316 -200.924480393122</t>
  </si>
  <si>
    <t>-946.31262585991 170.631548483025 -514.767631281238</t>
  </si>
  <si>
    <t>-1004.99966584939 51.2136934736245 -480.226536342887</t>
  </si>
  <si>
    <t>-1076.00261075025 65.3358189841565 -195.006665593249</t>
  </si>
  <si>
    <t>-848.091907663438 14.41256725736 -254.289738012521</t>
  </si>
  <si>
    <t>-882.617911029775 302.617413277688 -61.6120947696053</t>
  </si>
  <si>
    <t>-882.328608058636 300.007467210211 341.931959137065</t>
  </si>
  <si>
    <t>-933.702145886369 289.456816417464 786.8529023015</t>
  </si>
  <si>
    <t>-790.201512637981 319.74144656934 846.66610182949</t>
  </si>
  <si>
    <t>-917.577136062563 115.123314586954 -56.8400769020136</t>
  </si>
  <si>
    <t>-861.766515499104 70.7255508294297 340.36098555502</t>
  </si>
  <si>
    <t>-920.004827827609 48.7177437214928 783.777915757426</t>
  </si>
  <si>
    <t>-829.49787470571 -58.8434818056492 856.760295642162</t>
  </si>
  <si>
    <t>9763-20170724T111230.183297100.bin</t>
  </si>
  <si>
    <t>-899.587149080588 206.196589225731 -58.3304652443134</t>
  </si>
  <si>
    <t>-927.842399376808 208.572338966786 -170.634620214673</t>
  </si>
  <si>
    <t>-938.050061066918 207.407765538286 -268.721903188278</t>
  </si>
  <si>
    <t>-942.282948441769 204.88549518959 -357.682308304</t>
  </si>
  <si>
    <t>-941.236880298716 200.598570451411 -446.669732533112</t>
  </si>
  <si>
    <t>-934.306302706386 192.58046076339 -570.800783550844</t>
  </si>
  <si>
    <t>-908.471080282872 182.9511130668 -649.189846703859</t>
  </si>
  <si>
    <t>-927.179637560633 221.858388679192 -517.271993120618</t>
  </si>
  <si>
    <t>-874.802895972354 348.414235746176 -505.616455191677</t>
  </si>
  <si>
    <t>-852.669047306862 387.63406596433 -214.81922359405</t>
  </si>
  <si>
    <t>-613.402032492152 395.641961236406 -187.651357966821</t>
  </si>
  <si>
    <t>-947.53241551139 170.359715494747 -515.081739533673</t>
  </si>
  <si>
    <t>-1005.44230534105 50.3462823542768 -481.274984877671</t>
  </si>
  <si>
    <t>-1075.20567705178 62.7362872335498 -195.668950910402</t>
  </si>
  <si>
    <t>-847.447394089149 12.893323737218 -256.437288618492</t>
  </si>
  <si>
    <t>-882.083739209686 300.052675010013 -61.6139059857218</t>
  </si>
  <si>
    <t>-882.706787103932 298.358108928888 341.934610758754</t>
  </si>
  <si>
    <t>-933.652772841582 289.47637915636 786.884490242209</t>
  </si>
  <si>
    <t>-790.164084323759 319.615098525241 846.800433528692</t>
  </si>
  <si>
    <t>-917.374652079086 112.293793497079 -57.1185351465396</t>
  </si>
  <si>
    <t>-862.431262577683 69.5437692351261 340.384045332895</t>
  </si>
  <si>
    <t>-920.097451504901 48.6778897826653 784.018576268441</t>
  </si>
  <si>
    <t>-829.239284008573 -58.6643982626633 856.8861879034</t>
  </si>
  <si>
    <t>9763-20170724T111230.218620900.bin</t>
  </si>
  <si>
    <t>-899.39910264357 205.033937370767 -58.3888039983167</t>
  </si>
  <si>
    <t>-927.790618806014 207.452110820852 -170.657710419033</t>
  </si>
  <si>
    <t>-938.122200655694 206.4863594265 -268.734154151643</t>
  </si>
  <si>
    <t>-942.46544486677 204.209336498459 -357.695834888169</t>
  </si>
  <si>
    <t>-941.524134259578 200.235912884577 -446.698981274231</t>
  </si>
  <si>
    <t>-934.730366289631 192.727204543483 -570.869454535929</t>
  </si>
  <si>
    <t>-908.909694839098 183.37555649867 -649.296799966161</t>
  </si>
  <si>
    <t>-927.621164602049 221.815185056108 -517.23486176062</t>
  </si>
  <si>
    <t>-875.709578204677 348.524963635513 -505.174626444509</t>
  </si>
  <si>
    <t>-859.162399014185 387.208386221107 -213.934255697375</t>
  </si>
  <si>
    <t>-620.839741894798 397.204079869583 -179.973128969606</t>
  </si>
  <si>
    <t>-947.818626887011 170.247889287087 -515.221490761396</t>
  </si>
  <si>
    <t>-1005.40865848066 49.9924609644013 -481.729734346499</t>
  </si>
  <si>
    <t>-1074.8644987021 61.5284552478806 -196.013042916323</t>
  </si>
  <si>
    <t>-847.095144020645 12.2468876580529 -257.196104429341</t>
  </si>
  <si>
    <t>-881.895664405774 298.913687375168 -61.6155815537523</t>
  </si>
  <si>
    <t>-882.819189476588 297.565917052426 341.933685656489</t>
  </si>
  <si>
    <t>-933.678623067053 289.492045459701 786.879444185066</t>
  </si>
  <si>
    <t>-790.239214523211 319.885919521516 846.784916579608</t>
  </si>
  <si>
    <t>-917.20502515563 111.0783200349 -57.2265623248976</t>
  </si>
  <si>
    <t>-862.739891153407 69.0707019292204 340.421039934551</t>
  </si>
  <si>
    <t>-920.100464262663 48.6877213183584 784.144937213304</t>
  </si>
  <si>
    <t>-829.410991362183 -58.8193111992809 856.980156186556</t>
  </si>
  <si>
    <t>9763-20170724T111230.280286200.bin</t>
  </si>
  <si>
    <t>-899.256492975623 202.903508881622 -58.5227289743259</t>
  </si>
  <si>
    <t>-927.741706468349 205.38563433536 -170.766463805099</t>
  </si>
  <si>
    <t>-938.145856117674 204.724406841432 -268.837664902505</t>
  </si>
  <si>
    <t>-942.543769630476 202.826878681071 -357.80572221272</t>
  </si>
  <si>
    <t>-941.640914830025 199.341143942901 -446.829571454272</t>
  </si>
  <si>
    <t>-934.878505892572 192.628900950741 -571.047227181975</t>
  </si>
  <si>
    <t>-909.023452821887 183.775181963573 -649.521284993416</t>
  </si>
  <si>
    <t>-927.890792217687 221.424237161677 -517.239233005384</t>
  </si>
  <si>
    <t>-876.753670664357 348.379149859622 -504.51805750418</t>
  </si>
  <si>
    <t>-869.254537204785 386.884779375864 -212.880822082583</t>
  </si>
  <si>
    <t>-633.224511849232 399.751761682284 -166.24218141223</t>
  </si>
  <si>
    <t>-947.817872806155 169.740971144633 -515.531333837711</t>
  </si>
  <si>
    <t>-1004.86982276878 49.0952494804615 -482.534277151452</t>
  </si>
  <si>
    <t>-1074.62813190632 59.1048103198245 -196.833898211587</t>
  </si>
  <si>
    <t>-846.517187695051 10.8798317774922 -257.583803190001</t>
  </si>
  <si>
    <t>-881.69189322765 296.857116501655 -61.6652929854533</t>
  </si>
  <si>
    <t>-883.263668244298 296.123131955334 341.883577863356</t>
  </si>
  <si>
    <t>-933.726630345928 289.402149213838 786.85639820724</t>
  </si>
  <si>
    <t>-790.172979103722 319.329614058306 846.722818733883</t>
  </si>
  <si>
    <t>-917.193080518456 108.842995255256 -57.3958187441395</t>
  </si>
  <si>
    <t>-863.657490554187 68.1347394546738 340.512972928709</t>
  </si>
  <si>
    <t>-920.151824982344 48.6446622226122 784.403668579911</t>
  </si>
  <si>
    <t>-829.109253667697 -58.6316836818837 857.138487568747</t>
  </si>
  <si>
    <t>9763-20170724T111230.311392400.bin</t>
  </si>
  <si>
    <t>-899.259432115644 202.151273362242 -58.5864293757354</t>
  </si>
  <si>
    <t>-927.699851675945 204.640686459304 -170.841376364714</t>
  </si>
  <si>
    <t>-938.042685563821 204.082171334067 -268.919671045203</t>
  </si>
  <si>
    <t>-942.373516563764 202.317740752651 -357.893688133335</t>
  </si>
  <si>
    <t>-941.389640571415 199.006429321087 -446.923526882972</t>
  </si>
  <si>
    <t>-934.498098662815 192.582578090275 -571.149436223832</t>
  </si>
  <si>
    <t>-908.596201701701 183.92750633538 -649.62998029364</t>
  </si>
  <si>
    <t>-927.627494086785 221.276317593223 -517.27194646882</t>
  </si>
  <si>
    <t>-876.769848646087 348.312811344028 -504.261002838514</t>
  </si>
  <si>
    <t>-872.255068751183 386.647620056792 -212.53963064955</t>
  </si>
  <si>
    <t>-637.037710708256 400.294844516951 -162.166459446664</t>
  </si>
  <si>
    <t>-947.433796121293 169.542361660559 -515.695442548444</t>
  </si>
  <si>
    <t>-1004.29569445944 48.7570891475052 -482.910671955791</t>
  </si>
  <si>
    <t>-1074.60281039052 58.0550222459119 -197.320605698465</t>
  </si>
  <si>
    <t>-846.179971570582 10.1899392271316 -257.176646364788</t>
  </si>
  <si>
    <t>-881.68410847162 296.158658208784 -61.707527597374</t>
  </si>
  <si>
    <t>-883.664839425936 295.666533102191 341.839954370108</t>
  </si>
  <si>
    <t>-933.77650723907 289.479814928713 786.850907248755</t>
  </si>
  <si>
    <t>-790.285418694462 319.722958608033 846.709178650828</t>
  </si>
  <si>
    <t>-917.203446240471 108.09212941434 -57.480735872641</t>
  </si>
  <si>
    <t>-864.204171022911 67.8383527288615 340.546152896572</t>
  </si>
  <si>
    <t>-920.165153493642 48.6263092565941 784.525686784928</t>
  </si>
  <si>
    <t>-829.078541831742 -58.6339082961658 857.229201961171</t>
  </si>
  <si>
    <t>9763-20170724T111230.381581600.bin</t>
  </si>
  <si>
    <t>-899.138115608763 201.267538418178 -58.6834561217875</t>
  </si>
  <si>
    <t>-927.357050244281 203.699855814884 -170.995453691701</t>
  </si>
  <si>
    <t>-937.522102035324 203.202270855755 -269.092810806451</t>
  </si>
  <si>
    <t>-941.69548736272 201.537862225266 -358.076237366569</t>
  </si>
  <si>
    <t>-940.554848050181 198.374417929536 -447.109543244319</t>
  </si>
  <si>
    <t>-933.443691868478 192.208387964869 -571.336102690938</t>
  </si>
  <si>
    <t>-907.436807779847 183.7526511063 -649.80367759126</t>
  </si>
  <si>
    <t>-926.757732869153 220.824000218634 -517.394050370648</t>
  </si>
  <si>
    <t>-876.471451746918 348.06773227666 -504.018518522848</t>
  </si>
  <si>
    <t>-873.012864970487 386.28561105126 -212.267526848844</t>
  </si>
  <si>
    <t>-637.907973788085 399.381823757645 -161.228681134541</t>
  </si>
  <si>
    <t>-946.388223738665 169.019264097417 -515.946342247221</t>
  </si>
  <si>
    <t>-1002.78275372405 47.9817497998174 -483.347685753354</t>
  </si>
  <si>
    <t>-1074.7054889387 55.8445940824708 -198.116980551614</t>
  </si>
  <si>
    <t>-845.494745797811 8.76070359416735 -255.531281695422</t>
  </si>
  <si>
    <t>-881.504096649915 295.210038589696 -61.7935362962336</t>
  </si>
  <si>
    <t>-884.679242612922 295.070831525746 341.74650183806</t>
  </si>
  <si>
    <t>-933.817416550997 289.569655337009 786.864942711923</t>
  </si>
  <si>
    <t>-790.345940385061 319.838991905058 846.756945720269</t>
  </si>
  <si>
    <t>-917.060717250312 107.335869299784 -57.6347715696029</t>
  </si>
  <si>
    <t>-865.325369783893 67.4805997926096 340.598462417905</t>
  </si>
  <si>
    <t>-920.185409744722 48.5674259865787 784.762794063866</t>
  </si>
  <si>
    <t>-829.046427539295 -58.6744948622952 857.427859361362</t>
  </si>
  <si>
    <t>9763-20170724T111230.412718400.bin</t>
  </si>
  <si>
    <t>-899.038686072921 201.093891795369 -58.7319914368571</t>
  </si>
  <si>
    <t>-927.107507545765 203.461447409702 -171.083146981308</t>
  </si>
  <si>
    <t>-937.203179972827 202.898655671144 -269.187201237295</t>
  </si>
  <si>
    <t>-941.338910915014 201.171365329636 -358.171141540682</t>
  </si>
  <si>
    <t>-940.186663596536 197.941317490007 -447.201883098846</t>
  </si>
  <si>
    <t>-933.086972865214 191.678614069932 -571.424215728185</t>
  </si>
  <si>
    <t>-907.026106956951 183.203861934961 -649.871953160531</t>
  </si>
  <si>
    <t>-926.403453088901 220.338970777945 -517.5056518194</t>
  </si>
  <si>
    <t>-876.244243484739 347.62864143768 -504.094667595738</t>
  </si>
  <si>
    <t>-871.929565533477 385.959509740259 -212.36987258989</t>
  </si>
  <si>
    <t>-636.714138479568 398.481422090582 -161.696881851738</t>
  </si>
  <si>
    <t>-946.019204935125 168.530058955031 -516.014615920975</t>
  </si>
  <si>
    <t>-1002.29879428776 47.4559152528059 -483.332088547857</t>
  </si>
  <si>
    <t>-1074.88056276079 54.5426423739823 -198.248178251556</t>
  </si>
  <si>
    <t>-845.271654883714 8.02151305334928 -254.519146270895</t>
  </si>
  <si>
    <t>-881.453127766724 294.952251747697 -61.8363082387268</t>
  </si>
  <si>
    <t>-885.285501415088 294.860886674938 341.698036369596</t>
  </si>
  <si>
    <t>-933.857957324699 289.643085991542 786.872684113584</t>
  </si>
  <si>
    <t>-790.369071538544 319.813726871876 846.772301316414</t>
  </si>
  <si>
    <t>-916.926400891076 107.171909386533 -57.6743769921183</t>
  </si>
  <si>
    <t>-865.809683606994 67.4104342981686 340.648071360675</t>
  </si>
  <si>
    <t>-920.140821981778 48.606354241108 784.882283619675</t>
  </si>
  <si>
    <t>-829.083404100899 -58.7132736802819 857.534490436258</t>
  </si>
  <si>
    <t>9763-20170724T111230.482406800.bin</t>
  </si>
  <si>
    <t>-898.634317686911 200.426173762159 -58.8190739374594</t>
  </si>
  <si>
    <t>-926.354814223634 202.733557849639 -171.257844937903</t>
  </si>
  <si>
    <t>-936.270639634816 201.980967510755 -269.379067099086</t>
  </si>
  <si>
    <t>-940.297389232603 200.027172390332 -358.363363079365</t>
  </si>
  <si>
    <t>-939.092811509897 196.515675928818 -447.382831171128</t>
  </si>
  <si>
    <t>-931.982023056041 189.802442641324 -571.580991046599</t>
  </si>
  <si>
    <t>-905.794751438935 181.165198953298 -649.968821138023</t>
  </si>
  <si>
    <t>-925.252501068084 218.639055205951 -517.762050311901</t>
  </si>
  <si>
    <t>-875.103605697561 345.949331220787 -504.572967508956</t>
  </si>
  <si>
    <t>-869.889045421967 385.309135363491 -213.000036516327</t>
  </si>
  <si>
    <t>-634.451978723533 394.707888222169 -162.682515830436</t>
  </si>
  <si>
    <t>-944.970018515936 166.874119406848 -516.092957697585</t>
  </si>
  <si>
    <t>-1001.35296249282 45.9322025888487 -483.061097417701</t>
  </si>
  <si>
    <t>-1074.71426202497 52.0065126466516 -198.153345266922</t>
  </si>
  <si>
    <t>-844.156676034462 8.12789799308985 -252.640137847351</t>
  </si>
  <si>
    <t>-881.073993472071 294.10870009986 -61.9111300043434</t>
  </si>
  <si>
    <t>-886.015972040809 294.242469412772 341.611161711769</t>
  </si>
  <si>
    <t>-933.971900625244 289.666507006358 786.860004084773</t>
  </si>
  <si>
    <t>-790.542451101178 320.303495928959 846.664922287642</t>
  </si>
  <si>
    <t>-916.478662691415 106.538311307243 -57.7704056673003</t>
  </si>
  <si>
    <t>-866.674542741844 67.1176405967376 340.752150333474</t>
  </si>
  <si>
    <t>-920.116400796799 48.5876562466919 785.116963292014</t>
  </si>
  <si>
    <t>-829.008395585457 -58.7111412797656 857.736056567048</t>
  </si>
  <si>
    <t>9763-20170724T111230.514996100.bin</t>
  </si>
  <si>
    <t>-898.309035171626 199.862556280813 -58.8416059256057</t>
  </si>
  <si>
    <t>-925.868723317571 202.126667317804 -171.320738658557</t>
  </si>
  <si>
    <t>-935.690069661017 201.270747507819 -269.450681427564</t>
  </si>
  <si>
    <t>-939.65113526855 199.197806541138 -358.435219224538</t>
  </si>
  <si>
    <t>-938.402360613235 195.54149706443 -447.448175758816</t>
  </si>
  <si>
    <t>-931.253283495623 188.599347709148 -571.63157760957</t>
  </si>
  <si>
    <t>-905.033655978583 179.860863048604 -649.997295983965</t>
  </si>
  <si>
    <t>-924.511180585165 217.523916193309 -517.861530340571</t>
  </si>
  <si>
    <t>-874.375596817843 344.847730552621 -504.753441187596</t>
  </si>
  <si>
    <t>-869.743179253759 385.017174729287 -213.280977602989</t>
  </si>
  <si>
    <t>-634.121292178014 393.372339836607 -163.648568740436</t>
  </si>
  <si>
    <t>-944.287703944931 165.78459723831 -516.10767372678</t>
  </si>
  <si>
    <t>-1000.72627168023 44.9215659409219 -482.899365990951</t>
  </si>
  <si>
    <t>-1074.50314380306 51.5546337288733 -198.111326016189</t>
  </si>
  <si>
    <t>-843.569934662412 8.9148474739286 -251.986595319925</t>
  </si>
  <si>
    <t>-880.78141797347 293.38266670112 -61.9507911686902</t>
  </si>
  <si>
    <t>-885.874448949403 293.838817391603 341.569397377282</t>
  </si>
  <si>
    <t>-934.046398185738 289.583076494046 786.825339785208</t>
  </si>
  <si>
    <t>-790.581329778209 320.247882786521 846.530585547446</t>
  </si>
  <si>
    <t>-916.063445381284 106.195799550828 -57.7962851788039</t>
  </si>
  <si>
    <t>-867.071917990013 66.8620197426794 340.835626808325</t>
  </si>
  <si>
    <t>-920.047038457775 48.6506233229543 785.222553116578</t>
  </si>
  <si>
    <t>-829.025901125202 -58.7234645987762 857.839461903962</t>
  </si>
  <si>
    <t>9763-20170724T111230.581173900.bin</t>
  </si>
  <si>
    <t>-897.539993344832 198.643262550645 -58.8638207325031</t>
  </si>
  <si>
    <t>-925.021060473213 200.784634150108 -171.364635856359</t>
  </si>
  <si>
    <t>-934.744279153404 199.748473735646 -269.50252660313</t>
  </si>
  <si>
    <t>-938.607305477445 197.479338572896 -358.486555870835</t>
  </si>
  <si>
    <t>-937.252542504242 193.592237414532 -447.488173816561</t>
  </si>
  <si>
    <t>-929.949224719482 186.289138040835 -571.641884683533</t>
  </si>
  <si>
    <t>-903.656360498716 177.420568173905 -649.968499398071</t>
  </si>
  <si>
    <t>-923.262881331344 215.365850441893 -517.946911902439</t>
  </si>
  <si>
    <t>-873.426912350072 342.818646063415 -504.830646915512</t>
  </si>
  <si>
    <t>-872.385033260596 382.96423362525 -213.319986883726</t>
  </si>
  <si>
    <t>-636.469787747955 390.380106916709 -164.948209455693</t>
  </si>
  <si>
    <t>-943.063493736553 163.639972527075 -516.069138712636</t>
  </si>
  <si>
    <t>-999.544183528127 42.8708945194476 -482.549357692509</t>
  </si>
  <si>
    <t>-1073.76377344147 52.3088254239365 -197.955684553701</t>
  </si>
  <si>
    <t>-842.376821254246 11.60558486011 -251.379212708601</t>
  </si>
  <si>
    <t>-880.085938299826 291.800678428622 -62.0209614017407</t>
  </si>
  <si>
    <t>-884.59550816329 293.005549077212 341.504607971014</t>
  </si>
  <si>
    <t>-934.196825495908 289.357299688448 786.688772592497</t>
  </si>
  <si>
    <t>-790.721283556837 320.413280762658 846.165828213594</t>
  </si>
  <si>
    <t>-915.214835333514 105.380589613863 -57.7655946807549</t>
  </si>
  <si>
    <t>-867.575033815376 66.0607763437856 341.031358183244</t>
  </si>
  <si>
    <t>-919.984480913417 48.6168138138669 785.468502503979</t>
  </si>
  <si>
    <t>-828.717054592779 -58.5592151687633 858.069186849274</t>
  </si>
  <si>
    <t>9763-20170724T111230.616818500.bin</t>
  </si>
  <si>
    <t>-896.888246222902 197.834530048731 -58.897946553224</t>
  </si>
  <si>
    <t>-924.41902388868 199.93646465569 -171.387325970993</t>
  </si>
  <si>
    <t>-934.154735266681 198.853237661171 -269.523509011835</t>
  </si>
  <si>
    <t>-938.016418435117 196.535652984554 -358.506402453296</t>
  </si>
  <si>
    <t>-936.648563841356 192.59432206173 -447.505321267202</t>
  </si>
  <si>
    <t>-929.314268705552 185.210789378217 -571.652530671851</t>
  </si>
  <si>
    <t>-902.964416945142 176.325885049573 -649.958134397563</t>
  </si>
  <si>
    <t>-922.66731461308 214.3320845567 -517.976941061657</t>
  </si>
  <si>
    <t>-873.156869810894 341.90096520108 -504.81706935228</t>
  </si>
  <si>
    <t>-874.253311069181 382.137449569024 -213.319314732511</t>
  </si>
  <si>
    <t>-638.459090862476 389.283582627264 -164.320441661225</t>
  </si>
  <si>
    <t>-942.41616011012 162.587776244175 -516.066193903558</t>
  </si>
  <si>
    <t>-998.767482838803 41.7944550195698 -482.411665843298</t>
  </si>
  <si>
    <t>-1072.88098569633 52.6360266726338 -197.840326425285</t>
  </si>
  <si>
    <t>-841.27620344433 12.9293860271828 -251.070737608213</t>
  </si>
  <si>
    <t>-879.317646680757 290.756253054964 -62.0589039454954</t>
  </si>
  <si>
    <t>-883.579916222199 292.358118127278 341.46794270851</t>
  </si>
  <si>
    <t>-934.280510996239 289.222230064668 786.529858645795</t>
  </si>
  <si>
    <t>-790.77955887177 320.371800543588 845.897413494855</t>
  </si>
  <si>
    <t>-914.635641662543 104.771220248435 -57.7810981290378</t>
  </si>
  <si>
    <t>-867.495369858456 65.4924679150249 341.079346898695</t>
  </si>
  <si>
    <t>-920.011711302998 48.500505153067 785.531283942816</t>
  </si>
  <si>
    <t>-828.706274436102 -58.6453732158091 858.128915158778</t>
  </si>
  <si>
    <t>9763-20170724T111230.680487500.bin</t>
  </si>
  <si>
    <t>-895.530222445224 196.009311696906 -59.0151421387635</t>
  </si>
  <si>
    <t>-923.191310855926 198.04497102368 -171.473730747132</t>
  </si>
  <si>
    <t>-932.988670415274 196.927276818509 -269.603374973624</t>
  </si>
  <si>
    <t>-936.884401482705 194.587590454405 -358.584172602773</t>
  </si>
  <si>
    <t>-935.527185261045 190.635534316085 -447.582946584091</t>
  </si>
  <si>
    <t>-928.183016577092 183.249821506428 -571.729348142854</t>
  </si>
  <si>
    <t>-901.646879630973 174.391863362212 -649.97516367504</t>
  </si>
  <si>
    <t>-921.649976792936 212.413292340827 -518.062659257709</t>
  </si>
  <si>
    <t>-873.007631298116 340.304446225694 -504.738469082946</t>
  </si>
  <si>
    <t>-878.135764837112 382.073527263502 -213.499273985403</t>
  </si>
  <si>
    <t>-642.370417059583 386.799397812395 -164.070526819742</t>
  </si>
  <si>
    <t>-941.179935452776 160.586236229538 -516.134692614991</t>
  </si>
  <si>
    <t>-996.906874555847 39.540005963202 -482.380102440494</t>
  </si>
  <si>
    <t>-1070.5144774232 51.3306209253224 -197.715209385501</t>
  </si>
  <si>
    <t>-838.37793103471 14.0015475701521 -250.345115400029</t>
  </si>
  <si>
    <t>-877.887478759007 288.730287361744 -62.2106184510234</t>
  </si>
  <si>
    <t>-882.314397105219 291.13238913246 341.310509854815</t>
  </si>
  <si>
    <t>-934.434011610544 289.045404784468 786.14861277802</t>
  </si>
  <si>
    <t>-790.864423192144 320.149371949319 845.373627799096</t>
  </si>
  <si>
    <t>-913.380422447981 103.198026265153 -57.9070240873843</t>
  </si>
  <si>
    <t>-867.091559491865 64.3092301984216 341.091312038415</t>
  </si>
  <si>
    <t>-919.840621300766 48.5613643522761 785.578427268873</t>
  </si>
  <si>
    <t>-828.829107697761 -58.8340292796354 858.176080288346</t>
  </si>
  <si>
    <t>9763-20170724T111230.713614800.bin</t>
  </si>
  <si>
    <t>-895.040025512361 195.06765026678 -59.1255992659326</t>
  </si>
  <si>
    <t>-922.788204586696 197.045483723406 -171.563727322023</t>
  </si>
  <si>
    <t>-932.610963966982 195.913440165015 -269.690667542608</t>
  </si>
  <si>
    <t>-936.508665763542 193.573701637401 -358.671517217332</t>
  </si>
  <si>
    <t>-935.131115731419 189.636074097438 -447.670498678132</t>
  </si>
  <si>
    <t>-927.734370157974 182.284952672991 -571.815916420836</t>
  </si>
  <si>
    <t>-901.071855493052 173.483513889985 -650.025008622432</t>
  </si>
  <si>
    <t>-921.317581007486 211.468101181027 -518.145890188309</t>
  </si>
  <si>
    <t>-873.238785370577 339.552020278415 -504.746234335696</t>
  </si>
  <si>
    <t>-880.170206902856 382.194406424727 -213.670855900996</t>
  </si>
  <si>
    <t>-644.275739206094 385.462032125169 -164.742081941338</t>
  </si>
  <si>
    <t>-940.661072107004 159.571119424338 -516.225420130379</t>
  </si>
  <si>
    <t>-995.905977669046 38.300576141909 -482.487817759928</t>
  </si>
  <si>
    <t>-1069.41825089804 49.5075965221827 -197.774743675029</t>
  </si>
  <si>
    <t>-837.052475477339 13.598841474678 -250.382698787272</t>
  </si>
  <si>
    <t>-877.5240584931 287.836062301544 -62.3189033442106</t>
  </si>
  <si>
    <t>-881.99983726294 290.571294881177 341.199587424435</t>
  </si>
  <si>
    <t>-934.50188045816 289.005331730725 785.958335963628</t>
  </si>
  <si>
    <t>-790.911827196898 320.088514186506 845.144152230624</t>
  </si>
  <si>
    <t>-912.831071077399 102.234469999362 -58.0033745275873</t>
  </si>
  <si>
    <t>-866.941360519272 63.7081441558985 341.076240227148</t>
  </si>
  <si>
    <t>-919.810270063534 48.5040409338426 785.592954399544</t>
  </si>
  <si>
    <t>-828.738254061451 -58.8539712899005 858.170089756229</t>
  </si>
  <si>
    <t>9763-20170724T111230.778799300.bin</t>
  </si>
  <si>
    <t>-894.394181277051 193.254571918852 -59.3946354919715</t>
  </si>
  <si>
    <t>-922.221439138756 195.117996797083 -171.81517252962</t>
  </si>
  <si>
    <t>-932.047332186659 193.966645142419 -269.941531898907</t>
  </si>
  <si>
    <t>-935.919660676199 191.638104295202 -358.923785902206</t>
  </si>
  <si>
    <t>-934.485918976958 187.744957474697 -447.923983994062</t>
  </si>
  <si>
    <t>-926.976474567071 180.492191258735 -572.068287730005</t>
  </si>
  <si>
    <t>-900.029365366543 171.929424073734 -650.206402246561</t>
  </si>
  <si>
    <t>-920.848468815304 209.720572507246 -518.389030558805</t>
  </si>
  <si>
    <t>-874.184966133226 338.312219579336 -504.813029102578</t>
  </si>
  <si>
    <t>-884.752820689126 381.916742937732 -213.989741934526</t>
  </si>
  <si>
    <t>-648.676301135853 383.100736434564 -165.850594034742</t>
  </si>
  <si>
    <t>-939.713597669097 157.646940928625 -516.487927577148</t>
  </si>
  <si>
    <t>-993.78416562574 35.7866453004035 -482.928589134918</t>
  </si>
  <si>
    <t>-1067.23717177145 45.1112849271635 -198.132412773282</t>
  </si>
  <si>
    <t>-834.604973930002 12.1255585593467 -251.472382676187</t>
  </si>
  <si>
    <t>-877.188694683309 286.236949645863 -62.5630093662061</t>
  </si>
  <si>
    <t>-881.992995522611 289.550236228261 340.947351052751</t>
  </si>
  <si>
    <t>-934.659303484923 289.128650060222 785.615687376866</t>
  </si>
  <si>
    <t>-791.204637700528 320.872522145073 844.779783128639</t>
  </si>
  <si>
    <t>-911.885036660355 100.242310273257 -58.275351660821</t>
  </si>
  <si>
    <t>-866.85466178833 62.6410039265284 340.99033750079</t>
  </si>
  <si>
    <t>-919.765159181328 48.3503376558319 785.609540089829</t>
  </si>
  <si>
    <t>-828.629507566329 -58.9781503039928 858.150715468176</t>
  </si>
  <si>
    <t>9763-20170724T111230.812974900.bin</t>
  </si>
  <si>
    <t>-894.081716569305 192.391166139109 -59.5111780063895</t>
  </si>
  <si>
    <t>-921.950827096806 194.196158595012 -171.922350542577</t>
  </si>
  <si>
    <t>-931.783209851916 193.073188442602 -270.048442913495</t>
  </si>
  <si>
    <t>-935.647423369621 190.801964340082 -359.032379702088</t>
  </si>
  <si>
    <t>-934.190059958526 186.999155735126 -448.036097274671</t>
  </si>
  <si>
    <t>-926.6295263879 179.908788962715 -572.186761626615</t>
  </si>
  <si>
    <t>-899.540011406199 171.544036918138 -650.297054342999</t>
  </si>
  <si>
    <t>-920.656964958307 209.114581954861 -518.477696090652</t>
  </si>
  <si>
    <t>-874.697495611735 337.935306911309 -504.743399740749</t>
  </si>
  <si>
    <t>-887.202728071903 381.568230338543 -214.001314843988</t>
  </si>
  <si>
    <t>-651.114021625219 382.575200792079 -165.91844548253</t>
  </si>
  <si>
    <t>-939.255960414428 156.943203566095 -516.630668181361</t>
  </si>
  <si>
    <t>-992.695773601849 34.7679727253285 -483.219347798252</t>
  </si>
  <si>
    <t>-1066.07742859802 42.9218081147064 -198.368736681475</t>
  </si>
  <si>
    <t>-833.457664984707 11.2722447592723 -252.564758340647</t>
  </si>
  <si>
    <t>-876.998162489045 285.421101429965 -62.6646617597073</t>
  </si>
  <si>
    <t>-882.140202561659 289.101573417711 340.838334172746</t>
  </si>
  <si>
    <t>-934.721106402302 289.1879718175 785.47327879399</t>
  </si>
  <si>
    <t>-791.2828010633 320.970579676723 844.657156667676</t>
  </si>
  <si>
    <t>-911.445409394984 99.3126801534449 -58.4151862119827</t>
  </si>
  <si>
    <t>-866.866287688861 62.1104689891808 340.938450526932</t>
  </si>
  <si>
    <t>-919.742325054452 48.2669459321946 785.608708541287</t>
  </si>
  <si>
    <t>-828.421310238697 -58.9202823701567 858.125197399392</t>
  </si>
  <si>
    <t>9763-20170724T111230.881165500.bin</t>
  </si>
  <si>
    <t>-893.581629338959 191.04373902927 -59.7567986731518</t>
  </si>
  <si>
    <t>-921.580629028057 192.619890854978 -172.139091248205</t>
  </si>
  <si>
    <t>-931.44724247687 191.57375738901 -270.26256437549</t>
  </si>
  <si>
    <t>-935.305086065447 189.478724918659 -359.251147152453</t>
  </si>
  <si>
    <t>-933.797658969945 185.962473722242 -448.26580883302</t>
  </si>
  <si>
    <t>-926.118282626767 179.388912100021 -572.437518539245</t>
  </si>
  <si>
    <t>-898.78145709279 171.465187624965 -650.507594948449</t>
  </si>
  <si>
    <t>-920.462027099014 208.462990854947 -518.622915731019</t>
  </si>
  <si>
    <t>-875.925519841692 337.74422725597 -504.425804495598</t>
  </si>
  <si>
    <t>-892.375344015185 380.497681090093 -213.749473697221</t>
  </si>
  <si>
    <t>-656.262677424799 382.752427738229 -165.826742561929</t>
  </si>
  <si>
    <t>-938.533290165082 156.100348048725 -516.96853212925</t>
  </si>
  <si>
    <t>-990.814123937767 33.3216161968862 -483.961860341517</t>
  </si>
  <si>
    <t>-1063.65522632815 39.3870350734787 -198.920319114656</t>
  </si>
  <si>
    <t>-831.182417428744 9.66539786213934 -254.813214536572</t>
  </si>
  <si>
    <t>-876.88998513305 284.179825860088 -62.9300913510002</t>
  </si>
  <si>
    <t>-882.59655169321 288.498322941014 340.559033215406</t>
  </si>
  <si>
    <t>-934.866115575295 289.396222935088 785.184036192714</t>
  </si>
  <si>
    <t>-791.54503851571 321.612178430877 844.416529317274</t>
  </si>
  <si>
    <t>-910.568796904163 97.9061738678433 -58.6620748619878</t>
  </si>
  <si>
    <t>-867.10577944622 61.2873109432626 340.868497140967</t>
  </si>
  <si>
    <t>-919.685236058636 48.1169577838205 785.64255471441</t>
  </si>
  <si>
    <t>-828.062711997912 -58.8565596459885 858.094424202874</t>
  </si>
  <si>
    <t>9763-20170724T111230.916260100.bin</t>
  </si>
  <si>
    <t>-893.41758511042 190.397023884827 -59.9158417665893</t>
  </si>
  <si>
    <t>-921.509499503969 191.878658307188 -172.276330199432</t>
  </si>
  <si>
    <t>-931.413885233872 190.885924738056 -270.396488187552</t>
  </si>
  <si>
    <t>-935.286549918492 188.891460591103 -359.386763810842</t>
  </si>
  <si>
    <t>-933.771181762305 185.530598573137 -448.407206900324</t>
  </si>
  <si>
    <t>-926.054390595413 179.230334354533 -572.590927743445</t>
  </si>
  <si>
    <t>-898.601538828226 171.526123306897 -650.64219335554</t>
  </si>
  <si>
    <t>-920.549379390719 208.232043929628 -518.721378378448</t>
  </si>
  <si>
    <t>-876.717767701633 337.721794812645 -504.261463956579</t>
  </si>
  <si>
    <t>-894.681418013372 379.909215991542 -213.591971276146</t>
  </si>
  <si>
    <t>-658.585925720142 382.821559412619 -165.620609397242</t>
  </si>
  <si>
    <t>-938.350618397695 155.773693225856 -517.166218239229</t>
  </si>
  <si>
    <t>-990.014214935242 32.6821964173146 -484.352474365184</t>
  </si>
  <si>
    <t>-1062.64902691998 37.8813550448913 -199.241401686632</t>
  </si>
  <si>
    <t>-830.179849772889 9.15345874235663 -255.666092327492</t>
  </si>
  <si>
    <t>-876.949395555276 283.550844805733 -63.0776662448588</t>
  </si>
  <si>
    <t>-882.811026543274 288.182202446535 340.405756877827</t>
  </si>
  <si>
    <t>-934.943855150531 289.470447684734 785.026723651794</t>
  </si>
  <si>
    <t>-791.578477034581 321.44317836618 844.283823605199</t>
  </si>
  <si>
    <t>-910.158000384952 97.2073177921002 -58.7957226659985</t>
  </si>
  <si>
    <t>-867.2218069466 60.9814084501113 340.827664556765</t>
  </si>
  <si>
    <t>-919.556846056723 48.1585060668172 785.651173724735</t>
  </si>
  <si>
    <t>-827.97239444444 -58.857301906934 858.088567873284</t>
  </si>
  <si>
    <t>9763-20170724T111230.979430400.bin</t>
  </si>
  <si>
    <t>-893.267167435763 188.844932218081 -60.1939755316802</t>
  </si>
  <si>
    <t>-921.496207325006 190.206046921794 -172.521622079904</t>
  </si>
  <si>
    <t>-931.429190004806 189.309944630685 -270.639840910966</t>
  </si>
  <si>
    <t>-935.285967003032 187.481168319755 -359.634472132347</t>
  </si>
  <si>
    <t>-933.710062280234 184.368117985797 -448.662835786537</t>
  </si>
  <si>
    <t>-925.856803743731 178.50265131334 -572.859251518579</t>
  </si>
  <si>
    <t>-898.151377264955 171.192626550923 -650.859200231069</t>
  </si>
  <si>
    <t>-920.670519604837 207.40131803045 -518.903107385258</t>
  </si>
  <si>
    <t>-878.183424244771 337.282273261659 -503.952348112223</t>
  </si>
  <si>
    <t>-898.345363284668 378.578595318571 -213.299016193039</t>
  </si>
  <si>
    <t>-662.371678780999 382.373428765857 -164.792621646089</t>
  </si>
  <si>
    <t>-937.954629944242 154.765873567816 -517.510021680512</t>
  </si>
  <si>
    <t>-988.453697671444 31.0997042814215 -485.063947920245</t>
  </si>
  <si>
    <t>-1061.06367191412 34.6492725845624 -199.921170411022</t>
  </si>
  <si>
    <t>-828.477790727513 7.37669935262829 -256.585232818972</t>
  </si>
  <si>
    <t>-877.084499367575 282.064869510661 -63.3253835291551</t>
  </si>
  <si>
    <t>-883.320668271846 287.415594974648 340.143485576203</t>
  </si>
  <si>
    <t>-935.131810288731 289.626350393266 784.732310217318</t>
  </si>
  <si>
    <t>-791.819712491043 321.795917068314 844.012099941864</t>
  </si>
  <si>
    <t>-909.703377747604 95.4659641974499 -59.0579953777001</t>
  </si>
  <si>
    <t>-867.356849928413 60.1313305623175 340.708045441837</t>
  </si>
  <si>
    <t>-919.437848030922 48.0299724386323 785.666006433515</t>
  </si>
  <si>
    <t>-827.681244678104 -58.874250119876 858.050275003749</t>
  </si>
  <si>
    <t>9763-20170724T111231.019536400.bin</t>
  </si>
  <si>
    <t>-893.221989360924 187.934632662703 -60.3164669745355</t>
  </si>
  <si>
    <t>-921.526694885399 189.242380719861 -172.625688313236</t>
  </si>
  <si>
    <t>-931.451094952671 188.373623813199 -270.744996784307</t>
  </si>
  <si>
    <t>-935.268821394287 186.597608211388 -359.742280534069</t>
  </si>
  <si>
    <t>-933.620245330831 183.566421910781 -448.772249638594</t>
  </si>
  <si>
    <t>-925.629990158179 177.845772142103 -572.966724454919</t>
  </si>
  <si>
    <t>-897.792184119421 170.70589334734 -650.935254873959</t>
  </si>
  <si>
    <t>-920.608537765151 206.715939817354 -518.979566554743</t>
  </si>
  <si>
    <t>-878.720623694603 336.775884914057 -503.851816078792</t>
  </si>
  <si>
    <t>-899.831582343609 377.844954258804 -213.233817106475</t>
  </si>
  <si>
    <t>-663.914288079023 381.613064505532 -164.450747433194</t>
  </si>
  <si>
    <t>-937.683474464026 154.010440002659 -517.650237921196</t>
  </si>
  <si>
    <t>-987.72692048709 30.1159636189609 -485.356852282485</t>
  </si>
  <si>
    <t>-1060.50563931881 33.0212657385255 -200.249753425227</t>
  </si>
  <si>
    <t>-827.827356094574 6.3412028857415 -256.817514052359</t>
  </si>
  <si>
    <t>-877.203972249966 281.179170145857 -63.4306873604546</t>
  </si>
  <si>
    <t>-883.440666335438 286.979638096583 340.032047046372</t>
  </si>
  <si>
    <t>-935.245921980517 289.716224640229 784.593694473432</t>
  </si>
  <si>
    <t>-791.966417724973 322.028921866608 843.874158675746</t>
  </si>
  <si>
    <t>-909.512683795638 94.5031801573164 -59.1872836821705</t>
  </si>
  <si>
    <t>-867.448700260458 59.6402098471913 340.649996654375</t>
  </si>
  <si>
    <t>-919.396347593919 47.9389623120323 785.673742389309</t>
  </si>
  <si>
    <t>-827.59200549874 -58.9412190442981 858.033140982016</t>
  </si>
  <si>
    <t>9763-20170724T111231.082214400.bin</t>
  </si>
  <si>
    <t>-893.271356099335 186.158726282799 -60.5186828548256</t>
  </si>
  <si>
    <t>-921.678837607512 187.350921497636 -172.803287053817</t>
  </si>
  <si>
    <t>-931.546765967125 186.511271975508 -270.92845607178</t>
  </si>
  <si>
    <t>-935.252647606484 184.807723626523 -359.931905765979</t>
  </si>
  <si>
    <t>-933.42818743137 181.896091902193 -448.962386606631</t>
  </si>
  <si>
    <t>-925.124752590167 176.390473283476 -573.145929863376</t>
  </si>
  <si>
    <t>-897.009078326601 169.531500823329 -651.040124447028</t>
  </si>
  <si>
    <t>-920.405496605642 205.21995289014 -519.109831752088</t>
  </si>
  <si>
    <t>-879.424637549265 335.536686151937 -503.742960445381</t>
  </si>
  <si>
    <t>-902.763584767705 376.008422872698 -213.211401044479</t>
  </si>
  <si>
    <t>-667.106811080376 379.852463839127 -163.190778593361</t>
  </si>
  <si>
    <t>-937.151993847686 152.406605613522 -517.888069188837</t>
  </si>
  <si>
    <t>-986.490733795284 28.1690957786923 -485.828293804986</t>
  </si>
  <si>
    <t>-1059.9685214828 30.2422639404817 -200.893202902149</t>
  </si>
  <si>
    <t>-827.017766693984 4.73024107732772 -256.875508337433</t>
  </si>
  <si>
    <t>-877.562191583504 279.427437196695 -63.6402953796718</t>
  </si>
  <si>
    <t>-883.652110655119 286.107898857623 339.810978222139</t>
  </si>
  <si>
    <t>-935.451531392434 289.804207196414 784.326992593663</t>
  </si>
  <si>
    <t>-792.223353432756 322.342883651236 843.608420405702</t>
  </si>
  <si>
    <t>-909.24788845742 92.7517388845827 -59.4057172948145</t>
  </si>
  <si>
    <t>-867.73591425839 58.697363517806 340.558974613149</t>
  </si>
  <si>
    <t>-919.224366165831 47.8612604299278 785.674906505239</t>
  </si>
  <si>
    <t>-827.271152311424 -58.9184276316405 857.993794609826</t>
  </si>
  <si>
    <t>9763-20170724T111231.113320900.bin</t>
  </si>
  <si>
    <t>-893.277215044416 185.342433934918 -60.6192045276956</t>
  </si>
  <si>
    <t>-921.720525021092 186.477788074073 -172.895243389096</t>
  </si>
  <si>
    <t>-931.570656672911 185.642461493576 -271.022361612233</t>
  </si>
  <si>
    <t>-935.238767768773 183.961386233175 -360.027801901566</t>
  </si>
  <si>
    <t>-933.35567062112 181.091324209176 -449.05841412348</t>
  </si>
  <si>
    <t>-924.946707589633 175.662998939586 -573.238245929528</t>
  </si>
  <si>
    <t>-896.698856090946 168.900547235017 -651.09286437602</t>
  </si>
  <si>
    <t>-920.339413207435 204.479459845131 -519.185577490289</t>
  </si>
  <si>
    <t>-879.753487557576 334.909019219213 -503.73300787812</t>
  </si>
  <si>
    <t>-904.309638089378 374.911016282024 -213.236763425201</t>
  </si>
  <si>
    <t>-668.884297928493 379.042393756538 -162.162661218528</t>
  </si>
  <si>
    <t>-936.955033259284 151.624188723952 -518.000231378535</t>
  </si>
  <si>
    <t>-986.026708125361 27.2568782914514 -486.018583894047</t>
  </si>
  <si>
    <t>-1059.89162758733 29.1159471022379 -201.182277285906</t>
  </si>
  <si>
    <t>-826.834003109569 4.11874737592416 -256.951306582775</t>
  </si>
  <si>
    <t>-877.660628540678 278.62700766628 -63.7376028503511</t>
  </si>
  <si>
    <t>-883.834615390788 285.725152771307 339.705250993317</t>
  </si>
  <si>
    <t>-935.569149892193 289.882684839228 784.198521549986</t>
  </si>
  <si>
    <t>-792.352971888552 322.455455113557 843.48952658375</t>
  </si>
  <si>
    <t>-909.163165029218 91.9564176741451 -59.5025852223301</t>
  </si>
  <si>
    <t>-867.922809247421 58.2465786566463 340.519329056717</t>
  </si>
  <si>
    <t>-919.195400797581 47.7307447666253 785.682509983805</t>
  </si>
  <si>
    <t>-827.12898187576 -58.9654805321675 857.980697355916</t>
  </si>
  <si>
    <t>9763-20170724T111231.180503000.bin</t>
  </si>
  <si>
    <t>-893.345259882183 184.022293014145 -60.8078853906743</t>
  </si>
  <si>
    <t>-921.786403208009 185.069041707946 -173.085319069023</t>
  </si>
  <si>
    <t>-931.585162278549 184.285424456916 -271.217938339288</t>
  </si>
  <si>
    <t>-935.184820945536 182.701516299613 -360.228020408046</t>
  </si>
  <si>
    <t>-933.207622378201 179.980871938561 -449.261292040591</t>
  </si>
  <si>
    <t>-924.639878980133 174.815650100767 -573.441487750554</t>
  </si>
  <si>
    <t>-896.110707861685 168.216357140852 -651.207531454794</t>
  </si>
  <si>
    <t>-920.227331160098 203.556231086778 -519.332266973663</t>
  </si>
  <si>
    <t>-880.331482071743 334.168801402307 -503.68692137543</t>
  </si>
  <si>
    <t>-906.845844350479 373.24263128293 -213.236680807172</t>
  </si>
  <si>
    <t>-672.025174637847 377.329567948399 -159.445415196751</t>
  </si>
  <si>
    <t>-936.593161103663 150.620868125524 -518.259502812283</t>
  </si>
  <si>
    <t>-985.186563300306 26.0242590973999 -486.425446029895</t>
  </si>
  <si>
    <t>-1059.6238495502 27.7578124010415 -201.737495564238</t>
  </si>
  <si>
    <t>-826.249289659248 3.86532832858302 -256.657899243318</t>
  </si>
  <si>
    <t>-877.950073670784 277.280168717924 -63.934329046891</t>
  </si>
  <si>
    <t>-884.393418883738 285.14191399379 339.490193185494</t>
  </si>
  <si>
    <t>-935.801778315625 290.065752389766 783.971938323202</t>
  </si>
  <si>
    <t>-792.656052301108 322.925111748011 843.275010217692</t>
  </si>
  <si>
    <t>-909.037637565351 90.7067015516918 -59.7143498540491</t>
  </si>
  <si>
    <t>-868.429878541628 57.6594547665004 340.427549697592</t>
  </si>
  <si>
    <t>-918.964875494204 47.707290272594 785.702205106142</t>
  </si>
  <si>
    <t>-827.149079785916 -59.2183976097613 857.979609205735</t>
  </si>
  <si>
    <t>9763-20170724T111231.212653600.bin</t>
  </si>
  <si>
    <t>-893.538913225084 183.499553607219 -60.8951437749388</t>
  </si>
  <si>
    <t>-921.994611359811 184.492853416092 -173.169420074369</t>
  </si>
  <si>
    <t>-931.756554842997 183.757270351327 -271.306086747879</t>
  </si>
  <si>
    <t>-935.299945001947 182.253847176649 -360.319733250039</t>
  </si>
  <si>
    <t>-933.243237201305 179.651691316115 -449.354765900525</t>
  </si>
  <si>
    <t>-924.538304455943 174.692598381333 -573.533913283831</t>
  </si>
  <si>
    <t>-895.836472527571 168.191906896819 -651.244740879997</t>
  </si>
  <si>
    <t>-920.258115826484 203.365828717885 -519.378103588717</t>
  </si>
  <si>
    <t>-880.653319799933 334.050924016653 -503.597656508477</t>
  </si>
  <si>
    <t>-907.529012876304 372.677958907251 -213.120706186468</t>
  </si>
  <si>
    <t>-672.526445969953 375.899923184433 -160.070859824537</t>
  </si>
  <si>
    <t>-936.479671449331 150.384138946773 -518.399419485207</t>
  </si>
  <si>
    <t>-984.844570062254 25.671849229469 -486.687450532508</t>
  </si>
  <si>
    <t>-1059.6595826226 27.1349509608763 -202.096748605186</t>
  </si>
  <si>
    <t>-825.995956360166 3.84319204826852 -256.038810689799</t>
  </si>
  <si>
    <t>-878.318460295433 276.752764212097 -64.0511059211238</t>
  </si>
  <si>
    <t>-884.687184087286 284.901520275499 339.368933896685</t>
  </si>
  <si>
    <t>-935.927423660483 290.162332346697 783.865733718971</t>
  </si>
  <si>
    <t>-792.80049743475 323.098001150147 843.171986710123</t>
  </si>
  <si>
    <t>-909.089129049145 90.2050415017329 -59.804952149085</t>
  </si>
  <si>
    <t>-868.830238610273 57.4626835746453 340.397287153278</t>
  </si>
  <si>
    <t>-918.863175524755 47.6818424667449 785.722044207833</t>
  </si>
  <si>
    <t>-827.045007341637 -59.2570951978983 857.977144530767</t>
  </si>
  <si>
    <t>9763-20170724T111231.281840900.bin</t>
  </si>
  <si>
    <t>-894.000545619194 182.554102588707 -61.1255864700346</t>
  </si>
  <si>
    <t>-922.438239298233 183.4293864161 -173.405308272512</t>
  </si>
  <si>
    <t>-932.143660181418 182.713579098293 -271.547853827693</t>
  </si>
  <si>
    <t>-935.617661530213 181.274610507026 -360.565376244048</t>
  </si>
  <si>
    <t>-933.47089191691 178.785748832745 -449.601434391805</t>
  </si>
  <si>
    <t>-924.616009295952 174.037207828855 -573.778132410235</t>
  </si>
  <si>
    <t>-895.512909436664 167.665170401893 -651.350218872168</t>
  </si>
  <si>
    <t>-920.555289582996 202.665030740734 -519.581533968601</t>
  </si>
  <si>
    <t>-881.610020743829 333.541327855623 -503.690462257613</t>
  </si>
  <si>
    <t>-906.648338854234 371.119313772625 -212.911952423753</t>
  </si>
  <si>
    <t>-670.226106581827 371.444638522347 -166.486310383245</t>
  </si>
  <si>
    <t>-936.469893654829 149.588586610796 -518.686648124885</t>
  </si>
  <si>
    <t>-984.196358710483 24.5948749121458 -487.147853367334</t>
  </si>
  <si>
    <t>-1060.25151068109 25.4013932149869 -202.883515167223</t>
  </si>
  <si>
    <t>-826.060060650187 2.61417102269115 -254.70937025051</t>
  </si>
  <si>
    <t>-879.029926642512 275.782235229658 -64.270618235633</t>
  </si>
  <si>
    <t>-885.572160083512 284.467796678916 339.135415510316</t>
  </si>
  <si>
    <t>-936.176507970778 290.364624051211 783.662982251461</t>
  </si>
  <si>
    <t>-793.185081417383 323.853827745631 842.985771338843</t>
  </si>
  <si>
    <t>-909.242590176454 89.2449060666331 -60.0025525023316</t>
  </si>
  <si>
    <t>-869.586178276176 56.9888199524403 340.299343073853</t>
  </si>
  <si>
    <t>-918.77414219657 47.4461046042288 785.755584604225</t>
  </si>
  <si>
    <t>-826.687793678841 -59.2988805048069 857.955539726763</t>
  </si>
  <si>
    <t>9763-20170724T111231.314450600.bin</t>
  </si>
  <si>
    <t>-894.198925534451 182.050575230081 -61.2359354907401</t>
  </si>
  <si>
    <t>-922.595585500006 182.880518932061 -173.526430749491</t>
  </si>
  <si>
    <t>-932.296710571536 182.15127107187 -271.669287022342</t>
  </si>
  <si>
    <t>-935.778494425358 180.710387430417 -360.686246385781</t>
  </si>
  <si>
    <t>-933.651204980793 178.230788345576 -449.723193961163</t>
  </si>
  <si>
    <t>-924.834917562029 173.50755227158 -573.903681819627</t>
  </si>
  <si>
    <t>-895.472034373073 167.194416876589 -651.382551879076</t>
  </si>
  <si>
    <t>-920.819379118761 202.142772121425 -519.707517925463</t>
  </si>
  <si>
    <t>-882.113867739027 333.079842699354 -503.841930116283</t>
  </si>
  <si>
    <t>-905.565989901767 369.866813499832 -212.830003838592</t>
  </si>
  <si>
    <t>-668.430819041108 369.382549709671 -170.198103173475</t>
  </si>
  <si>
    <t>-936.609877536947 149.029397188933 -518.808369665382</t>
  </si>
  <si>
    <t>-984.058163718089 23.9168458118684 -487.258433397879</t>
  </si>
  <si>
    <t>-1060.4504998374 24.4114444278043 -203.083806276242</t>
  </si>
  <si>
    <t>-826.193582328789 1.47905452819396 -254.54980339019</t>
  </si>
  <si>
    <t>-879.292438589658 275.302649607511 -64.3656875956327</t>
  </si>
  <si>
    <t>-886.204091575215 284.231037277006 339.028877305957</t>
  </si>
  <si>
    <t>-936.294274573273 290.46173292869 783.586080181767</t>
  </si>
  <si>
    <t>-793.318282645067 323.96964668735 842.935488059729</t>
  </si>
  <si>
    <t>-909.356235180493 88.6408205029466 -60.1051602950519</t>
  </si>
  <si>
    <t>-869.825711158185 56.7243211535633 340.236340546525</t>
  </si>
  <si>
    <t>-918.728829408077 47.3168162282341 785.763907986429</t>
  </si>
  <si>
    <t>-826.410752965236 -59.248565559182 857.933890451782</t>
  </si>
  <si>
    <t>9763-20170724T111231.382148600.bin</t>
  </si>
  <si>
    <t>-894.573633045099 181.22640260245 -61.3769527442996</t>
  </si>
  <si>
    <t>-922.884793770924 181.946163226633 -173.689738355072</t>
  </si>
  <si>
    <t>-932.563950209984 181.174441582905 -271.834524648539</t>
  </si>
  <si>
    <t>-936.046446758873 179.716457623143 -360.851163833343</t>
  </si>
  <si>
    <t>-933.939334797071 177.243986745747 -449.888802184344</t>
  </si>
  <si>
    <t>-925.171006560851 172.55579468588 -574.0738457028</t>
  </si>
  <si>
    <t>-895.138807817222 166.337600087555 -651.303513412126</t>
  </si>
  <si>
    <t>-921.218391493089 201.200166877201 -519.878027980887</t>
  </si>
  <si>
    <t>-882.646514995244 332.201588985371 -504.114539578461</t>
  </si>
  <si>
    <t>-902.814311005126 368.30492113715 -212.771097710565</t>
  </si>
  <si>
    <t>-664.578479541279 366.072655582662 -176.862034525292</t>
  </si>
  <si>
    <t>-936.840358221008 148.037382308763 -518.974276669306</t>
  </si>
  <si>
    <t>-984.035757306946 22.8690133303439 -487.319774149879</t>
  </si>
  <si>
    <t>-1060.66170857926 22.6831605827374 -203.207732147112</t>
  </si>
  <si>
    <t>-826.505537354972 0.687305229310368 -255.53306727658</t>
  </si>
  <si>
    <t>-879.899623749526 274.701832799761 -64.5728221046612</t>
  </si>
  <si>
    <t>-887.620281340708 283.933624503799 338.800268888888</t>
  </si>
  <si>
    <t>-936.517120110992 290.719271742511 783.477326643424</t>
  </si>
  <si>
    <t>-793.685522697634 324.70422181443 842.902450253149</t>
  </si>
  <si>
    <t>-909.551359561724 87.6265196088393 -60.2629005510263</t>
  </si>
  <si>
    <t>-870.333211169227 56.3902950131296 340.163017067277</t>
  </si>
  <si>
    <t>-918.521117400468 47.2261823682657 785.77116470213</t>
  </si>
  <si>
    <t>-826.137692466273 -59.3071544422826 857.904838620179</t>
  </si>
  <si>
    <t>9763-20170724T111231.415758300.bin</t>
  </si>
  <si>
    <t>-894.800663319563 180.965242236729 -61.4431616277117</t>
  </si>
  <si>
    <t>-923.11464128504 181.632032411505 -173.755655302153</t>
  </si>
  <si>
    <t>-932.792845779577 180.813106131195 -271.900055576644</t>
  </si>
  <si>
    <t>-936.273488322966 179.312003763259 -360.916195654241</t>
  </si>
  <si>
    <t>-934.163250222655 176.796560111602 -449.952405455487</t>
  </si>
  <si>
    <t>-925.388907156987 172.04967989109 -574.134882446871</t>
  </si>
  <si>
    <t>-894.997617776408 165.842111568323 -651.224874996971</t>
  </si>
  <si>
    <t>-921.464189289388 200.727055247385 -519.95453479603</t>
  </si>
  <si>
    <t>-882.966571866984 331.767632375248 -504.299859225579</t>
  </si>
  <si>
    <t>-901.868939300311 368.029255836687 -212.89123687201</t>
  </si>
  <si>
    <t>-663.269389625458 364.854830480143 -179.558335657739</t>
  </si>
  <si>
    <t>-937.036096811856 147.549815582797 -519.022123231227</t>
  </si>
  <si>
    <t>-984.110055950459 22.3586110648371 -487.254501470571</t>
  </si>
  <si>
    <t>-1061.36227718151 21.9863204884605 -203.312247627087</t>
  </si>
  <si>
    <t>-827.211636078841 2.52216390880449 -256.655750161183</t>
  </si>
  <si>
    <t>-880.2484128482 274.581667517662 -64.678843669286</t>
  </si>
  <si>
    <t>-888.177092936175 283.922917443491 338.687664453055</t>
  </si>
  <si>
    <t>-936.613747218186 290.842515842414 783.426851738993</t>
  </si>
  <si>
    <t>-793.741149902501 324.567141821641 842.902992546781</t>
  </si>
  <si>
    <t>-909.707418817414 87.2832728807152 -60.3105862583689</t>
  </si>
  <si>
    <t>-870.683247058732 56.3070835208018 340.154492778085</t>
  </si>
  <si>
    <t>-918.464596669946 47.129997717218 785.796187855966</t>
  </si>
  <si>
    <t>-825.949914593074 -59.3102877232866 857.898916865248</t>
  </si>
  <si>
    <t>9763-20170724T111231.480932900.bin</t>
  </si>
  <si>
    <t>-895.227347991723 180.654199068417 -61.5853591612694</t>
  </si>
  <si>
    <t>-923.630974109677 181.251686872193 -173.875556577848</t>
  </si>
  <si>
    <t>-933.354408440588 180.319577674151 -272.014513734889</t>
  </si>
  <si>
    <t>-936.863750318763 178.694518646399 -361.027358018299</t>
  </si>
  <si>
    <t>-934.769792657917 176.034269745706 -450.059830468826</t>
  </si>
  <si>
    <t>-926.006988019884 171.063206815283 -574.234354405165</t>
  </si>
  <si>
    <t>-894.855533148557 164.828823473836 -651.018166016731</t>
  </si>
  <si>
    <t>-922.089119350159 199.841873196498 -520.107189706845</t>
  </si>
  <si>
    <t>-883.644315425734 330.935582444989 -504.661873005175</t>
  </si>
  <si>
    <t>-901.409715345274 367.47734039033 -213.216734624917</t>
  </si>
  <si>
    <t>-662.358490272301 362.758632207485 -183.499249821312</t>
  </si>
  <si>
    <t>-937.63669308687 146.65960144536 -519.075317030146</t>
  </si>
  <si>
    <t>-984.747045402862 21.5140232066265 -487.230563309652</t>
  </si>
  <si>
    <t>-1062.48116982135 21.1572152925137 -203.419687743362</t>
  </si>
  <si>
    <t>-828.084650360234 9.40070535029963 -257.926151125046</t>
  </si>
  <si>
    <t>-880.788333066582 274.328616778445 -64.8500229344061</t>
  </si>
  <si>
    <t>-888.695651190275 283.922842975866 338.510968122908</t>
  </si>
  <si>
    <t>-936.828239554966 291.096005036513 783.308077232291</t>
  </si>
  <si>
    <t>-793.875667306365 324.345081275775 842.859321741167</t>
  </si>
  <si>
    <t>-909.988045044614 86.9114842552913 -60.3797969186206</t>
  </si>
  <si>
    <t>-871.170908150474 56.240183775667 340.128875364675</t>
  </si>
  <si>
    <t>-918.260713760082 47.0661315484199 785.8300949467</t>
  </si>
  <si>
    <t>-825.771315265787 -59.4161684974936 857.903135902965</t>
  </si>
  <si>
    <t>9763-20170724T111231.547171000.bin</t>
  </si>
  <si>
    <t>-895.100086519772 180.130860179483 -61.6836331976397</t>
  </si>
  <si>
    <t>-923.684854259596 180.745564644614 -173.927784863217</t>
  </si>
  <si>
    <t>-933.550142652066 179.747386407312 -272.051864078294</t>
  </si>
  <si>
    <t>-937.182950105761 178.03163330458 -361.058057945236</t>
  </si>
  <si>
    <t>-935.209099192887 175.249766670714 -450.089595850655</t>
  </si>
  <si>
    <t>-926.609569602768 170.077546679604 -574.267310336103</t>
  </si>
  <si>
    <t>-894.662337940509 163.689602664526 -650.710591027081</t>
  </si>
  <si>
    <t>-922.613647792578 198.941803502528 -520.191513480741</t>
  </si>
  <si>
    <t>-884.164796925711 330.049610949433 -504.97455021876</t>
  </si>
  <si>
    <t>-901.867019943225 366.547347498988 -213.520037156973</t>
  </si>
  <si>
    <t>-662.668834293236 360.992654083828 -185.160106779406</t>
  </si>
  <si>
    <t>-938.173672290163 145.765177425605 -519.054023407974</t>
  </si>
  <si>
    <t>-985.233106271204 20.6404200434099 -486.99053146673</t>
  </si>
  <si>
    <t>-1062.4434589673 19.6680115977033 -203.03838930486</t>
  </si>
  <si>
    <t>-827.85514865987 14.2948900718129 -257.722048654606</t>
  </si>
  <si>
    <t>-880.551243820021 273.808698778083 -64.9557613902987</t>
  </si>
  <si>
    <t>-888.499567624536 283.837377993519 338.393857290403</t>
  </si>
  <si>
    <t>-937.077570634717 291.282555674833 783.138463212232</t>
  </si>
  <si>
    <t>-794.214019057258 324.908613356151 842.691524696859</t>
  </si>
  <si>
    <t>-909.884675435588 86.2851021027477 -60.4514450901489</t>
  </si>
  <si>
    <t>-871.154858611245 55.9769674411718 340.093320832061</t>
  </si>
  <si>
    <t>-917.999575514249 47.0367488199745 785.820450342497</t>
  </si>
  <si>
    <t>-825.512501062172 -59.4536669736633 857.884649042699</t>
  </si>
  <si>
    <t>9763-20170724T111231.583770900.bin</t>
  </si>
  <si>
    <t>-894.99238037602 179.776684525752 -61.7167488491154</t>
  </si>
  <si>
    <t>-923.728472828509 180.397357204307 -173.922158732948</t>
  </si>
  <si>
    <t>-933.713606661494 179.387307569466 -272.034063031488</t>
  </si>
  <si>
    <t>-937.450893511766 177.653780870681 -361.035683512231</t>
  </si>
  <si>
    <t>-935.576299935932 174.846838127025 -450.068394747159</t>
  </si>
  <si>
    <t>-927.111322583452 169.632480313975 -574.253696713352</t>
  </si>
  <si>
    <t>-894.745349192338 163.114134788479 -650.509881505979</t>
  </si>
  <si>
    <t>-923.059443287431 198.516085818177 -520.192301248682</t>
  </si>
  <si>
    <t>-884.651687927527 329.636243133135 -505.038959509629</t>
  </si>
  <si>
    <t>-902.110034920913 366.114779011021 -213.567330030737</t>
  </si>
  <si>
    <t>-662.882817684057 360.412301324207 -185.484601202844</t>
  </si>
  <si>
    <t>-938.612548484752 145.338284938591 -519.019591737794</t>
  </si>
  <si>
    <t>-985.562251055042 20.212618109224 -486.855080447872</t>
  </si>
  <si>
    <t>-1061.81546260829 19.2643934946259 -202.644349673322</t>
  </si>
  <si>
    <t>-827.320807430406 15.7961115846165 -257.880855428492</t>
  </si>
  <si>
    <t>-880.516882056194 273.489569400487 -65.0040918548317</t>
  </si>
  <si>
    <t>-888.275718324046 283.680638991222 338.345143481749</t>
  </si>
  <si>
    <t>-937.19988888503 291.290759381096 783.043203762114</t>
  </si>
  <si>
    <t>-794.317495965406 324.870737638207 842.577156071335</t>
  </si>
  <si>
    <t>-909.763832792131 85.9126786179595 -60.4851241088996</t>
  </si>
  <si>
    <t>-871.040868922057 55.7679307274739 340.072631460054</t>
  </si>
  <si>
    <t>-917.881564538703 46.9981288888416 785.80854122781</t>
  </si>
  <si>
    <t>-825.325793897313 -59.4315461263309 857.874051305045</t>
  </si>
  <si>
    <t>9763-20170724T111231.612921400.bin</t>
  </si>
  <si>
    <t>-894.928919932506 179.430010153021 -61.7520448226434</t>
  </si>
  <si>
    <t>-923.825825968441 180.064041873249 -173.916118163313</t>
  </si>
  <si>
    <t>-933.935173084989 179.062197303616 -272.015451945818</t>
  </si>
  <si>
    <t>-937.777794989793 177.334298732002 -361.012429523405</t>
  </si>
  <si>
    <t>-936.002534067312 174.53145933983 -450.047512515706</t>
  </si>
  <si>
    <t>-927.669111207637 169.320275771149 -574.241857241009</t>
  </si>
  <si>
    <t>-894.883377558979 162.678151180995 -650.30747795893</t>
  </si>
  <si>
    <t>-923.57368512226 198.206324892792 -520.184975410925</t>
  </si>
  <si>
    <t>-885.235415862322 329.349526557617 -505.049928110023</t>
  </si>
  <si>
    <t>-902.45078954104 365.745600366668 -213.553497263027</t>
  </si>
  <si>
    <t>-663.193868631566 360.203407129727 -185.69051372915</t>
  </si>
  <si>
    <t>-939.098792721335 145.020591674589 -518.995089929236</t>
  </si>
  <si>
    <t>-985.945229235467 19.8606387262112 -486.765661649316</t>
  </si>
  <si>
    <t>-1061.11352068624 18.6992557876501 -202.266667101402</t>
  </si>
  <si>
    <t>-826.871591085939 16.2333229424294 -258.618075435852</t>
  </si>
  <si>
    <t>-880.578559396268 273.1903778208 -65.0473539399243</t>
  </si>
  <si>
    <t>-888.001529735884 283.56109530275 338.303659347972</t>
  </si>
  <si>
    <t>-937.336533343253 291.321806466242 782.950674505644</t>
  </si>
  <si>
    <t>-794.51380778658 325.212799471493 842.451475697559</t>
  </si>
  <si>
    <t>-909.598732980011 85.5364280098102 -60.5124365600577</t>
  </si>
  <si>
    <t>-870.910942446126 55.5990152268578 340.064212240954</t>
  </si>
  <si>
    <t>-917.753995605956 46.9704808358874 785.792700850112</t>
  </si>
  <si>
    <t>-825.226998222232 -59.4793397563619 857.865536557279</t>
  </si>
  <si>
    <t>9763-20170724T111231.678599500.bin</t>
  </si>
  <si>
    <t>-894.580440527636 178.765117188453 -61.8302179733247</t>
  </si>
  <si>
    <t>-923.717043567327 179.397560299438 -173.932361577903</t>
  </si>
  <si>
    <t>-934.030918977878 178.430254683663 -272.010607886973</t>
  </si>
  <si>
    <t>-938.056614646777 176.747390473354 -361.000577265579</t>
  </si>
  <si>
    <t>-936.46113961506 174.004382185398 -450.040857557704</t>
  </si>
  <si>
    <t>-928.375058396766 168.891925360478 -574.255483002324</t>
  </si>
  <si>
    <t>-894.842583820645 162.069225517368 -649.978932966653</t>
  </si>
  <si>
    <t>-924.213374769586 197.746957836965 -520.187207987344</t>
  </si>
  <si>
    <t>-886.045780745958 328.942820314895 -505.026956002757</t>
  </si>
  <si>
    <t>-902.836001189409 365.199403697488 -213.488338265337</t>
  </si>
  <si>
    <t>-663.508720872638 360.372778006263 -186.101261929613</t>
  </si>
  <si>
    <t>-939.653229915664 144.536465955477 -519.002262828321</t>
  </si>
  <si>
    <t>-986.281765459559 19.2844680267767 -486.832938686372</t>
  </si>
  <si>
    <t>-1059.13395688973 17.0230165064713 -201.738748632616</t>
  </si>
  <si>
    <t>-825.26716510841 14.2636407050645 -259.615476793512</t>
  </si>
  <si>
    <t>-880.385385566597 272.471371114289 -65.1080273514176</t>
  </si>
  <si>
    <t>-887.206977428291 283.297533092509 338.24164353086</t>
  </si>
  <si>
    <t>-937.582907520291 291.268910479884 782.768238684152</t>
  </si>
  <si>
    <t>-794.6623306895 324.857146992377 842.20548939148</t>
  </si>
  <si>
    <t>-909.053060678611 84.9137387428623 -60.5743385347997</t>
  </si>
  <si>
    <t>-870.460288539052 55.204007734972 340.028357168562</t>
  </si>
  <si>
    <t>-917.488471061671 46.9247811602495 785.741492445104</t>
  </si>
  <si>
    <t>-825.104581738796 -59.6301313186104 857.842357662028</t>
  </si>
  <si>
    <t>9763-20170724T111231.727740600.bin</t>
  </si>
  <si>
    <t>-894.408984601304 178.440416544336 -61.8654254819513</t>
  </si>
  <si>
    <t>-923.666294214964 179.05105201631 -173.936305615826</t>
  </si>
  <si>
    <t>-934.065550665173 178.063969602611 -272.005343190186</t>
  </si>
  <si>
    <t>-938.160902390638 176.36330006486 -360.991710859398</t>
  </si>
  <si>
    <t>-936.626549240953 173.603246861586 -450.032493826587</t>
  </si>
  <si>
    <t>-928.616126804487 168.469437970376 -574.25116300334</t>
  </si>
  <si>
    <t>-894.628853366062 161.587969773881 -649.766456029823</t>
  </si>
  <si>
    <t>-924.469429489842 197.347724796984 -520.194172686046</t>
  </si>
  <si>
    <t>-886.527773634843 328.606777682762 -505.064589370506</t>
  </si>
  <si>
    <t>-902.901835336365 365.094762507878 -213.531256168221</t>
  </si>
  <si>
    <t>-663.518153043802 360.923244094189 -186.531741275648</t>
  </si>
  <si>
    <t>-939.812521571723 144.109499704452 -518.983219067004</t>
  </si>
  <si>
    <t>-986.173722498222 18.7582364195941 -486.803707610363</t>
  </si>
  <si>
    <t>-1058.17350843925 15.2691799933837 -201.505413819828</t>
  </si>
  <si>
    <t>-824.408996728647 11.8602782073599 -259.758456474477</t>
  </si>
  <si>
    <t>-880.378714148024 272.182708470102 -65.1652365031583</t>
  </si>
  <si>
    <t>-886.814277516269 283.261540767067 338.18383760875</t>
  </si>
  <si>
    <t>-937.790798908222 291.332560351767 782.641894166678</t>
  </si>
  <si>
    <t>-794.996977840178 325.541357692212 842.030707071073</t>
  </si>
  <si>
    <t>-908.738131067033 84.5947703796755 -60.6085291584534</t>
  </si>
  <si>
    <t>-870.159779899505 54.9500819632599 340.000474576479</t>
  </si>
  <si>
    <t>-917.305727292208 46.8715701690062 785.704104278846</t>
  </si>
  <si>
    <t>-824.795008732937 -59.5667515665039 857.814810256876</t>
  </si>
  <si>
    <t>9763-20170724T111231.781387800.bin</t>
  </si>
  <si>
    <t>-894.328147033847 178.355692646017 -61.8977656792617</t>
  </si>
  <si>
    <t>-923.593319561724 178.906538776585 -173.966728202085</t>
  </si>
  <si>
    <t>-934.002166380695 177.874546163966 -272.034456489417</t>
  </si>
  <si>
    <t>-938.106845977724 176.136546617844 -361.019586911902</t>
  </si>
  <si>
    <t>-936.581911182612 173.34333158715 -450.059597768627</t>
  </si>
  <si>
    <t>-928.585401855768 168.16821483209 -574.277505457812</t>
  </si>
  <si>
    <t>-894.329158756489 161.308427020403 -649.672847644514</t>
  </si>
  <si>
    <t>-924.471837124064 197.075428188411 -520.233503493836</t>
  </si>
  <si>
    <t>-886.666938758371 328.37959706329 -505.167564732187</t>
  </si>
  <si>
    <t>-902.745998991893 365.066685984315 -213.642802399171</t>
  </si>
  <si>
    <t>-663.293570176296 361.705153691633 -187.145024275797</t>
  </si>
  <si>
    <t>-939.736492871786 143.81543593422 -518.997146308279</t>
  </si>
  <si>
    <t>-985.879111599522 18.3790477788384 -486.825149467898</t>
  </si>
  <si>
    <t>-1057.61035285395 13.9366544049035 -201.472646455161</t>
  </si>
  <si>
    <t>-823.822927102702 9.68265559091697 -259.577691066184</t>
  </si>
  <si>
    <t>-880.443771767259 272.142629378056 -65.2312615269282</t>
  </si>
  <si>
    <t>-886.805679719758 283.253462570852 338.118184195256</t>
  </si>
  <si>
    <t>-937.971981401199 291.413735150607 782.543374576501</t>
  </si>
  <si>
    <t>-795.172059352784 325.613065995257 841.922358357782</t>
  </si>
  <si>
    <t>-908.492535895632 84.4887995712879 -60.612202439032</t>
  </si>
  <si>
    <t>-869.934700883118 54.7820086432102 339.994146994016</t>
  </si>
  <si>
    <t>-917.18263941255 46.7448754667917 785.680529391989</t>
  </si>
  <si>
    <t>-824.629540235681 -59.6503915396668 857.799968910095</t>
  </si>
  <si>
    <t>9763-20170724T111231.815024000.bin</t>
  </si>
  <si>
    <t>-894.256857035165 178.401319340648 -61.9364365691977</t>
  </si>
  <si>
    <t>-923.48235459186 178.907943550287 -174.01609127773</t>
  </si>
  <si>
    <t>-933.879560721657 177.864959593622 -272.084691083593</t>
  </si>
  <si>
    <t>-937.982619759082 176.128511861814 -361.070038196812</t>
  </si>
  <si>
    <t>-936.464128163653 173.349660035901 -450.110663274304</t>
  </si>
  <si>
    <t>-928.484924126952 168.208581398919 -574.330996480139</t>
  </si>
  <si>
    <t>-894.163869767309 161.404915272734 -649.701993901467</t>
  </si>
  <si>
    <t>-924.385522974323 197.107290924737 -520.281282580864</t>
  </si>
  <si>
    <t>-886.663874430202 328.429445078898 -505.226191670877</t>
  </si>
  <si>
    <t>-902.339445393897 365.164727535853 -213.685548567289</t>
  </si>
  <si>
    <t>-662.842819382609 362.131293767515 -187.551894134799</t>
  </si>
  <si>
    <t>-939.60706058554 143.834681469361 -519.054187992595</t>
  </si>
  <si>
    <t>-985.617092437493 18.3560297632216 -486.849871058908</t>
  </si>
  <si>
    <t>-1057.45014111775 13.6115290912453 -201.527732769196</t>
  </si>
  <si>
    <t>-823.628697152331 9.32366737997609 -259.494341596378</t>
  </si>
  <si>
    <t>-880.469245275602 272.189179488042 -65.2892384078351</t>
  </si>
  <si>
    <t>-886.948854766345 283.309374329878 338.05810468236</t>
  </si>
  <si>
    <t>-938.070361593792 291.459234548777 782.488642882294</t>
  </si>
  <si>
    <t>-795.27776103452 325.673510319575 841.875967246723</t>
  </si>
  <si>
    <t>-908.327568142114 84.5227718175611 -60.6180630714182</t>
  </si>
  <si>
    <t>-869.815229943063 54.7633043595461 339.988718460015</t>
  </si>
  <si>
    <t>-917.023864076435 46.7877495855605 785.668314403412</t>
  </si>
  <si>
    <t>-824.601689501187 -59.7182635319664 857.792584866735</t>
  </si>
  <si>
    <t>9763-20170724T111231.881203200.bin</t>
  </si>
  <si>
    <t>-894.337532256061 178.62501638741 -62.0157471923707</t>
  </si>
  <si>
    <t>-923.419184167515 179.057720675336 -174.133139853217</t>
  </si>
  <si>
    <t>-933.752744307577 178.010223537736 -272.208496314953</t>
  </si>
  <si>
    <t>-937.82133755221 176.29510345825 -361.195812765665</t>
  </si>
  <si>
    <t>-936.292182703849 173.564495256963 -450.237621633368</t>
  </si>
  <si>
    <t>-928.32045956253 168.519744629924 -574.46248864042</t>
  </si>
  <si>
    <t>-894.047283455505 161.880542893804 -649.870038739789</t>
  </si>
  <si>
    <t>-924.244453892927 197.384024950066 -520.392545216061</t>
  </si>
  <si>
    <t>-886.470254831881 328.690428151552 -505.258388652095</t>
  </si>
  <si>
    <t>-901.143013919134 365.267042043258 -213.645547569512</t>
  </si>
  <si>
    <t>-661.535064983575 362.784335942966 -188.491281957438</t>
  </si>
  <si>
    <t>-939.412328307758 144.095278190964 -519.201997798252</t>
  </si>
  <si>
    <t>-985.360745158775 18.6021028837472 -486.983351379221</t>
  </si>
  <si>
    <t>-1057.47969682078 14.4084294359222 -201.724660786888</t>
  </si>
  <si>
    <t>-823.603513839769 9.18329145819234 -259.391606127704</t>
  </si>
  <si>
    <t>-880.716785356384 272.520751451213 -65.4181340846354</t>
  </si>
  <si>
    <t>-887.569196594303 283.445093245879 337.928323109291</t>
  </si>
  <si>
    <t>-938.25876221831 291.601325792968 782.41921987951</t>
  </si>
  <si>
    <t>-795.43157416795 325.602964070742 841.846302791835</t>
  </si>
  <si>
    <t>-908.260704680492 84.653390527998 -60.6609144810735</t>
  </si>
  <si>
    <t>-869.917842894769 54.8565594650349 339.959359977142</t>
  </si>
  <si>
    <t>-916.854303922256 46.6909141310225 785.661233173885</t>
  </si>
  <si>
    <t>-824.308140675929 -59.7201312429179 857.766733950272</t>
  </si>
  <si>
    <t>9763-20170724T111231.912561800.bin</t>
  </si>
  <si>
    <t>-894.420643780604 178.790776561474 -62.0602639524828</t>
  </si>
  <si>
    <t>-923.449051032718 179.205565519734 -174.191420057976</t>
  </si>
  <si>
    <t>-933.754176125032 178.153703830057 -272.269740642078</t>
  </si>
  <si>
    <t>-937.804716899334 176.44021058364 -361.257971967717</t>
  </si>
  <si>
    <t>-936.263798497021 173.716785216179 -450.299756326145</t>
  </si>
  <si>
    <t>-928.282624222815 168.688035378167 -574.524611106766</t>
  </si>
  <si>
    <t>-894.09304028144 162.123590222606 -649.976638834005</t>
  </si>
  <si>
    <t>-924.216362634595 197.546995629704 -520.451142796493</t>
  </si>
  <si>
    <t>-886.371005693154 328.834978147205 -505.329408374132</t>
  </si>
  <si>
    <t>-900.023324844703 365.54605757017 -213.684030612524</t>
  </si>
  <si>
    <t>-660.370750515565 363.12714191604 -188.953551317819</t>
  </si>
  <si>
    <t>-939.373012825882 144.254977158553 -519.267749856054</t>
  </si>
  <si>
    <t>-985.27656507901 18.7744528586895 -486.968874217377</t>
  </si>
  <si>
    <t>-1057.50110688668 15.1038468911843 -201.729770853642</t>
  </si>
  <si>
    <t>-823.621459661238 9.61524613228767 -259.358027529399</t>
  </si>
  <si>
    <t>-880.886491659476 272.732103258328 -65.4722841204702</t>
  </si>
  <si>
    <t>-887.876962516043 283.564310953327 337.874282088899</t>
  </si>
  <si>
    <t>-938.36291898984 291.706455186318 782.396566881078</t>
  </si>
  <si>
    <t>-795.577414993226 325.856212204609 841.83899097448</t>
  </si>
  <si>
    <t>-908.267255600138 84.7764668679274 -60.6886761874628</t>
  </si>
  <si>
    <t>-869.967654930507 54.9657150334378 339.934793750771</t>
  </si>
  <si>
    <t>-916.704993543738 46.7424070817078 785.656133381033</t>
  </si>
  <si>
    <t>-824.256223278486 -59.753896467447 857.760755683737</t>
  </si>
  <si>
    <t>9763-20170724T111231.980260400.bin</t>
  </si>
  <si>
    <t>-894.616827305345 179.050174057363 -62.139892119096</t>
  </si>
  <si>
    <t>-923.545936229537 179.457379351147 -174.2968141534</t>
  </si>
  <si>
    <t>-933.826524934468 178.371620502182 -272.377241674979</t>
  </si>
  <si>
    <t>-937.880300764524 176.617979037426 -361.36450203441</t>
  </si>
  <si>
    <t>-936.368602323955 173.844944723091 -450.405398304003</t>
  </si>
  <si>
    <t>-928.456138828072 168.738033875269 -574.631442229452</t>
  </si>
  <si>
    <t>-894.501806512329 162.337543852351 -650.203754789316</t>
  </si>
  <si>
    <t>-924.339574627455 197.625119488425 -520.576912675581</t>
  </si>
  <si>
    <t>-886.222156747444 328.851084981152 -505.579975951953</t>
  </si>
  <si>
    <t>-896.218423473985 366.612524840058 -213.920358781383</t>
  </si>
  <si>
    <t>-656.465267482217 363.839813196293 -190.221097709162</t>
  </si>
  <si>
    <t>-939.536675454923 144.345546618827 -519.354533955019</t>
  </si>
  <si>
    <t>-985.41729069852 18.8998107941952 -486.879657650553</t>
  </si>
  <si>
    <t>-1057.44273908423 16.15979243014 -201.57969256</t>
  </si>
  <si>
    <t>-823.583203733614 10.3402423664256 -259.257081144344</t>
  </si>
  <si>
    <t>-881.119122609171 273.149801707427 -65.5577409996897</t>
  </si>
  <si>
    <t>-888.479518284482 283.785614041878 337.787485481993</t>
  </si>
  <si>
    <t>-938.556036782016 291.922353570146 782.378533535822</t>
  </si>
  <si>
    <t>-795.842562946004 326.2833707486 841.872046379912</t>
  </si>
  <si>
    <t>-908.393651692127 84.803205669416 -60.7321353659397</t>
  </si>
  <si>
    <t>-869.960278057232 54.9747917148047 339.87713362037</t>
  </si>
  <si>
    <t>-916.612185031988 46.5409118880675 785.632815680248</t>
  </si>
  <si>
    <t>-823.963250957931 -59.7867878837396 857.729260121642</t>
  </si>
  <si>
    <t>9763-20170724T111232.016859300.bin</t>
  </si>
  <si>
    <t>-894.658733873423 179.159473239246 -62.1709082365362</t>
  </si>
  <si>
    <t>-923.555313514066 179.550961357777 -174.336158465542</t>
  </si>
  <si>
    <t>-933.841140567848 178.432117821349 -272.415839638407</t>
  </si>
  <si>
    <t>-937.91392977935 176.639904750165 -361.401494005261</t>
  </si>
  <si>
    <t>-936.436135252691 173.81944871172 -450.441269730899</t>
  </si>
  <si>
    <t>-928.586783737281 168.63628479164 -574.668256289367</t>
  </si>
  <si>
    <t>-894.773955586128 162.326821484401 -650.311643925987</t>
  </si>
  <si>
    <t>-924.413331080544 197.548182113215 -520.631348550104</t>
  </si>
  <si>
    <t>-886.062456302275 328.714592891373 -505.746069142425</t>
  </si>
  <si>
    <t>-893.688511921798 367.278325471957 -214.119948578981</t>
  </si>
  <si>
    <t>-653.833216042839 363.838684926754 -191.568696332659</t>
  </si>
  <si>
    <t>-939.668390993751 144.286138893827 -519.372917446109</t>
  </si>
  <si>
    <t>-985.604660904435 18.8799242745895 -486.813244954435</t>
  </si>
  <si>
    <t>-1057.42133497087 16.2344024933759 -201.459714166437</t>
  </si>
  <si>
    <t>-823.573239027594 10.7088728594654 -259.212790889971</t>
  </si>
  <si>
    <t>-881.184956077595 273.353793586353 -65.5957919521575</t>
  </si>
  <si>
    <t>-888.790598004675 283.906522531949 337.747142177416</t>
  </si>
  <si>
    <t>-938.629890525922 292.015379127058 782.381256287561</t>
  </si>
  <si>
    <t>-795.859257722536 326.058138496567 841.920935466973</t>
  </si>
  <si>
    <t>-908.419912527666 84.8170024024384 -60.7440781247535</t>
  </si>
  <si>
    <t>-869.899004800846 54.973417813751 339.855721497863</t>
  </si>
  <si>
    <t>-916.495838162104 46.5444770442937 785.614009096358</t>
  </si>
  <si>
    <t>-823.848383119265 -59.7819947158368 857.714049039193</t>
  </si>
  <si>
    <t>9763-20170724T111232.080029600.bin</t>
  </si>
  <si>
    <t>-894.732384284669 179.49127785422 -62.1769235154031</t>
  </si>
  <si>
    <t>-923.566203725878 179.884707879462 -174.358220618413</t>
  </si>
  <si>
    <t>-933.885026641495 178.746403215931 -272.434196665425</t>
  </si>
  <si>
    <t>-938.023193020938 176.927616048313 -361.416306954031</t>
  </si>
  <si>
    <t>-936.647426759048 174.07133042891 -450.456652307846</t>
  </si>
  <si>
    <t>-928.979237334919 168.827039502545 -574.692433006767</t>
  </si>
  <si>
    <t>-895.504850542598 162.733103249081 -650.503730849409</t>
  </si>
  <si>
    <t>-924.662134607858 197.746891745875 -520.6710021713</t>
  </si>
  <si>
    <t>-885.678963067169 328.74826903402 -506.013817359599</t>
  </si>
  <si>
    <t>-887.76356823 368.874543802996 -214.506089784572</t>
  </si>
  <si>
    <t>-647.599095494204 363.054212207247 -196.119718481271</t>
  </si>
  <si>
    <t>-940.045218148478 144.522628383841 -519.373831720477</t>
  </si>
  <si>
    <t>-986.188135392307 19.2030273754749 -486.74612959144</t>
  </si>
  <si>
    <t>-1057.5941975937 16.2631358565504 -201.292485327376</t>
  </si>
  <si>
    <t>-823.857489673377 12.0201109402847 -259.601900881584</t>
  </si>
  <si>
    <t>-881.359019521017 273.880877130957 -65.6347717508171</t>
  </si>
  <si>
    <t>-889.359032016453 284.233702426494 337.705624320912</t>
  </si>
  <si>
    <t>-938.791978705083 292.207245462657 782.394675739097</t>
  </si>
  <si>
    <t>-795.999845354472 326.060947180259 841.990052397738</t>
  </si>
  <si>
    <t>-908.441068759444 85.0135361341645 -60.7592551806734</t>
  </si>
  <si>
    <t>-869.875417726622 55.0902666748875 339.830235431934</t>
  </si>
  <si>
    <t>-916.302444661644 46.5028713509028 785.581677460399</t>
  </si>
  <si>
    <t>-823.664013260096 -59.8207942499027 857.697582395533</t>
  </si>
  <si>
    <t>9763-20170724T111232.115682700.bin</t>
  </si>
  <si>
    <t>-894.761218056482 179.669851922248 -62.1768543061669</t>
  </si>
  <si>
    <t>-923.579222044992 180.087862459523 -174.362358633722</t>
  </si>
  <si>
    <t>-933.94061660325 178.979159200713 -272.43414868518</t>
  </si>
  <si>
    <t>-938.140088161843 177.192263772176 -361.413917917352</t>
  </si>
  <si>
    <t>-936.848621759945 174.372707348233 -450.456734968754</t>
  </si>
  <si>
    <t>-929.32133449683 169.186206718304 -574.703542543594</t>
  </si>
  <si>
    <t>-896.065835997194 163.221368118421 -650.621406118864</t>
  </si>
  <si>
    <t>-924.917984952265 198.074016663937 -520.671880684233</t>
  </si>
  <si>
    <t>-885.655482925628 329.006406623178 -506.090827144358</t>
  </si>
  <si>
    <t>-884.798747213002 369.60760946791 -214.642612005906</t>
  </si>
  <si>
    <t>-644.497888913804 362.626611293049 -198.593211912884</t>
  </si>
  <si>
    <t>-940.349431174151 144.863067826726 -519.385441293168</t>
  </si>
  <si>
    <t>-986.544578326534 19.5718134043027 -486.744754551985</t>
  </si>
  <si>
    <t>-1057.78087398532 16.462522145373 -201.250510068224</t>
  </si>
  <si>
    <t>-824.106520518081 13.3306097147802 -259.879450282498</t>
  </si>
  <si>
    <t>-881.444138175207 274.099952902183 -65.6402612362289</t>
  </si>
  <si>
    <t>-889.452741195419 284.375878117448 337.701945766703</t>
  </si>
  <si>
    <t>-938.880078749622 292.269389660863 782.401238887207</t>
  </si>
  <si>
    <t>-796.105261605323 326.192361893907 841.999061370143</t>
  </si>
  <si>
    <t>-908.416953444181 85.166139373905 -60.7724369826819</t>
  </si>
  <si>
    <t>-869.882271106019 55.1910543558274 339.816223974697</t>
  </si>
  <si>
    <t>-916.184928826559 46.5212391541572 785.560979581852</t>
  </si>
  <si>
    <t>-823.547567490107 -59.7949855670686 857.689107283619</t>
  </si>
  <si>
    <t>9763-20170724T111232.180858400.bin</t>
  </si>
  <si>
    <t>-894.619823330801 179.833987832008 -62.1970425740835</t>
  </si>
  <si>
    <t>-923.522199653002 180.309543302498 -174.360477087276</t>
  </si>
  <si>
    <t>-933.998426362331 179.288823050613 -272.421116709998</t>
  </si>
  <si>
    <t>-938.318045334015 177.598084683244 -361.397080201232</t>
  </si>
  <si>
    <t>-937.16134510435 174.891090267583 -450.445266945038</t>
  </si>
  <si>
    <t>-929.837925495018 169.879548433716 -574.711336798712</t>
  </si>
  <si>
    <t>-897.065496919829 164.172019345566 -650.858566002766</t>
  </si>
  <si>
    <t>-925.320244816301 198.683903103536 -520.644611733979</t>
  </si>
  <si>
    <t>-885.621682740276 329.493399837784 -506.091678668481</t>
  </si>
  <si>
    <t>-879.941437551664 370.444200812979 -214.746623758535</t>
  </si>
  <si>
    <t>-639.534749019622 361.171243263641 -201.728700125767</t>
  </si>
  <si>
    <t>-940.800959407964 145.486152750529 -519.41151014733</t>
  </si>
  <si>
    <t>-987.046301559104 20.1938348758335 -486.824025028862</t>
  </si>
  <si>
    <t>-1058.26115058965 16.7403403277531 -201.328480602684</t>
  </si>
  <si>
    <t>-824.601061943545 16.2781242090932 -260.096870409663</t>
  </si>
  <si>
    <t>-881.325517907615 274.16403867312 -65.6237336261995</t>
  </si>
  <si>
    <t>-888.965643965912 284.609055260803 337.721263333611</t>
  </si>
  <si>
    <t>-939.07400839864 292.312978545438 782.388341450976</t>
  </si>
  <si>
    <t>-796.345331658772 326.506541413063 841.941862510371</t>
  </si>
  <si>
    <t>-908.175104669892 85.3688490781055 -60.7960384953742</t>
  </si>
  <si>
    <t>-869.664320291297 55.2263734507601 339.782332335362</t>
  </si>
  <si>
    <t>-915.965337597331 46.5325902543686 785.522690305984</t>
  </si>
  <si>
    <t>-823.521464014978 -59.9284692534982 857.685739916297</t>
  </si>
  <si>
    <t>9763-20170724T111232.211491300.bin</t>
  </si>
  <si>
    <t>-894.467660083952 179.78451526365 -62.1822748113323</t>
  </si>
  <si>
    <t>-923.434679346889 180.312823100734 -174.328793700366</t>
  </si>
  <si>
    <t>-933.952770807351 179.358439304283 -272.38555790584</t>
  </si>
  <si>
    <t>-938.30334579951 177.736294853307 -361.361258977626</t>
  </si>
  <si>
    <t>-937.171238383807 175.106021098739 -450.412047663111</t>
  </si>
  <si>
    <t>-929.874593757606 170.209599315263 -574.684390788458</t>
  </si>
  <si>
    <t>-897.356119916084 164.645565016514 -650.950996172454</t>
  </si>
  <si>
    <t>-925.342492218327 198.962946137567 -520.591510729265</t>
  </si>
  <si>
    <t>-885.451744058517 329.705284192294 -506.014574514345</t>
  </si>
  <si>
    <t>-878.582842067807 370.613688625735 -214.689126246097</t>
  </si>
  <si>
    <t>-638.188121072489 360.147483717716 -202.374130687487</t>
  </si>
  <si>
    <t>-940.828599697635 145.765660133034 -519.404905240243</t>
  </si>
  <si>
    <t>-987.095856037537 20.4693569447095 -486.875204051734</t>
  </si>
  <si>
    <t>-1058.23357021358 16.8458790993727 -201.362566053119</t>
  </si>
  <si>
    <t>-824.586678997358 17.1029693629202 -260.183242737293</t>
  </si>
  <si>
    <t>-881.216346032076 274.07255464969 -65.5868279702179</t>
  </si>
  <si>
    <t>-888.565973139724 284.59375979205 337.761553132172</t>
  </si>
  <si>
    <t>-939.168203074928 292.281845161118 782.372698805264</t>
  </si>
  <si>
    <t>-796.398152871118 326.35924368141 841.893931910111</t>
  </si>
  <si>
    <t>-907.988221412159 85.3538502792294 -60.8081893823461</t>
  </si>
  <si>
    <t>-869.475032770328 55.150875199588 339.765404213937</t>
  </si>
  <si>
    <t>-915.862003023068 46.5344312824973 785.501562690723</t>
  </si>
  <si>
    <t>-823.47742576459 -59.9674632454492 857.67996415895</t>
  </si>
  <si>
    <t>9763-20170724T111232.281683700.bin</t>
  </si>
  <si>
    <t>-894.095836243918 179.47621572716 -62.1074679646264</t>
  </si>
  <si>
    <t>-923.208469583903 180.131893273327 -174.215598127121</t>
  </si>
  <si>
    <t>-933.849392327832 179.345082131821 -272.260553911083</t>
  </si>
  <si>
    <t>-938.308404347596 177.900111981742 -361.233980973096</t>
  </si>
  <si>
    <t>-937.280426320934 175.473568377647 -450.291847136317</t>
  </si>
  <si>
    <t>-930.122570320379 170.890457564125 -574.58409461695</t>
  </si>
  <si>
    <t>-898.108502096701 165.660241251057 -651.087541268511</t>
  </si>
  <si>
    <t>-925.549799614738 199.513259428986 -520.425548002883</t>
  </si>
  <si>
    <t>-885.371070111474 330.164035380438 -505.717763721272</t>
  </si>
  <si>
    <t>-877.517747042291 370.65582843216 -214.358995835876</t>
  </si>
  <si>
    <t>-637.230027184037 357.380537302171 -202.677648142197</t>
  </si>
  <si>
    <t>-940.994892548709 146.301627896956 -519.352920848567</t>
  </si>
  <si>
    <t>-987.096005959366 20.9128363112809 -486.963854520203</t>
  </si>
  <si>
    <t>-1057.26624273423 16.3764364298399 -201.22484942275</t>
  </si>
  <si>
    <t>-823.678797820771 20.4031244045887 -260.145736312439</t>
  </si>
  <si>
    <t>-880.846579895392 273.742662661697 -65.4486820778152</t>
  </si>
  <si>
    <t>-887.800348270433 284.536195274391 337.899561789069</t>
  </si>
  <si>
    <t>-939.337786379111 292.219212347892 782.377343304335</t>
  </si>
  <si>
    <t>-796.551303154337 326.333315223255 841.838424844777</t>
  </si>
  <si>
    <t>-907.604489962028 85.1017529900992 -60.8188647316373</t>
  </si>
  <si>
    <t>-869.08041518482 54.8302811830918 339.748445400356</t>
  </si>
  <si>
    <t>-915.723853062714 46.4400274483751 785.457162402375</t>
  </si>
  <si>
    <t>-823.226020823626 -59.9528517326378 857.651294762818</t>
  </si>
  <si>
    <t>9763-20170724T111232.314884000.bin</t>
  </si>
  <si>
    <t>-893.927715347455 179.44457549868 -62.056733327827</t>
  </si>
  <si>
    <t>-923.102842173659 180.113258819292 -174.148702117147</t>
  </si>
  <si>
    <t>-933.809482548985 179.413624737684 -272.187014147057</t>
  </si>
  <si>
    <t>-938.331628703772 178.078502313289 -361.158961872584</t>
  </si>
  <si>
    <t>-937.368289816274 175.795413784669 -450.221248148908</t>
  </si>
  <si>
    <t>-930.3015364468 171.447936089398 -574.527305268385</t>
  </si>
  <si>
    <t>-898.520116600032 166.434431346916 -651.142152400116</t>
  </si>
  <si>
    <t>-925.734459270607 199.980841811605 -520.321035935339</t>
  </si>
  <si>
    <t>-885.578918125428 330.600725724403 -505.438923093582</t>
  </si>
  <si>
    <t>-877.194838426842 370.724002647274 -214.043886933874</t>
  </si>
  <si>
    <t>-636.944078160011 356.072433659105 -203.284206097594</t>
  </si>
  <si>
    <t>-941.087876660051 146.74089460186 -519.331804830727</t>
  </si>
  <si>
    <t>-986.926018023356 21.2072819894452 -487.085601438058</t>
  </si>
  <si>
    <t>-1056.75724027012 16.2522285398959 -201.270514874451</t>
  </si>
  <si>
    <t>-823.191260393339 21.8893082818527 -260.142605406687</t>
  </si>
  <si>
    <t>-880.794817764083 273.741994402748 -65.3948209433306</t>
  </si>
  <si>
    <t>-887.613190156721 284.560973289928 337.955096069548</t>
  </si>
  <si>
    <t>-939.439515738766 292.271933880995 782.393768673097</t>
  </si>
  <si>
    <t>-796.744860763557 326.800754551678 841.835791082763</t>
  </si>
  <si>
    <t>-907.335317918499 85.1053241981713 -60.8108244543193</t>
  </si>
  <si>
    <t>-868.859863953788 54.7817394070662 339.757257541245</t>
  </si>
  <si>
    <t>-915.566619801332 46.5386574490049 785.445488163762</t>
  </si>
  <si>
    <t>-823.247743944243 -60.0044436052735 857.647236690216</t>
  </si>
  <si>
    <t>9763-20170724T111232.380061400.bin</t>
  </si>
  <si>
    <t>-893.67458258368 179.520828691139 -62.0249819693723</t>
  </si>
  <si>
    <t>-922.924837279418 180.178091900708 -174.097369086566</t>
  </si>
  <si>
    <t>-933.703392267261 179.693125381555 -272.129245163245</t>
  </si>
  <si>
    <t>-938.287807671266 178.642199878102 -361.101922941999</t>
  </si>
  <si>
    <t>-937.380918841802 176.734035334171 -450.173588695222</t>
  </si>
  <si>
    <t>-930.384599263206 173.007632288569 -574.50370933256</t>
  </si>
  <si>
    <t>-899.045452432775 168.547930798135 -651.334593095234</t>
  </si>
  <si>
    <t>-925.906337633269 201.303628442192 -520.165883196</t>
  </si>
  <si>
    <t>-886.039988643301 331.954218397298 -504.713969890205</t>
  </si>
  <si>
    <t>-876.355278569319 370.48254764814 -213.144127949244</t>
  </si>
  <si>
    <t>-636.040421725407 354.726954248487 -205.974831267025</t>
  </si>
  <si>
    <t>-941.020268767558 147.991314604256 -519.418452436364</t>
  </si>
  <si>
    <t>-986.303988356039 22.1274178781218 -487.688167136908</t>
  </si>
  <si>
    <t>-1055.7969841396 16.0197744147354 -201.812898744819</t>
  </si>
  <si>
    <t>-822.086217069955 22.8378461472025 -259.981760186079</t>
  </si>
  <si>
    <t>-880.826964312788 273.839376978941 -65.3080434616264</t>
  </si>
  <si>
    <t>-887.906313820809 284.654565249496 338.037400985599</t>
  </si>
  <si>
    <t>-939.585553674105 292.341254179694 782.461240447886</t>
  </si>
  <si>
    <t>-796.824229964436 326.569344413954 841.916357826965</t>
  </si>
  <si>
    <t>-906.799059150426 85.1547610845655 -60.8300364403772</t>
  </si>
  <si>
    <t>-868.635940379716 54.7727957174147 339.763457903056</t>
  </si>
  <si>
    <t>-915.405539179569 46.5247099068229 785.436824843581</t>
  </si>
  <si>
    <t>-823.176474923731 -60.1033121837725 857.62823334889</t>
  </si>
  <si>
    <t>9763-20170724T111232.414158100.bin</t>
  </si>
  <si>
    <t>-893.671142932282 179.497132199014 -62.035275617692</t>
  </si>
  <si>
    <t>-922.93591874091 180.140473739285 -174.103883124785</t>
  </si>
  <si>
    <t>-933.740505656721 179.767851657903 -272.133315816218</t>
  </si>
  <si>
    <t>-938.351810772722 178.868304321363 -361.106183672222</t>
  </si>
  <si>
    <t>-937.473439291084 177.163095703968 -450.182418466</t>
  </si>
  <si>
    <t>-930.515871626782 173.773233900517 -574.524287975362</t>
  </si>
  <si>
    <t>-899.400915646768 169.611476384845 -651.463108292703</t>
  </si>
  <si>
    <t>-926.083315303655 201.93975891814 -520.115481918219</t>
  </si>
  <si>
    <t>-886.460641471844 332.641249384478 -504.379067542898</t>
  </si>
  <si>
    <t>-876.216245388515 370.265665883387 -212.710192799152</t>
  </si>
  <si>
    <t>-635.840336778487 354.46086847247 -208.182407445208</t>
  </si>
  <si>
    <t>-941.071668308088 148.590508312692 -519.499705497292</t>
  </si>
  <si>
    <t>-986.021884032587 22.5409349724364 -488.071486191138</t>
  </si>
  <si>
    <t>-1055.53890482693 15.3701638846883 -202.22685016166</t>
  </si>
  <si>
    <t>-821.792240495651 23.0992197389196 -260.137333138955</t>
  </si>
  <si>
    <t>-880.993875484608 273.864304297385 -65.2783223802763</t>
  </si>
  <si>
    <t>-888.186213016312 284.746508409714 338.063386176579</t>
  </si>
  <si>
    <t>-939.658653696954 292.411259315872 782.512447310513</t>
  </si>
  <si>
    <t>-796.897369105554 326.614257027404 841.982912904405</t>
  </si>
  <si>
    <t>-906.637564955725 85.0429245135319 -60.8579964079196</t>
  </si>
  <si>
    <t>-868.636602315007 54.7267571363604 339.755930073674</t>
  </si>
  <si>
    <t>-915.373545121588 46.4460203277122 785.439048233997</t>
  </si>
  <si>
    <t>-822.913583290361 -59.9946447824179 857.611570206557</t>
  </si>
  <si>
    <t>9763-20170724T111232.481339100.bin</t>
  </si>
  <si>
    <t>-893.70363056066 179.290843875635 -62.0319146334588</t>
  </si>
  <si>
    <t>-923.058856808952 179.96219360658 -174.076663617007</t>
  </si>
  <si>
    <t>-933.916724709851 179.853656868966 -272.100906951482</t>
  </si>
  <si>
    <t>-938.561156642829 179.289411682397 -361.074815862227</t>
  </si>
  <si>
    <t>-937.696547194631 178.019758043139 -450.158392466898</t>
  </si>
  <si>
    <t>-930.734649522768 175.346118519155 -574.517409117381</t>
  </si>
  <si>
    <t>-900.009967859477 171.852296017429 -651.64607958486</t>
  </si>
  <si>
    <t>-926.463512963961 203.242723187711 -519.957086781977</t>
  </si>
  <si>
    <t>-887.476610103168 334.06140762245 -503.695976683929</t>
  </si>
  <si>
    <t>-876.21336235391 370.420854063326 -211.904387484862</t>
  </si>
  <si>
    <t>-635.773922965825 354.984532891022 -213.137173985299</t>
  </si>
  <si>
    <t>-941.132751983523 149.802625358809 -519.629304980127</t>
  </si>
  <si>
    <t>-985.344974259928 23.3423562855928 -488.811624886563</t>
  </si>
  <si>
    <t>-1054.74030550049 13.9419176333399 -203.002092340471</t>
  </si>
  <si>
    <t>-820.933812229677 23.2904571458453 -260.429799520825</t>
  </si>
  <si>
    <t>-881.315769972256 273.810245569511 -65.1977610819124</t>
  </si>
  <si>
    <t>-888.510933594289 284.733435588018 338.142740216329</t>
  </si>
  <si>
    <t>-939.807170602382 292.527234758058 782.624860321779</t>
  </si>
  <si>
    <t>-797.10775409926 326.949720844045 842.116623049098</t>
  </si>
  <si>
    <t>-906.383733507176 84.706556082087 -60.9361783579506</t>
  </si>
  <si>
    <t>-868.507279236737 54.5663510382587 339.702850263662</t>
  </si>
  <si>
    <t>-915.283467490959 46.3128877852573 785.424099565767</t>
  </si>
  <si>
    <t>-822.793203369009 -60.1018316859017 857.59588766946</t>
  </si>
  <si>
    <t>9763-20170724T111232.514441700.bin</t>
  </si>
  <si>
    <t>-893.714468465897 179.132527083636 -62.0005468510623</t>
  </si>
  <si>
    <t>-923.150201960279 179.856110821972 -174.02396451153</t>
  </si>
  <si>
    <t>-934.056153403685 179.891384436312 -272.042829727237</t>
  </si>
  <si>
    <t>-938.733035629033 179.498729814728 -361.015883851221</t>
  </si>
  <si>
    <t>-937.88833905635 178.443985367547 -450.102544883881</t>
  </si>
  <si>
    <t>-930.939485654798 176.117220100375 -574.469329338135</t>
  </si>
  <si>
    <t>-900.388832755876 172.973497614565 -651.682082536782</t>
  </si>
  <si>
    <t>-926.748558686368 203.885092724799 -519.836961641035</t>
  </si>
  <si>
    <t>-888.11107209175 334.774299002564 -503.296809479474</t>
  </si>
  <si>
    <t>-876.126943078189 370.773118416133 -211.489350130768</t>
  </si>
  <si>
    <t>-635.680331891285 355.730629775262 -214.672238355564</t>
  </si>
  <si>
    <t>-941.246102207722 150.397212807972 -519.646335034201</t>
  </si>
  <si>
    <t>-985.020904820938 23.7163041175277 -489.09659977539</t>
  </si>
  <si>
    <t>-1054.20349827391 13.509423061666 -203.263084386616</t>
  </si>
  <si>
    <t>-820.383809648781 23.6435259753343 -260.504432545576</t>
  </si>
  <si>
    <t>-881.429510301161 273.694399378714 -65.116855779332</t>
  </si>
  <si>
    <t>-888.599852681135 284.61024853454 338.224362493198</t>
  </si>
  <si>
    <t>-939.882992356368 292.558128605659 782.68964828631</t>
  </si>
  <si>
    <t>-797.206555358627 327.065988291625 842.18679441711</t>
  </si>
  <si>
    <t>-906.287029876722 84.4981397005131 -60.9694744210874</t>
  </si>
  <si>
    <t>-868.403050715315 54.4486580608268 339.67562918505</t>
  </si>
  <si>
    <t>-915.187452109432 46.3264613990668 785.406133265729</t>
  </si>
  <si>
    <t>-822.699508329794 -60.089604194874 857.578634761065</t>
  </si>
  <si>
    <t>9763-20170724T111232.583625300.bin</t>
  </si>
  <si>
    <t>-893.669580823663 178.76180161131 -61.9519511505401</t>
  </si>
  <si>
    <t>-923.297209332924 179.526132060136 -173.924512302669</t>
  </si>
  <si>
    <t>-934.31410345468 179.835572965247 -271.93055474595</t>
  </si>
  <si>
    <t>-939.064836106502 179.787019053289 -360.900631566469</t>
  </si>
  <si>
    <t>-938.262510294428 179.175399791926 -449.991742475986</t>
  </si>
  <si>
    <t>-931.336913237515 177.57236590047 -574.371350195868</t>
  </si>
  <si>
    <t>-901.062506510809 175.146248667678 -651.718548675657</t>
  </si>
  <si>
    <t>-927.291873327424 205.063854113275 -519.58821771319</t>
  </si>
  <si>
    <t>-889.261345552643 336.049131238718 -502.448230797516</t>
  </si>
  <si>
    <t>-875.693461621315 371.396253781945 -210.630352498579</t>
  </si>
  <si>
    <t>-635.249189320452 357.178494326874 -216.565751892459</t>
  </si>
  <si>
    <t>-941.477278513373 151.492141333678 -519.687590294668</t>
  </si>
  <si>
    <t>-984.51587121978 24.423985284016 -489.701498063923</t>
  </si>
  <si>
    <t>-1053.26018674997 12.5938617795132 -203.824854366702</t>
  </si>
  <si>
    <t>-819.465577170619 24.2333915478571 -260.882150903461</t>
  </si>
  <si>
    <t>-881.557699694926 273.35876583818 -64.9422318436966</t>
  </si>
  <si>
    <t>-888.852166553253 284.410404880643 338.392983298472</t>
  </si>
  <si>
    <t>-940.032498513496 292.632100760105 782.832498189719</t>
  </si>
  <si>
    <t>-797.345434523862 327.063110807091 842.34855987133</t>
  </si>
  <si>
    <t>-906.034580030682 84.0448795082834 -61.0110325091026</t>
  </si>
  <si>
    <t>-868.141012214756 54.1616604326518 339.645621851264</t>
  </si>
  <si>
    <t>-915.06629240656 46.2469193774245 785.39005787969</t>
  </si>
  <si>
    <t>-822.454395998202 -60.0644487689433 857.558146436149</t>
  </si>
  <si>
    <t>9763-20170724T111232.611495100.bin</t>
  </si>
  <si>
    <t>-893.654927215737 178.631367484408 -61.9393212348991</t>
  </si>
  <si>
    <t>-923.377395261314 179.393992469769 -173.886595306566</t>
  </si>
  <si>
    <t>-934.448623519979 179.833413814104 -271.886092695379</t>
  </si>
  <si>
    <t>-939.233687992384 179.954457975065 -360.854222893486</t>
  </si>
  <si>
    <t>-938.449762846765 179.565005865427 -449.946815536732</t>
  </si>
  <si>
    <t>-931.5316079131 178.327036045829 -574.330921069673</t>
  </si>
  <si>
    <t>-901.372323801557 176.253854449992 -651.733417997943</t>
  </si>
  <si>
    <t>-927.550194862496 205.675017411715 -519.471563459767</t>
  </si>
  <si>
    <t>-889.782946675515 336.698406525767 -502.029461613596</t>
  </si>
  <si>
    <t>-875.311336019907 371.648849270777 -210.207086806313</t>
  </si>
  <si>
    <t>-634.878972584042 357.831302472841 -217.438041208096</t>
  </si>
  <si>
    <t>-941.602014312476 152.068536942692 -519.719661956297</t>
  </si>
  <si>
    <t>-984.328343727964 24.8222043028209 -490.039963859092</t>
  </si>
  <si>
    <t>-1052.9225679838 12.1559486570832 -204.163058995551</t>
  </si>
  <si>
    <t>-819.183054168344 24.6668721892938 -261.26096251404</t>
  </si>
  <si>
    <t>-881.762977629121 273.271557156889 -64.8803920697347</t>
  </si>
  <si>
    <t>-889.040183623573 284.368586592341 338.453906033085</t>
  </si>
  <si>
    <t>-940.119043966155 292.708639037858 782.903144368275</t>
  </si>
  <si>
    <t>-797.48773433534 327.352360819154 842.430367405251</t>
  </si>
  <si>
    <t>-905.836609060304 83.8811123206465 -61.0338066254652</t>
  </si>
  <si>
    <t>-867.936394046698 54.1353079099631 339.632395345067</t>
  </si>
  <si>
    <t>-914.876639838806 46.387315127834 785.371595988481</t>
  </si>
  <si>
    <t>-822.5741150858 -60.1797232146851 857.559101580796</t>
  </si>
  <si>
    <t>9763-20170724T111232.674665000.bin</t>
  </si>
  <si>
    <t>-893.697168944556 178.473015947308 -61.9148581428261</t>
  </si>
  <si>
    <t>-923.506344358284 179.242393360697 -173.839168485289</t>
  </si>
  <si>
    <t>-934.644580522188 179.814571175212 -271.830279561903</t>
  </si>
  <si>
    <t>-939.484976794439 180.105856126663 -360.795011949506</t>
  </si>
  <si>
    <t>-938.749261436105 179.937356970263 -449.888625986497</t>
  </si>
  <si>
    <t>-931.888734555816 179.061504827372 -574.279069218558</t>
  </si>
  <si>
    <t>-901.844534276621 177.321194976192 -651.734543429256</t>
  </si>
  <si>
    <t>-927.944260847509 206.265982216574 -519.345640891036</t>
  </si>
  <si>
    <t>-890.436950279626 337.323712806277 -501.592773982216</t>
  </si>
  <si>
    <t>-874.904090082189 371.857716230701 -209.775567414552</t>
  </si>
  <si>
    <t>-634.505361634221 358.24390320523 -218.375328024535</t>
  </si>
  <si>
    <t>-941.871077716668 152.627718621667 -519.736251368903</t>
  </si>
  <si>
    <t>-984.293928289407 25.2117058302197 -490.379831052747</t>
  </si>
  <si>
    <t>-1052.72999764291 11.7915673469001 -204.49933433951</t>
  </si>
  <si>
    <t>-819.037266834504 25.0751499599728 -261.615442904415</t>
  </si>
  <si>
    <t>-881.972354539534 273.223863874779 -64.8241998811639</t>
  </si>
  <si>
    <t>-889.30667421883 284.324542536429 338.509011391223</t>
  </si>
  <si>
    <t>-940.193975268126 292.764767983292 782.978334932405</t>
  </si>
  <si>
    <t>-797.593042516578 327.498677526415 842.525366072237</t>
  </si>
  <si>
    <t>-905.729571023364 83.6421387028454 -61.0481462927138</t>
  </si>
  <si>
    <t>-867.790284361062 54.0373389739798 339.624794302062</t>
  </si>
  <si>
    <t>-914.789370476197 46.3809553314882 785.364715677126</t>
  </si>
  <si>
    <t>-822.462253822027 -60.1639320740696 857.553595108429</t>
  </si>
  <si>
    <t>9763-20170724T111232.726363700.bin</t>
  </si>
  <si>
    <t>-893.848377498515 178.154250264218 -61.8506599534433</t>
  </si>
  <si>
    <t>-923.834776596897 178.913250600355 -173.7276547364</t>
  </si>
  <si>
    <t>-935.105583968584 179.689190227622 -271.702246721698</t>
  </si>
  <si>
    <t>-940.053766164558 180.248772165547 -360.659865849104</t>
  </si>
  <si>
    <t>-939.409870068499 180.434885712174 -449.754041125014</t>
  </si>
  <si>
    <t>-932.658634350419 180.144860261192 -574.153256237786</t>
  </si>
  <si>
    <t>-902.80841629183 178.968626865674 -651.694285064044</t>
  </si>
  <si>
    <t>-928.774818817811 207.118593327927 -519.101867980479</t>
  </si>
  <si>
    <t>-891.777410400207 338.242443765562 -500.775285330577</t>
  </si>
  <si>
    <t>-874.583417612817 371.686792940952 -208.924277249206</t>
  </si>
  <si>
    <t>-634.292626024798 358.29913086703 -220.412805725437</t>
  </si>
  <si>
    <t>-942.48416758354 153.426467600377 -519.720765604925</t>
  </si>
  <si>
    <t>-984.341306080343 25.7060804644925 -490.86161924106</t>
  </si>
  <si>
    <t>-1052.41744013557 10.9747695223791 -204.959858231445</t>
  </si>
  <si>
    <t>-818.771142467532 25.6532376444543 -261.922803356941</t>
  </si>
  <si>
    <t>-882.431757612078 273.07440616279 -64.7090140319984</t>
  </si>
  <si>
    <t>-889.758827340632 284.211157279638 338.623307663326</t>
  </si>
  <si>
    <t>-940.345774928028 292.860717698466 783.126700059924</t>
  </si>
  <si>
    <t>-797.778624830066 327.69719757701 842.694268563417</t>
  </si>
  <si>
    <t>-905.611828930415 83.1170125866765 -61.0637550577095</t>
  </si>
  <si>
    <t>-867.653808376741 53.8381296439729 339.631364233399</t>
  </si>
  <si>
    <t>-914.715560132815 46.2281917413461 785.362650965123</t>
  </si>
  <si>
    <t>-822.181689944514 -60.1381433896361 857.549419919207</t>
  </si>
  <si>
    <t>9763-20170724T111232.784020800.bin</t>
  </si>
  <si>
    <t>-894.021895662957 178.083152343268 -61.7674142763773</t>
  </si>
  <si>
    <t>-924.18107456988 178.822476053655 -173.59799920666</t>
  </si>
  <si>
    <t>-935.536305226445 179.71577803408 -271.561876546181</t>
  </si>
  <si>
    <t>-940.530782821501 180.435148363177 -360.515669726566</t>
  </si>
  <si>
    <t>-939.901859302171 180.835293474346 -449.609293015992</t>
  </si>
  <si>
    <t>-933.136354201283 180.902434241822 -574.008073639462</t>
  </si>
  <si>
    <t>-903.397614426629 180.174933903511 -651.597336751952</t>
  </si>
  <si>
    <t>-929.358920911269 207.743399111986 -518.884482219897</t>
  </si>
  <si>
    <t>-892.852953373932 338.935862414322 -500.111102908619</t>
  </si>
  <si>
    <t>-874.201311987247 371.33945641065 -208.232228385387</t>
  </si>
  <si>
    <t>-634.009440425079 357.93866751494 -221.617141279863</t>
  </si>
  <si>
    <t>-942.868207945784 154.002437917118 -519.64822047423</t>
  </si>
  <si>
    <t>-984.186135390626 26.0361077038633 -491.08011796636</t>
  </si>
  <si>
    <t>-1051.86852164208 10.7568452679161 -205.113738399973</t>
  </si>
  <si>
    <t>-818.197742276517 26.0256216604243 -261.820218805231</t>
  </si>
  <si>
    <t>-882.839630994382 273.10968447312 -64.6249413466161</t>
  </si>
  <si>
    <t>-889.977850648798 284.203853129365 338.711962027262</t>
  </si>
  <si>
    <t>-940.516154521338 292.936938852266 783.232210816793</t>
  </si>
  <si>
    <t>-797.924745919056 327.659351172936 842.808478272093</t>
  </si>
  <si>
    <t>-905.520786888586 82.9862336045217 -61.0260508014063</t>
  </si>
  <si>
    <t>-867.447024114175 53.7312467067368 339.659920111813</t>
  </si>
  <si>
    <t>-914.604483225634 46.1363100041249 785.361211242972</t>
  </si>
  <si>
    <t>-821.966827360499 -60.1361996585142 857.553101486016</t>
  </si>
  <si>
    <t>9763-20170724T111232.811598700.bin</t>
  </si>
  <si>
    <t>-894.083411492726 178.140834572332 -61.729835291854</t>
  </si>
  <si>
    <t>-924.301710548795 178.870487227606 -173.544617307854</t>
  </si>
  <si>
    <t>-935.65694138756 179.793247261241 -271.508236327749</t>
  </si>
  <si>
    <t>-940.630145354537 180.553930731534 -360.46292613812</t>
  </si>
  <si>
    <t>-939.957706838199 181.011149959321 -449.55592000071</t>
  </si>
  <si>
    <t>-933.108330227449 181.174437873034 -573.950081792378</t>
  </si>
  <si>
    <t>-903.385195471422 180.620313020732 -651.546819720566</t>
  </si>
  <si>
    <t>-929.407376002781 207.982560273031 -518.805422160859</t>
  </si>
  <si>
    <t>-893.065320459467 339.202724858635 -499.86571247811</t>
  </si>
  <si>
    <t>-873.597589796255 371.329213683265 -208.00932247452</t>
  </si>
  <si>
    <t>-633.439627146873 357.907967138041 -221.966802538228</t>
  </si>
  <si>
    <t>-942.837568916211 154.222681173797 -519.615325368005</t>
  </si>
  <si>
    <t>-983.929980896153 26.1673794575354 -491.124162554221</t>
  </si>
  <si>
    <t>-1051.43229274232 10.6774336739145 -205.126553981561</t>
  </si>
  <si>
    <t>-817.757734025747 26.232013894281 -261.740077178963</t>
  </si>
  <si>
    <t>-882.988886198893 273.205698849861 -64.5797341510796</t>
  </si>
  <si>
    <t>-890.039559412854 284.236335373712 338.76048724849</t>
  </si>
  <si>
    <t>-940.595023768069 292.972325654842 783.280088767468</t>
  </si>
  <si>
    <t>-798.040623367598 327.830198394299 842.865575523896</t>
  </si>
  <si>
    <t>-905.464404192578 82.9909081963906 -60.997467598663</t>
  </si>
  <si>
    <t>-867.296212151568 53.7115643829638 339.677673281015</t>
  </si>
  <si>
    <t>-914.539069820139 46.1032017056591 785.36060432386</t>
  </si>
  <si>
    <t>-821.828561778894 -60.1059389206348 857.552768020913</t>
  </si>
  <si>
    <t>9763-20170724T111232.849697900.bin</t>
  </si>
  <si>
    <t>-894.116287851771 178.207376627759 -61.7219415392969</t>
  </si>
  <si>
    <t>-924.360760002884 178.906183334905 -173.529863285686</t>
  </si>
  <si>
    <t>-935.70625610466 179.835807356127 -271.494478751107</t>
  </si>
  <si>
    <t>-940.656948266456 180.615832243207 -360.45030516517</t>
  </si>
  <si>
    <t>-939.947680365283 181.105009604941 -449.542922483005</t>
  </si>
  <si>
    <t>-933.03175068528 181.326378591629 -573.933130277765</t>
  </si>
  <si>
    <t>-903.316524705863 180.901035735437 -651.53383533653</t>
  </si>
  <si>
    <t>-929.384149658034 208.114613365618 -518.775368910601</t>
  </si>
  <si>
    <t>-893.159694898461 339.344921504035 -499.686035469061</t>
  </si>
  <si>
    <t>-872.572246099878 371.431897088235 -207.902139490972</t>
  </si>
  <si>
    <t>-632.445331508565 358.053885354204 -222.426266330768</t>
  </si>
  <si>
    <t>-942.76589274268 154.343224600296 -519.615152308484</t>
  </si>
  <si>
    <t>-983.688426160457 26.2246437021286 -491.193991970473</t>
  </si>
  <si>
    <t>-1051.01367975827 10.547764545991 -205.16465133952</t>
  </si>
  <si>
    <t>-817.324324120002 26.2769293103597 -261.669691637237</t>
  </si>
  <si>
    <t>-883.076417942497 273.288298818773 -64.5504681747454</t>
  </si>
  <si>
    <t>-890.076491411904 284.291646672098 338.791339306511</t>
  </si>
  <si>
    <t>-940.669235851606 292.993490631641 783.318514132531</t>
  </si>
  <si>
    <t>-798.101095020061 327.773070662165 842.917398179116</t>
  </si>
  <si>
    <t>-905.398790110579 83.0027897023865 -60.9637625667608</t>
  </si>
  <si>
    <t>-867.073544711297 53.703665279606 339.694888338902</t>
  </si>
  <si>
    <t>-914.413656454803 46.1624388350251 785.359327209501</t>
  </si>
  <si>
    <t>-821.73185140815 -60.0695600240836 857.554195419414</t>
  </si>
  <si>
    <t>9763-20170724T111232.924415700.bin</t>
  </si>
  <si>
    <t>-894.167532114975 178.260023333879 -61.72296342444</t>
  </si>
  <si>
    <t>-924.428757528863 178.902682792203 -173.526668740785</t>
  </si>
  <si>
    <t>-935.767425393171 179.822282415971 -271.49213335221</t>
  </si>
  <si>
    <t>-940.702224965328 180.606850718505 -360.448748188665</t>
  </si>
  <si>
    <t>-939.967771211318 181.114653188624 -449.541111887466</t>
  </si>
  <si>
    <t>-933.005575979347 181.375701696464 -573.928651189951</t>
  </si>
  <si>
    <t>-903.284260340454 181.047735008025 -651.527425500517</t>
  </si>
  <si>
    <t>-929.397014594265 208.151107006927 -518.76200379713</t>
  </si>
  <si>
    <t>-893.244125429212 339.38734188934 -499.581610839957</t>
  </si>
  <si>
    <t>-871.276455749461 371.596633251332 -207.911974673951</t>
  </si>
  <si>
    <t>-631.17591496857 358.22965581973 -222.873468773881</t>
  </si>
  <si>
    <t>-942.741777109302 154.370598540714 -519.621794835347</t>
  </si>
  <si>
    <t>-983.538413349585 26.2011242863014 -491.241911759137</t>
  </si>
  <si>
    <t>-1050.76766591442 10.3068109043438 -205.20206491221</t>
  </si>
  <si>
    <t>-817.043602432105 26.151710565648 -261.530559579018</t>
  </si>
  <si>
    <t>-883.223319899039 273.37749383788 -64.5478790470152</t>
  </si>
  <si>
    <t>-890.182556740975 284.341759508875 338.795654844405</t>
  </si>
  <si>
    <t>-940.734773646268 293.006857272241 783.345639558667</t>
  </si>
  <si>
    <t>-798.172648288047 327.78523974266 842.959485865522</t>
  </si>
  <si>
    <t>-905.359774819721 82.9828495512593 -60.9332996073559</t>
  </si>
  <si>
    <t>-866.869179309814 53.7165916163012 339.711990158143</t>
  </si>
  <si>
    <t>-914.30192331822 46.2065489357933 785.361188297062</t>
  </si>
  <si>
    <t>-821.651352657237 -60.0513844277677 857.558288847637</t>
  </si>
  <si>
    <t>9763-20170724T111232.979062200.bin</t>
  </si>
  <si>
    <t>-894.773172447395 178.389538320243 -61.7061844089718</t>
  </si>
  <si>
    <t>-924.958512250098 178.963007944765 -173.530767809087</t>
  </si>
  <si>
    <t>-936.118243959919 179.790948076647 -271.517719188457</t>
  </si>
  <si>
    <t>-940.846474239334 180.474765521408 -360.486301205522</t>
  </si>
  <si>
    <t>-939.860333262458 180.86203719349 -449.576819643836</t>
  </si>
  <si>
    <t>-932.501850627124 180.931907906589 -573.941772037086</t>
  </si>
  <si>
    <t>-902.645077394335 180.72452389633 -651.488965398393</t>
  </si>
  <si>
    <t>-929.078079669789 207.794172763876 -518.805731853453</t>
  </si>
  <si>
    <t>-893.0558332079 339.040260058656 -499.453137523374</t>
  </si>
  <si>
    <t>-866.228299637598 372.582026884474 -208.340659788044</t>
  </si>
  <si>
    <t>-626.24903364822 359.155042188204 -225.093003097618</t>
  </si>
  <si>
    <t>-942.401926036014 154.008085889651 -519.62420943497</t>
  </si>
  <si>
    <t>-983.098596575179 25.8016806065393 -491.272820245844</t>
  </si>
  <si>
    <t>-1050.69810773771 9.88380500450012 -205.321603889536</t>
  </si>
  <si>
    <t>-816.843260199826 25.1902091756137 -261.253719614869</t>
  </si>
  <si>
    <t>-884.141240859135 273.784253436623 -64.5668484734033</t>
  </si>
  <si>
    <t>-891.045809884371 284.600909550976 338.781616464448</t>
  </si>
  <si>
    <t>-940.905352058377 293.145893434489 783.441155128364</t>
  </si>
  <si>
    <t>-798.370820315997 327.820343478005 843.181919178217</t>
  </si>
  <si>
    <t>-905.727192012181 82.8665188791224 -60.8840825243237</t>
  </si>
  <si>
    <t>-866.580607370664 53.7991378987599 339.712109718997</t>
  </si>
  <si>
    <t>-914.070362335972 46.2138411202045 785.356194946806</t>
  </si>
  <si>
    <t>-821.456995229903 -60.0754718952633 857.554737258853</t>
  </si>
  <si>
    <t>9763-20170724T111233.015719600.bin</t>
  </si>
  <si>
    <t>-895.167372672872 178.504426471012 -61.7024234380565</t>
  </si>
  <si>
    <t>-925.298481367849 179.077530693834 -173.541599727672</t>
  </si>
  <si>
    <t>-936.343473549083 179.864065228166 -271.541934986979</t>
  </si>
  <si>
    <t>-940.940993820453 180.492308267338 -360.517759619992</t>
  </si>
  <si>
    <t>-939.798527089324 180.804783910105 -449.606782922752</t>
  </si>
  <si>
    <t>-932.195122005996 180.748526814397 -573.956932382785</t>
  </si>
  <si>
    <t>-902.250785819255 180.563865084595 -651.470352676913</t>
  </si>
  <si>
    <t>-928.871924589166 207.664837096265 -518.840934249399</t>
  </si>
  <si>
    <t>-892.786915445756 338.889030422455 -499.461408131651</t>
  </si>
  <si>
    <t>-864.251039953378 373.054556058334 -208.584153102539</t>
  </si>
  <si>
    <t>-624.318050210188 359.494080070759 -225.878625637293</t>
  </si>
  <si>
    <t>-942.210552534696 153.881701501396 -519.63233188051</t>
  </si>
  <si>
    <t>-982.936512632182 25.6857340519978 -491.270033016006</t>
  </si>
  <si>
    <t>-1050.76947027955 10.0298152958912 -205.359451267453</t>
  </si>
  <si>
    <t>-816.847552553061 24.7185939585884 -261.17766699166</t>
  </si>
  <si>
    <t>-884.616814482998 273.973510148041 -64.5607767127133</t>
  </si>
  <si>
    <t>-891.450047066012 284.791250761104 338.788895603493</t>
  </si>
  <si>
    <t>-940.94247119694 293.23373014745 783.502414085578</t>
  </si>
  <si>
    <t>-798.460640819023 327.977122822044 843.328582786453</t>
  </si>
  <si>
    <t>-906.045900113894 82.9452767485777 -60.8787785241055</t>
  </si>
  <si>
    <t>-866.645513056812 53.9048249318312 339.694508997014</t>
  </si>
  <si>
    <t>-914.019180691074 46.1920784986123 785.351180736285</t>
  </si>
  <si>
    <t>-821.248883806579 -59.9641740227421 857.543931217344</t>
  </si>
  <si>
    <t>9763-20170724T111233.083401300.bin</t>
  </si>
  <si>
    <t>-896.07885132324 178.852215345551 -61.6746047970609</t>
  </si>
  <si>
    <t>-926.086709023464 179.414181207365 -173.546956076179</t>
  </si>
  <si>
    <t>-936.892540808109 180.104414140746 -271.574678960593</t>
  </si>
  <si>
    <t>-941.221943844104 180.607354886601 -360.564755144078</t>
  </si>
  <si>
    <t>-939.761230639496 180.752052742979 -449.649440093534</t>
  </si>
  <si>
    <t>-931.662847103653 180.415600241728 -573.968014820598</t>
  </si>
  <si>
    <t>-901.498045847015 180.242706904477 -651.395957416173</t>
  </si>
  <si>
    <t>-928.521155772653 207.446742989045 -518.89759455448</t>
  </si>
  <si>
    <t>-892.305280051517 338.622610059472 -499.467213054118</t>
  </si>
  <si>
    <t>-859.869403141364 373.839595506628 -209.124554721048</t>
  </si>
  <si>
    <t>-620.012552034053 359.864781496006 -227.131641419375</t>
  </si>
  <si>
    <t>-941.931884819445 153.680594361599 -519.625674723218</t>
  </si>
  <si>
    <t>-982.812637720043 25.5435038293435 -491.214197301282</t>
  </si>
  <si>
    <t>-1051.09767836984 10.2810445401201 -205.390037184169</t>
  </si>
  <si>
    <t>-817.076681767574 23.8318072196807 -261.081056955283</t>
  </si>
  <si>
    <t>-885.657200511075 274.42929662252 -64.540437046768</t>
  </si>
  <si>
    <t>-892.213509097251 285.270590488845 338.813217977247</t>
  </si>
  <si>
    <t>-941.017188278161 293.365915528987 783.63031725548</t>
  </si>
  <si>
    <t>-798.580070854982 328.057147692388 843.592716789217</t>
  </si>
  <si>
    <t>-906.801597416699 83.1714572631181 -60.835901544829</t>
  </si>
  <si>
    <t>-866.649281544753 54.1719028930838 339.665578291757</t>
  </si>
  <si>
    <t>-913.851241639087 46.2469734099795 785.327241241593</t>
  </si>
  <si>
    <t>-821.0449642666 -59.8699194267242 857.531963814781</t>
  </si>
  <si>
    <t>9763-20170724T111233.111985900.bin</t>
  </si>
  <si>
    <t>-896.522620818726 179.054706759122 -61.6444926680095</t>
  </si>
  <si>
    <t>-926.484793211617 179.608626340212 -173.529118000623</t>
  </si>
  <si>
    <t>-937.179353800528 180.259294849487 -271.569293251823</t>
  </si>
  <si>
    <t>-941.379356731529 180.710494463911 -360.565804590559</t>
  </si>
  <si>
    <t>-939.761117671049 180.787177845249 -449.647980080082</t>
  </si>
  <si>
    <t>-931.414855285405 180.33638498695 -573.949821493592</t>
  </si>
  <si>
    <t>-901.127768753308 180.163049077935 -651.329977061731</t>
  </si>
  <si>
    <t>-928.360554428099 207.412498954154 -518.896505695258</t>
  </si>
  <si>
    <t>-892.020432763524 338.54956315979 -499.414048146299</t>
  </si>
  <si>
    <t>-857.560727549626 374.190368076096 -209.356496289936</t>
  </si>
  <si>
    <t>-617.735493230371 359.819299575673 -227.471931403792</t>
  </si>
  <si>
    <t>-941.814522139841 153.656816165178 -519.604881137131</t>
  </si>
  <si>
    <t>-982.801908855721 25.5486397598966 -491.19441550138</t>
  </si>
  <si>
    <t>-1051.31350029919 10.4103140836728 -205.417907411833</t>
  </si>
  <si>
    <t>-817.234098585847 23.4429898173289 -260.985424967009</t>
  </si>
  <si>
    <t>-886.173126170622 274.684105256906 -64.5268581399207</t>
  </si>
  <si>
    <t>-892.577689585841 285.522502689809 338.829323743871</t>
  </si>
  <si>
    <t>-941.069261820214 293.444599146721 783.697606538947</t>
  </si>
  <si>
    <t>-798.657907692303 328.16005371192 843.706904186978</t>
  </si>
  <si>
    <t>-907.165458644655 83.3090867852134 -60.8068149150937</t>
  </si>
  <si>
    <t>-866.615282816528 54.3432960327245 339.657151678676</t>
  </si>
  <si>
    <t>-913.788712816194 46.2522745086058 785.31642769127</t>
  </si>
  <si>
    <t>-821.070795442469 -59.9361542119743 857.52951211125</t>
  </si>
  <si>
    <t>9763-20170724T111233.180674000.bin</t>
  </si>
  <si>
    <t>-897.511438812916 179.541279216609 -61.6047749525774</t>
  </si>
  <si>
    <t>-927.424699603661 180.075516698442 -173.502663738449</t>
  </si>
  <si>
    <t>-937.906000902736 180.671581039078 -271.566063151602</t>
  </si>
  <si>
    <t>-941.844403001684 181.052166242828 -360.575001045482</t>
  </si>
  <si>
    <t>-939.8975529213 181.032266401926 -449.650539839146</t>
  </si>
  <si>
    <t>-931.023357293757 180.415739101753 -573.915099974522</t>
  </si>
  <si>
    <t>-900.463767197813 180.217487151378 -651.187974954531</t>
  </si>
  <si>
    <t>-928.141621719709 207.549847410001 -518.880873232285</t>
  </si>
  <si>
    <t>-891.436469080133 338.559402966911 -499.218677206246</t>
  </si>
  <si>
    <t>-853.215721908506 374.468608400643 -209.665641196835</t>
  </si>
  <si>
    <t>-613.454226922529 359.402968117301 -228.060748187017</t>
  </si>
  <si>
    <t>-941.715392922031 153.824313308456 -519.583843540822</t>
  </si>
  <si>
    <t>-983.012924692629 25.8027163994398 -491.253357786371</t>
  </si>
  <si>
    <t>-1051.97670076692 10.5467022391417 -205.591964579498</t>
  </si>
  <si>
    <t>-817.770504978704 22.6133579324232 -260.843185376678</t>
  </si>
  <si>
    <t>-887.389622763692 275.304263056539 -64.5078595640075</t>
  </si>
  <si>
    <t>-893.401354706727 285.982403021324 338.858545763228</t>
  </si>
  <si>
    <t>-941.154447729571 293.56504726164 783.833974006034</t>
  </si>
  <si>
    <t>-798.751620949948 328.172960758214 843.925902868823</t>
  </si>
  <si>
    <t>-907.971102990756 83.6825889885072 -60.7360379973642</t>
  </si>
  <si>
    <t>-866.550316967726 54.7922688862695 339.6442266469</t>
  </si>
  <si>
    <t>-913.602503225211 46.3530387927535 785.268302127208</t>
  </si>
  <si>
    <t>-820.832589165259 -59.7792392780923 857.496564248499</t>
  </si>
  <si>
    <t>9763-20170724T111233.213778400.bin</t>
  </si>
  <si>
    <t>-898.097408993099 179.80294730248 -61.5845785398709</t>
  </si>
  <si>
    <t>-927.985911639355 180.343882883084 -173.488994104142</t>
  </si>
  <si>
    <t>-938.349904171894 180.921622276522 -271.565086629573</t>
  </si>
  <si>
    <t>-942.144204999298 181.272330556426 -360.580407496947</t>
  </si>
  <si>
    <t>-940.015688996374 181.206865299776 -449.65177384645</t>
  </si>
  <si>
    <t>-930.849262676103 180.508074191318 -573.894724802404</t>
  </si>
  <si>
    <t>-900.13806639838 180.279341236222 -651.107397155182</t>
  </si>
  <si>
    <t>-928.058187873587 207.668816160267 -518.869098820075</t>
  </si>
  <si>
    <t>-891.135414387946 338.603428977175 -499.116643097042</t>
  </si>
  <si>
    <t>-851.182307283349 374.39475019876 -209.783152256775</t>
  </si>
  <si>
    <t>-611.460711082512 359.196262403001 -228.586594301142</t>
  </si>
  <si>
    <t>-941.707918398272 153.962515789769 -519.573916437756</t>
  </si>
  <si>
    <t>-983.207133414423 25.985971842013 -491.310547546275</t>
  </si>
  <si>
    <t>-1052.48028402383 10.7411527530112 -205.723411047501</t>
  </si>
  <si>
    <t>-818.211039913928 22.1731939327192 -260.841727215501</t>
  </si>
  <si>
    <t>-888.040666814107 275.627135845624 -64.4948252261358</t>
  </si>
  <si>
    <t>-893.857930900344 286.205472089643 338.877118015184</t>
  </si>
  <si>
    <t>-941.184227633785 293.620412389304 783.918540728688</t>
  </si>
  <si>
    <t>-798.739324372114 327.960840106482 844.063710628841</t>
  </si>
  <si>
    <t>-908.475736807937 83.8699919762626 -60.6969551749991</t>
  </si>
  <si>
    <t>-866.435099965621 54.9643324464728 339.617550873687</t>
  </si>
  <si>
    <t>-913.562064671736 46.3275999526541 785.238591369092</t>
  </si>
  <si>
    <t>-820.645598807008 -59.6716954750318 857.474316304281</t>
  </si>
  <si>
    <t>9763-20170724T111233.281460100.bin</t>
  </si>
  <si>
    <t>-899.365045388255 180.262350062778 -61.5356156677022</t>
  </si>
  <si>
    <t>-929.168006177727 180.824143704456 -173.462711909531</t>
  </si>
  <si>
    <t>-939.254417360224 181.38371066221 -271.567853533422</t>
  </si>
  <si>
    <t>-942.715779594401 181.697707381525 -360.596844237617</t>
  </si>
  <si>
    <t>-940.174583022609 181.569927151163 -449.657406277688</t>
  </si>
  <si>
    <t>-930.34931628293 180.753230168792 -573.849146610724</t>
  </si>
  <si>
    <t>-899.31405527009 180.499773679067 -650.932152880457</t>
  </si>
  <si>
    <t>-927.76477010657 207.944303613589 -518.828407312599</t>
  </si>
  <si>
    <t>-890.317935729588 338.695943280973 -498.825518950529</t>
  </si>
  <si>
    <t>-846.54326294284 374.315496395032 -210.024201123889</t>
  </si>
  <si>
    <t>-606.861724991461 359.337546248988 -229.501668719497</t>
  </si>
  <si>
    <t>-941.581457882006 154.28124474416 -519.568644252036</t>
  </si>
  <si>
    <t>-983.633867077562 26.4512400058998 -491.486845302469</t>
  </si>
  <si>
    <t>-1053.72973105356 11.0010423756539 -206.111409366232</t>
  </si>
  <si>
    <t>-819.419889385762 22.150740489808 -261.115998990072</t>
  </si>
  <si>
    <t>-889.354084158766 276.219263133837 -64.4338184626776</t>
  </si>
  <si>
    <t>-894.771611738623 286.801697654604 338.943605932441</t>
  </si>
  <si>
    <t>-941.224371215215 293.81922199941 784.120293320467</t>
  </si>
  <si>
    <t>-798.893297559908 328.36749084852 844.415564123945</t>
  </si>
  <si>
    <t>-909.642011321733 84.132113729725 -60.6174556862392</t>
  </si>
  <si>
    <t>-866.321520660964 55.334110851275 339.568389402468</t>
  </si>
  <si>
    <t>-913.476326578044 46.3153251630724 785.172544191496</t>
  </si>
  <si>
    <t>-820.512543907615 -59.6210104599029 857.439833585154</t>
  </si>
  <si>
    <t>9763-20170724T111233.313550400.bin</t>
  </si>
  <si>
    <t>-899.961088849303 180.492886185642 -61.4881605017617</t>
  </si>
  <si>
    <t>-929.656400634379 181.08006135087 -173.44382975485</t>
  </si>
  <si>
    <t>-939.568922225855 181.619252251206 -271.566768203185</t>
  </si>
  <si>
    <t>-942.840781991748 181.89616101294 -360.60306354928</t>
  </si>
  <si>
    <t>-940.079296421514 181.710482453261 -449.656836222757</t>
  </si>
  <si>
    <t>-929.915704379598 180.789226092221 -573.820702882648</t>
  </si>
  <si>
    <t>-898.709754783868 180.499236698377 -650.83449544091</t>
  </si>
  <si>
    <t>-927.430855959617 208.013379893248 -518.811827020293</t>
  </si>
  <si>
    <t>-889.715993875828 338.678545239775 -498.733598717974</t>
  </si>
  <si>
    <t>-843.746251488566 374.434471174031 -210.290395539114</t>
  </si>
  <si>
    <t>-604.073750722424 359.609417317273 -229.993771778932</t>
  </si>
  <si>
    <t>-941.345420784143 154.375919678322 -519.552934247548</t>
  </si>
  <si>
    <t>-983.703108172362 26.6357968989519 -491.547456062803</t>
  </si>
  <si>
    <t>-1054.44395819157 11.3952734449394 -206.320156795776</t>
  </si>
  <si>
    <t>-819.997337379388 21.7108814080557 -260.902056221052</t>
  </si>
  <si>
    <t>-889.940717948378 276.459569289708 -64.398721083842</t>
  </si>
  <si>
    <t>-895.205500552768 287.161126869426 338.977544474264</t>
  </si>
  <si>
    <t>-941.222745446033 293.940613461511 784.228404479265</t>
  </si>
  <si>
    <t>-798.878703817505 328.231202076015 844.640642183439</t>
  </si>
  <si>
    <t>-910.244992570478 84.4082899382424 -60.5684897393054</t>
  </si>
  <si>
    <t>-866.343207699384 55.5775296513748 339.551658692326</t>
  </si>
  <si>
    <t>-913.392976579376 46.3743819985502 785.138958186286</t>
  </si>
  <si>
    <t>-820.482998144844 -59.5907481735874 857.432793351426</t>
  </si>
  <si>
    <t>9763-20170724T111233.379228500.bin</t>
  </si>
  <si>
    <t>-900.988680919568 181.216401930349 -61.3970354423617</t>
  </si>
  <si>
    <t>-930.41795538642 181.909353984271 -173.422313542913</t>
  </si>
  <si>
    <t>-939.970581339392 182.406339417294 -271.581233539599</t>
  </si>
  <si>
    <t>-942.868265069214 182.587255782532 -360.630703760401</t>
  </si>
  <si>
    <t>-939.685967429171 182.24235504017 -449.670002185587</t>
  </si>
  <si>
    <t>-928.890226182627 181.029991363907 -573.777986061079</t>
  </si>
  <si>
    <t>-897.351572567542 180.57815631742 -650.655401526367</t>
  </si>
  <si>
    <t>-926.54548311961 208.346407497959 -518.808497216105</t>
  </si>
  <si>
    <t>-888.185493793419 338.820423848202 -498.740325295076</t>
  </si>
  <si>
    <t>-838.782881838817 375.278631536843 -210.953367071852</t>
  </si>
  <si>
    <t>-599.15384466483 360.294693130182 -231.060897108741</t>
  </si>
  <si>
    <t>-940.73620655933 154.780505086732 -519.519709052426</t>
  </si>
  <si>
    <t>-984.005248605426 27.3179224265896 -491.606943881833</t>
  </si>
  <si>
    <t>-1056.17593816438 12.7546359048515 -206.702495585383</t>
  </si>
  <si>
    <t>-821.309866230168 19.0979251064878 -260.075079604973</t>
  </si>
  <si>
    <t>-890.792319857905 277.127611828474 -64.3268087100972</t>
  </si>
  <si>
    <t>-896.054177513777 288.037581110136 339.043900310552</t>
  </si>
  <si>
    <t>-941.283886907131 294.267750987688 784.319444424285</t>
  </si>
  <si>
    <t>-798.93345794102 328.148223603197 844.947630480394</t>
  </si>
  <si>
    <t>-911.523116775534 85.2570676523492 -60.5034965792405</t>
  </si>
  <si>
    <t>-866.5175611946 56.2907366437098 339.484136747446</t>
  </si>
  <si>
    <t>-913.295423342286 46.4216047431187 785.08774632952</t>
  </si>
  <si>
    <t>-820.567566936635 -59.6649656506002 857.437630842673</t>
  </si>
  <si>
    <t>9763-20170724T111233.412353400.bin</t>
  </si>
  <si>
    <t>-901.403897582845 181.663584504583 -61.3448153547572</t>
  </si>
  <si>
    <t>-930.699038887106 182.467246370221 -173.404485106909</t>
  </si>
  <si>
    <t>-940.087702007244 182.969190579536 -271.579152099635</t>
  </si>
  <si>
    <t>-942.81910092453 183.118314456314 -360.633900961262</t>
  </si>
  <si>
    <t>-939.455008096126 182.703616224957 -449.666240639973</t>
  </si>
  <si>
    <t>-928.390692020215 181.352768442252 -573.749072287433</t>
  </si>
  <si>
    <t>-896.68266740979 180.78185650347 -650.556068188892</t>
  </si>
  <si>
    <t>-926.081691518179 208.708045523174 -518.797610364057</t>
  </si>
  <si>
    <t>-887.325695476906 339.061490570779 -498.781018813199</t>
  </si>
  <si>
    <t>-836.693855486757 376.045704420489 -211.274911526854</t>
  </si>
  <si>
    <t>-597.08992733692 360.850972640653 -231.523402195556</t>
  </si>
  <si>
    <t>-940.437678791484 155.186341601349 -519.495085049472</t>
  </si>
  <si>
    <t>-984.245480772571 27.8951099824653 -491.614961437388</t>
  </si>
  <si>
    <t>-1057.0030740616 13.7215727687426 -206.840028243352</t>
  </si>
  <si>
    <t>-821.996878441155 17.6994250816883 -259.823031729173</t>
  </si>
  <si>
    <t>-891.020137457165 277.481422940449 -64.3098914211286</t>
  </si>
  <si>
    <t>-896.428846183938 288.267277083577 339.062258900052</t>
  </si>
  <si>
    <t>-941.204913282355 294.225363810088 784.36420958563</t>
  </si>
  <si>
    <t>-798.930904166217 328.34678333348 845.036385913497</t>
  </si>
  <si>
    <t>-912.152245065765 85.7971429052154 -60.5051441949255</t>
  </si>
  <si>
    <t>-866.681901546158 56.7305841642092 339.422816044622</t>
  </si>
  <si>
    <t>-913.230997640631 46.481542834229 785.058320417371</t>
  </si>
  <si>
    <t>-820.699686030744 -59.7548077642855 857.439769134855</t>
  </si>
  <si>
    <t>9763-20170724T111233.480035800.bin</t>
  </si>
  <si>
    <t>-902.371308067967 182.774784451466 -61.2107035274727</t>
  </si>
  <si>
    <t>-931.507350013175 183.852463830659 -173.309501831781</t>
  </si>
  <si>
    <t>-940.702563963107 184.429285105702 -271.502042099978</t>
  </si>
  <si>
    <t>-943.239391065825 184.584300879762 -360.562633986521</t>
  </si>
  <si>
    <t>-939.664304819871 184.111445696145 -449.586387000553</t>
  </si>
  <si>
    <t>-928.290098339418 182.611532324438 -573.639509256731</t>
  </si>
  <si>
    <t>-896.270320609125 181.761199071593 -650.314589664324</t>
  </si>
  <si>
    <t>-925.931318252782 209.981746153236 -518.697726626136</t>
  </si>
  <si>
    <t>-886.280429183866 340.084251097511 -498.700658519907</t>
  </si>
  <si>
    <t>-833.38707725961 377.432419221444 -211.64912464621</t>
  </si>
  <si>
    <t>-593.859348904926 362.294313278497 -232.821979526847</t>
  </si>
  <si>
    <t>-940.659143964032 156.561381815214 -519.402032002688</t>
  </si>
  <si>
    <t>-985.52293950663 29.6372065552318 -491.566056898488</t>
  </si>
  <si>
    <t>-1059.19438459145 16.0075760107993 -206.9998485566</t>
  </si>
  <si>
    <t>-824.199967471136 16.918960018957 -260.175157959948</t>
  </si>
  <si>
    <t>-891.628782810559 278.512740687659 -64.1762856900056</t>
  </si>
  <si>
    <t>-897.487394898768 288.692935919165 339.205294588148</t>
  </si>
  <si>
    <t>-941.204306016985 294.365263503302 784.595658748103</t>
  </si>
  <si>
    <t>-798.9986504596 328.674606083554 845.322368051011</t>
  </si>
  <si>
    <t>-913.530708927944 87.0438727255305 -60.4657255204888</t>
  </si>
  <si>
    <t>-867.311541340725 57.5513172111296 339.345058109664</t>
  </si>
  <si>
    <t>-913.17683998488 46.514379459672 785.015146255109</t>
  </si>
  <si>
    <t>-820.684163086641 -59.7368917544927 857.424350978808</t>
  </si>
  <si>
    <t>9763-20170724T111233.512656800.bin</t>
  </si>
  <si>
    <t>-902.946782361664 183.330548844718 -61.150463844758</t>
  </si>
  <si>
    <t>-932.082722616642 184.519671846652 -173.248137580349</t>
  </si>
  <si>
    <t>-941.241984594975 185.125738848662 -271.443869863734</t>
  </si>
  <si>
    <t>-943.732233281317 185.280535257255 -360.505717416846</t>
  </si>
  <si>
    <t>-940.098421396465 184.777895016681 -449.527007715341</t>
  </si>
  <si>
    <t>-928.630347620236 183.204426074957 -573.570617969437</t>
  </si>
  <si>
    <t>-896.464998437501 182.195685344236 -650.182650638853</t>
  </si>
  <si>
    <t>-926.211642367742 210.578897686419 -518.633476837607</t>
  </si>
  <si>
    <t>-886.128114121051 340.548044986693 -498.647048850244</t>
  </si>
  <si>
    <t>-832.228000371699 377.783100317321 -211.768074185093</t>
  </si>
  <si>
    <t>-592.751253935706 362.858644879266 -233.654235844335</t>
  </si>
  <si>
    <t>-941.142009035492 157.214648166972 -519.336839883065</t>
  </si>
  <si>
    <t>-986.530025199362 30.4778580637139 -491.505448870445</t>
  </si>
  <si>
    <t>-1060.88141250202 17.0193058590116 -207.107939228557</t>
  </si>
  <si>
    <t>-825.922231209837 17.0323456468532 -260.446779653048</t>
  </si>
  <si>
    <t>-892.151590850085 279.03380967261 -64.0734817221125</t>
  </si>
  <si>
    <t>-897.961706353821 288.902422928925 339.31651508183</t>
  </si>
  <si>
    <t>-941.220467233291 294.422001663887 784.777789370315</t>
  </si>
  <si>
    <t>-798.991598982833 328.625138169821 845.50977390612</t>
  </si>
  <si>
    <t>-914.208928670584 87.6162149018501 -60.4302798429128</t>
  </si>
  <si>
    <t>-867.751607462902 57.9333056655123 339.338769632778</t>
  </si>
  <si>
    <t>-913.200421936851 46.4715347464271 785.010143510623</t>
  </si>
  <si>
    <t>-820.597608076387 -59.6825892298905 857.420873337874</t>
  </si>
  <si>
    <t>9763-20170724T111233.583862600.bin</t>
  </si>
  <si>
    <t>-903.774192080567 184.403258141054 -61.0469398420437</t>
  </si>
  <si>
    <t>-932.957065404169 185.818554221975 -173.129923467207</t>
  </si>
  <si>
    <t>-942.088657782999 186.483677293995 -271.327697740301</t>
  </si>
  <si>
    <t>-944.528910398108 186.635699457242 -360.391102373377</t>
  </si>
  <si>
    <t>-940.822738268626 186.067350494573 -449.408918501586</t>
  </si>
  <si>
    <t>-929.232751015562 184.333484746475 -573.439066603982</t>
  </si>
  <si>
    <t>-896.790590013037 183.013391247056 -649.929523623816</t>
  </si>
  <si>
    <t>-926.655068308481 211.718412609509 -518.514211399767</t>
  </si>
  <si>
    <t>-885.620748859503 341.391099828469 -498.538252160837</t>
  </si>
  <si>
    <t>-830.225707197963 378.128957618637 -211.879960044791</t>
  </si>
  <si>
    <t>-590.883633092686 363.17509536461 -235.175678035549</t>
  </si>
  <si>
    <t>-942.010703155134 158.474580790799 -519.204798915077</t>
  </si>
  <si>
    <t>-988.499156574518 32.134174618725 -491.394604598505</t>
  </si>
  <si>
    <t>-1064.3011106661 19.2567904424441 -207.353286397425</t>
  </si>
  <si>
    <t>-829.064673272527 18.5586542714432 -259.451401208206</t>
  </si>
  <si>
    <t>-892.675409222617 280.011841546346 -63.82510058573</t>
  </si>
  <si>
    <t>-898.37336372943 289.415692758892 339.577576690932</t>
  </si>
  <si>
    <t>-941.274235657658 294.391619731062 785.240727378448</t>
  </si>
  <si>
    <t>-799.045554708672 328.758130673649 845.881181601303</t>
  </si>
  <si>
    <t>-915.117903274142 88.7047430405105 -60.3697433250267</t>
  </si>
  <si>
    <t>-868.385377807093 58.7966980950682 339.35046758692</t>
  </si>
  <si>
    <t>-913.053490101248 46.6759894647607 784.998865073315</t>
  </si>
  <si>
    <t>-820.907136712128 -59.8403849772428 857.459973590731</t>
  </si>
  <si>
    <t>9763-20170724T111233.611939400.bin</t>
  </si>
  <si>
    <t>-904.096139761392 184.681277336152 -60.9746667107961</t>
  </si>
  <si>
    <t>-933.360947354308 186.148973524158 -173.0354179359</t>
  </si>
  <si>
    <t>-942.518642840455 186.819928424073 -271.230956295635</t>
  </si>
  <si>
    <t>-944.964347211155 186.959001638745 -360.293976499648</t>
  </si>
  <si>
    <t>-941.246745659764 186.357387842497 -449.311257751099</t>
  </si>
  <si>
    <t>-929.624364344052 184.553187074795 -573.337399676968</t>
  </si>
  <si>
    <t>-897.060795042654 183.093759485342 -649.773716029708</t>
  </si>
  <si>
    <t>-926.971050300055 211.942748346342 -518.418477040847</t>
  </si>
  <si>
    <t>-885.500939408207 341.480339113087 -498.433920997483</t>
  </si>
  <si>
    <t>-829.595279941074 377.815458367034 -211.823470454748</t>
  </si>
  <si>
    <t>-590.365436184665 362.609359057149 -236.087535897286</t>
  </si>
  <si>
    <t>-942.506308491033 158.751012193175 -519.100638769166</t>
  </si>
  <si>
    <t>-989.43655965049 32.5866314380146 -491.269529620959</t>
  </si>
  <si>
    <t>-1065.96982263087 19.7793133010664 -207.421239699444</t>
  </si>
  <si>
    <t>-830.501873264775 20.3084203040876 -258.464982081045</t>
  </si>
  <si>
    <t>-892.987076512707 280.211994208164 -63.6659422435747</t>
  </si>
  <si>
    <t>-898.244299152524 289.689244095619 339.74110792109</t>
  </si>
  <si>
    <t>-941.401449154105 294.440593566783 785.481489510466</t>
  </si>
  <si>
    <t>-799.081463670927 328.584790453262 846.033151721321</t>
  </si>
  <si>
    <t>-915.479557536712 89.027511035983 -60.3120201751252</t>
  </si>
  <si>
    <t>-868.667823619245 59.0182777500804 339.391337680767</t>
  </si>
  <si>
    <t>-913.097527433057 46.60648631501 785.012737969003</t>
  </si>
  <si>
    <t>-820.817431345947 -59.7877417989903 857.482981688119</t>
  </si>
  <si>
    <t>9763-20170724T111233.680122800.bin</t>
  </si>
  <si>
    <t>-904.24706016813 185.030141751345 -60.774539188285</t>
  </si>
  <si>
    <t>-933.726547731599 186.568989258893 -172.778148746682</t>
  </si>
  <si>
    <t>-942.948643204002 187.244512105221 -270.967638527936</t>
  </si>
  <si>
    <t>-945.404662537688 187.358841415575 -360.030427335301</t>
  </si>
  <si>
    <t>-941.650704832728 186.697735136068 -449.045693900774</t>
  </si>
  <si>
    <t>-929.930274030494 184.77028219658 -573.060645851277</t>
  </si>
  <si>
    <t>-897.138046622155 183.111446901042 -649.395252668642</t>
  </si>
  <si>
    <t>-927.20586911362 212.180653544024 -518.15571163047</t>
  </si>
  <si>
    <t>-885.31819170143 341.574940399421 -498.169419009579</t>
  </si>
  <si>
    <t>-829.042725429968 376.762989604068 -211.48817331579</t>
  </si>
  <si>
    <t>-589.946736576801 360.821707630964 -236.584149132658</t>
  </si>
  <si>
    <t>-942.969742787484 159.056181393478 -518.819919820019</t>
  </si>
  <si>
    <t>-990.433201571652 33.0551266307266 -491.082785274445</t>
  </si>
  <si>
    <t>-1068.71241634333 20.6814625474385 -207.69173663937</t>
  </si>
  <si>
    <t>-832.869321887878 22.2201080652844 -256.952122406224</t>
  </si>
  <si>
    <t>-893.170016220853 280.48445549186 -63.4235494759165</t>
  </si>
  <si>
    <t>-897.758680884788 290.126466335436 339.987701268556</t>
  </si>
  <si>
    <t>-941.667437104323 294.570582398042 785.750750509104</t>
  </si>
  <si>
    <t>-799.306694039526 328.907268494845 846.097386172777</t>
  </si>
  <si>
    <t>-915.436520340828 89.5682770559888 -60.2087593829337</t>
  </si>
  <si>
    <t>-868.975869478514 59.3172801541209 339.517288870173</t>
  </si>
  <si>
    <t>-913.12273196363 46.5872832261252 785.066541366251</t>
  </si>
  <si>
    <t>-820.849051121271 -59.7890250251012 857.571429689385</t>
  </si>
  <si>
    <t>9763-20170724T111233.745953000.bin</t>
  </si>
  <si>
    <t>-903.980437705599 185.064459179784 -60.7202428402752</t>
  </si>
  <si>
    <t>-933.801711572343 186.607449260431 -172.63326491106</t>
  </si>
  <si>
    <t>-943.278942301627 187.330711644211 -270.798021880729</t>
  </si>
  <si>
    <t>-945.948600136444 187.496505396667 -359.854724171323</t>
  </si>
  <si>
    <t>-942.390071906728 186.889568678179 -448.878412997366</t>
  </si>
  <si>
    <t>-930.924040588297 185.03588639099 -572.918287967639</t>
  </si>
  <si>
    <t>-897.988360625604 183.255956709289 -649.188240278917</t>
  </si>
  <si>
    <t>-928.003945610816 212.388910983313 -517.994721993257</t>
  </si>
  <si>
    <t>-885.677463931155 341.626336401769 -497.863052338872</t>
  </si>
  <si>
    <t>-831.54793594172 375.135090936786 -210.568183101361</t>
  </si>
  <si>
    <t>-592.416952916368 357.580811622017 -234.212735415439</t>
  </si>
  <si>
    <t>-943.93565451422 159.314464061654 -518.674202359176</t>
  </si>
  <si>
    <t>-991.716779177171 33.4311388236488 -490.973926665802</t>
  </si>
  <si>
    <t>-1069.32947160802 21.6400611925601 -207.374806062276</t>
  </si>
  <si>
    <t>-833.489906676554 23.3415721837787 -256.646741817032</t>
  </si>
  <si>
    <t>-893.049368717038 280.320720016308 -63.340623776018</t>
  </si>
  <si>
    <t>-897.069525581676 290.476743043143 340.064055042494</t>
  </si>
  <si>
    <t>-941.714084260586 294.691235155281 785.758071757206</t>
  </si>
  <si>
    <t>-799.278017368681 328.847805928664 846.029206212392</t>
  </si>
  <si>
    <t>-915.144074180953 89.6744123615526 -60.1014040030873</t>
  </si>
  <si>
    <t>-868.589456061268 59.3182587658421 339.605784005881</t>
  </si>
  <si>
    <t>-913.048211839907 46.6871058029374 785.081828449729</t>
  </si>
  <si>
    <t>-820.968168181518 -59.8213989033959 857.638688916057</t>
  </si>
  <si>
    <t>9763-20170724T111233.778039700.bin</t>
  </si>
  <si>
    <t>-903.801053407701 184.822624537329 -60.6600054004587</t>
  </si>
  <si>
    <t>-933.743565882909 186.343144669361 -172.540996154546</t>
  </si>
  <si>
    <t>-943.332137320679 187.115516206116 -270.694508785623</t>
  </si>
  <si>
    <t>-946.103044199984 187.350549514074 -359.748019481235</t>
  </si>
  <si>
    <t>-942.646114139254 186.834023773434 -448.776230042485</t>
  </si>
  <si>
    <t>-931.321298557552 185.127385494553 -572.831132528792</t>
  </si>
  <si>
    <t>-898.324718090981 183.336535413918 -649.074478053484</t>
  </si>
  <si>
    <t>-928.321574258113 212.409830143448 -517.876981068001</t>
  </si>
  <si>
    <t>-885.881269286465 341.573039738053 -497.565426982723</t>
  </si>
  <si>
    <t>-833.262908826206 373.567724277732 -209.817547437204</t>
  </si>
  <si>
    <t>-594.066269943781 355.336939298198 -232.255879548611</t>
  </si>
  <si>
    <t>-944.288316304075 159.346831744285 -518.604511417542</t>
  </si>
  <si>
    <t>-992.167921728754 33.4747778982123 -490.932592460946</t>
  </si>
  <si>
    <t>-1068.6840860037 21.7941140194962 -207.031153653725</t>
  </si>
  <si>
    <t>-832.950571398365 23.2222058938742 -256.816255250081</t>
  </si>
  <si>
    <t>-892.875782976608 280.121606365324 -63.3179420720672</t>
  </si>
  <si>
    <t>-896.84962895327 290.410657079543 340.083887019357</t>
  </si>
  <si>
    <t>-941.690355326549 294.714172045064 785.722937760606</t>
  </si>
  <si>
    <t>-799.31029546412 329.134700505936 845.976206614248</t>
  </si>
  <si>
    <t>-914.937519282922 89.3952714401757 -60.0726058006832</t>
  </si>
  <si>
    <t>-868.289435403516 59.2293879187414 339.638095309576</t>
  </si>
  <si>
    <t>-912.988925216537 46.7779194467385 785.09411832304</t>
  </si>
  <si>
    <t>-821.108196835287 -59.8910541148296 857.667859088584</t>
  </si>
  <si>
    <t>9763-20170724T111233.815671700.bin</t>
  </si>
  <si>
    <t>-903.782315425126 184.552791409883 -60.6152193220263</t>
  </si>
  <si>
    <t>-933.846035532368 186.070728121921 -172.463810047695</t>
  </si>
  <si>
    <t>-943.538289548219 186.915000102875 -270.606535776404</t>
  </si>
  <si>
    <t>-946.401213198428 187.24290534274 -359.65677694467</t>
  </si>
  <si>
    <t>-943.032504278782 186.847387812888 -448.689013077292</t>
  </si>
  <si>
    <t>-931.826207336745 185.337626992905 -572.757287282029</t>
  </si>
  <si>
    <t>-898.792444135502 183.579854057047 -648.985267643857</t>
  </si>
  <si>
    <t>-928.799067563594 212.540380732736 -517.765005282734</t>
  </si>
  <si>
    <t>-886.469441009147 341.70907295254 -497.235167547305</t>
  </si>
  <si>
    <t>-835.062476123783 372.208623331398 -209.106183132147</t>
  </si>
  <si>
    <t>-595.778782834567 353.733505876515 -230.386369588218</t>
  </si>
  <si>
    <t>-944.716257690952 159.463573671859 -518.556975477185</t>
  </si>
  <si>
    <t>-992.440916373871 33.5261124340391 -490.969880113303</t>
  </si>
  <si>
    <t>-1068.05439484619 21.6224826628013 -206.835882781583</t>
  </si>
  <si>
    <t>-832.454611798657 22.8225022773713 -257.256348963241</t>
  </si>
  <si>
    <t>-892.971186054213 280.004581516386 -63.3112018024982</t>
  </si>
  <si>
    <t>-896.885204077343 290.364749049321 340.089366438072</t>
  </si>
  <si>
    <t>-941.744568465059 294.868591337367 785.673350644086</t>
  </si>
  <si>
    <t>-799.304008181268 329.036278752597 845.927791340516</t>
  </si>
  <si>
    <t>-914.939373013973 89.0577917786272 -60.0535504623185</t>
  </si>
  <si>
    <t>-868.187742283095 59.0563052750013 339.657460946225</t>
  </si>
  <si>
    <t>-913.03255540397 46.7353971804273 785.113274660755</t>
  </si>
  <si>
    <t>-820.829580033931 -59.6708027967286 857.664310008507</t>
  </si>
  <si>
    <t>9763-20170724T111233.881350900.bin</t>
  </si>
  <si>
    <t>-904.005358226055 183.897925786881 -60.6953540164237</t>
  </si>
  <si>
    <t>-934.321283206273 185.326562534732 -172.476932008799</t>
  </si>
  <si>
    <t>-944.231617928898 186.273267586829 -270.596943987606</t>
  </si>
  <si>
    <t>-947.288148872091 186.762109088808 -359.640072505838</t>
  </si>
  <si>
    <t>-944.10534176739 186.597284919499 -448.679875001976</t>
  </si>
  <si>
    <t>-933.148250813279 185.482243663857 -572.774613169061</t>
  </si>
  <si>
    <t>-900.075467473325 183.929572376586 -648.990148076048</t>
  </si>
  <si>
    <t>-930.142952347201 212.549648622237 -517.714363072183</t>
  </si>
  <si>
    <t>-888.428131151086 341.846108267788 -496.734495564696</t>
  </si>
  <si>
    <t>-839.030830690003 370.414508356051 -208.05660100807</t>
  </si>
  <si>
    <t>-599.577254166496 351.028709743907 -226.414901730303</t>
  </si>
  <si>
    <t>-945.797010530821 159.396092934998 -518.618974304365</t>
  </si>
  <si>
    <t>-992.83406946292 33.1427656230908 -491.346438600755</t>
  </si>
  <si>
    <t>-1067.04667486276 20.0396179931154 -206.896110182077</t>
  </si>
  <si>
    <t>-831.643889091174 20.6867628449804 -258.237357366544</t>
  </si>
  <si>
    <t>-893.398226113606 279.398870485085 -63.3458826944128</t>
  </si>
  <si>
    <t>-897.111862608679 290.198650829293 340.045076848565</t>
  </si>
  <si>
    <t>-941.750347777988 294.99669618397 785.608593963176</t>
  </si>
  <si>
    <t>-799.38592143848 329.448974394114 845.88012536424</t>
  </si>
  <si>
    <t>-914.935615275755 88.3957982632437 -60.1049650458236</t>
  </si>
  <si>
    <t>-868.047274553353 58.8102215615204 339.62098939532</t>
  </si>
  <si>
    <t>-913.036576501222 46.7518236479805 785.120429030655</t>
  </si>
  <si>
    <t>-820.9641394097 -59.767129828917 857.671682218039</t>
  </si>
  <si>
    <t>9763-20170724T111233.913223300.bin</t>
  </si>
  <si>
    <t>-904.098812972007 183.440262493397 -60.71659280473</t>
  </si>
  <si>
    <t>-934.506971804844 184.780510014476 -172.474218605823</t>
  </si>
  <si>
    <t>-944.512836423989 185.75558371735 -270.584254205184</t>
  </si>
  <si>
    <t>-947.659490756263 186.309387543691 -359.623742382798</t>
  </si>
  <si>
    <t>-944.569644998613 186.249857267393 -448.667021194634</t>
  </si>
  <si>
    <t>-933.74265263022 185.323766766026 -572.774777302138</t>
  </si>
  <si>
    <t>-900.692425219517 183.938130120272 -649.003376225584</t>
  </si>
  <si>
    <t>-930.772933129997 212.334892652818 -517.684908055752</t>
  </si>
  <si>
    <t>-889.519626669969 341.744154701064 -496.530388705747</t>
  </si>
  <si>
    <t>-840.977637134448 370.023943467261 -207.678963292598</t>
  </si>
  <si>
    <t>-601.437682801773 350.438917404248 -224.645608005429</t>
  </si>
  <si>
    <t>-946.240942048657 159.127753738032 -518.637353449858</t>
  </si>
  <si>
    <t>-992.812900573529 32.662672375684 -491.510788122834</t>
  </si>
  <si>
    <t>-1066.69340419648 18.6368847866333 -207.018017748716</t>
  </si>
  <si>
    <t>-831.252717990728 18.9562779557059 -258.189231917726</t>
  </si>
  <si>
    <t>-893.682984420686 278.923288843683 -63.36733030561</t>
  </si>
  <si>
    <t>-897.309481291723 290.018339000891 340.016430705056</t>
  </si>
  <si>
    <t>-941.711458863773 294.95408933161 785.59142185176</t>
  </si>
  <si>
    <t>-799.393508810543 329.582276841093 845.872180305993</t>
  </si>
  <si>
    <t>-914.776250192799 87.8932033431752 -60.1552617173621</t>
  </si>
  <si>
    <t>-867.991364588501 58.5768007102515 339.602619290391</t>
  </si>
  <si>
    <t>-913.063013489484 46.7258646216728 785.134387909191</t>
  </si>
  <si>
    <t>-820.951977797003 -59.7702151309293 857.670137495729</t>
  </si>
  <si>
    <t>9763-20170724T111233.978900700.bin</t>
  </si>
  <si>
    <t>-904.054443506458 182.320930383644 -60.7514196745088</t>
  </si>
  <si>
    <t>-934.619272307163 183.430880372849 -172.468869852652</t>
  </si>
  <si>
    <t>-944.772981283502 184.410186278511 -270.563701685177</t>
  </si>
  <si>
    <t>-948.053943222498 185.045637757136 -359.597802036005</t>
  </si>
  <si>
    <t>-945.095416470084 185.147687043475 -448.645446177328</t>
  </si>
  <si>
    <t>-934.446205807002 184.531962226893 -572.770450412838</t>
  </si>
  <si>
    <t>-901.468639876434 183.569908528147 -649.037151885018</t>
  </si>
  <si>
    <t>-931.611984101722 211.467149713468 -517.636238736031</t>
  </si>
  <si>
    <t>-891.559018615915 341.226581098328 -496.247703441607</t>
  </si>
  <si>
    <t>-844.685581832382 369.126009679203 -207.083838189361</t>
  </si>
  <si>
    <t>-604.971428040906 349.572553249991 -221.42787982586</t>
  </si>
  <si>
    <t>-946.65258658831 158.138922089121 -518.661997669011</t>
  </si>
  <si>
    <t>-992.156864345356 31.2423825131805 -491.757330217383</t>
  </si>
  <si>
    <t>-1066.39185787348 15.7958030731866 -207.430572368244</t>
  </si>
  <si>
    <t>-830.707397067426 15.3753527798735 -257.464877862482</t>
  </si>
  <si>
    <t>-894.04734428397 277.802330710591 -63.4124549689462</t>
  </si>
  <si>
    <t>-897.65752511702 289.512282037179 339.954014289779</t>
  </si>
  <si>
    <t>-941.730055904047 294.983058094574 785.534603702409</t>
  </si>
  <si>
    <t>-799.410437659549 329.557596766884 845.842443412907</t>
  </si>
  <si>
    <t>-914.327120981268 86.7864521933375 -60.2146800603899</t>
  </si>
  <si>
    <t>-867.926686609088 58.0062454396589 339.626933543331</t>
  </si>
  <si>
    <t>-913.0512706251 46.7665290507648 785.182109338285</t>
  </si>
  <si>
    <t>-820.779330409187 -59.6220741838854 857.671163900065</t>
  </si>
  <si>
    <t>9763-20170724T111234.016502100.bin</t>
  </si>
  <si>
    <t>-903.988125820994 181.711418540121 -60.8290271463814</t>
  </si>
  <si>
    <t>-934.625257551688 182.676129670381 -172.527942802161</t>
  </si>
  <si>
    <t>-944.88088657901 183.6196493431 -270.612597160357</t>
  </si>
  <si>
    <t>-948.268736531114 184.255219067623 -359.642721103576</t>
  </si>
  <si>
    <t>-945.429995547714 184.393049674346 -448.694139641544</t>
  </si>
  <si>
    <t>-934.959024642471 183.863462617307 -572.834811898749</t>
  </si>
  <si>
    <t>-902.057015848104 183.105230787647 -649.136104784492</t>
  </si>
  <si>
    <t>-932.153194986104 210.790318254268 -517.695128394051</t>
  </si>
  <si>
    <t>-892.797725248069 340.768243991082 -496.284744632625</t>
  </si>
  <si>
    <t>-846.919046130201 368.824215892462 -206.976557535603</t>
  </si>
  <si>
    <t>-607.127013757615 348.697955096971 -219.044587063589</t>
  </si>
  <si>
    <t>-946.980429430642 157.402555979824 -518.718092519442</t>
  </si>
  <si>
    <t>-991.881147030855 30.2968809868917 -491.8236669837</t>
  </si>
  <si>
    <t>-1066.33403474465 14.7677817527601 -207.558145954109</t>
  </si>
  <si>
    <t>-830.674957099414 14.1161265582018 -257.70944542824</t>
  </si>
  <si>
    <t>-894.245177218147 277.196178945436 -63.4781653147237</t>
  </si>
  <si>
    <t>-897.900193515335 289.158219903052 339.880478741903</t>
  </si>
  <si>
    <t>-941.711439260059 294.964664592396 785.468974206083</t>
  </si>
  <si>
    <t>-799.447592907296 329.734234356243 845.796356919705</t>
  </si>
  <si>
    <t>-914.009212780398 86.1770657913416 -60.2632667216649</t>
  </si>
  <si>
    <t>-867.940321236389 57.7176123948229 339.639709929656</t>
  </si>
  <si>
    <t>-913.054627517181 46.7594040709159 785.21396912981</t>
  </si>
  <si>
    <t>-820.782203187423 -59.6424435638698 857.683025119106</t>
  </si>
  <si>
    <t>9763-20170724T111234.082683100.bin</t>
  </si>
  <si>
    <t>-903.6683578045 180.213367030626 -61.0246556100133</t>
  </si>
  <si>
    <t>-934.454868055266 180.910462724708 -172.684449948013</t>
  </si>
  <si>
    <t>-944.972320549336 181.730637581943 -270.742527050175</t>
  </si>
  <si>
    <t>-948.648320141299 182.296569451349 -359.761615404656</t>
  </si>
  <si>
    <t>-946.146178735959 182.410187150188 -448.823284743575</t>
  </si>
  <si>
    <t>-936.195141001057 181.8969115418 -573.006667120043</t>
  </si>
  <si>
    <t>-903.499434789346 181.4431748352 -649.399209643081</t>
  </si>
  <si>
    <t>-933.364821692369 208.873398976583 -517.892631929715</t>
  </si>
  <si>
    <t>-895.247505058165 339.224404209014 -496.643459397964</t>
  </si>
  <si>
    <t>-852.739888450708 368.698322857428 -206.961425255373</t>
  </si>
  <si>
    <t>-612.940782719578 345.354431966332 -208.474851209981</t>
  </si>
  <si>
    <t>-947.783662455308 155.372167703045 -518.826907763212</t>
  </si>
  <si>
    <t>-991.511823196962 27.9101311613213 -491.650504756805</t>
  </si>
  <si>
    <t>-1065.45902581383 13.3940101540334 -207.199636968184</t>
  </si>
  <si>
    <t>-830.133346559749 11.5562055731225 -258.863985772544</t>
  </si>
  <si>
    <t>-894.284259310945 275.613895371847 -63.6709277675872</t>
  </si>
  <si>
    <t>-898.211983553815 288.44240002975 339.658621185601</t>
  </si>
  <si>
    <t>-941.697727166684 294.94972466625 785.272087031654</t>
  </si>
  <si>
    <t>-799.518337336337 329.972813297693 845.652181336374</t>
  </si>
  <si>
    <t>-913.307026674476 84.698827385007 -60.4000437125324</t>
  </si>
  <si>
    <t>-867.897861275437 57.0060181127651 339.632139075885</t>
  </si>
  <si>
    <t>-913.043499966742 46.7134283149417 785.259306434511</t>
  </si>
  <si>
    <t>-820.712760197611 -59.6527107941326 857.706112118446</t>
  </si>
  <si>
    <t>9763-20170724T111234.114396400.bin</t>
  </si>
  <si>
    <t>-903.487406415342 179.348610320783 -61.07468498715</t>
  </si>
  <si>
    <t>-934.395008333465 179.938323433049 -172.701785321722</t>
  </si>
  <si>
    <t>-945.056275735294 180.702203385621 -270.744665848631</t>
  </si>
  <si>
    <t>-948.878071590528 181.231904004797 -359.757775235863</t>
  </si>
  <si>
    <t>-946.53568339147 181.3253501339 -448.823877549241</t>
  </si>
  <si>
    <t>-936.821179600455 180.802035512613 -573.025996167833</t>
  </si>
  <si>
    <t>-904.243203242366 180.456932535492 -649.469248261828</t>
  </si>
  <si>
    <t>-933.981703398682 207.808853413231 -517.927194389993</t>
  </si>
  <si>
    <t>-896.330208400973 338.306118407413 -496.806434658181</t>
  </si>
  <si>
    <t>-856.021736503654 368.064892498113 -206.839472061767</t>
  </si>
  <si>
    <t>-616.443792127654 343.247254333481 -200.724919412187</t>
  </si>
  <si>
    <t>-948.210251888562 154.255775662606 -518.81431592173</t>
  </si>
  <si>
    <t>-991.398251126257 26.645170935989 -491.443253388316</t>
  </si>
  <si>
    <t>-1064.52873412746 12.7009888872731 -206.75276980075</t>
  </si>
  <si>
    <t>-829.491463319269 10.5537517485686 -259.70230466647</t>
  </si>
  <si>
    <t>-894.277509447679 274.716355798307 -63.7535954148689</t>
  </si>
  <si>
    <t>-898.146801584752 287.915495065441 339.564558315133</t>
  </si>
  <si>
    <t>-941.592931629211 294.740031385608 785.182022966837</t>
  </si>
  <si>
    <t>-799.575046388132 330.404534241913 845.566349775465</t>
  </si>
  <si>
    <t>-913.001692403119 83.8713826660273 -60.4535585768007</t>
  </si>
  <si>
    <t>-867.808263911008 56.5757235164701 339.630349174692</t>
  </si>
  <si>
    <t>-913.033155425311 46.6847677571236 785.280308526505</t>
  </si>
  <si>
    <t>-820.717988631806 -59.7015673506714 857.717781271763</t>
  </si>
  <si>
    <t>9763-20170724T111234.184084500.bin</t>
  </si>
  <si>
    <t>-903.426444033025 177.576217054243 -61.2088160098521</t>
  </si>
  <si>
    <t>-934.746282671373 177.935944457254 -172.721878912428</t>
  </si>
  <si>
    <t>-945.825528169758 178.65110456886 -270.718786144369</t>
  </si>
  <si>
    <t>-950.046754870738 179.194265987959 -359.713868514555</t>
  </si>
  <si>
    <t>-948.121851091418 179.363048187868 -448.789703341008</t>
  </si>
  <si>
    <t>-939.005152601835 179.009185462054 -573.037748790444</t>
  </si>
  <si>
    <t>-906.735465384792 178.825377309 -649.612230770008</t>
  </si>
  <si>
    <t>-936.105227508608 205.994528109767 -517.931615763738</t>
  </si>
  <si>
    <t>-899.225243096611 336.7239347629 -496.781867217645</t>
  </si>
  <si>
    <t>-861.85368517189 364.421910942056 -206.217966621381</t>
  </si>
  <si>
    <t>-623.333775602838 340.382701359521 -182.110643395867</t>
  </si>
  <si>
    <t>-949.928683924133 152.335139001375 -518.793153849054</t>
  </si>
  <si>
    <t>-992.011391106682 24.3955942577049 -491.262080198998</t>
  </si>
  <si>
    <t>-1062.96028075568 10.9847845483146 -205.99447164056</t>
  </si>
  <si>
    <t>-828.531808059634 8.69464601354321 -261.571798014502</t>
  </si>
  <si>
    <t>-894.708468812541 272.940044804119 -63.9053245537639</t>
  </si>
  <si>
    <t>-898.10691244848 287.153766193656 339.382482500493</t>
  </si>
  <si>
    <t>-941.659553319407 294.784390934574 784.952376134261</t>
  </si>
  <si>
    <t>-799.69965665845 330.60988228773 845.37736780285</t>
  </si>
  <si>
    <t>-912.485322538874 82.1340585505477 -60.5504547079765</t>
  </si>
  <si>
    <t>-867.681898261305 55.7043985232917 339.635475218326</t>
  </si>
  <si>
    <t>-912.89851368959 46.7672471634928 785.317942067334</t>
  </si>
  <si>
    <t>-820.600865859592 -59.6495259064386 857.732736610542</t>
  </si>
  <si>
    <t>9763-20170724T111234.212268100.bin</t>
  </si>
  <si>
    <t>-903.404972381011 176.59803368231 -61.3237513798844</t>
  </si>
  <si>
    <t>-934.965904268233 176.770437648402 -172.769201931127</t>
  </si>
  <si>
    <t>-946.307936032126 177.450051918999 -270.736387841125</t>
  </si>
  <si>
    <t>-950.785512998301 178.008094230209 -359.71884399521</t>
  </si>
  <si>
    <t>-949.132867874016 178.239949694168 -448.800022933612</t>
  </si>
  <si>
    <t>-940.412000321444 178.024772014561 -573.076842829343</t>
  </si>
  <si>
    <t>-908.320082730545 177.904302381273 -649.726077084025</t>
  </si>
  <si>
    <t>-937.437845400189 204.974685511896 -517.95728820933</t>
  </si>
  <si>
    <t>-900.912272425255 335.787726265025 -496.745025987635</t>
  </si>
  <si>
    <t>-864.021546151899 361.820752193793 -205.96582077958</t>
  </si>
  <si>
    <t>-626.338259850142 339.466003994379 -173.441107125821</t>
  </si>
  <si>
    <t>-951.061454517333 151.264341688917 -518.820289196802</t>
  </si>
  <si>
    <t>-992.633687799383 23.1560731870081 -491.289005198285</t>
  </si>
  <si>
    <t>-1062.40260377598 9.45748844504942 -205.744285026883</t>
  </si>
  <si>
    <t>-828.240407477993 7.58229499323625 -262.44870269102</t>
  </si>
  <si>
    <t>-894.931696497805 271.975415935573 -64.0227312695544</t>
  </si>
  <si>
    <t>-898.183695467218 286.810462861379 339.243935451314</t>
  </si>
  <si>
    <t>-941.702091331554 294.83278151786 784.794250415452</t>
  </si>
  <si>
    <t>-799.732028357712 330.562464079866 845.251931404168</t>
  </si>
  <si>
    <t>-912.189567459213 81.1115134899987 -60.602293094624</t>
  </si>
  <si>
    <t>-867.623244453586 55.1895692963508 339.643366930322</t>
  </si>
  <si>
    <t>-912.899869530639 46.69719307883 785.340073326652</t>
  </si>
  <si>
    <t>-820.333503901948 -59.5029967149649 857.729908621045</t>
  </si>
  <si>
    <t>9763-20170724T111234.278947400.bin</t>
  </si>
  <si>
    <t>-903.294436075593 174.674601718526 -61.5236158127717</t>
  </si>
  <si>
    <t>-935.257409729963 174.490125483056 -172.854486655529</t>
  </si>
  <si>
    <t>-947.095199223733 175.075543855121 -270.763440786743</t>
  </si>
  <si>
    <t>-952.076226743996 175.630078981642 -359.719178107576</t>
  </si>
  <si>
    <t>-950.977508378074 175.94219892618 -448.808741130417</t>
  </si>
  <si>
    <t>-943.079062237651 175.926509924027 -573.140622571913</t>
  </si>
  <si>
    <t>-911.353523249508 175.901308515272 -649.942370024076</t>
  </si>
  <si>
    <t>-939.901842693253 202.828717303026 -518.009038290948</t>
  </si>
  <si>
    <t>-903.857682873468 333.772541959479 -496.76078787245</t>
  </si>
  <si>
    <t>-867.265149856676 357.165247332442 -205.719647654416</t>
  </si>
  <si>
    <t>-630.97534480598 337.355089917857 -162.994016497862</t>
  </si>
  <si>
    <t>-953.207643501813 149.03808289745 -518.847462217953</t>
  </si>
  <si>
    <t>-993.857113094952 20.6427357237626 -491.296328797555</t>
  </si>
  <si>
    <t>-1061.74446498226 6.115071386615 -205.339302673072</t>
  </si>
  <si>
    <t>-828.047663974278 5.52240571376387 -263.960150798309</t>
  </si>
  <si>
    <t>-895.241961605113 270.144608872765 -64.3722874346719</t>
  </si>
  <si>
    <t>-898.687973156386 285.859288555348 338.85946381005</t>
  </si>
  <si>
    <t>-941.742993218705 294.862965389529 784.402489255068</t>
  </si>
  <si>
    <t>-799.916375583794 331.032297087452 844.936280605923</t>
  </si>
  <si>
    <t>-911.667520747664 79.1469302538239 -60.7185813775187</t>
  </si>
  <si>
    <t>-867.646269538973 54.2249627898145 339.650919745534</t>
  </si>
  <si>
    <t>-912.867807330551 46.5743964093494 785.389059204429</t>
  </si>
  <si>
    <t>-820.087744506397 -59.4629507433071 857.744063895148</t>
  </si>
  <si>
    <t>9763-20170724T111234.316072700.bin</t>
  </si>
  <si>
    <t>-903.28319106502 173.795447475882 -61.6527683832643</t>
  </si>
  <si>
    <t>-935.410192284565 173.474374656345 -172.936147098415</t>
  </si>
  <si>
    <t>-947.468019787854 174.001035470078 -270.81862843047</t>
  </si>
  <si>
    <t>-952.678241863493 174.525075993281 -359.761336344788</t>
  </si>
  <si>
    <t>-951.83767121425 174.83169930038 -448.853718615527</t>
  </si>
  <si>
    <t>-944.328200306991 174.83486800553 -573.209856091737</t>
  </si>
  <si>
    <t>-912.788799589417 174.841383976928 -650.08822380395</t>
  </si>
  <si>
    <t>-941.04279676716 201.74451623419 -518.088220551868</t>
  </si>
  <si>
    <t>-905.18609660057 332.758832620406 -496.947791715794</t>
  </si>
  <si>
    <t>-868.67620023675 355.709151036478 -205.860952864034</t>
  </si>
  <si>
    <t>-632.928756127499 337.061288448631 -159.748474776806</t>
  </si>
  <si>
    <t>-954.222740494663 147.92247054778 -518.885434933098</t>
  </si>
  <si>
    <t>-994.464552338652 19.4215710799899 -491.201917733669</t>
  </si>
  <si>
    <t>-1061.66485128247 4.89226980340436 -205.082654893325</t>
  </si>
  <si>
    <t>-828.156613129718 4.59495752671546 -264.451873085399</t>
  </si>
  <si>
    <t>-895.39530992005 269.347363596526 -64.5676369985838</t>
  </si>
  <si>
    <t>-899.1718932724 285.28090376056 338.652545018281</t>
  </si>
  <si>
    <t>-941.777477760157 294.894693370823 784.203397847876</t>
  </si>
  <si>
    <t>-799.975310780893 331.097174805092 844.77443083364</t>
  </si>
  <si>
    <t>-911.533328595972 78.201579447853 -60.7968986740224</t>
  </si>
  <si>
    <t>-867.825558678789 53.8381969483739 339.641334858986</t>
  </si>
  <si>
    <t>-912.820102991322 46.5678252135021 785.419266361094</t>
  </si>
  <si>
    <t>-819.9673017458 -59.42343260182 857.748531458893</t>
  </si>
  <si>
    <t>9763-20170724T111234.378740500.bin</t>
  </si>
  <si>
    <t>-903.503832090744 172.185610176199 -61.9544028993512</t>
  </si>
  <si>
    <t>-935.790440155993 171.63202705205 -173.190546115627</t>
  </si>
  <si>
    <t>-948.197620293298 171.972042772622 -271.030239196333</t>
  </si>
  <si>
    <t>-953.809602724957 172.336659077552 -359.949396378783</t>
  </si>
  <si>
    <t>-953.455340279813 172.4966084334 -449.045397071322</t>
  </si>
  <si>
    <t>-946.712228406341 172.312410532884 -573.445201264392</t>
  </si>
  <si>
    <t>-915.541442161093 172.267958517794 -650.47390027292</t>
  </si>
  <si>
    <t>-943.183702299626 199.328691398375 -518.390867500028</t>
  </si>
  <si>
    <t>-907.610478675332 330.4907845767 -497.664321854187</t>
  </si>
  <si>
    <t>-870.97392243101 353.459026045174 -206.594931012968</t>
  </si>
  <si>
    <t>-635.621015858791 335.571616226789 -158.221503724138</t>
  </si>
  <si>
    <t>-956.175281634118 145.458492332327 -519.015225958707</t>
  </si>
  <si>
    <t>-995.699508345612 16.827811987554 -490.917061443112</t>
  </si>
  <si>
    <t>-1061.78141556045 2.73814134580743 -204.515521942866</t>
  </si>
  <si>
    <t>-828.620354964357 3.0006604809796 -265.233933792893</t>
  </si>
  <si>
    <t>-895.914393997717 267.833021853285 -65.0017438555793</t>
  </si>
  <si>
    <t>-900.273457555618 284.128118506173 338.198197970272</t>
  </si>
  <si>
    <t>-941.895407413934 295.037004191312 783.801610289056</t>
  </si>
  <si>
    <t>-800.099054349619 331.131061919149 844.450835155278</t>
  </si>
  <si>
    <t>-911.478954171664 76.5075808867086 -60.9814635671247</t>
  </si>
  <si>
    <t>-868.50996204992 53.2525216935915 339.602512011243</t>
  </si>
  <si>
    <t>-912.62292977228 46.7279935093729 785.480889461234</t>
  </si>
  <si>
    <t>-820.0155515279 -59.5087820999938 857.764490474856</t>
  </si>
  <si>
    <t>9763-20170724T111234.412377400.bin</t>
  </si>
  <si>
    <t>-903.747885175842 171.351626537824 -62.11636267138</t>
  </si>
  <si>
    <t>-936.074930610049 170.715986462224 -173.340414852481</t>
  </si>
  <si>
    <t>-948.652018998769 170.952637509896 -271.158696355676</t>
  </si>
  <si>
    <t>-954.473042088373 171.21310752003 -360.064707807843</t>
  </si>
  <si>
    <t>-954.383820726676 171.26080465881 -449.161413824911</t>
  </si>
  <si>
    <t>-948.068496557709 170.912343182371 -573.58343507057</t>
  </si>
  <si>
    <t>-917.093598433103 170.760624389505 -650.690763260055</t>
  </si>
  <si>
    <t>-944.375891286777 198.007244721098 -518.578417717746</t>
  </si>
  <si>
    <t>-908.914025071764 329.243563490837 -498.13716306429</t>
  </si>
  <si>
    <t>-872.065825599617 352.486507366192 -207.116206558602</t>
  </si>
  <si>
    <t>-636.669554377527 335.365808894194 -158.676812844409</t>
  </si>
  <si>
    <t>-957.319239847305 144.124285659168 -519.084534624918</t>
  </si>
  <si>
    <t>-996.494569402379 15.4509226536115 -490.717358064919</t>
  </si>
  <si>
    <t>-1061.97482477447 1.67544389884188 -204.162461960037</t>
  </si>
  <si>
    <t>-828.999422917763 2.04515896126668 -265.589563841571</t>
  </si>
  <si>
    <t>-896.194179172488 267.042719091723 -65.2112942395146</t>
  </si>
  <si>
    <t>-900.818531227266 283.609057576397 337.974556993755</t>
  </si>
  <si>
    <t>-942.030266144255 295.230187391016 783.606529066534</t>
  </si>
  <si>
    <t>-800.172673350114 331.011130911571 844.298404763362</t>
  </si>
  <si>
    <t>-911.676194267694 75.5779968430179 -61.079007809945</t>
  </si>
  <si>
    <t>-869.00828846904 52.857556414227 339.567865258468</t>
  </si>
  <si>
    <t>-912.69420562455 46.5524150386818 785.510804330517</t>
  </si>
  <si>
    <t>-819.83993568442 -59.4916464317087 857.760255235798</t>
  </si>
  <si>
    <t>9763-20170724T111234.478055900.bin</t>
  </si>
  <si>
    <t>-904.114304356151 169.640420234513 -62.415560305515</t>
  </si>
  <si>
    <t>-936.541942022066 168.808192209718 -173.608878157048</t>
  </si>
  <si>
    <t>-949.453587732521 168.767657321025 -271.384022084945</t>
  </si>
  <si>
    <t>-955.680749804434 168.737443589359 -360.262881108581</t>
  </si>
  <si>
    <t>-956.101549070808 168.458107942951 -449.358218382247</t>
  </si>
  <si>
    <t>-950.608513883981 167.617541960517 -573.816834131992</t>
  </si>
  <si>
    <t>-919.957964978799 167.100640850475 -651.052241777979</t>
  </si>
  <si>
    <t>-946.578128036173 194.935967823615 -518.946125940902</t>
  </si>
  <si>
    <t>-911.363203845291 326.359920953695 -499.261278622944</t>
  </si>
  <si>
    <t>-874.065813436916 350.762465669359 -208.392456699392</t>
  </si>
  <si>
    <t>-638.065793506972 334.509747209166 -162.668367070244</t>
  </si>
  <si>
    <t>-959.47305926638 141.039185048782 -519.151321015036</t>
  </si>
  <si>
    <t>-998.076143017424 12.334791648896 -490.15936573183</t>
  </si>
  <si>
    <t>-896.547203828554 265.239896216486 -65.580138236431</t>
  </si>
  <si>
    <t>-901.60199932974 282.538138342219 337.569775281805</t>
  </si>
  <si>
    <t>-942.14325953882 295.247745160881 783.263489490784</t>
  </si>
  <si>
    <t>-800.349312110012 331.208691862553 843.997789053829</t>
  </si>
  <si>
    <t>-911.995271698476 73.9322877667319 -61.2554898389019</t>
  </si>
  <si>
    <t>-869.960930095295 52.1216066025513 339.508850577719</t>
  </si>
  <si>
    <t>-912.600700350163 46.542965919225 785.569301184621</t>
  </si>
  <si>
    <t>-819.592734928287 -59.4024012208936 857.766015303682</t>
  </si>
  <si>
    <t>9763-20170724T111234.514654000.bin</t>
  </si>
  <si>
    <t>-904.280700614392 168.701532460655 -62.5174373468947</t>
  </si>
  <si>
    <t>-936.727309470773 167.792809078824 -173.704803805313</t>
  </si>
  <si>
    <t>-949.775378303421 167.586862577478 -271.46149039778</t>
  </si>
  <si>
    <t>-956.177324432569 167.370322066977 -360.327738487601</t>
  </si>
  <si>
    <t>-956.825561454338 166.869820749122 -449.420603504344</t>
  </si>
  <si>
    <t>-951.705515826456 165.685333557914 -573.892367468207</t>
  </si>
  <si>
    <t>-921.152548884796 164.92795056151 -651.164312600353</t>
  </si>
  <si>
    <t>-947.528255816015 193.159060273265 -519.110489138221</t>
  </si>
  <si>
    <t>-912.455939013309 324.677692370877 -499.889213389644</t>
  </si>
  <si>
    <t>-875.133251137151 350.213699052237 -209.121032611049</t>
  </si>
  <si>
    <t>-638.931014953809 333.779661053905 -164.51900628716</t>
  </si>
  <si>
    <t>-960.388924377632 139.253731694718 -519.126558929667</t>
  </si>
  <si>
    <t>-998.614288271451 10.5190036790887 -489.73421144302</t>
  </si>
  <si>
    <t>-896.7035232387 264.272031207521 -65.7437891089752</t>
  </si>
  <si>
    <t>-901.922819119045 282.012722574333 337.384760114012</t>
  </si>
  <si>
    <t>-942.230412930576 295.291169019466 783.077193608156</t>
  </si>
  <si>
    <t>-800.493009206119 331.448093532145 843.827044326148</t>
  </si>
  <si>
    <t>-912.177479494342 72.9839067435009 -61.3313522255316</t>
  </si>
  <si>
    <t>-870.468679661921 51.7015352799272 339.495428059295</t>
  </si>
  <si>
    <t>-912.630671582832 46.4137928207965 785.609881293859</t>
  </si>
  <si>
    <t>-819.376279405369 -59.338458164028 857.772012648095</t>
  </si>
  <si>
    <t>9763-20170724T111234.581336800.bin</t>
  </si>
  <si>
    <t>-904.525879840285 166.943286866 -62.7184959823842</t>
  </si>
  <si>
    <t>-936.962299825787 165.898523649866 -173.907662498166</t>
  </si>
  <si>
    <t>-950.21546462022 165.426000740717 -271.635768710614</t>
  </si>
  <si>
    <t>-956.893621835015 164.913884620995 -360.480384583602</t>
  </si>
  <si>
    <t>-957.910661451793 164.068349085439 -449.56745668556</t>
  </si>
  <si>
    <t>-953.404149610635 162.354486116675 -574.056663841005</t>
  </si>
  <si>
    <t>-922.898457574032 161.117203802442 -651.341144076402</t>
  </si>
  <si>
    <t>-949.013505846298 190.074155392294 -519.415558435535</t>
  </si>
  <si>
    <t>-914.149173847097 321.748812295092 -501.022144697501</t>
  </si>
  <si>
    <t>-876.953947462691 349.723024041478 -210.46212505083</t>
  </si>
  <si>
    <t>-640.746164888811 333.298996976092 -165.886317145038</t>
  </si>
  <si>
    <t>-961.761535144216 136.143027010167 -519.134613003142</t>
  </si>
  <si>
    <t>-999.370424716908 7.35916085678446 -489.09085507422</t>
  </si>
  <si>
    <t>-896.911605465694 262.349187086302 -66.012990864823</t>
  </si>
  <si>
    <t>-902.435629314796 280.832391678416 337.078206630325</t>
  </si>
  <si>
    <t>-942.231308653515 294.997413195896 782.757523352356</t>
  </si>
  <si>
    <t>-800.688885909387 331.90044180142 843.512410327297</t>
  </si>
  <si>
    <t>-912.498470621764 71.4066467810271 -61.4670415167868</t>
  </si>
  <si>
    <t>-871.500984666468 50.973123517665 339.477316787228</t>
  </si>
  <si>
    <t>-912.568464045151 46.3299625573991 785.688881662968</t>
  </si>
  <si>
    <t>-819.219300211327 -59.3767662995861 857.794964807496</t>
  </si>
  <si>
    <t>9763-20170724T111234.613930600.bin</t>
  </si>
  <si>
    <t>-904.740680822191 166.294145455384 -62.8194015699561</t>
  </si>
  <si>
    <t>-937.124427623463 165.176770380948 -174.023175559661</t>
  </si>
  <si>
    <t>-950.42135728687 164.657205869814 -271.745060876379</t>
  </si>
  <si>
    <t>-957.175483041199 164.11250687108 -360.583905358509</t>
  </si>
  <si>
    <t>-958.304394270172 163.24739376962 -449.669278443195</t>
  </si>
  <si>
    <t>-953.990363401296 161.523155895306 -574.165190852189</t>
  </si>
  <si>
    <t>-923.43736923179 160.095779906341 -651.427745256029</t>
  </si>
  <si>
    <t>-949.565524020417 189.259506571135 -519.535217686407</t>
  </si>
  <si>
    <t>-914.728227336069 320.977909766747 -501.367595811479</t>
  </si>
  <si>
    <t>-877.290009782954 349.829484420584 -210.924600406924</t>
  </si>
  <si>
    <t>-641.002951268527 333.558988403439 -166.714401056249</t>
  </si>
  <si>
    <t>-962.212149615679 135.304661538368 -519.22620256047</t>
  </si>
  <si>
    <t>-999.553388679884 6.47507972469475 -489.054937715669</t>
  </si>
  <si>
    <t>-897.141841549102 261.633545950089 -66.1506484059513</t>
  </si>
  <si>
    <t>-902.924269955746 280.411276522489 336.923328095315</t>
  </si>
  <si>
    <t>-942.361547559054 295.030802193534 782.613213740275</t>
  </si>
  <si>
    <t>-800.719524464744 331.539593579596 843.374641720562</t>
  </si>
  <si>
    <t>-912.73453180427 70.8625721440171 -61.5323206066142</t>
  </si>
  <si>
    <t>-872.236623774633 50.710425175273 339.476995787703</t>
  </si>
  <si>
    <t>-912.537875573155 46.2758090119773 785.738740383926</t>
  </si>
  <si>
    <t>-819.031917201042 -59.3167045078064 857.809607908909</t>
  </si>
  <si>
    <t>9763-20170724T111234.681109500.bin</t>
  </si>
  <si>
    <t>-905.254447237863 165.122417255006 -63.0760373765519</t>
  </si>
  <si>
    <t>-937.548219285711 163.864166322943 -174.304380082637</t>
  </si>
  <si>
    <t>-950.966291060541 163.362671864032 -272.009888864355</t>
  </si>
  <si>
    <t>-957.908164853228 162.899989034051 -360.834645030048</t>
  </si>
  <si>
    <t>-959.300610981192 162.190317494153 -449.917658752722</t>
  </si>
  <si>
    <t>-955.431079498775 160.765705754552 -574.431989279191</t>
  </si>
  <si>
    <t>-924.73536458474 159.050602056162 -651.632149139239</t>
  </si>
  <si>
    <t>-950.956364302128 188.403911602823 -519.756400299891</t>
  </si>
  <si>
    <t>-916.420113114368 320.24028295089 -501.681449743747</t>
  </si>
  <si>
    <t>-875.882654885895 350.450121579634 -211.793002200958</t>
  </si>
  <si>
    <t>-638.717081602053 336.386798240751 -171.722574947346</t>
  </si>
  <si>
    <t>-963.311235604135 134.381214668893 -519.522389927609</t>
  </si>
  <si>
    <t>-999.888280728678 5.33338916209323 -489.466579594694</t>
  </si>
  <si>
    <t>-897.62602080083 260.110024441456 -66.4645471160602</t>
  </si>
  <si>
    <t>-903.820263590116 279.578469958252 336.570608430706</t>
  </si>
  <si>
    <t>-942.380692881935 294.783506635228 782.284379747254</t>
  </si>
  <si>
    <t>-800.821421160946 331.425331747508 843.158053011435</t>
  </si>
  <si>
    <t>-913.201054526978 70.0538419948762 -61.7133310903851</t>
  </si>
  <si>
    <t>-873.890713859637 50.3101572527403 339.434541081037</t>
  </si>
  <si>
    <t>-912.507771852337 46.1371094648457 785.844218254129</t>
  </si>
  <si>
    <t>-818.746890512952 -59.281370675041 857.837925764317</t>
  </si>
  <si>
    <t>9763-20170724T111234.715200900.bin</t>
  </si>
  <si>
    <t>-905.579554534328 164.629505400071 -63.2283407639992</t>
  </si>
  <si>
    <t>-937.805525103044 163.286727958036 -174.47531631712</t>
  </si>
  <si>
    <t>-951.268295103104 162.765770733224 -272.174633943714</t>
  </si>
  <si>
    <t>-958.291521785491 162.309833284411 -360.992924491629</t>
  </si>
  <si>
    <t>-959.805390074634 161.63502623565 -450.074379259696</t>
  </si>
  <si>
    <t>-956.147275415081 160.290983067773 -574.595996055662</t>
  </si>
  <si>
    <t>-925.355211526042 158.475212891414 -651.755523502894</t>
  </si>
  <si>
    <t>-951.660496935884 187.912258768695 -519.912717882108</t>
  </si>
  <si>
    <t>-917.414755981064 319.83119086736 -501.913081400298</t>
  </si>
  <si>
    <t>-874.542425921815 350.691178353907 -212.429377244044</t>
  </si>
  <si>
    <t>-636.735394586428 338.650786841158 -175.636781958745</t>
  </si>
  <si>
    <t>-963.854106256734 133.852888265641 -519.68760127963</t>
  </si>
  <si>
    <t>-1000.00582916453 4.66276641557943 -489.711722621234</t>
  </si>
  <si>
    <t>-898.087028278077 259.495252108778 -66.610165471552</t>
  </si>
  <si>
    <t>-904.179404651653 279.37842969201 336.406235568324</t>
  </si>
  <si>
    <t>-942.596766493225 294.946450873315 782.160585844558</t>
  </si>
  <si>
    <t>-800.871832378476 330.894112055092 843.062972431284</t>
  </si>
  <si>
    <t>-913.424808530356 69.6695302699636 -61.8145242179584</t>
  </si>
  <si>
    <t>-874.578323657159 50.1861925553344 339.391217774509</t>
  </si>
  <si>
    <t>-912.4367066623 46.1374717789454 785.884604165939</t>
  </si>
  <si>
    <t>-818.684459870247 -59.30383576954 857.856395324303</t>
  </si>
  <si>
    <t>9763-20170724T111234.781383900.bin</t>
  </si>
  <si>
    <t>-905.84741464441 162.964432679417 -63.4160975082154</t>
  </si>
  <si>
    <t>-938.003850270239 161.534980225591 -174.68220275486</t>
  </si>
  <si>
    <t>-951.463446829814 161.009036500464 -272.381876081337</t>
  </si>
  <si>
    <t>-958.506445561686 160.580859853122 -361.198809454476</t>
  </si>
  <si>
    <t>-960.061208118702 159.970967547657 -450.279931262867</t>
  </si>
  <si>
    <t>-956.4805109486 158.760129878453 -574.805149268804</t>
  </si>
  <si>
    <t>-925.447805898945 156.903422787932 -651.867132338417</t>
  </si>
  <si>
    <t>-952.096930333813 186.353448080959 -520.099499790569</t>
  </si>
  <si>
    <t>-918.220346081933 318.38447447244 -502.28372420832</t>
  </si>
  <si>
    <t>-870.015026614562 352.055296324922 -213.954606447346</t>
  </si>
  <si>
    <t>-631.238256665823 344.424023443836 -182.678037354603</t>
  </si>
  <si>
    <t>-964.015254674694 132.23234260327 -519.915972877895</t>
  </si>
  <si>
    <t>-999.636052269644 2.82925138928613 -490.186935208105</t>
  </si>
  <si>
    <t>-898.310927435371 257.581904030476 -66.8060431215581</t>
  </si>
  <si>
    <t>-904.413969665749 278.452814119475 336.16022675178</t>
  </si>
  <si>
    <t>-942.610043163979 294.532449102205 781.911933858805</t>
  </si>
  <si>
    <t>-801.076556290588 331.244574395098 842.803785370033</t>
  </si>
  <si>
    <t>-913.677659871421 68.0785569633986 -61.9717476040197</t>
  </si>
  <si>
    <t>-875.281871145555 49.3110558442058 339.311502160582</t>
  </si>
  <si>
    <t>-912.505475355753 45.7011211184181 785.923065440604</t>
  </si>
  <si>
    <t>-818.118568603018 -59.1878667464464 857.872592685626</t>
  </si>
  <si>
    <t>9763-20170724T111234.818398900.bin</t>
  </si>
  <si>
    <t>-905.657993811485 162.132498032899 -63.4648415550101</t>
  </si>
  <si>
    <t>-937.796409750637 160.648866296319 -174.7353854271</t>
  </si>
  <si>
    <t>-951.245387918314 160.124040534479 -272.436556708869</t>
  </si>
  <si>
    <t>-958.279357841461 159.715316564732 -361.254402634847</t>
  </si>
  <si>
    <t>-959.825275165506 159.145033516863 -450.335945198761</t>
  </si>
  <si>
    <t>-956.231852307195 158.010237338252 -574.861509313621</t>
  </si>
  <si>
    <t>-925.094968041504 156.145641560096 -651.881244329397</t>
  </si>
  <si>
    <t>-951.894860813075 185.579154435145 -520.139829740378</t>
  </si>
  <si>
    <t>-918.1509742084 317.659682672795 -502.427289974572</t>
  </si>
  <si>
    <t>-867.225284824772 353.477785449214 -214.82539813628</t>
  </si>
  <si>
    <t>-628.018338622519 348.267301683546 -186.473932428056</t>
  </si>
  <si>
    <t>-963.731083829928 131.439971847321 -519.988053827364</t>
  </si>
  <si>
    <t>-999.24222153607 1.99234646261402 -490.358650427469</t>
  </si>
  <si>
    <t>-898.195913910416 256.820611326952 -66.891054790563</t>
  </si>
  <si>
    <t>-904.383825167415 278.095886379408 336.052792169523</t>
  </si>
  <si>
    <t>-942.736764804359 294.586447611416 781.7446467054</t>
  </si>
  <si>
    <t>-801.184992917337 331.204138659795 842.650419029449</t>
  </si>
  <si>
    <t>-913.416215911301 67.2334734384217 -62.0300181937056</t>
  </si>
  <si>
    <t>-875.178639769319 48.7849193233242 339.283046265274</t>
  </si>
  <si>
    <t>-912.353791699722 45.7598920679802 785.923340653519</t>
  </si>
  <si>
    <t>-818.192557408282 -59.324964454016 857.882259056656</t>
  </si>
  <si>
    <t>9763-20170724T111234.879562500.bin</t>
  </si>
  <si>
    <t>-904.939023161028 160.648444367112 -63.5129930112795</t>
  </si>
  <si>
    <t>-936.995988861397 159.085458719967 -174.80594963656</t>
  </si>
  <si>
    <t>-950.456330680009 158.549530370917 -272.50547535632</t>
  </si>
  <si>
    <t>-957.53316026686 158.155445238227 -361.319859583747</t>
  </si>
  <si>
    <t>-959.153681259657 157.626919641763 -450.400425607912</t>
  </si>
  <si>
    <t>-955.696595431835 156.58130084534 -574.930611474071</t>
  </si>
  <si>
    <t>-924.387008764192 154.652798898278 -651.878702187088</t>
  </si>
  <si>
    <t>-951.374005872738 184.127206188158 -520.196259683807</t>
  </si>
  <si>
    <t>-918.100148930362 316.364200681814 -502.727573856144</t>
  </si>
  <si>
    <t>-862.017457745806 355.93061202106 -216.579976345862</t>
  </si>
  <si>
    <t>-622.099177346066 354.077639442087 -194.518674756212</t>
  </si>
  <si>
    <t>-963.061712245171 129.955577967741 -520.06574224074</t>
  </si>
  <si>
    <t>-998.191674021961 0.39370597282732 -490.450045770521</t>
  </si>
  <si>
    <t>-897.556699876008 255.514351126016 -67.0155956433332</t>
  </si>
  <si>
    <t>-904.281536289718 277.360654741633 335.889087528541</t>
  </si>
  <si>
    <t>-942.877573508861 294.480311218356 781.461496592853</t>
  </si>
  <si>
    <t>-801.422582382537 331.499506113632 842.349661870124</t>
  </si>
  <si>
    <t>-912.694452936839 65.7089755266002 -62.0796624200966</t>
  </si>
  <si>
    <t>-875.038294419963 47.6879517809998 339.307792904062</t>
  </si>
  <si>
    <t>-912.27847842496 45.5046708753048 785.926847897164</t>
  </si>
  <si>
    <t>-817.745443745433 -59.2679585632598 857.853825947231</t>
  </si>
  <si>
    <t>9763-20170724T111234.914659500.bin</t>
  </si>
  <si>
    <t>-904.455867478566 160.264154849961 -63.5333844256648</t>
  </si>
  <si>
    <t>-936.466969633855 158.707556590251 -174.839645686537</t>
  </si>
  <si>
    <t>-949.944148180243 158.174339041411 -272.53681654855</t>
  </si>
  <si>
    <t>-957.059524741661 157.784144943305 -361.348238301712</t>
  </si>
  <si>
    <t>-958.741624822317 157.262965084466 -450.42756501262</t>
  </si>
  <si>
    <t>-955.394863305599 156.232086785044 -574.960853504686</t>
  </si>
  <si>
    <t>-924.002862772986 154.257140366612 -651.874280165</t>
  </si>
  <si>
    <t>-951.072443625192 183.781878739577 -520.228545557742</t>
  </si>
  <si>
    <t>-918.157280668586 316.111918634012 -502.85039697319</t>
  </si>
  <si>
    <t>-859.854088395952 357.442262855761 -217.396724758476</t>
  </si>
  <si>
    <t>-619.72449188044 355.935263573959 -197.741971784836</t>
  </si>
  <si>
    <t>-962.662830789618 129.589527268619 -520.091514839395</t>
  </si>
  <si>
    <t>-897.151896034539 255.238453540261 -67.0526341550606</t>
  </si>
  <si>
    <t>-904.313761627491 277.063946056131 335.84559097273</t>
  </si>
  <si>
    <t>-943.029882510547 294.54970779691 781.350930957523</t>
  </si>
  <si>
    <t>-801.536562215931 331.445928520634 842.224663530699</t>
  </si>
  <si>
    <t>-912.203125254179 65.307395661669 -62.1278967743033</t>
  </si>
  <si>
    <t>-874.973079884326 47.3588791877264 339.302673410866</t>
  </si>
  <si>
    <t>-912.204406031383 45.4296925695876 785.920805674848</t>
  </si>
  <si>
    <t>-817.634909654153 -59.3148209655433 857.841083044556</t>
  </si>
  <si>
    <t>9763-20170724T111234.981845100.bin</t>
  </si>
  <si>
    <t>-903.433219748142 160.088460961377 -63.5614692134528</t>
  </si>
  <si>
    <t>-935.353216605332 158.545689006338 -174.894038235817</t>
  </si>
  <si>
    <t>-948.852510046763 158.013756680133 -272.588268462877</t>
  </si>
  <si>
    <t>-956.029646931378 157.625387549731 -361.394644361039</t>
  </si>
  <si>
    <t>-957.815183952913 157.112518198147 -450.472025780732</t>
  </si>
  <si>
    <t>-954.656607578078 156.104014382498 -575.010525494904</t>
  </si>
  <si>
    <t>-923.027821532975 154.019124818498 -651.823977551693</t>
  </si>
  <si>
    <t>-950.364832536776 183.667997340702 -520.282746971878</t>
  </si>
  <si>
    <t>-918.275070933166 316.226258789427 -503.048838579656</t>
  </si>
  <si>
    <t>-856.982635602594 360.892451075443 -218.726124590153</t>
  </si>
  <si>
    <t>-616.732320965991 358.363139728286 -200.717550466972</t>
  </si>
  <si>
    <t>-961.728292889631 129.427842683835 -520.131830041418</t>
  </si>
  <si>
    <t>-896.297441720878 254.999870285323 -67.0627379099568</t>
  </si>
  <si>
    <t>-904.173022622337 276.776061089367 335.824853233173</t>
  </si>
  <si>
    <t>-943.237860599828 294.47169127328 781.248658292837</t>
  </si>
  <si>
    <t>-801.827787276441 331.826544072243 842.036279830501</t>
  </si>
  <si>
    <t>-910.949515428864 65.1174182519103 -62.2415937463481</t>
  </si>
  <si>
    <t>-874.750767901006 47.0096368416471 339.276062475395</t>
  </si>
  <si>
    <t>-911.895094457886 45.5004480655839 785.892799075452</t>
  </si>
  <si>
    <t>-817.44115025883 -59.3488872807886 857.811985188338</t>
  </si>
  <si>
    <t>9763-20170724T111235.015571900.bin</t>
  </si>
  <si>
    <t>-902.884703279302 160.041498355973 -63.6102178382783</t>
  </si>
  <si>
    <t>-934.832748832946 158.450936910935 -174.93410343092</t>
  </si>
  <si>
    <t>-948.385331908572 157.916377559591 -272.620909302539</t>
  </si>
  <si>
    <t>-955.622248673121 157.542392689213 -361.422492966145</t>
  </si>
  <si>
    <t>-957.478149942207 157.062032246016 -450.498698023486</t>
  </si>
  <si>
    <t>-954.427506886964 156.119326626632 -575.040286348966</t>
  </si>
  <si>
    <t>-922.632059555526 153.989244815039 -651.783683852271</t>
  </si>
  <si>
    <t>-950.1546167638 183.668245710458 -520.303538422415</t>
  </si>
  <si>
    <t>-918.487284098924 316.320709485436 -503.062789336477</t>
  </si>
  <si>
    <t>-856.457801911938 362.326143808203 -219.113750829924</t>
  </si>
  <si>
    <t>-616.245188830045 358.800771495836 -200.7767783655</t>
  </si>
  <si>
    <t>-961.385106154544 129.40029161572 -520.167952028959</t>
  </si>
  <si>
    <t>-895.938680727473 254.924668790946 -67.0626250408952</t>
  </si>
  <si>
    <t>-903.870644266148 276.854894328791 335.815539601422</t>
  </si>
  <si>
    <t>-943.484013822154 294.595893540943 781.239657341808</t>
  </si>
  <si>
    <t>-802.00862310343 331.840581912767 841.942905523655</t>
  </si>
  <si>
    <t>-910.199946538821 65.0223937486071 -62.2938118113009</t>
  </si>
  <si>
    <t>-874.51803533997 46.84293627442 339.266868142864</t>
  </si>
  <si>
    <t>-911.722809622757 45.5522897363326 785.87598331672</t>
  </si>
  <si>
    <t>-817.269696193573 -59.3029393749382 857.787690743478</t>
  </si>
  <si>
    <t>9763-20170724T111235.081248300.bin</t>
  </si>
  <si>
    <t>-901.776983958226 159.758584783855 -63.7054908632816</t>
  </si>
  <si>
    <t>-933.900758459812 157.995927422522 -174.976210314349</t>
  </si>
  <si>
    <t>-947.639914586201 157.46015875081 -272.636918353838</t>
  </si>
  <si>
    <t>-955.056240211268 157.14087424127 -361.423916072296</t>
  </si>
  <si>
    <t>-957.100582370117 156.773474487195 -450.496538519921</t>
  </si>
  <si>
    <t>-954.319830958915 156.04889111016 -575.045994761155</t>
  </si>
  <si>
    <t>-922.218849972804 153.858596569694 -651.660289369805</t>
  </si>
  <si>
    <t>-950.066770992132 183.530082241336 -520.273545074821</t>
  </si>
  <si>
    <t>-919.505034734858 316.427083628785 -502.897989965169</t>
  </si>
  <si>
    <t>-856.642932692345 363.140046098155 -219.247743854691</t>
  </si>
  <si>
    <t>-616.588494451644 358.820723421894 -199.093709051952</t>
  </si>
  <si>
    <t>-961.020495979332 129.20538319145 -520.202203216511</t>
  </si>
  <si>
    <t>-895.321153952344 254.488589593002 -67.0647602581146</t>
  </si>
  <si>
    <t>-902.697582098074 276.972023584473 335.793499857206</t>
  </si>
  <si>
    <t>-943.732106751711 294.373511432126 781.169274525666</t>
  </si>
  <si>
    <t>-802.249179539093 331.898793254763 841.681715813915</t>
  </si>
  <si>
    <t>-908.55498681459 64.8138284923598 -62.3563402771098</t>
  </si>
  <si>
    <t>-873.799622745321 46.403434850231 339.275036649686</t>
  </si>
  <si>
    <t>-911.403541858071 45.6128314567632 785.838210579918</t>
  </si>
  <si>
    <t>-817.008625628657 -59.3161709652009 857.718875536484</t>
  </si>
  <si>
    <t>9763-20170724T111235.113836800.bin</t>
  </si>
  <si>
    <t>-901.196006039642 159.672020002416 -63.7216013539852</t>
  </si>
  <si>
    <t>-933.373195518736 157.788976915488 -174.974930813142</t>
  </si>
  <si>
    <t>-947.149187070693 157.24644041961 -272.630398898189</t>
  </si>
  <si>
    <t>-954.593180154425 156.956701977491 -361.4151962332</t>
  </si>
  <si>
    <t>-956.657540547815 156.654359802167 -450.487607762596</t>
  </si>
  <si>
    <t>-953.897065072224 156.056671219366 -575.038109301302</t>
  </si>
  <si>
    <t>-921.677743809748 153.847738966697 -651.602202133609</t>
  </si>
  <si>
    <t>-949.676836317592 183.49054401222 -520.239409759006</t>
  </si>
  <si>
    <t>-919.430585037709 316.426500105165 -502.690181221227</t>
  </si>
  <si>
    <t>-857.05719102643 362.632027440829 -218.849069520567</t>
  </si>
  <si>
    <t>-617.014577604191 358.548833258244 -198.506850990656</t>
  </si>
  <si>
    <t>-960.54677311144 129.149010555938 -520.219701528632</t>
  </si>
  <si>
    <t>-894.917707314858 254.260518233627 -67.0636987373641</t>
  </si>
  <si>
    <t>-901.920143493256 277.08411594085 335.782108250756</t>
  </si>
  <si>
    <t>-943.910530362025 294.331609955663 781.102688758032</t>
  </si>
  <si>
    <t>-802.406855349712 331.927844380066 841.522253172516</t>
  </si>
  <si>
    <t>-907.7529869646 64.892364238829 -62.3399136192539</t>
  </si>
  <si>
    <t>-873.289546999099 46.1241426268684 339.300074920363</t>
  </si>
  <si>
    <t>-911.241689319322 45.6420437430943 785.826633943113</t>
  </si>
  <si>
    <t>-816.858695799331 -59.3097086372986 857.689714621799</t>
  </si>
  <si>
    <t>9763-20170724T111235.179016300.bin</t>
  </si>
  <si>
    <t>-900.024892594421 159.372789728797 -63.7196633707509</t>
  </si>
  <si>
    <t>-932.268876730234 157.299904203092 -174.950263017265</t>
  </si>
  <si>
    <t>-945.961394357544 156.859955583404 -272.617994429086</t>
  </si>
  <si>
    <t>-953.266167981417 156.764003862196 -361.414708639894</t>
  </si>
  <si>
    <t>-955.124059580673 156.754036302848 -450.492186441131</t>
  </si>
  <si>
    <t>-952.001773556184 156.66588283071 -575.035635766995</t>
  </si>
  <si>
    <t>-919.385942345408 154.52401116247 -651.433537352391</t>
  </si>
  <si>
    <t>-947.995483371295 183.886242876779 -520.114529683658</t>
  </si>
  <si>
    <t>-918.182777275054 316.84484666741 -501.986227929274</t>
  </si>
  <si>
    <t>-857.76112076193 360.339217148064 -217.295728229159</t>
  </si>
  <si>
    <t>-617.513088650124 357.931377218515 -199.242877806619</t>
  </si>
  <si>
    <t>-958.756182293095 129.523119878079 -520.345772655935</t>
  </si>
  <si>
    <t>-894.055606764183 253.785601960646 -67.1256032243522</t>
  </si>
  <si>
    <t>-900.360076748046 277.235824693339 335.695729352284</t>
  </si>
  <si>
    <t>-944.157624390648 294.149040424793 780.835206001278</t>
  </si>
  <si>
    <t>-802.655297909995 331.965236172347 841.120088494039</t>
  </si>
  <si>
    <t>-906.267603539494 64.7869462647895 -62.2963854294536</t>
  </si>
  <si>
    <t>-872.452989356719 45.700105955465 339.383766276971</t>
  </si>
  <si>
    <t>-910.925988655031 45.7070711562628 785.831502295807</t>
  </si>
  <si>
    <t>-816.739868620728 -59.4383456584856 857.669403923215</t>
  </si>
  <si>
    <t>9763-20170724T111235.214816900.bin</t>
  </si>
  <si>
    <t>-899.656069298262 159.307297193074 -63.749401508116</t>
  </si>
  <si>
    <t>-931.889364142827 157.182250800278 -174.982033651016</t>
  </si>
  <si>
    <t>-945.507049659151 156.8168250113 -272.660552568979</t>
  </si>
  <si>
    <t>-952.715541706318 156.837284309679 -361.465305663531</t>
  </si>
  <si>
    <t>-954.446288517163 156.992869481189 -450.545036486581</t>
  </si>
  <si>
    <t>-951.112831801255 157.189069587225 -575.082890808184</t>
  </si>
  <si>
    <t>-918.234670256574 155.155877790933 -651.371286089644</t>
  </si>
  <si>
    <t>-947.260267550698 184.295920428497 -520.094750831437</t>
  </si>
  <si>
    <t>-917.793628118637 317.293018030935 -501.64471186342</t>
  </si>
  <si>
    <t>-857.33293385771 359.770053438157 -216.808926231865</t>
  </si>
  <si>
    <t>-616.90001041336 358.595762127192 -201.269506465023</t>
  </si>
  <si>
    <t>-957.899160743358 129.9097636437 -520.465308778514</t>
  </si>
  <si>
    <t>-893.830756254153 253.745036760961 -67.2204402066038</t>
  </si>
  <si>
    <t>-899.942457007499 277.215041389491 335.602715021717</t>
  </si>
  <si>
    <t>-944.31697332351 294.207188458542 780.648301375067</t>
  </si>
  <si>
    <t>-802.828543757473 332.112969684698 840.910541776255</t>
  </si>
  <si>
    <t>-905.858171519619 64.7866565897539 -62.3039038724451</t>
  </si>
  <si>
    <t>-872.272044649034 45.522056395519 339.38698290217</t>
  </si>
  <si>
    <t>-910.839003523409 45.6430823623054 785.834056905602</t>
  </si>
  <si>
    <t>-816.569617464092 -59.4395085475899 857.654434272701</t>
  </si>
  <si>
    <t>9763-20170724T111235.280517600.bin</t>
  </si>
  <si>
    <t>-899.336904423786 159.339099243253 -63.9513830702405</t>
  </si>
  <si>
    <t>-931.438724450173 157.173515442488 -175.221402751905</t>
  </si>
  <si>
    <t>-944.909106996151 156.920827483382 -272.920527819971</t>
  </si>
  <si>
    <t>-951.967770477001 157.103593649132 -361.737166549641</t>
  </si>
  <si>
    <t>-953.531269782417 157.484816503601 -450.819452684552</t>
  </si>
  <si>
    <t>-949.943185109581 158.063005892001 -575.348894045404</t>
  </si>
  <si>
    <t>-916.633245949399 156.243539874874 -651.455262224432</t>
  </si>
  <si>
    <t>-946.298176725398 185.019298335259 -520.272851960093</t>
  </si>
  <si>
    <t>-917.52936375456 318.126906500341 -501.449734000393</t>
  </si>
  <si>
    <t>-854.607378637238 360.578414911175 -217.143823853785</t>
  </si>
  <si>
    <t>-613.857951260291 361.201587161917 -207.643532367791</t>
  </si>
  <si>
    <t>-956.745751445235 130.597724708549 -520.826515306922</t>
  </si>
  <si>
    <t>-989.248362293948 0.134825871175508 -492.268707966886</t>
  </si>
  <si>
    <t>-893.626262281784 253.738477048519 -67.4794242357659</t>
  </si>
  <si>
    <t>-900.24812007227 277.092696651571 335.342391102151</t>
  </si>
  <si>
    <t>-944.478675236564 294.244505381948 780.286779719233</t>
  </si>
  <si>
    <t>-803.0102149385 332.114665423733 840.617890215496</t>
  </si>
  <si>
    <t>-905.36749347937 64.8941005003717 -62.4155525527603</t>
  </si>
  <si>
    <t>-872.008096194606 45.2753468900451 339.277057369898</t>
  </si>
  <si>
    <t>-910.572423752433 45.6215861145638 785.778830242175</t>
  </si>
  <si>
    <t>-816.412799522488 -59.5497663088686 857.613707141451</t>
  </si>
  <si>
    <t>9763-20170724T111235.312792300.bin</t>
  </si>
  <si>
    <t>-899.303708480112 159.228463216379 -64.0784989098022</t>
  </si>
  <si>
    <t>-931.267895707713 157.040338612677 -175.387599181975</t>
  </si>
  <si>
    <t>-944.666244839641 156.796941747677 -273.096798961574</t>
  </si>
  <si>
    <t>-951.678274111149 156.998068067309 -361.917103772921</t>
  </si>
  <si>
    <t>-953.212989371543 157.407115476396 -450.999730959624</t>
  </si>
  <si>
    <t>-949.604061333848 158.034069643745 -575.528403109519</t>
  </si>
  <si>
    <t>-916.092101071886 156.296954365702 -651.547806378386</t>
  </si>
  <si>
    <t>-945.982413879192 184.971622767494 -520.441434955817</t>
  </si>
  <si>
    <t>-917.401878020474 318.116625689717 -501.604464878267</t>
  </si>
  <si>
    <t>-852.325187493163 360.880840434869 -217.830739448058</t>
  </si>
  <si>
    <t>-611.491396307368 362.594055199898 -210.977737512997</t>
  </si>
  <si>
    <t>-956.401769518018 130.544919913871 -521.01746301547</t>
  </si>
  <si>
    <t>-988.807338569576 0.0408996589112576 -492.512381329227</t>
  </si>
  <si>
    <t>-893.618630183706 253.638700622126 -67.633341588206</t>
  </si>
  <si>
    <t>-900.818265679627 276.961917049086 335.180340473908</t>
  </si>
  <si>
    <t>-944.514406037893 294.300848134892 780.094675645179</t>
  </si>
  <si>
    <t>-803.048545245585 331.981106665758 840.550708604177</t>
  </si>
  <si>
    <t>-905.204852317996 64.6193003216563 -62.5276058222913</t>
  </si>
  <si>
    <t>-871.902882695154 45.1009755054865 339.174577931918</t>
  </si>
  <si>
    <t>-910.489305536925 45.5323179680231 785.732417000955</t>
  </si>
  <si>
    <t>-816.270696467154 -59.5814751797523 857.574129073993</t>
  </si>
  <si>
    <t>9763-20170724T111235.381478600.bin</t>
  </si>
  <si>
    <t>-899.140110786925 158.472033600944 -64.2923342633893</t>
  </si>
  <si>
    <t>-930.91195531099 156.281040595137 -175.656530271544</t>
  </si>
  <si>
    <t>-944.212018132905 155.996148227324 -273.379025544719</t>
  </si>
  <si>
    <t>-951.163839428903 156.140390956757 -362.204077496286</t>
  </si>
  <si>
    <t>-952.667882473864 156.47324937239 -451.287504859967</t>
  </si>
  <si>
    <t>-949.048180863376 156.972001255463 -575.816478293806</t>
  </si>
  <si>
    <t>-915.163090904937 155.36404214802 -651.67319940864</t>
  </si>
  <si>
    <t>-945.43833881585 183.96762172771 -520.757272855714</t>
  </si>
  <si>
    <t>-916.995426019978 317.15164436159 -502.082490639613</t>
  </si>
  <si>
    <t>-846.439208098108 360.751660667084 -219.749168780497</t>
  </si>
  <si>
    <t>-605.560531261501 364.177910072665 -215.67079183941</t>
  </si>
  <si>
    <t>-955.843945874173 129.537553434925 -521.277618015088</t>
  </si>
  <si>
    <t>-893.552294999585 253.185082758645 -67.89405623793</t>
  </si>
  <si>
    <t>-901.882798302285 276.358042455377 334.90648373018</t>
  </si>
  <si>
    <t>-944.541429641008 294.331456221534 779.864232859505</t>
  </si>
  <si>
    <t>-803.159742230929 332.012227570636 840.51582839564</t>
  </si>
  <si>
    <t>-904.97932277679 63.5621744934265 -62.7835486791939</t>
  </si>
  <si>
    <t>-871.691098231222 44.7853199254123 338.955201782909</t>
  </si>
  <si>
    <t>-910.249353448394 45.4395726484663 785.597655110611</t>
  </si>
  <si>
    <t>-815.874596527073 -59.5021860102058 857.486317398975</t>
  </si>
  <si>
    <t>9763-20170724T111235.415082300.bin</t>
  </si>
  <si>
    <t>-899.235916540623 158.06873711205 -64.3789632236354</t>
  </si>
  <si>
    <t>-930.956493366725 155.899502033486 -175.758188651636</t>
  </si>
  <si>
    <t>-944.212982839816 155.612840442632 -273.486561816636</t>
  </si>
  <si>
    <t>-951.126204863567 155.746316330107 -362.314532397423</t>
  </si>
  <si>
    <t>-952.593030142032 156.058786410293 -451.398762517842</t>
  </si>
  <si>
    <t>-948.922469009373 156.518189126382 -575.926475429761</t>
  </si>
  <si>
    <t>-914.853318540456 154.97431863163 -651.701878191866</t>
  </si>
  <si>
    <t>-945.342634117693 183.532774132772 -520.874381846409</t>
  </si>
  <si>
    <t>-916.89029234578 316.722251808162 -502.243436583093</t>
  </si>
  <si>
    <t>-843.674015541864 360.708642328069 -220.648326767442</t>
  </si>
  <si>
    <t>-602.802809928132 364.619609413423 -216.56099535562</t>
  </si>
  <si>
    <t>-955.732917941544 129.099470968506 -521.381621358567</t>
  </si>
  <si>
    <t>-893.783632345912 252.986193681279 -67.9514937648017</t>
  </si>
  <si>
    <t>-902.322561166641 276.087704991335 334.848787551698</t>
  </si>
  <si>
    <t>-944.615465546437 294.386078103515 779.835666577785</t>
  </si>
  <si>
    <t>-803.254603777138 332.053789599911 840.543654789097</t>
  </si>
  <si>
    <t>-905.03179944295 63.0310303085039 -62.8744353166441</t>
  </si>
  <si>
    <t>-871.54716667422 44.5725507996958 338.862692212103</t>
  </si>
  <si>
    <t>-910.160429904417 45.3322817101161 785.528356208582</t>
  </si>
  <si>
    <t>-815.703576572459 -59.5147794515492 857.446991880692</t>
  </si>
  <si>
    <t>9763-20170724T111235.478742100.bin</t>
  </si>
  <si>
    <t>-899.868059495084 157.447549280245 -64.4984684456998</t>
  </si>
  <si>
    <t>-931.499150948345 155.30286337709 -175.903656984687</t>
  </si>
  <si>
    <t>-944.593638366423 155.028059950454 -273.653741756189</t>
  </si>
  <si>
    <t>-951.326261844161 155.16538767038 -362.49581434224</t>
  </si>
  <si>
    <t>-952.578753807365 155.471808813659 -451.583231972301</t>
  </si>
  <si>
    <t>-948.573498515637 155.911682832144 -576.100659304633</t>
  </si>
  <si>
    <t>-913.928826114128 154.493884943415 -651.617255824009</t>
  </si>
  <si>
    <t>-945.126947118116 182.931981393966 -521.04307049707</t>
  </si>
  <si>
    <t>-916.361502274395 316.03174553644 -502.284399371015</t>
  </si>
  <si>
    <t>-838.757937337189 360.488537311124 -221.940877209999</t>
  </si>
  <si>
    <t>-597.936138697348 365.664328341705 -216.569859983946</t>
  </si>
  <si>
    <t>-955.544794353016 128.504523569273 -521.570382551173</t>
  </si>
  <si>
    <t>-894.572912740461 252.547700970098 -67.9904282716246</t>
  </si>
  <si>
    <t>-902.943872323103 275.784169367195 334.80557643003</t>
  </si>
  <si>
    <t>-944.715081029012 294.366404604567 779.859764645218</t>
  </si>
  <si>
    <t>-803.458646110922 332.322331180201 840.632206912487</t>
  </si>
  <si>
    <t>-905.547873477564 62.2119161983719 -62.9696445844405</t>
  </si>
  <si>
    <t>-871.230196192159 44.1994824551912 338.71740539954</t>
  </si>
  <si>
    <t>-909.92467889709 45.2532047067757 785.41122298093</t>
  </si>
  <si>
    <t>-815.304039983888 -59.4206541077333 857.366532803763</t>
  </si>
  <si>
    <t>9763-20170724T111235.514067300.bin</t>
  </si>
  <si>
    <t>-900.360581842497 157.250248156819 -64.5002061750162</t>
  </si>
  <si>
    <t>-931.928766094904 155.119461157221 -175.923388066896</t>
  </si>
  <si>
    <t>-944.910505532364 154.879964025049 -273.68890419741</t>
  </si>
  <si>
    <t>-951.516721611303 155.057067530105 -362.540152401597</t>
  </si>
  <si>
    <t>-952.618198919868 155.411343078937 -451.62949438639</t>
  </si>
  <si>
    <t>-948.376337679562 155.924518681532 -576.138773777189</t>
  </si>
  <si>
    <t>-913.439795347427 154.564067428557 -651.521817695869</t>
  </si>
  <si>
    <t>-945.015387248858 182.90851049464 -521.058247271258</t>
  </si>
  <si>
    <t>-916.016663291563 315.960192932807 -502.202699729779</t>
  </si>
  <si>
    <t>-836.621707075535 360.0406453045 -222.301855115206</t>
  </si>
  <si>
    <t>-595.827402049814 365.980429097735 -216.491448225991</t>
  </si>
  <si>
    <t>-955.470765272926 128.488802449708 -521.638685530395</t>
  </si>
  <si>
    <t>-895.074423780694 252.390602111858 -67.9993089410812</t>
  </si>
  <si>
    <t>-903.276011307674 275.713619764356 334.795262405904</t>
  </si>
  <si>
    <t>-944.754724572468 294.330930578427 779.881771054127</t>
  </si>
  <si>
    <t>-803.544343995198 332.408344021818 840.684763276116</t>
  </si>
  <si>
    <t>-905.994290002853 61.9717033544325 -62.96950217252</t>
  </si>
  <si>
    <t>-871.206739036166 44.1302373244216 338.684798537137</t>
  </si>
  <si>
    <t>-909.78514962122 45.2641599225854 785.365500624049</t>
  </si>
  <si>
    <t>-815.155439031685 -59.3888433769775 857.33956767983</t>
  </si>
  <si>
    <t>9763-20170724T111235.579751000.bin</t>
  </si>
  <si>
    <t>-901.476426371627 156.866776761948 -64.4535038669087</t>
  </si>
  <si>
    <t>-932.838557942119 154.822932075519 -175.9365301126</t>
  </si>
  <si>
    <t>-945.546244671378 154.65524224254 -273.73805589211</t>
  </si>
  <si>
    <t>-951.865650078106 154.8966877329 -362.610182469366</t>
  </si>
  <si>
    <t>-952.642235322998 155.312284286899 -451.702599475793</t>
  </si>
  <si>
    <t>-947.907266322791 155.907566031484 -576.193726230404</t>
  </si>
  <si>
    <t>-912.546574325048 154.558575811238 -651.379031199221</t>
  </si>
  <si>
    <t>-944.713346557379 182.845404923083 -521.08057852138</t>
  </si>
  <si>
    <t>-915.295274742627 315.771889995358 -501.989943929206</t>
  </si>
  <si>
    <t>-832.111131273522 359.755923469926 -223.17631630411</t>
  </si>
  <si>
    <t>-591.377392628501 367.072214256881 -216.499976033089</t>
  </si>
  <si>
    <t>-955.268531893491 128.445812341527 -521.742203147117</t>
  </si>
  <si>
    <t>-896.172502653956 252.200552052717 -67.9767040580418</t>
  </si>
  <si>
    <t>-904.172535779943 275.680466785278 334.812858970997</t>
  </si>
  <si>
    <t>-945.035943504979 294.601899097217 779.959925469728</t>
  </si>
  <si>
    <t>-803.754250142846 332.325299962697 840.817997809719</t>
  </si>
  <si>
    <t>-907.074690820952 61.414823545218 -62.9694717149439</t>
  </si>
  <si>
    <t>-871.4564978458 44.1447474681663 338.637029261467</t>
  </si>
  <si>
    <t>-909.598906818756 45.2080309594053 785.323876722345</t>
  </si>
  <si>
    <t>-814.99751921634 -59.4622031873741 857.310180492541</t>
  </si>
  <si>
    <t>9763-20170724T111235.616073100.bin</t>
  </si>
  <si>
    <t>-902.122642412221 156.69917716382 -64.4715503063511</t>
  </si>
  <si>
    <t>-933.370826977439 154.691023938507 -175.987164572962</t>
  </si>
  <si>
    <t>-945.915153466031 154.533847576107 -273.809805684615</t>
  </si>
  <si>
    <t>-952.061354308124 154.775756993646 -362.69410484181</t>
  </si>
  <si>
    <t>-952.638959383057 155.180976481183 -451.788089772499</t>
  </si>
  <si>
    <t>-947.601355325173 155.749873918306 -576.267521181405</t>
  </si>
  <si>
    <t>-912.040898202752 154.364407456394 -651.357749973435</t>
  </si>
  <si>
    <t>-944.50747143122 182.692778549266 -521.151123818272</t>
  </si>
  <si>
    <t>-914.844577816305 315.549688919303 -501.980596811529</t>
  </si>
  <si>
    <t>-829.422267644368 359.825230665141 -223.890933552025</t>
  </si>
  <si>
    <t>-588.732518816631 367.785884166101 -216.406018557796</t>
  </si>
  <si>
    <t>-955.129146861419 128.306404003454 -521.829563695291</t>
  </si>
  <si>
    <t>-896.835391483949 252.057160868832 -67.977775708587</t>
  </si>
  <si>
    <t>-904.705306716369 275.646822200412 334.807860413856</t>
  </si>
  <si>
    <t>-945.09441275662 294.628601109592 779.997459389301</t>
  </si>
  <si>
    <t>-803.817797684671 332.320256694722 840.887298619695</t>
  </si>
  <si>
    <t>-907.748035186767 61.2124484702476 -62.9753358789555</t>
  </si>
  <si>
    <t>-871.759348390635 44.2158790536942 338.609831688972</t>
  </si>
  <si>
    <t>-909.539050054211 45.1528723926767 785.318137566055</t>
  </si>
  <si>
    <t>-814.768236926894 -59.3708090763671 857.294294427445</t>
  </si>
  <si>
    <t>9763-20170724T111235.680244900.bin</t>
  </si>
  <si>
    <t>-903.633440478316 156.516568537762 -64.4738647156487</t>
  </si>
  <si>
    <t>-934.639563227839 154.684270204573 -176.060083005971</t>
  </si>
  <si>
    <t>-946.821201609157 154.548145366799 -273.928655803164</t>
  </si>
  <si>
    <t>-952.579788995041 154.754224502588 -362.838942184785</t>
  </si>
  <si>
    <t>-952.712947398995 155.065406752347 -451.935043041315</t>
  </si>
  <si>
    <t>-946.996944001469 155.439230054644 -576.385766561907</t>
  </si>
  <si>
    <t>-911.008379573093 153.885199671084 -651.268868279201</t>
  </si>
  <si>
    <t>-944.100926319387 182.448200753617 -521.291070117694</t>
  </si>
  <si>
    <t>-913.919124333278 315.19657569976 -502.158751161377</t>
  </si>
  <si>
    <t>-825.060368552518 360.604812097183 -225.331353928259</t>
  </si>
  <si>
    <t>-584.462998974563 369.760998285731 -216.392171821976</t>
  </si>
  <si>
    <t>-954.9230777617 128.101036665159 -521.95136614524</t>
  </si>
  <si>
    <t>-898.246608675931 251.905926840907 -67.9807312991925</t>
  </si>
  <si>
    <t>-906.042449424462 275.697815347713 334.794447318386</t>
  </si>
  <si>
    <t>-945.26579753486 294.900862989251 780.044665954361</t>
  </si>
  <si>
    <t>-803.902985221371 332.086656542864 841.044794629423</t>
  </si>
  <si>
    <t>-909.381959478375 61.0585233157703 -63.0322064113715</t>
  </si>
  <si>
    <t>-872.715172834178 44.5537531120272 338.512129156741</t>
  </si>
  <si>
    <t>-909.421079005195 45.0649337539676 785.297689877437</t>
  </si>
  <si>
    <t>-814.540540818103 -59.3549273628084 857.279990304117</t>
  </si>
  <si>
    <t>9763-20170724T111235.718348700.bin</t>
  </si>
  <si>
    <t>-904.245773029704 156.65539499267 -64.5253784387851</t>
  </si>
  <si>
    <t>-935.12561338447 154.919795588283 -176.148182185553</t>
  </si>
  <si>
    <t>-947.127758891578 154.786427253073 -274.038855570171</t>
  </si>
  <si>
    <t>-952.69742794973 154.963440864977 -362.961264911705</t>
  </si>
  <si>
    <t>-952.615913130989 155.211930191987 -452.057593995467</t>
  </si>
  <si>
    <t>-946.575111097615 155.463024935851 -576.493456290076</t>
  </si>
  <si>
    <t>-910.327400756133 153.78020480158 -651.248314253266</t>
  </si>
  <si>
    <t>-943.774373754745 182.516527245568 -521.415577890375</t>
  </si>
  <si>
    <t>-913.531049477711 315.269725868174 -502.376429214107</t>
  </si>
  <si>
    <t>-823.581139805372 360.958104748569 -225.947712951299</t>
  </si>
  <si>
    <t>-583.014462295114 370.358981803379 -216.456652290324</t>
  </si>
  <si>
    <t>-954.692138796486 128.188467728088 -522.055160877413</t>
  </si>
  <si>
    <t>-898.812749970091 252.071460623506 -68.037382301243</t>
  </si>
  <si>
    <t>-906.731235626961 275.812408897586 334.738377059647</t>
  </si>
  <si>
    <t>-945.334443183933 295.169042374425 780.010186280744</t>
  </si>
  <si>
    <t>-804.032726642505 332.46649542679 841.084042537922</t>
  </si>
  <si>
    <t>-909.969756289182 61.284320948173 -63.1167571973016</t>
  </si>
  <si>
    <t>-873.337967461593 44.9034950909304 338.435794381542</t>
  </si>
  <si>
    <t>-909.343578429132 45.0754755689559 785.28582815077</t>
  </si>
  <si>
    <t>-814.661861102002 -59.5126003706855 857.2862192365</t>
  </si>
  <si>
    <t>9763-20170724T111235.777511500.bin</t>
  </si>
  <si>
    <t>-905.326790559124 156.803529889908 -64.5923262170567</t>
  </si>
  <si>
    <t>-936.032753937836 155.151230464824 -176.26435315214</t>
  </si>
  <si>
    <t>-947.715791070157 154.998267694255 -274.193555934666</t>
  </si>
  <si>
    <t>-952.930185923875 155.116507844372 -363.137574407974</t>
  </si>
  <si>
    <t>-952.429245874268 155.2627212845 -452.232866903194</t>
  </si>
  <si>
    <t>-945.736673638564 155.321008557924 -576.63548072098</t>
  </si>
  <si>
    <t>-909.068553968116 153.401035399828 -651.179435494495</t>
  </si>
  <si>
    <t>-943.162668042193 182.447515526918 -521.582373790314</t>
  </si>
  <si>
    <t>-913.251505215969 315.324629240588 -502.841073957305</t>
  </si>
  <si>
    <t>-824.458628981946 360.971774739483 -226.031868766495</t>
  </si>
  <si>
    <t>-583.884560461702 370.355525732598 -216.706448113463</t>
  </si>
  <si>
    <t>-954.200397054047 128.14316177231 -522.201727011401</t>
  </si>
  <si>
    <t>-900.074981760107 251.734842183159 -68.0085179804094</t>
  </si>
  <si>
    <t>-907.796991098808 276.140847133809 334.731372580734</t>
  </si>
  <si>
    <t>-945.308721191535 295.24091917166 780.188307480518</t>
  </si>
  <si>
    <t>-804.12197510849 332.939994741008 841.281204192685</t>
  </si>
  <si>
    <t>-910.935396268747 61.8009386449771 -63.2113326788035</t>
  </si>
  <si>
    <t>-874.568507828001 45.3877738531191 338.364032571486</t>
  </si>
  <si>
    <t>-909.258279667 44.9888127990571 785.28339778388</t>
  </si>
  <si>
    <t>-814.749142719389 -59.7379737931803 857.308758768041</t>
  </si>
  <si>
    <t>9763-20170724T111235.816072000.bin</t>
  </si>
  <si>
    <t>-906.02554876012 156.793939908935 -64.5516089397504</t>
  </si>
  <si>
    <t>-936.670752965061 155.128553870181 -176.240040126268</t>
  </si>
  <si>
    <t>-948.219753628797 154.970984820352 -274.185176873359</t>
  </si>
  <si>
    <t>-953.279547818825 155.081798206556 -363.138203789044</t>
  </si>
  <si>
    <t>-952.590609889895 155.214873526823 -452.232169433511</t>
  </si>
  <si>
    <t>-945.601853014517 155.247051610632 -576.618470706521</t>
  </si>
  <si>
    <t>-908.741757582324 153.273727178976 -651.066420804571</t>
  </si>
  <si>
    <t>-943.171040925573 182.387693083508 -521.565836903093</t>
  </si>
  <si>
    <t>-913.501299487064 315.30632975324 -502.842162013272</t>
  </si>
  <si>
    <t>-827.166393532804 360.628955747316 -225.203249895967</t>
  </si>
  <si>
    <t>-586.578413850841 369.655326482711 -215.882908639863</t>
  </si>
  <si>
    <t>-954.183205722402 128.078229256253 -522.198665493566</t>
  </si>
  <si>
    <t>-900.992328796307 251.579261570943 -67.9312461241827</t>
  </si>
  <si>
    <t>-908.45393347044 276.452914153336 334.784891142761</t>
  </si>
  <si>
    <t>-945.362948089586 295.268711750056 780.368099224646</t>
  </si>
  <si>
    <t>-804.288725674252 333.443504236416 841.426213185626</t>
  </si>
  <si>
    <t>-911.389269154191 62.0252174128382 -63.2190311865736</t>
  </si>
  <si>
    <t>-874.952314430094 45.4742292633359 338.344299143335</t>
  </si>
  <si>
    <t>-909.169749656797 44.9858045572828 785.282363207684</t>
  </si>
  <si>
    <t>-814.631443696855 -59.7060892323768 857.320199884852</t>
  </si>
  <si>
    <t>9763-20170724T111235.882252200.bin</t>
  </si>
  <si>
    <t>-907.793223792738 156.912255099285 -64.36254630542</t>
  </si>
  <si>
    <t>-938.426440831858 155.076812989174 -176.051704521958</t>
  </si>
  <si>
    <t>-949.757937102882 154.96208417854 -274.02222605472</t>
  </si>
  <si>
    <t>-954.532832568067 155.17292067816 -362.990704351178</t>
  </si>
  <si>
    <t>-953.469222830236 155.462973250924 -452.080701139265</t>
  </si>
  <si>
    <t>-945.860957309985 155.768002045677 -576.430432270713</t>
  </si>
  <si>
    <t>-908.591740522925 153.967448956135 -650.678680261723</t>
  </si>
  <si>
    <t>-943.848956596082 182.816769520729 -521.315714284863</t>
  </si>
  <si>
    <t>-915.05633966481 315.841488201521 -502.080020617377</t>
  </si>
  <si>
    <t>-834.928850558524 360.110679722809 -222.417576749916</t>
  </si>
  <si>
    <t>-594.393597686778 368.854165387661 -211.589935326111</t>
  </si>
  <si>
    <t>-954.568408696435 128.450959577271 -522.104868107913</t>
  </si>
  <si>
    <t>-903.814163143739 251.529482165434 -67.6743040471417</t>
  </si>
  <si>
    <t>-910.30969641529 276.888718822603 335.028355759271</t>
  </si>
  <si>
    <t>-945.707973398104 295.581132138344 780.765203365354</t>
  </si>
  <si>
    <t>-804.516916360667 333.48025183247 841.724510344988</t>
  </si>
  <si>
    <t>-912.116941631683 62.1844548803933 -63.2112372257601</t>
  </si>
  <si>
    <t>-875.981872102046 45.6884119927008 338.381582458026</t>
  </si>
  <si>
    <t>-908.991420689318 45.0091961356648 785.327296996342</t>
  </si>
  <si>
    <t>-814.70581817626 -59.9152604628482 857.357829882718</t>
  </si>
  <si>
    <t>9763-20170724T111235.915070000.bin</t>
  </si>
  <si>
    <t>-908.526217896443 156.681654193611 -64.2893349713469</t>
  </si>
  <si>
    <t>-939.179544969447 154.693563914337 -175.97033748986</t>
  </si>
  <si>
    <t>-950.436949483916 154.613240255771 -273.949541667551</t>
  </si>
  <si>
    <t>-955.103551936008 154.914832513623 -362.923408632434</t>
  </si>
  <si>
    <t>-953.888005588116 155.354129153376 -452.01099499088</t>
  </si>
  <si>
    <t>-946.021269482074 155.926644529877 -576.343543111288</t>
  </si>
  <si>
    <t>-908.553026055871 154.313298103128 -650.495674112323</t>
  </si>
  <si>
    <t>-944.240431466086 182.879523113691 -521.173932927148</t>
  </si>
  <si>
    <t>-916.047611744166 315.988613991214 -501.565503934546</t>
  </si>
  <si>
    <t>-839.630826630639 359.299548468701 -220.716964012952</t>
  </si>
  <si>
    <t>-599.129254631722 368.44523398134 -209.482059615868</t>
  </si>
  <si>
    <t>-954.725516994272 128.470023502891 -522.087869993708</t>
  </si>
  <si>
    <t>-904.829157458947 251.063411334898 -67.5567780149316</t>
  </si>
  <si>
    <t>-911.244049175864 276.876044991855 335.118311265857</t>
  </si>
  <si>
    <t>-945.749022795646 295.527686791266 780.912352945238</t>
  </si>
  <si>
    <t>-804.690774163768 334.006284673718 841.81589912558</t>
  </si>
  <si>
    <t>-912.465209249068 62.0327092808484 -63.1892543900516</t>
  </si>
  <si>
    <t>-876.533811392234 45.5971273645068 338.424356564593</t>
  </si>
  <si>
    <t>-909.000482063064 44.8741493065627 785.372146555097</t>
  </si>
  <si>
    <t>-814.517856400555 -59.8969952322111 857.36744613934</t>
  </si>
  <si>
    <t>9763-20170724T111235.980748500.bin</t>
  </si>
  <si>
    <t>-910.017751404411 155.627689955182 -64.2886449077331</t>
  </si>
  <si>
    <t>-940.754971921725 153.382386441705 -175.941559850441</t>
  </si>
  <si>
    <t>-951.979274143608 153.421148803537 -273.924705675321</t>
  </si>
  <si>
    <t>-956.565429834305 153.95939409558 -362.901662719362</t>
  </si>
  <si>
    <t>-955.21427436722 154.767544742096 -451.98466496184</t>
  </si>
  <si>
    <t>-947.09683993309 155.991276104488 -576.296419329331</t>
  </si>
  <si>
    <t>-909.191426092011 154.884286913302 -650.23549056068</t>
  </si>
  <si>
    <t>-945.739066201936 182.713066470754 -521.002653054475</t>
  </si>
  <si>
    <t>-919.116577292819 316.031930656974 -500.640588185922</t>
  </si>
  <si>
    <t>-850.371493083085 356.258479346357 -217.361340457402</t>
  </si>
  <si>
    <t>-609.876427528561 365.89016844836 -206.393798293553</t>
  </si>
  <si>
    <t>-955.599065521015 128.192041704223 -522.183248634596</t>
  </si>
  <si>
    <t>-906.928188595733 250.033592598335 -67.4695942796864</t>
  </si>
  <si>
    <t>-913.147192907701 276.511711385801 335.165298888795</t>
  </si>
  <si>
    <t>-945.880802785665 295.605318812934 781.038014923226</t>
  </si>
  <si>
    <t>-804.906478435689 334.389197312729 841.942501023612</t>
  </si>
  <si>
    <t>-913.38313955183 61.0669277884385 -63.1821697872327</t>
  </si>
  <si>
    <t>-877.287452069179 45.3220494474831 338.444393601444</t>
  </si>
  <si>
    <t>-909.003151072787 44.6164323928178 785.47639072682</t>
  </si>
  <si>
    <t>-814.18941512451 -59.9016723250654 857.404127688354</t>
  </si>
  <si>
    <t>9763-20170724T111236.012333100.bin</t>
  </si>
  <si>
    <t>-910.782380069735 154.79871741667 -64.2669813411962</t>
  </si>
  <si>
    <t>-941.554346676299 152.506825231465 -175.909480880823</t>
  </si>
  <si>
    <t>-952.789057714858 152.635251591662 -273.891275181575</t>
  </si>
  <si>
    <t>-957.374327759862 153.305223759247 -362.867446937416</t>
  </si>
  <si>
    <t>-956.01029305006 154.29844090517 -451.94820840534</t>
  </si>
  <si>
    <t>-947.859923845597 155.838369012391 -576.254415278045</t>
  </si>
  <si>
    <t>-909.728964950021 155.026613878394 -650.081139977605</t>
  </si>
  <si>
    <t>-946.699584271274 182.452394973398 -520.904079651858</t>
  </si>
  <si>
    <t>-920.965481051444 315.884204027841 -500.14071054182</t>
  </si>
  <si>
    <t>-855.083547270463 354.933315943006 -216.017669276384</t>
  </si>
  <si>
    <t>-614.582677998343 364.58960102608 -205.203778980734</t>
  </si>
  <si>
    <t>-956.193556321694 127.869092306571 -522.202731123457</t>
  </si>
  <si>
    <t>-907.88421446708 249.185409023244 -67.4244015616445</t>
  </si>
  <si>
    <t>-913.990447489015 275.998600246516 335.190062923089</t>
  </si>
  <si>
    <t>-945.729422339446 295.432815284867 781.020938411335</t>
  </si>
  <si>
    <t>-804.926566295592 334.645911160245 842.047454577808</t>
  </si>
  <si>
    <t>-913.966487993021 60.3110510196179 -63.2149927794209</t>
  </si>
  <si>
    <t>-877.374715711543 44.9036756109444 338.379826838567</t>
  </si>
  <si>
    <t>-908.955337295121 44.5286852715858 785.487094767701</t>
  </si>
  <si>
    <t>-814.036434666759 -59.9063062101 857.397123668778</t>
  </si>
  <si>
    <t>9763-20170724T111236.081523300.bin</t>
  </si>
  <si>
    <t>-911.918638216099 153.064290413284 -64.2537855639139</t>
  </si>
  <si>
    <t>-942.838787800122 150.645786470803 -175.852644905678</t>
  </si>
  <si>
    <t>-954.184933668134 150.903022672293 -273.821349632573</t>
  </si>
  <si>
    <t>-958.859888642775 151.781807450925 -362.791176832129</t>
  </si>
  <si>
    <t>-957.56974359912 153.081822965939 -451.869026442373</t>
  </si>
  <si>
    <t>-949.50437180983 155.154679938278 -576.173055147266</t>
  </si>
  <si>
    <t>-910.950050350499 154.941287826791 -649.783840776643</t>
  </si>
  <si>
    <t>-948.663393057551 181.591478059398 -520.731970146791</t>
  </si>
  <si>
    <t>-924.692921778974 315.255639870076 -499.363076758385</t>
  </si>
  <si>
    <t>-862.910601859844 352.828851993791 -214.12215920005</t>
  </si>
  <si>
    <t>-622.386470841784 363.147745419794 -204.5041834601</t>
  </si>
  <si>
    <t>-957.443728059465 126.893414798421 -522.213913254071</t>
  </si>
  <si>
    <t>-909.447932101946 247.422934276685 -67.2823226494777</t>
  </si>
  <si>
    <t>-915.393651395422 275.259730246545 335.265073563924</t>
  </si>
  <si>
    <t>-945.764741393724 295.668974091402 781.08286630369</t>
  </si>
  <si>
    <t>-804.98555383503 334.612658010139 842.33599853529</t>
  </si>
  <si>
    <t>-914.626550073504 58.6335769759098 -63.3095688807105</t>
  </si>
  <si>
    <t>-877.395552940259 43.9772415181033 338.254537861406</t>
  </si>
  <si>
    <t>-908.856964414952 44.3364547936508 785.485707977729</t>
  </si>
  <si>
    <t>-813.665792853698 -59.8748702857931 857.360123867546</t>
  </si>
  <si>
    <t>9763-20170724T111236.113625900.bin</t>
  </si>
  <si>
    <t>-912.195830740085 152.310426489239 -64.1857430514812</t>
  </si>
  <si>
    <t>-943.245254093437 149.819103957177 -175.747151389733</t>
  </si>
  <si>
    <t>-954.706427524503 150.129560411058 -273.702261869183</t>
  </si>
  <si>
    <t>-959.483739186222 151.09987376646 -362.665615278196</t>
  </si>
  <si>
    <t>-958.293325315063 152.536889815765 -451.742835794631</t>
  </si>
  <si>
    <t>-950.362066887318 154.849157153196 -576.051199491341</t>
  </si>
  <si>
    <t>-911.688742853295 154.907972700928 -649.599968583695</t>
  </si>
  <si>
    <t>-949.613914181299 181.203483443839 -520.569669425944</t>
  </si>
  <si>
    <t>-926.436028328531 314.974502719841 -499.012944462142</t>
  </si>
  <si>
    <t>-866.337552016259 351.681242422434 -213.299835215517</t>
  </si>
  <si>
    <t>-625.792085629663 362.268398900866 -204.539290382427</t>
  </si>
  <si>
    <t>-958.090780665572 126.459784892563 -522.128912960084</t>
  </si>
  <si>
    <t>-910.031547132501 246.632665929506 -67.1499020028027</t>
  </si>
  <si>
    <t>-915.929339369702 274.86279857686 335.370883569788</t>
  </si>
  <si>
    <t>-945.823750808182 295.715584196177 781.216402758767</t>
  </si>
  <si>
    <t>-805.16041996787 335.047448249696 842.48743976154</t>
  </si>
  <si>
    <t>-914.657268031484 57.9233911808883 -63.3146781915884</t>
  </si>
  <si>
    <t>-877.31029950192 43.4978843933213 338.24694987442</t>
  </si>
  <si>
    <t>-908.782809910316 44.2554614015103 785.493089292479</t>
  </si>
  <si>
    <t>-813.491465236256 -59.8761736801125 857.350162086757</t>
  </si>
  <si>
    <t>9763-20170724T111236.185304900.bin</t>
  </si>
  <si>
    <t>-912.671935680661 151.235292465383 -63.9954488059476</t>
  </si>
  <si>
    <t>-944.076850213521 148.534739331616 -175.452395727095</t>
  </si>
  <si>
    <t>-955.835287663042 148.880580723426 -273.37220266523</t>
  </si>
  <si>
    <t>-960.872061104386 149.964088973508 -362.319967405797</t>
  </si>
  <si>
    <t>-959.928002626016 151.59897308877 -451.396708941528</t>
  </si>
  <si>
    <t>-952.323011119948 154.274681397382 -575.718061466249</t>
  </si>
  <si>
    <t>-913.561013673472 154.830199234995 -649.217909516584</t>
  </si>
  <si>
    <t>-951.676411112885 180.50426398733 -520.176300100541</t>
  </si>
  <si>
    <t>-929.749662263869 314.423173376124 -498.285621947242</t>
  </si>
  <si>
    <t>-871.7317236527 350.104551480787 -212.013181804776</t>
  </si>
  <si>
    <t>-631.151068722408 360.969482054722 -204.679659604286</t>
  </si>
  <si>
    <t>-959.662840351073 125.689929279562 -521.844547110307</t>
  </si>
  <si>
    <t>-911.249010821217 245.567413452072 -66.8467678197346</t>
  </si>
  <si>
    <t>-916.976703365806 274.257740344797 335.643888489513</t>
  </si>
  <si>
    <t>-946.083625359984 295.837181518926 781.540880879176</t>
  </si>
  <si>
    <t>-805.457243818979 335.366144133345 842.769820579814</t>
  </si>
  <si>
    <t>-914.458091725199 56.727605001643 -63.2763793062459</t>
  </si>
  <si>
    <t>-877.194474926765 42.8142929976079 338.311028917549</t>
  </si>
  <si>
    <t>-908.591302122581 44.1258441552832 785.536769523988</t>
  </si>
  <si>
    <t>-813.343558104381 -60.0564002346516 857.378300871239</t>
  </si>
  <si>
    <t>9763-20170724T111236.212395800.bin</t>
  </si>
  <si>
    <t>-912.933221098572 150.730885398618 -63.9464533065824</t>
  </si>
  <si>
    <t>-944.493504076773 147.904402778165 -175.356348897419</t>
  </si>
  <si>
    <t>-956.380363015518 148.244834600345 -273.260662287964</t>
  </si>
  <si>
    <t>-961.528618493105 149.362737226089 -362.201705777804</t>
  </si>
  <si>
    <t>-960.689165286352 151.071041394377 -451.27805066548</t>
  </si>
  <si>
    <t>-953.222132026816 153.891288525386 -575.604708881185</t>
  </si>
  <si>
    <t>-914.428067063145 154.651541660942 -649.085872714648</t>
  </si>
  <si>
    <t>-952.596393726601 180.068411408956 -520.037845659664</t>
  </si>
  <si>
    <t>-931.053020586529 314.030536660939 -498.043679259411</t>
  </si>
  <si>
    <t>-873.524756776863 349.581398337825 -211.656129893461</t>
  </si>
  <si>
    <t>-632.945286101088 360.665208878258 -204.618822994034</t>
  </si>
  <si>
    <t>-960.419320242645 125.232114352996 -521.751589492646</t>
  </si>
  <si>
    <t>-911.914968456867 245.220517160308 -66.7635908393672</t>
  </si>
  <si>
    <t>-917.546149269221 273.915817190271 335.72809240854</t>
  </si>
  <si>
    <t>-946.336360236402 296.060827783386 781.651168513868</t>
  </si>
  <si>
    <t>-805.622016206439 335.309553047376 842.85861675317</t>
  </si>
  <si>
    <t>-914.337727541759 56.0225226655061 -63.2408300911338</t>
  </si>
  <si>
    <t>-877.363253072097 42.5635388450382 338.388842459671</t>
  </si>
  <si>
    <t>-908.551336395841 43.9868779511744 785.583972522662</t>
  </si>
  <si>
    <t>-813.060119097867 -59.9903108125991 857.399371427799</t>
  </si>
  <si>
    <t>9763-20170724T111236.282586000.bin</t>
  </si>
  <si>
    <t>-913.080165930644 149.758796868701 -63.9598014568517</t>
  </si>
  <si>
    <t>-944.887536867069 146.659470766429 -175.292151171126</t>
  </si>
  <si>
    <t>-957.012699094919 146.93688241738 -273.167538932399</t>
  </si>
  <si>
    <t>-962.381422297178 148.062460375332 -362.095201410001</t>
  </si>
  <si>
    <t>-961.764903083286 149.844435465276 -451.172152683938</t>
  </si>
  <si>
    <t>-954.609095298981 152.834683306073 -575.512978980873</t>
  </si>
  <si>
    <t>-915.868968565217 153.825583586756 -649.019881292801</t>
  </si>
  <si>
    <t>-953.931805122362 178.948133890415 -519.91691706913</t>
  </si>
  <si>
    <t>-932.823577323174 312.977620834804 -497.832093748943</t>
  </si>
  <si>
    <t>-874.26850588393 348.568102032109 -211.657698197079</t>
  </si>
  <si>
    <t>-633.734646211232 360.549279987977 -204.531963021407</t>
  </si>
  <si>
    <t>-961.584179718182 124.089290857983 -521.676511975276</t>
  </si>
  <si>
    <t>-912.51127779436 244.348995409796 -66.8177573003463</t>
  </si>
  <si>
    <t>-918.405928128552 273.022161446815 335.671698811237</t>
  </si>
  <si>
    <t>-946.428312095299 295.934520750369 781.671721986647</t>
  </si>
  <si>
    <t>-805.878355563592 335.777038062311 842.872822092053</t>
  </si>
  <si>
    <t>-913.953815839754 55.0576121790941 -63.166483126049</t>
  </si>
  <si>
    <t>-877.599319583059 42.2050127873144 338.53963198866</t>
  </si>
  <si>
    <t>-908.311492542478 43.9660565314039 785.678358074795</t>
  </si>
  <si>
    <t>-812.859980590136 -60.0575511086588 857.47947002447</t>
  </si>
  <si>
    <t>9763-20170724T111236.314062800.bin</t>
  </si>
  <si>
    <t>-913.099734867987 149.458024212483 -63.9941720083434</t>
  </si>
  <si>
    <t>-944.993499444127 146.263809641061 -175.299316050717</t>
  </si>
  <si>
    <t>-957.207867070504 146.49966749237 -273.163485827347</t>
  </si>
  <si>
    <t>-962.661712502032 147.602128626864 -362.086387779209</t>
  </si>
  <si>
    <t>-962.134242021271 149.375089108119 -451.164039381616</t>
  </si>
  <si>
    <t>-955.105479401533 152.366395817117 -575.512181646381</t>
  </si>
  <si>
    <t>-916.44718515721 153.39978600833 -649.061491380338</t>
  </si>
  <si>
    <t>-954.392633365025 178.482425848787 -519.917669476765</t>
  </si>
  <si>
    <t>-933.46073017819 312.545542838344 -497.885297609579</t>
  </si>
  <si>
    <t>-874.388587535237 348.268039753286 -211.833602962903</t>
  </si>
  <si>
    <t>-633.853870999593 360.53764388878 -205.248992692618</t>
  </si>
  <si>
    <t>-962.004068980056 123.617470367711 -521.667793731973</t>
  </si>
  <si>
    <t>-912.667183564336 244.093002870634 -66.8866997893135</t>
  </si>
  <si>
    <t>-918.793894244638 272.756379895351 335.60004666205</t>
  </si>
  <si>
    <t>-946.569938564632 296.046102289597 781.624455809275</t>
  </si>
  <si>
    <t>-806.007141791937 335.823652010158 842.838353911321</t>
  </si>
  <si>
    <t>-913.852995169743 54.7438646316441 -63.1427367047712</t>
  </si>
  <si>
    <t>-877.695583845847 41.9224273032219 338.582150060953</t>
  </si>
  <si>
    <t>-908.31695770396 43.7584064180087 785.724258746041</t>
  </si>
  <si>
    <t>-812.558924518657 -59.9963568020912 857.506235646116</t>
  </si>
  <si>
    <t>9763-20170724T111236.378235200.bin</t>
  </si>
  <si>
    <t>-913.265593147134 148.879406093437 -64.0593503427401</t>
  </si>
  <si>
    <t>-945.373030001312 145.566876742673 -175.299341572126</t>
  </si>
  <si>
    <t>-957.76659481644 145.724116623856 -273.141279683898</t>
  </si>
  <si>
    <t>-963.378469321591 146.76268033671 -362.055144933048</t>
  </si>
  <si>
    <t>-963.004339981294 148.477973205564 -451.134583303781</t>
  </si>
  <si>
    <t>-956.184683348171 151.39532122316 -575.496216907149</t>
  </si>
  <si>
    <t>-917.662479991577 152.396965234459 -649.117214786612</t>
  </si>
  <si>
    <t>-955.412674925251 177.549411752238 -519.920218165678</t>
  </si>
  <si>
    <t>-934.767674549319 311.696381239693 -498.044934973647</t>
  </si>
  <si>
    <t>-875.62406678303 347.334391216664 -211.997462598938</t>
  </si>
  <si>
    <t>-635.053112348561 359.766798640161 -207.315810718159</t>
  </si>
  <si>
    <t>-962.958771774482 122.673841981476 -521.621416857723</t>
  </si>
  <si>
    <t>-913.220200654595 243.431246260467 -66.9396802239211</t>
  </si>
  <si>
    <t>-919.070275688439 272.476253611232 335.523746024136</t>
  </si>
  <si>
    <t>-946.876521645471 296.217084400741 781.591507107992</t>
  </si>
  <si>
    <t>-806.200183411056 335.651737249105 842.766172803144</t>
  </si>
  <si>
    <t>-913.697339105699 54.1256433255126 -63.1412697060586</t>
  </si>
  <si>
    <t>-877.670186289883 41.5279299290419 338.602500368008</t>
  </si>
  <si>
    <t>-908.024463843736 43.7989235831828 785.762494360513</t>
  </si>
  <si>
    <t>-812.461325597078 -60.1270618821864 857.556629642244</t>
  </si>
  <si>
    <t>9763-20170724T111236.413853100.bin</t>
  </si>
  <si>
    <t>-913.361353478766 148.449332490197 -64.0322485391749</t>
  </si>
  <si>
    <t>-945.568506130684 145.109436656494 -175.242734784949</t>
  </si>
  <si>
    <t>-958.046124438657 145.220306856087 -273.073883909606</t>
  </si>
  <si>
    <t>-963.73420763709 146.207127168293 -361.983456524305</t>
  </si>
  <si>
    <t>-963.435274598449 147.860595310993 -451.064500586629</t>
  </si>
  <si>
    <t>-956.720071200233 150.680792969979 -575.434041332965</t>
  </si>
  <si>
    <t>-918.254132514501 151.613033592012 -649.08534525793</t>
  </si>
  <si>
    <t>-955.918920769573 176.880723297581 -519.879973283697</t>
  </si>
  <si>
    <t>-935.428656460624 311.058732904132 -498.117579262827</t>
  </si>
  <si>
    <t>-876.679319694043 346.566129641422 -211.972501960822</t>
  </si>
  <si>
    <t>-636.097149421458 359.092834212015 -208.209169595417</t>
  </si>
  <si>
    <t>-963.431316508399 121.999073265561 -521.530151969734</t>
  </si>
  <si>
    <t>-913.403532571905 243.061650836352 -66.9375081693896</t>
  </si>
  <si>
    <t>-919.120405855755 272.226084789088 335.519203481102</t>
  </si>
  <si>
    <t>-947.034204119854 296.27361961501 781.581631759679</t>
  </si>
  <si>
    <t>-806.408741383893 335.946162258773 842.71949456969</t>
  </si>
  <si>
    <t>-913.688518411987 53.6295940382915 -63.1381431287163</t>
  </si>
  <si>
    <t>-877.643715885141 41.2490751892115 338.610765417962</t>
  </si>
  <si>
    <t>-907.954702960189 43.6917664711659 785.77537952428</t>
  </si>
  <si>
    <t>-812.166909276036 -60.0303879457765 857.564827234013</t>
  </si>
  <si>
    <t>9763-20170724T111236.478528700.bin</t>
  </si>
  <si>
    <t>-913.138856852111 147.80513723484 -63.9640615849287</t>
  </si>
  <si>
    <t>-945.542904977466 144.456111785412 -175.11698412248</t>
  </si>
  <si>
    <t>-958.155688281111 144.5008045568 -272.931042768512</t>
  </si>
  <si>
    <t>-963.952464598639 145.404907068199 -361.834431509078</t>
  </si>
  <si>
    <t>-963.749889541443 146.954330358368 -450.917510395996</t>
  </si>
  <si>
    <t>-957.156425410169 149.608099499296 -575.297061557667</t>
  </si>
  <si>
    <t>-918.71549410832 150.400292289867 -648.963377409543</t>
  </si>
  <si>
    <t>-956.344365969895 175.88809950194 -519.78137281536</t>
  </si>
  <si>
    <t>-936.255412985666 310.153354308824 -498.186936496364</t>
  </si>
  <si>
    <t>-879.980433516886 345.049162876532 -211.470071344337</t>
  </si>
  <si>
    <t>-639.379912208481 357.644683160942 -209.558271993189</t>
  </si>
  <si>
    <t>-963.771201724104 120.992274656106 -521.346224706311</t>
  </si>
  <si>
    <t>-913.251604797658 242.515230303836 -66.8782836669086</t>
  </si>
  <si>
    <t>-919.152308965365 271.950726269612 335.556058388436</t>
  </si>
  <si>
    <t>-947.412147833183 296.505549837304 781.545251994581</t>
  </si>
  <si>
    <t>-806.683851757927 335.891865324877 842.631506467396</t>
  </si>
  <si>
    <t>-913.369669907805 52.9893232646946 -63.1159377962864</t>
  </si>
  <si>
    <t>-877.348450836492 40.7639777649588 338.63978118396</t>
  </si>
  <si>
    <t>-907.67258561454 43.715555543175 785.779816457846</t>
  </si>
  <si>
    <t>-812.038518131634 -60.1360812258533 857.587114913897</t>
  </si>
  <si>
    <t>9763-20170724T111236.513267500.bin</t>
  </si>
  <si>
    <t>-912.910014764063 147.560733500753 -63.9527737141193</t>
  </si>
  <si>
    <t>-945.393185991277 144.170994760001 -175.081411158624</t>
  </si>
  <si>
    <t>-958.051950122215 144.203097212217 -272.889401603812</t>
  </si>
  <si>
    <t>-963.880889922149 145.104050384497 -361.790856503373</t>
  </si>
  <si>
    <t>-963.70003587284 146.659669137789 -450.873938555179</t>
  </si>
  <si>
    <t>-957.126668142626 149.33123387746 -575.254199377882</t>
  </si>
  <si>
    <t>-918.652284234165 150.086487027876 -648.903310462927</t>
  </si>
  <si>
    <t>-956.333825484365 175.607307993273 -519.736154958995</t>
  </si>
  <si>
    <t>-936.459464498033 309.910311466365 -498.190856400678</t>
  </si>
  <si>
    <t>-882.3569611041 344.428706334138 -211.010593185115</t>
  </si>
  <si>
    <t>-641.760929762719 357.214759469071 -210.036507962139</t>
  </si>
  <si>
    <t>-963.705088092624 120.703915418645 -521.305085410395</t>
  </si>
  <si>
    <t>-913.070650746311 242.261959118699 -66.8706041476062</t>
  </si>
  <si>
    <t>-918.964916458104 271.826632526988 335.554372549244</t>
  </si>
  <si>
    <t>-947.476413171596 296.423549032123 781.518908297425</t>
  </si>
  <si>
    <t>-806.839401711253 336.178868964521 842.576906844532</t>
  </si>
  <si>
    <t>-913.055138975168 52.7718237179092 -63.1035969218508</t>
  </si>
  <si>
    <t>-877.112109642597 40.4893135493548 338.65741043812</t>
  </si>
  <si>
    <t>-907.538227781841 43.7118198279918 785.778649204511</t>
  </si>
  <si>
    <t>-811.902430807929 -60.1358472246652 857.589217118026</t>
  </si>
  <si>
    <t>9763-20170724T111236.548358600.bin</t>
  </si>
  <si>
    <t>-912.69661622846 147.381756189628 -63.9602596785791</t>
  </si>
  <si>
    <t>-945.266440345831 143.926486833239 -175.061543814134</t>
  </si>
  <si>
    <t>-957.973139773982 143.946071212234 -272.86339952814</t>
  </si>
  <si>
    <t>-963.83313910462 144.852365973118 -361.762555537968</t>
  </si>
  <si>
    <t>-963.670259514515 146.429523481544 -450.845413144978</t>
  </si>
  <si>
    <t>-957.10756303922 149.149030293222 -575.225249647666</t>
  </si>
  <si>
    <t>-918.595465730807 149.896935565381 -648.854606176239</t>
  </si>
  <si>
    <t>-956.346048053048 175.408552719653 -519.698864354198</t>
  </si>
  <si>
    <t>-936.770576510895 309.765072925785 -498.155913348723</t>
  </si>
  <si>
    <t>-884.862491038425 343.776481104313 -210.510399284577</t>
  </si>
  <si>
    <t>-644.28153700069 356.882207123737 -210.448220443703</t>
  </si>
  <si>
    <t>-963.64486424262 120.496182953638 -521.284646667797</t>
  </si>
  <si>
    <t>-913.013591820715 242.05613417662 -66.8854117364782</t>
  </si>
  <si>
    <t>-918.770254321154 271.747636743865 335.532271489793</t>
  </si>
  <si>
    <t>-947.564404196056 296.387995088006 781.481118369819</t>
  </si>
  <si>
    <t>-806.949799779878 336.255607122577 842.517304138491</t>
  </si>
  <si>
    <t>-912.679341745987 52.5996360680133 -63.0974964452452</t>
  </si>
  <si>
    <t>-876.864863248829 40.2874166300712 338.674042948495</t>
  </si>
  <si>
    <t>-907.418108159422 43.6877061006126 785.779561299491</t>
  </si>
  <si>
    <t>-811.815205487245 -60.1863765199623 857.595634736328</t>
  </si>
  <si>
    <t>9763-20170724T111236.615543100.bin</t>
  </si>
  <si>
    <t>-912.327040695985 146.985545937701 -64.0096856755866</t>
  </si>
  <si>
    <t>-945.101302887968 143.418863788528 -175.047224515492</t>
  </si>
  <si>
    <t>-957.933859883309 143.421521556827 -272.832662028382</t>
  </si>
  <si>
    <t>-963.884735527823 144.342606687522 -361.725826950104</t>
  </si>
  <si>
    <t>-963.78890572043 145.965925669409 -450.807835118422</t>
  </si>
  <si>
    <t>-957.293083440675 148.780845848672 -575.189008114438</t>
  </si>
  <si>
    <t>-918.658859730054 149.541053333209 -648.754144373651</t>
  </si>
  <si>
    <t>-956.573607620661 175.007420032349 -519.646543058185</t>
  </si>
  <si>
    <t>-937.530624997331 309.430140301353 -498.073894819865</t>
  </si>
  <si>
    <t>-889.072284923318 342.63354950558 -209.732921884495</t>
  </si>
  <si>
    <t>-648.540703421475 356.536490253937 -211.199371824992</t>
  </si>
  <si>
    <t>-963.729412209029 120.077106243391 -521.263519990856</t>
  </si>
  <si>
    <t>-912.951329028347 241.741149897921 -66.9414771962203</t>
  </si>
  <si>
    <t>-918.575155510822 271.641748541042 335.462611207938</t>
  </si>
  <si>
    <t>-947.889231915837 296.541388453206 781.386412536814</t>
  </si>
  <si>
    <t>-807.176033853397 336.098655290948 842.397608294007</t>
  </si>
  <si>
    <t>-912.028527060108 52.1045052947884 -63.1102884591262</t>
  </si>
  <si>
    <t>-876.450523322149 39.933423118734 338.686594911473</t>
  </si>
  <si>
    <t>-907.174951092306 43.6445851545077 785.772415283196</t>
  </si>
  <si>
    <t>-811.575653659788 -60.22502245129 857.599784299295</t>
  </si>
  <si>
    <t>9763-20170724T111236.682725900.bin</t>
  </si>
  <si>
    <t>-911.934317021875 146.462573579671 -64.0607357806613</t>
  </si>
  <si>
    <t>-944.922682167732 142.814825331521 -175.032244454288</t>
  </si>
  <si>
    <t>-957.913527265518 142.808671212799 -272.796785407514</t>
  </si>
  <si>
    <t>-963.994063295049 143.743556251852 -361.680869314044</t>
  </si>
  <si>
    <t>-964.013404176265 145.400728110751 -450.762245360915</t>
  </si>
  <si>
    <t>-957.661898643851 148.284345351959 -575.149460568259</t>
  </si>
  <si>
    <t>-919.019685080938 149.005332525864 -648.710986210653</t>
  </si>
  <si>
    <t>-956.921716286161 174.485878761534 -519.595500539131</t>
  </si>
  <si>
    <t>-938.317299113344 308.94905602647 -497.879369897127</t>
  </si>
  <si>
    <t>-891.829340468844 341.220355190207 -209.10847246432</t>
  </si>
  <si>
    <t>-651.354345084229 355.852906348868 -212.027484791887</t>
  </si>
  <si>
    <t>-963.991780734194 119.544761583678 -521.230115811532</t>
  </si>
  <si>
    <t>-912.78719818791 241.298118980501 -67.0127601974176</t>
  </si>
  <si>
    <t>-918.624476360264 271.289234716315 335.381548733193</t>
  </si>
  <si>
    <t>-948.09486939576 296.568304011632 781.253287886955</t>
  </si>
  <si>
    <t>-807.410193391499 336.222706650243 842.267179136355</t>
  </si>
  <si>
    <t>-911.427084398372 51.5129530996505 -63.1605430267815</t>
  </si>
  <si>
    <t>-876.092866552901 39.5492052665795 338.664172479626</t>
  </si>
  <si>
    <t>-906.945584280465 43.6189646906732 785.763117010047</t>
  </si>
  <si>
    <t>-811.477335027199 -60.3709556055574 857.59065231176</t>
  </si>
  <si>
    <t>9763-20170724T111236.714819000.bin</t>
  </si>
  <si>
    <t>-911.781719087931 146.231681093215 -64.0727105423862</t>
  </si>
  <si>
    <t>-944.886097777848 142.581020509585 -175.009610119742</t>
  </si>
  <si>
    <t>-957.956667120708 142.571993239827 -272.76359775741</t>
  </si>
  <si>
    <t>-964.100505839714 143.500858967265 -361.643367867965</t>
  </si>
  <si>
    <t>-964.173838154383 145.148388843162 -450.724943380379</t>
  </si>
  <si>
    <t>-957.88845114769 148.012666282652 -575.115851716895</t>
  </si>
  <si>
    <t>-919.265744892981 148.701423017609 -648.687760481979</t>
  </si>
  <si>
    <t>-957.124663623376 174.223516352242 -519.566609385733</t>
  </si>
  <si>
    <t>-938.571115901421 308.690892906232 -497.827299869045</t>
  </si>
  <si>
    <t>-893.333408191092 340.36100292361 -208.791430879814</t>
  </si>
  <si>
    <t>-652.877426825655 355.087602766281 -212.647982423513</t>
  </si>
  <si>
    <t>-964.184146089868 119.280972342686 -521.188486202668</t>
  </si>
  <si>
    <t>-912.714660323127 241.09241414772 -67.0124113119761</t>
  </si>
  <si>
    <t>-918.68338297586 271.18142182675 335.37267691789</t>
  </si>
  <si>
    <t>-948.233185798081 296.637687322692 781.218283774542</t>
  </si>
  <si>
    <t>-807.493644467743 336.096458080533 842.231895170459</t>
  </si>
  <si>
    <t>-911.195590143653 51.2332397603755 -63.178359137309</t>
  </si>
  <si>
    <t>-875.941112195555 39.2749898372276 338.653406984246</t>
  </si>
  <si>
    <t>-906.872567394454 43.5508236431224 785.756494214213</t>
  </si>
  <si>
    <t>-811.153705109383 -60.221528052306 857.565467170968</t>
  </si>
  <si>
    <t>9763-20170724T111236.778487900.bin</t>
  </si>
  <si>
    <t>-911.5168711462 145.695976757485 -64.0916740479695</t>
  </si>
  <si>
    <t>-944.783534463194 142.113689371646 -174.982236367386</t>
  </si>
  <si>
    <t>-957.962659171058 142.151017004165 -272.721466502322</t>
  </si>
  <si>
    <t>-964.191757214366 143.116458635683 -361.59499617994</t>
  </si>
  <si>
    <t>-964.337099905606 144.794927741842 -450.675910396668</t>
  </si>
  <si>
    <t>-958.138686019492 147.696538184941 -575.070311391142</t>
  </si>
  <si>
    <t>-919.557439992058 148.348519431741 -648.664554256566</t>
  </si>
  <si>
    <t>-957.35111282348 173.892702484889 -519.514577352199</t>
  </si>
  <si>
    <t>-938.896480864747 308.361728188871 -497.749736943355</t>
  </si>
  <si>
    <t>-896.494381229877 338.462676389515 -208.116954746824</t>
  </si>
  <si>
    <t>-656.079007472993 353.385619616416 -213.473721912901</t>
  </si>
  <si>
    <t>-964.381571007379 118.94664149987 -521.146546079255</t>
  </si>
  <si>
    <t>-912.559351886887 240.70058769553 -66.9684417682423</t>
  </si>
  <si>
    <t>-918.548254750654 270.81949361207 335.413994831385</t>
  </si>
  <si>
    <t>-948.428135011 296.608307623255 781.216595964968</t>
  </si>
  <si>
    <t>-807.722297001304 336.217864134548 842.211020570345</t>
  </si>
  <si>
    <t>-910.843556798263 50.5427115351004 -63.2347100460223</t>
  </si>
  <si>
    <t>-875.607934226009 38.8867721181437 338.607623497236</t>
  </si>
  <si>
    <t>-906.636239771047 43.5342478572484 785.722142954308</t>
  </si>
  <si>
    <t>-810.990377943293 -60.2987339296749 857.540534267512</t>
  </si>
  <si>
    <t>9763-20170724T111236.814062400.bin</t>
  </si>
  <si>
    <t>-911.46324417913 145.508782713111 -64.0577608016808</t>
  </si>
  <si>
    <t>-944.768576132486 141.976119877872 -174.938347804533</t>
  </si>
  <si>
    <t>-957.966259385237 142.050567128494 -272.675147644144</t>
  </si>
  <si>
    <t>-964.206556365291 143.048562473112 -361.547492356</t>
  </si>
  <si>
    <t>-964.357797236067 144.758797904059 -450.627876331304</t>
  </si>
  <si>
    <t>-958.161090235499 147.704533940208 -575.021339987417</t>
  </si>
  <si>
    <t>-919.621335698471 148.370817472548 -648.636963520951</t>
  </si>
  <si>
    <t>-957.387280377952 173.882912994861 -519.456871252124</t>
  </si>
  <si>
    <t>-939.032801684363 308.364836250427 -497.663554597887</t>
  </si>
  <si>
    <t>-898.077646454962 337.620296489742 -207.735858653029</t>
  </si>
  <si>
    <t>-657.692283194267 352.804970040848 -213.670751865211</t>
  </si>
  <si>
    <t>-964.388453411066 118.933581796161 -521.106766622854</t>
  </si>
  <si>
    <t>-912.541082866682 240.600619107892 -66.915384683311</t>
  </si>
  <si>
    <t>-918.525518292459 270.714925533694 335.46755791189</t>
  </si>
  <si>
    <t>-948.61638235046 296.737198616962 781.23768245749</t>
  </si>
  <si>
    <t>-807.831847489062 336.074258411707 842.226555678268</t>
  </si>
  <si>
    <t>-910.806519917991 50.312662566881 -63.2474324756304</t>
  </si>
  <si>
    <t>-875.510896114666 38.6911705560392 338.590619546132</t>
  </si>
  <si>
    <t>-906.557256361411 43.4783816577474 785.710384405868</t>
  </si>
  <si>
    <t>-810.885768672812 -60.3312586586972 857.528098921567</t>
  </si>
  <si>
    <t>9763-20170724T111236.882748700.bin</t>
  </si>
  <si>
    <t>-911.091775839662 145.264044580738 -64.0151606777741</t>
  </si>
  <si>
    <t>-944.459482552781 141.767242403112 -174.878071314423</t>
  </si>
  <si>
    <t>-957.671981308383 141.874624377094 -272.61283603084</t>
  </si>
  <si>
    <t>-963.909297037946 142.902512873402 -361.485159404585</t>
  </si>
  <si>
    <t>-964.041515497748 144.643283373267 -450.564876418683</t>
  </si>
  <si>
    <t>-957.801454461222 147.631332777676 -574.955145420316</t>
  </si>
  <si>
    <t>-919.257471421524 148.290136686486 -648.568779215568</t>
  </si>
  <si>
    <t>-957.050564104962 173.791119320777 -519.381724523677</t>
  </si>
  <si>
    <t>-938.804417297446 308.28271491662 -497.537330137331</t>
  </si>
  <si>
    <t>-900.774875258479 336.023140335071 -207.062824335339</t>
  </si>
  <si>
    <t>-660.468520226178 352.274977247078 -213.354929721592</t>
  </si>
  <si>
    <t>-964.044324668743 118.841700357445 -521.052525377776</t>
  </si>
  <si>
    <t>-912.097798346663 240.261933275859 -66.8145368396597</t>
  </si>
  <si>
    <t>-918.283224552771 270.526753708511 335.55403822453</t>
  </si>
  <si>
    <t>-948.762801435885 296.624658358184 781.277320796434</t>
  </si>
  <si>
    <t>-808.040626964246 336.229668625194 842.236977461599</t>
  </si>
  <si>
    <t>-910.400614788491 50.1151528772812 -63.2418269674122</t>
  </si>
  <si>
    <t>-875.177359613667 38.3482145165322 338.598272481239</t>
  </si>
  <si>
    <t>-906.301232041362 43.5081386189127 785.686745015222</t>
  </si>
  <si>
    <t>-810.797490549156 -60.4502406981278 857.51256032562</t>
  </si>
  <si>
    <t>9763-20170724T111236.914879200.bin</t>
  </si>
  <si>
    <t>-910.850383469164 145.152489791741 -63.9875167704367</t>
  </si>
  <si>
    <t>-944.224239005406 141.649971648741 -174.848362476436</t>
  </si>
  <si>
    <t>-957.444913995757 141.753774641312 -272.582021037181</t>
  </si>
  <si>
    <t>-963.6911902826 142.780233432722 -361.453752042293</t>
  </si>
  <si>
    <t>-963.833011055871 144.52072485988 -450.533493258471</t>
  </si>
  <si>
    <t>-957.608022799918 147.510488360907 -574.924499236282</t>
  </si>
  <si>
    <t>-919.044372520546 148.148984380437 -648.527816913595</t>
  </si>
  <si>
    <t>-956.846171944536 173.669209283076 -519.350457863204</t>
  </si>
  <si>
    <t>-938.616337664639 308.159359581931 -497.527695164777</t>
  </si>
  <si>
    <t>-902.042873746842 335.385846322195 -206.817732938849</t>
  </si>
  <si>
    <t>-661.773337261375 352.183009731877 -213.090830401349</t>
  </si>
  <si>
    <t>-963.848456393953 118.720619797647 -521.021714207963</t>
  </si>
  <si>
    <t>-911.853027475796 240.191030580587 -66.8000993274421</t>
  </si>
  <si>
    <t>-918.117304674681 270.48856930097 335.564689745753</t>
  </si>
  <si>
    <t>-948.889670341071 296.65038885195 781.275268712854</t>
  </si>
  <si>
    <t>-808.134052437156 336.147811430216 842.226893194586</t>
  </si>
  <si>
    <t>-910.168812982877 49.9739335519916 -63.2294349499805</t>
  </si>
  <si>
    <t>-875.064109792266 38.1476570090817 338.619432284601</t>
  </si>
  <si>
    <t>-906.223330566 43.4439584653073 785.689858427972</t>
  </si>
  <si>
    <t>-810.544312969394 -60.3607293304483 857.505025939759</t>
  </si>
  <si>
    <t>9763-20170724T111236.947967000.bin</t>
  </si>
  <si>
    <t>-910.509712612362 144.96445641705 -63.9788246130325</t>
  </si>
  <si>
    <t>-943.913663415002 141.462462301864 -174.830689733223</t>
  </si>
  <si>
    <t>-957.169587286175 141.57307366207 -272.559495202097</t>
  </si>
  <si>
    <t>-963.451156025398 142.60910437905 -361.428638318241</t>
  </si>
  <si>
    <t>-963.6320298002 144.364018696122 -450.507977926142</t>
  </si>
  <si>
    <t>-957.464964532242 147.379202034404 -574.901123739148</t>
  </si>
  <si>
    <t>-918.908845019755 148.007528340509 -648.50857289173</t>
  </si>
  <si>
    <t>-956.677352069962 173.526426136754 -519.322448087877</t>
  </si>
  <si>
    <t>-938.490481866825 308.031852880765 -497.508942448397</t>
  </si>
  <si>
    <t>-903.210793937996 334.921750912588 -206.607857446387</t>
  </si>
  <si>
    <t>-662.972648855038 352.212927368171 -212.737725340338</t>
  </si>
  <si>
    <t>-963.680330628116 118.578304661618 -521.001389016933</t>
  </si>
  <si>
    <t>-911.501464300269 240.017517442702 -66.795380046332</t>
  </si>
  <si>
    <t>-917.807597220655 270.389700127573 335.563184650112</t>
  </si>
  <si>
    <t>-948.943466678667 296.554349685665 781.266663996196</t>
  </si>
  <si>
    <t>-808.230905274054 336.227905884937 842.203653050801</t>
  </si>
  <si>
    <t>-909.815620175342 49.7500876005038 -63.2240936925386</t>
  </si>
  <si>
    <t>-874.888135129487 38.0019414100088 338.642437485763</t>
  </si>
  <si>
    <t>-906.094273770876 43.4617469763989 785.693696377915</t>
  </si>
  <si>
    <t>-810.532454319422 -60.4467965514555 857.514587617242</t>
  </si>
  <si>
    <t>9763-20170724T111237.035616800.bin</t>
  </si>
  <si>
    <t>-910.038546102684 144.586699670248 -63.9878380898858</t>
  </si>
  <si>
    <t>-943.519570587032 141.072120187205 -174.815993121721</t>
  </si>
  <si>
    <t>-956.843893504951 141.153546142797 -272.535587020476</t>
  </si>
  <si>
    <t>-963.188783079819 142.156315438142 -361.400483753573</t>
  </si>
  <si>
    <t>-963.433537744438 143.871504604987 -450.480531223558</t>
  </si>
  <si>
    <t>-957.357212457516 146.825537769884 -574.879765488332</t>
  </si>
  <si>
    <t>-918.797029370893 147.412773496153 -648.485376071361</t>
  </si>
  <si>
    <t>-956.529237272748 173.000307807929 -519.314413334191</t>
  </si>
  <si>
    <t>-938.402081324327 307.515610081633 -497.525575525676</t>
  </si>
  <si>
    <t>-904.584654757473 334.233513173415 -206.434919620463</t>
  </si>
  <si>
    <t>-664.373571601257 351.984775515897 -212.293812586453</t>
  </si>
  <si>
    <t>-963.532772111467 118.050925865635 -520.961292591005</t>
  </si>
  <si>
    <t>-911.085859613455 239.715506839313 -66.7976423126324</t>
  </si>
  <si>
    <t>-917.340309090353 270.177149315192 335.554916536467</t>
  </si>
  <si>
    <t>-949.114623402621 296.529636838105 781.234974683126</t>
  </si>
  <si>
    <t>-808.372618709205 336.134349904164 842.148585931303</t>
  </si>
  <si>
    <t>-909.339768000779 49.31063096143 -63.2244337982219</t>
  </si>
  <si>
    <t>-874.714413531298 37.6643206643748 338.671244782067</t>
  </si>
  <si>
    <t>-905.940699410339 43.4230793425386 785.696078034825</t>
  </si>
  <si>
    <t>-810.169896472813 -60.3010261374575 857.504992516957</t>
  </si>
  <si>
    <t>9763-20170724T111237.081245100.bin</t>
  </si>
  <si>
    <t>-909.212661975518 144.108048185506 -64.0347627013575</t>
  </si>
  <si>
    <t>-942.691511839858 140.541126299665 -174.862021379272</t>
  </si>
  <si>
    <t>-956.008504942453 140.558483924165 -272.582506611606</t>
  </si>
  <si>
    <t>-962.345459894593 141.498463290713 -361.448713563847</t>
  </si>
  <si>
    <t>-962.581266994963 143.146224280377 -450.529993417794</t>
  </si>
  <si>
    <t>-956.491173773819 146.002522723149 -574.930866101903</t>
  </si>
  <si>
    <t>-917.884169520951 146.590968516871 -648.511995504858</t>
  </si>
  <si>
    <t>-955.684151613141 172.222704518108 -519.386661195303</t>
  </si>
  <si>
    <t>-937.616076086539 306.752136273139 -497.661348641161</t>
  </si>
  <si>
    <t>-903.789316648013 333.904573529214 -206.612049894942</t>
  </si>
  <si>
    <t>-663.582144840077 352.18255387027 -210.77471666619</t>
  </si>
  <si>
    <t>-962.658029999051 117.268422489913 -520.989738795971</t>
  </si>
  <si>
    <t>-910.25317349127 239.233030380143 -66.8652376613009</t>
  </si>
  <si>
    <t>-916.889921084971 269.726075759468 335.478958948086</t>
  </si>
  <si>
    <t>-949.319511210275 296.400514815237 781.097561466352</t>
  </si>
  <si>
    <t>-808.635133259101 336.226095769542 842.000131414083</t>
  </si>
  <si>
    <t>-908.442361090197 48.8334850890628 -63.2279542324651</t>
  </si>
  <si>
    <t>-874.303081818717 37.239345074247 338.710804007241</t>
  </si>
  <si>
    <t>-905.632226353027 43.4691207992464 785.702975874514</t>
  </si>
  <si>
    <t>-809.95853299541 -60.349912795378 857.50408090156</t>
  </si>
  <si>
    <t>9763-20170724T111237.145544100.bin</t>
  </si>
  <si>
    <t>-908.420640574363 143.414896184487 -64.1180921310968</t>
  </si>
  <si>
    <t>-941.702623728502 139.864900564867 -175.005058744142</t>
  </si>
  <si>
    <t>-954.933924430852 139.822292225399 -272.737337597187</t>
  </si>
  <si>
    <t>-961.229277083506 140.680990432659 -361.607412506278</t>
  </si>
  <si>
    <t>-961.462379633352 142.223515395467 -450.690494161102</t>
  </si>
  <si>
    <t>-955.408812268968 144.909756359939 -575.096813186554</t>
  </si>
  <si>
    <t>-916.841629518857 145.536410521546 -648.698621218541</t>
  </si>
  <si>
    <t>-954.59867750171 171.207630869543 -519.589435322849</t>
  </si>
  <si>
    <t>-936.465235315941 305.747898167101 -498.000948454826</t>
  </si>
  <si>
    <t>-901.13980759529 333.20422218384 -207.158297189211</t>
  </si>
  <si>
    <t>-660.854207084009 350.773180739832 -209.421995654869</t>
  </si>
  <si>
    <t>-961.546276456337 116.247656806339 -521.114241026993</t>
  </si>
  <si>
    <t>-909.246421650158 238.577098830755 -66.9740843000061</t>
  </si>
  <si>
    <t>-916.83664080688 269.108329526082 335.350264334322</t>
  </si>
  <si>
    <t>-949.333198098697 296.175670039847 780.897981785788</t>
  </si>
  <si>
    <t>-808.751964710537 336.183834540887 841.918832859477</t>
  </si>
  <si>
    <t>-907.832556972934 48.0168559241033 -63.2670194683431</t>
  </si>
  <si>
    <t>-874.045268734445 36.6988079795765 338.709248566971</t>
  </si>
  <si>
    <t>-905.519409835523 43.3164531349353 785.714948310757</t>
  </si>
  <si>
    <t>-809.567922342505 -60.2671573473435 857.485971949907</t>
  </si>
  <si>
    <t>9763-20170724T111237.182645100.bin</t>
  </si>
  <si>
    <t>-908.157343373878 143.085204136124 -64.1521106095863</t>
  </si>
  <si>
    <t>-941.341532652301 139.545825196405 -175.06877814629</t>
  </si>
  <si>
    <t>-954.501850593208 139.486983371691 -272.810471887218</t>
  </si>
  <si>
    <t>-960.740778749076 140.322073662931 -361.684752253376</t>
  </si>
  <si>
    <t>-960.923798700805 141.832878851531 -450.768565206305</t>
  </si>
  <si>
    <t>-954.808943427319 144.465994522583 -575.173040892099</t>
  </si>
  <si>
    <t>-916.268975788996 145.136916686646 -648.788785111146</t>
  </si>
  <si>
    <t>-954.028925380166 170.787892817389 -519.676559996927</t>
  </si>
  <si>
    <t>-935.862328673764 305.328577755351 -498.096450513877</t>
  </si>
  <si>
    <t>-899.735207618405 332.754078906704 -207.349359212887</t>
  </si>
  <si>
    <t>-659.364559298167 349.140191480187 -209.440169647751</t>
  </si>
  <si>
    <t>-960.970331762104 115.826769226929 -521.181027587706</t>
  </si>
  <si>
    <t>-909.004702739591 238.36743229776 -67.0356925480495</t>
  </si>
  <si>
    <t>-916.883362121317 268.834862321661 335.287952120162</t>
  </si>
  <si>
    <t>-949.489164794635 296.294160744373 780.818822742833</t>
  </si>
  <si>
    <t>-808.899266699494 336.226947535297 841.869225035097</t>
  </si>
  <si>
    <t>-907.697622742999 47.6574242648499 -63.2997364143233</t>
  </si>
  <si>
    <t>-874.122582039791 36.5443360093323 338.700142988885</t>
  </si>
  <si>
    <t>-905.478869877045 43.2169715209952 785.719121747157</t>
  </si>
  <si>
    <t>-809.349327339809 -60.2144303586997 857.471363184077</t>
  </si>
  <si>
    <t>9763-20170724T111237.229772100.bin</t>
  </si>
  <si>
    <t>-907.984400253349 142.998015267574 -64.1753298212333</t>
  </si>
  <si>
    <t>-941.099777952586 139.476158565751 -175.113156735246</t>
  </si>
  <si>
    <t>-954.183549304923 139.417808901783 -272.865234631322</t>
  </si>
  <si>
    <t>-960.346574843645 140.247708889382 -361.744728501674</t>
  </si>
  <si>
    <t>-960.447804300992 141.746744782031 -450.828790660592</t>
  </si>
  <si>
    <t>-954.212296943944 144.357168429834 -575.227886860968</t>
  </si>
  <si>
    <t>-915.699459646859 145.073096121198 -648.857221690298</t>
  </si>
  <si>
    <t>-953.480568040909 170.688395075271 -519.735200138926</t>
  </si>
  <si>
    <t>-935.235052699343 305.210395263757 -498.13185627033</t>
  </si>
  <si>
    <t>-898.373870081236 332.426371546977 -207.457104746088</t>
  </si>
  <si>
    <t>-657.942238203819 347.865322074009 -209.713005689211</t>
  </si>
  <si>
    <t>-960.431589555212 115.728420853535 -521.236916188609</t>
  </si>
  <si>
    <t>-908.919059696029 238.367753035879 -67.090436678855</t>
  </si>
  <si>
    <t>-917.037853313304 268.745334068431 335.23523960515</t>
  </si>
  <si>
    <t>-949.63967731636 296.401667395352 780.752348830815</t>
  </si>
  <si>
    <t>-808.983893398926 336.082629180956 841.815443192254</t>
  </si>
  <si>
    <t>-907.500470200271 47.6125815105838 -63.3424294120235</t>
  </si>
  <si>
    <t>-874.183194454335 36.551000182696 338.680350003333</t>
  </si>
  <si>
    <t>-905.306313349251 43.3194565760837 785.706359785937</t>
  </si>
  <si>
    <t>-809.38092264506 -60.2940906839804 857.468699917253</t>
  </si>
  <si>
    <t>9763-20170724T111237.282923100.bin</t>
  </si>
  <si>
    <t>-907.932262515804 143.250570897384 -64.2673777198841</t>
  </si>
  <si>
    <t>-940.947168178111 139.766638224236 -175.236276677511</t>
  </si>
  <si>
    <t>-953.925999423331 139.758393819235 -273.002408207596</t>
  </si>
  <si>
    <t>-959.986101281801 140.640398419584 -361.888603192105</t>
  </si>
  <si>
    <t>-959.977116897277 142.198149038155 -450.971718612429</t>
  </si>
  <si>
    <t>-953.580267488995 144.896974765086 -575.36064996296</t>
  </si>
  <si>
    <t>-915.084159859195 145.728223387005 -648.99746924422</t>
  </si>
  <si>
    <t>-952.910365867254 171.187504366606 -519.847826156927</t>
  </si>
  <si>
    <t>-934.55264986921 305.682024477272 -498.137035877925</t>
  </si>
  <si>
    <t>-896.639345890945 331.877462240418 -207.503824506893</t>
  </si>
  <si>
    <t>-656.089465140093 345.075548729913 -211.036773400886</t>
  </si>
  <si>
    <t>-959.879802272503 116.231173279825 -521.398593232187</t>
  </si>
  <si>
    <t>-908.993285867612 238.591077245239 -67.1514531004248</t>
  </si>
  <si>
    <t>-917.421755408556 268.82561773726 335.178639288423</t>
  </si>
  <si>
    <t>-949.917011488799 296.545790685402 780.704746223979</t>
  </si>
  <si>
    <t>-809.172667381949 335.954620106603 841.7398762303</t>
  </si>
  <si>
    <t>-907.287892122208 47.8436364009931 -63.4170161893117</t>
  </si>
  <si>
    <t>-874.21019363901 36.5488896522711 338.618971462789</t>
  </si>
  <si>
    <t>-905.081627558709 43.3470764567523 785.684272337071</t>
  </si>
  <si>
    <t>-809.245183549274 -60.346943877194 857.449235660913</t>
  </si>
  <si>
    <t>9763-20170724T111237.313743600.bin</t>
  </si>
  <si>
    <t>-907.90461502781 143.25902861345 -64.2885879731521</t>
  </si>
  <si>
    <t>-940.904223757048 139.812202227653 -175.263203630338</t>
  </si>
  <si>
    <t>-953.849966275436 139.844253117216 -273.03367432032</t>
  </si>
  <si>
    <t>-959.872073987912 140.765764066432 -361.921916989138</t>
  </si>
  <si>
    <t>-959.817001666182 142.366962363014 -451.004282417285</t>
  </si>
  <si>
    <t>-953.347044503556 145.130127034308 -575.38805322121</t>
  </si>
  <si>
    <t>-914.849049627743 146.031429596705 -649.023105365014</t>
  </si>
  <si>
    <t>-952.712918915354 171.392179872512 -519.861432558971</t>
  </si>
  <si>
    <t>-934.34128550959 305.873294268693 -498.036317579713</t>
  </si>
  <si>
    <t>-896.090963697895 331.320153757234 -207.380846631327</t>
  </si>
  <si>
    <t>-655.505946057238 343.626731767567 -211.648216989213</t>
  </si>
  <si>
    <t>-959.675529734124 116.435997047719 -521.444331039011</t>
  </si>
  <si>
    <t>-908.9694640087 238.6150482851 -67.1491441557545</t>
  </si>
  <si>
    <t>-917.532751646467 268.867699769286 335.176725391549</t>
  </si>
  <si>
    <t>-950.03492708512 296.569893466576 780.711256250718</t>
  </si>
  <si>
    <t>-809.261019931507 335.911546124031 841.721581411859</t>
  </si>
  <si>
    <t>-907.205770519914 47.7582751007812 -63.4456591682472</t>
  </si>
  <si>
    <t>-874.21467832741 36.459272165112 338.597307331581</t>
  </si>
  <si>
    <t>-905.033257384601 43.2644498747873 785.67373277355</t>
  </si>
  <si>
    <t>-809.073449251392 -60.3202128764297 857.432091878576</t>
  </si>
  <si>
    <t>9763-20170724T111237.392455600.bin</t>
  </si>
  <si>
    <t>-907.616054125201 142.96054897781 -64.2755009093535</t>
  </si>
  <si>
    <t>-940.661246963217 139.519949976339 -175.236702015472</t>
  </si>
  <si>
    <t>-953.568918709038 139.637556821941 -273.012179957086</t>
  </si>
  <si>
    <t>-959.522885066523 140.665013333825 -361.903801663279</t>
  </si>
  <si>
    <t>-959.364715493705 142.398317001741 -450.983708779974</t>
  </si>
  <si>
    <t>-952.713677401921 145.372604623052 -575.353058570975</t>
  </si>
  <si>
    <t>-914.20619458381 146.48228401083 -648.980455800599</t>
  </si>
  <si>
    <t>-952.184643156604 171.543683349653 -519.782302175573</t>
  </si>
  <si>
    <t>-933.884852716297 305.984309811012 -497.656788209225</t>
  </si>
  <si>
    <t>-895.560369583993 330.201344522548 -206.905953183076</t>
  </si>
  <si>
    <t>-654.909187382142 339.701296018603 -213.808667159945</t>
  </si>
  <si>
    <t>-959.095909490042 116.583907116975 -521.466240318308</t>
  </si>
  <si>
    <t>-908.872680483049 238.347012902339 -67.0801881232794</t>
  </si>
  <si>
    <t>-917.349524128816 268.735690696633 335.23732416564</t>
  </si>
  <si>
    <t>-950.263671737732 296.568008608 780.74854228394</t>
  </si>
  <si>
    <t>-809.535438614539 336.1811912002 841.688275027445</t>
  </si>
  <si>
    <t>-906.664318427892 47.4099391690565 -63.4971891575626</t>
  </si>
  <si>
    <t>-873.987140254817 36.1812530141879 338.573417952459</t>
  </si>
  <si>
    <t>-904.837995751839 43.2457096529542 785.636287506268</t>
  </si>
  <si>
    <t>-808.868815644659 -60.3225068710497 857.405960123129</t>
  </si>
  <si>
    <t>9763-20170724T111237.415562600.bin</t>
  </si>
  <si>
    <t>-907.384610620418 142.765686456939 -64.2606261023467</t>
  </si>
  <si>
    <t>-940.490718469591 139.298868416625 -175.202930709582</t>
  </si>
  <si>
    <t>-953.408130059991 139.443862533396 -272.976904183175</t>
  </si>
  <si>
    <t>-959.352481097571 140.51367877756 -361.868796336468</t>
  </si>
  <si>
    <t>-959.164798942785 142.306195275908 -450.947392595661</t>
  </si>
  <si>
    <t>-952.452143001793 145.379594866521 -575.311051791226</t>
  </si>
  <si>
    <t>-913.98911422511 146.616529858609 -648.959429080604</t>
  </si>
  <si>
    <t>-951.979311962546 171.509899498674 -519.720597312297</t>
  </si>
  <si>
    <t>-933.787856150208 305.936326840033 -497.440668408411</t>
  </si>
  <si>
    <t>-895.419968087879 329.681726797394 -206.656744175047</t>
  </si>
  <si>
    <t>-654.769809559803 337.901816742787 -215.068393830069</t>
  </si>
  <si>
    <t>-958.832946486322 116.544300059193 -521.448803958046</t>
  </si>
  <si>
    <t>-908.784561328534 238.12157028887 -67.0459354817805</t>
  </si>
  <si>
    <t>-917.162934452934 268.575538004694 335.268680302597</t>
  </si>
  <si>
    <t>-950.233300639695 296.338633578606 780.762793994747</t>
  </si>
  <si>
    <t>-809.58592124868 336.279816800483 841.675376959004</t>
  </si>
  <si>
    <t>-906.293112096818 47.2424423147663 -63.5107750334328</t>
  </si>
  <si>
    <t>-873.742653381765 36.0026230332001 338.569724451747</t>
  </si>
  <si>
    <t>-904.730601095129 43.2521953799169 785.620089697266</t>
  </si>
  <si>
    <t>-808.820939801838 -60.3661526972726 857.396578578943</t>
  </si>
  <si>
    <t>9763-20170724T111237.478758600.bin</t>
  </si>
  <si>
    <t>-906.944006482861 142.512485093455 -64.2325754453965</t>
  </si>
  <si>
    <t>-940.148625048524 138.970513688554 -175.14296769226</t>
  </si>
  <si>
    <t>-953.100053588295 139.16684709147 -272.912607312801</t>
  </si>
  <si>
    <t>-959.05066090661 140.326046132086 -361.802919633622</t>
  </si>
  <si>
    <t>-958.843887511344 142.250020670017 -450.878672204816</t>
  </si>
  <si>
    <t>-952.075994175559 145.54952314592 -575.233408926294</t>
  </si>
  <si>
    <t>-913.649862395313 147.063602071795 -648.895937499825</t>
  </si>
  <si>
    <t>-951.700022967294 171.587787670206 -519.599080320298</t>
  </si>
  <si>
    <t>-933.79352101322 306.003175563334 -497.034628223733</t>
  </si>
  <si>
    <t>-895.243679792842 328.746046332239 -206.194711777827</t>
  </si>
  <si>
    <t>-654.697747399055 335.968647799576 -217.867974144034</t>
  </si>
  <si>
    <t>-958.408745700497 116.607412173844 -521.423014790231</t>
  </si>
  <si>
    <t>-908.703399658782 237.943885984691 -66.9870697519152</t>
  </si>
  <si>
    <t>-917.13881781192 268.505817280075 335.318228835826</t>
  </si>
  <si>
    <t>-950.548694631543 296.521227108687 780.763003711224</t>
  </si>
  <si>
    <t>-809.850858120181 336.312118006972 841.65738610865</t>
  </si>
  <si>
    <t>-905.523662573402 46.9328578177228 -63.516663938217</t>
  </si>
  <si>
    <t>-873.208483851215 35.7028360695476 338.583241571664</t>
  </si>
  <si>
    <t>-904.47795845359 43.3367624721109 785.596162066067</t>
  </si>
  <si>
    <t>-808.609928584187 -60.316607067909 857.377427136063</t>
  </si>
  <si>
    <t>9763-20170724T111237.514571900.bin</t>
  </si>
  <si>
    <t>-906.698281221816 142.400871868776 -64.2224923285903</t>
  </si>
  <si>
    <t>-939.933094096882 138.828540514268 -175.122841129975</t>
  </si>
  <si>
    <t>-952.904694532246 139.043262818771 -272.889781184962</t>
  </si>
  <si>
    <t>-958.870560029558 140.23604025385 -361.778547352455</t>
  </si>
  <si>
    <t>-958.675055624366 142.211593099199 -450.853210398856</t>
  </si>
  <si>
    <t>-951.917959955136 145.601666949997 -575.206237616412</t>
  </si>
  <si>
    <t>-913.568386123661 147.229266731375 -648.906371975683</t>
  </si>
  <si>
    <t>-951.574222089151 171.604077489744 -519.554879140255</t>
  </si>
  <si>
    <t>-933.856344040086 306.037690263223 -496.890690199</t>
  </si>
  <si>
    <t>-895.278347416274 328.26830001544 -206.014815920281</t>
  </si>
  <si>
    <t>-654.844465995456 335.56553623245 -219.766730083217</t>
  </si>
  <si>
    <t>-958.208542368824 116.615848659533 -521.414454974244</t>
  </si>
  <si>
    <t>-908.528582310249 237.857909443889 -66.986558723333</t>
  </si>
  <si>
    <t>-917.18022042644 268.406741923193 335.315068776939</t>
  </si>
  <si>
    <t>-950.535437659621 296.366560845221 780.746583967035</t>
  </si>
  <si>
    <t>-809.870114423315 336.265592194599 841.645710932876</t>
  </si>
  <si>
    <t>-905.19287994909 46.8203328654236 -63.5151510123961</t>
  </si>
  <si>
    <t>-873.032632767192 35.5518175407497 338.596056239248</t>
  </si>
  <si>
    <t>-904.421164409903 43.2710665219984 785.588939179556</t>
  </si>
  <si>
    <t>-808.454587261182 -60.2937353336779 857.366234713198</t>
  </si>
  <si>
    <t>9763-20170724T111237.579746800.bin</t>
  </si>
  <si>
    <t>-906.321551501507 142.390063275224 -64.2522533364979</t>
  </si>
  <si>
    <t>-939.584961090763 138.761452208949 -175.142287210708</t>
  </si>
  <si>
    <t>-952.536617286276 139.009598324454 -272.911717565008</t>
  </si>
  <si>
    <t>-958.464105468027 140.265293146871 -361.802138871486</t>
  </si>
  <si>
    <t>-958.209572287746 142.33729359073 -450.874621245391</t>
  </si>
  <si>
    <t>-951.347732578674 145.897946473216 -575.217023334308</t>
  </si>
  <si>
    <t>-913.373270498348 147.759098284519 -649.105486096316</t>
  </si>
  <si>
    <t>-951.130893903067 171.833525238846 -519.533941131822</t>
  </si>
  <si>
    <t>-933.832229745054 306.281995284105 -496.739638778933</t>
  </si>
  <si>
    <t>-895.741583410579 328.386845116041 -205.789905487174</t>
  </si>
  <si>
    <t>-655.246268735179 337.222328965846 -217.397530079767</t>
  </si>
  <si>
    <t>-957.603538496466 116.828647101539 -521.466203868194</t>
  </si>
  <si>
    <t>-908.3980434166 237.891106741877 -67.0145950998152</t>
  </si>
  <si>
    <t>-917.258684557973 268.296573898573 335.293253553923</t>
  </si>
  <si>
    <t>-950.686469509266 296.344696275171 780.721124415947</t>
  </si>
  <si>
    <t>-810.003580765456 336.168591082805 841.628363629046</t>
  </si>
  <si>
    <t>-904.598362031972 46.753593788796 -63.5380222183904</t>
  </si>
  <si>
    <t>-872.705740257278 35.4142557024747 338.592451605247</t>
  </si>
  <si>
    <t>-904.195434162879 43.3253048999991 785.570197396845</t>
  </si>
  <si>
    <t>-808.258675455743 -60.2676079480118 857.347098214344</t>
  </si>
  <si>
    <t>9763-20170724T111237.612442500.bin</t>
  </si>
  <si>
    <t>-906.173352380339 142.363339242957 -64.2630717180245</t>
  </si>
  <si>
    <t>-939.403277366813 138.729061586077 -175.162873246092</t>
  </si>
  <si>
    <t>-952.268499351421 139.025417887366 -272.943465068775</t>
  </si>
  <si>
    <t>-958.093991282371 140.345845108812 -361.839885905555</t>
  </si>
  <si>
    <t>-957.712617252381 142.504905433358 -450.909762149596</t>
  </si>
  <si>
    <t>-950.64774901827 146.21085559854 -575.236658817</t>
  </si>
  <si>
    <t>-912.944110466182 148.218707305715 -649.259747934699</t>
  </si>
  <si>
    <t>-950.570676522881 172.087153325526 -519.525497410871</t>
  </si>
  <si>
    <t>-933.533972715457 306.569261283518 -496.646621646895</t>
  </si>
  <si>
    <t>-895.7233940112 328.528365591097 -205.649333404415</t>
  </si>
  <si>
    <t>-655.139928137212 340.303830347963 -211.287996425147</t>
  </si>
  <si>
    <t>-956.942679237827 117.072964881448 -521.527516089107</t>
  </si>
  <si>
    <t>-908.321150236306 237.820618188067 -67.0080470157492</t>
  </si>
  <si>
    <t>-917.213428405378 268.26445469278 335.296304998972</t>
  </si>
  <si>
    <t>-950.749921692187 296.309227391116 780.720549667582</t>
  </si>
  <si>
    <t>-810.139797663971 336.397358805277 841.622168416767</t>
  </si>
  <si>
    <t>-904.35229082323 46.7446958100109 -63.5529400286576</t>
  </si>
  <si>
    <t>-872.563184861328 35.3205227354488 338.583344084101</t>
  </si>
  <si>
    <t>-904.119844175949 43.2893074986723 785.559240739173</t>
  </si>
  <si>
    <t>-808.098286895091 -60.2291950830856 857.330229881047</t>
  </si>
  <si>
    <t>9763-20170724T111237.678119600.bin</t>
  </si>
  <si>
    <t>-905.859466400957 142.286526760518 -64.2641005531259</t>
  </si>
  <si>
    <t>-939.017346959664 138.603342086576 -175.183919281176</t>
  </si>
  <si>
    <t>-951.763554305647 139.005194280232 -272.979797838522</t>
  </si>
  <si>
    <t>-957.456162983729 140.48105080943 -361.882334875289</t>
  </si>
  <si>
    <t>-956.915343249039 142.858426134299 -450.945762373001</t>
  </si>
  <si>
    <t>-949.598538715443 146.935716033295 -575.246420141796</t>
  </si>
  <si>
    <t>-912.599221590642 149.19195093016 -649.617261219872</t>
  </si>
  <si>
    <t>-949.760441678797 172.659891407557 -519.465158648773</t>
  </si>
  <si>
    <t>-933.160576163182 307.134114812693 -496.233850557219</t>
  </si>
  <si>
    <t>-894.457378903023 329.473878950754 -205.382976428374</t>
  </si>
  <si>
    <t>-654.049920801472 345.432597005055 -206.087779965938</t>
  </si>
  <si>
    <t>-955.876124752028 117.623063769179 -521.630628988224</t>
  </si>
  <si>
    <t>-908.245377478704 237.771699171627 -66.9888518667062</t>
  </si>
  <si>
    <t>-917.225392075082 268.253029991075 335.310686231176</t>
  </si>
  <si>
    <t>-950.963922761331 296.379657369713 780.710172494686</t>
  </si>
  <si>
    <t>-810.293917582197 336.258411752877 841.611629674686</t>
  </si>
  <si>
    <t>-903.7834514378 46.6648823134151 -63.5855910920429</t>
  </si>
  <si>
    <t>-872.202364655782 35.1051534277735 338.563225840803</t>
  </si>
  <si>
    <t>-903.979986268534 43.204801764165 785.537020469737</t>
  </si>
  <si>
    <t>-807.796463250862 -60.1654784777511 857.3049094784</t>
  </si>
  <si>
    <t>9763-20170724T111237.714721300.bin</t>
  </si>
  <si>
    <t>-905.590386666925 142.171167017552 -64.279239361049</t>
  </si>
  <si>
    <t>-938.756047299142 138.445660916897 -175.195309451569</t>
  </si>
  <si>
    <t>-951.491378726971 138.86836898324 -272.992443721735</t>
  </si>
  <si>
    <t>-957.165476395912 140.384836481077 -361.895641533001</t>
  </si>
  <si>
    <t>-956.597202930186 142.825203153067 -450.957167567987</t>
  </si>
  <si>
    <t>-949.231972666547 147.014225996938 -575.251126613746</t>
  </si>
  <si>
    <t>-912.633920605222 149.367008524586 -649.817033957975</t>
  </si>
  <si>
    <t>-949.476116039644 172.695042355591 -519.450293759614</t>
  </si>
  <si>
    <t>-933.072381624628 307.172557354824 -496.047634695592</t>
  </si>
  <si>
    <t>-892.82009632401 330.147201381094 -205.456624421843</t>
  </si>
  <si>
    <t>-652.458676120049 346.796656473037 -205.369308596686</t>
  </si>
  <si>
    <t>-955.469970850193 117.646518611858 -521.660788422013</t>
  </si>
  <si>
    <t>-908.131613891493 237.61355588737 -66.9762595815474</t>
  </si>
  <si>
    <t>-917.180175463626 268.150338603718 335.317538960103</t>
  </si>
  <si>
    <t>-951.000882184229 296.31837630576 780.705117451179</t>
  </si>
  <si>
    <t>-810.472242012594 336.698634569135 841.60227062518</t>
  </si>
  <si>
    <t>-903.328898668846 46.5826680749215 -63.6075923079827</t>
  </si>
  <si>
    <t>-871.874246198759 34.9830315514378 338.549976768171</t>
  </si>
  <si>
    <t>-903.841714359517 43.2665114641918 785.515936698325</t>
  </si>
  <si>
    <t>-807.825339483605 -60.2503619472018 857.296190650851</t>
  </si>
  <si>
    <t>9763-20170724T111237.783909700.bin</t>
  </si>
  <si>
    <t>-905.137477654638 142.04843036709 -64.2728253190625</t>
  </si>
  <si>
    <t>-938.330314971066 138.179084224425 -175.175942745892</t>
  </si>
  <si>
    <t>-951.034543066842 138.536014495176 -272.977445308898</t>
  </si>
  <si>
    <t>-956.656631057788 140.011529744351 -361.884393080294</t>
  </si>
  <si>
    <t>-956.010900170948 142.428653996196 -450.946103372181</t>
  </si>
  <si>
    <t>-948.511470162232 146.602170228589 -575.232643747617</t>
  </si>
  <si>
    <t>-912.681010624115 149.121448220657 -650.165063201417</t>
  </si>
  <si>
    <t>-948.926596768607 172.302065508521 -519.441452538027</t>
  </si>
  <si>
    <t>-932.963763363366 306.82086031831 -496.014987082561</t>
  </si>
  <si>
    <t>-889.065047947338 332.763320240757 -206.202737367876</t>
  </si>
  <si>
    <t>-648.657796223522 348.647681803659 -204.503514722585</t>
  </si>
  <si>
    <t>-954.696644315467 117.228964120484 -521.639129876042</t>
  </si>
  <si>
    <t>-908.196773354372 237.585551186556 -66.9616307913641</t>
  </si>
  <si>
    <t>-917.485912629247 268.09128529455 335.328991799036</t>
  </si>
  <si>
    <t>-951.323510491588 296.57001458365 780.70899548146</t>
  </si>
  <si>
    <t>-810.65517920023 336.42902704678 841.627063735589</t>
  </si>
  <si>
    <t>-902.421435794985 46.3691743616655 -63.6347003622</t>
  </si>
  <si>
    <t>-871.263058637481 34.7281240506009 338.544739888743</t>
  </si>
  <si>
    <t>-903.671531869821 43.2283162846375 785.484065583129</t>
  </si>
  <si>
    <t>-807.540540675178 -60.1810458623906 857.266130016004</t>
  </si>
  <si>
    <t>9763-20170724T111237.812988000.bin</t>
  </si>
  <si>
    <t>-904.929788155698 141.940661351932 -64.2816668753665</t>
  </si>
  <si>
    <t>-938.138605116554 138.004742259413 -175.177652404453</t>
  </si>
  <si>
    <t>-950.830819659188 138.305462320318 -272.980890521136</t>
  </si>
  <si>
    <t>-956.431641334776 139.729114413608 -361.890125462969</t>
  </si>
  <si>
    <t>-955.754501587705 142.094757367924 -450.95289829787</t>
  </si>
  <si>
    <t>-948.199264592642 146.197382334361 -575.238436283987</t>
  </si>
  <si>
    <t>-912.714449164008 148.786551870569 -650.332637536036</t>
  </si>
  <si>
    <t>-948.70781979545 171.936416362686 -519.466073251433</t>
  </si>
  <si>
    <t>-933.039597744703 306.505739783379 -496.142831345326</t>
  </si>
  <si>
    <t>-887.277867763739 335.197875616932 -206.878465926741</t>
  </si>
  <si>
    <t>-646.804681603152 349.847545378661 -203.913710505639</t>
  </si>
  <si>
    <t>-954.340280192944 116.847558179647 -521.626876335429</t>
  </si>
  <si>
    <t>-908.213210955358 237.537537980584 -66.9726522437878</t>
  </si>
  <si>
    <t>-917.624650891872 267.947739043213 335.322437836597</t>
  </si>
  <si>
    <t>-951.331355558138 296.466760995794 780.701297948169</t>
  </si>
  <si>
    <t>-810.690127324991 336.401936012011 841.631872882079</t>
  </si>
  <si>
    <t>-902.001554342216 46.1841882785129 -63.6453448667781</t>
  </si>
  <si>
    <t>-870.99281666779 34.6062762554552 338.547496215706</t>
  </si>
  <si>
    <t>-903.520801142434 43.3149430053786 785.467757068037</t>
  </si>
  <si>
    <t>-807.408227294374 -60.1083004921588 857.254444539705</t>
  </si>
  <si>
    <t>9763-20170724T111237.882676100.bin</t>
  </si>
  <si>
    <t>-904.61697751682 141.708087028187 -64.2835596201431</t>
  </si>
  <si>
    <t>-937.894623435442 137.607423449586 -175.152897337116</t>
  </si>
  <si>
    <t>-950.557596238901 137.705483539954 -272.960395993652</t>
  </si>
  <si>
    <t>-956.097384743003 138.921176922367 -361.876461347863</t>
  </si>
  <si>
    <t>-955.325699195339 141.05743535966 -450.944391116237</t>
  </si>
  <si>
    <t>-947.605105568815 144.819503807483 -575.230447866323</t>
  </si>
  <si>
    <t>-912.687248403484 147.419755018167 -650.589668639564</t>
  </si>
  <si>
    <t>-948.363709877498 170.728953979547 -519.539889811718</t>
  </si>
  <si>
    <t>-933.48126957816 305.452100911475 -496.529921552165</t>
  </si>
  <si>
    <t>-884.154897471067 342.310202961299 -208.780729093537</t>
  </si>
  <si>
    <t>-643.562215722288 352.656938718108 -201.100078305545</t>
  </si>
  <si>
    <t>-953.641206636927 115.598920335465 -521.536638876473</t>
  </si>
  <si>
    <t>-908.343280694695 237.385317218398 -66.9955474361091</t>
  </si>
  <si>
    <t>-917.710675494784 267.700342228807 335.307719015452</t>
  </si>
  <si>
    <t>-951.485285356824 296.466742624564 780.70091929798</t>
  </si>
  <si>
    <t>-810.933832912383 336.702368310526 841.640927392746</t>
  </si>
  <si>
    <t>-901.239320019186 45.9126532560144 -63.6500778087493</t>
  </si>
  <si>
    <t>-870.538961492551 34.3704377146755 338.567451295427</t>
  </si>
  <si>
    <t>-903.394668808968 43.2259701023986 785.452341424043</t>
  </si>
  <si>
    <t>-807.210098319564 -60.1268143415466 857.244097952807</t>
  </si>
  <si>
    <t>9763-20170724T111237.914263200.bin</t>
  </si>
  <si>
    <t>-904.434592151152 141.663121007354 -64.2817483896772</t>
  </si>
  <si>
    <t>-937.744073738932 137.427960497466 -175.136427105608</t>
  </si>
  <si>
    <t>-950.386159870527 137.364603063549 -272.946579732252</t>
  </si>
  <si>
    <t>-955.888291912195 138.415330005577 -361.867142390474</t>
  </si>
  <si>
    <t>-955.060986530218 140.369532997539 -450.93868033686</t>
  </si>
  <si>
    <t>-947.244898836064 143.859015018244 -575.226795421664</t>
  </si>
  <si>
    <t>-912.581227658569 146.366901756521 -650.706468594682</t>
  </si>
  <si>
    <t>-948.14561022046 169.900254146829 -519.59985597279</t>
  </si>
  <si>
    <t>-933.760679598159 304.721427852015 -496.88816903391</t>
  </si>
  <si>
    <t>-882.867045337832 346.555158565041 -210.093989367096</t>
  </si>
  <si>
    <t>-642.2884063375 354.166996607123 -199.376714303714</t>
  </si>
  <si>
    <t>-953.223146130723 114.746817576993 -521.467644123814</t>
  </si>
  <si>
    <t>-908.415830891305 237.271689301107 -67.0060609046928</t>
  </si>
  <si>
    <t>-917.674213586901 267.636530642367 335.296028973982</t>
  </si>
  <si>
    <t>-951.520999270983 296.381298464698 780.687468474177</t>
  </si>
  <si>
    <t>-811.058000793015 336.929893919949 841.624070626983</t>
  </si>
  <si>
    <t>-900.768323920299 45.9078984388175 -63.6303760616273</t>
  </si>
  <si>
    <t>-870.191758441595 34.2692528354137 338.593771658063</t>
  </si>
  <si>
    <t>-903.25780586504 43.2883592600024 785.446242217627</t>
  </si>
  <si>
    <t>-807.179317437533 -60.1598383922783 857.242620134393</t>
  </si>
  <si>
    <t>9763-20170724T111237.978938500.bin</t>
  </si>
  <si>
    <t>-904.147364768808 141.540765700361 -64.2986334464141</t>
  </si>
  <si>
    <t>-937.485625893706 137.045267777192 -175.13440500441</t>
  </si>
  <si>
    <t>-950.075363316678 136.595432738841 -272.950391981866</t>
  </si>
  <si>
    <t>-955.502595227065 137.230632504833 -361.879311452571</t>
  </si>
  <si>
    <t>-954.575256894149 138.70866292929 -450.959092651364</t>
  </si>
  <si>
    <t>-946.594481584135 141.471645326702 -575.255020219951</t>
  </si>
  <si>
    <t>-912.461923750196 143.639299464405 -650.986768735297</t>
  </si>
  <si>
    <t>-947.793277382416 167.857555133982 -519.796399669862</t>
  </si>
  <si>
    <t>-934.557385653947 302.910069401922 -497.868212857997</t>
  </si>
  <si>
    <t>-882.163354264947 354.160990743589 -212.877999317535</t>
  </si>
  <si>
    <t>-641.723486515688 357.701173299219 -197.811292790684</t>
  </si>
  <si>
    <t>-952.419585562533 112.654016579791 -521.320618758759</t>
  </si>
  <si>
    <t>-908.696705596759 237.094823175397 -67.0389074103944</t>
  </si>
  <si>
    <t>-917.6636641822 267.750716960365 335.247665783132</t>
  </si>
  <si>
    <t>-951.721095036097 296.417834636096 780.619793876335</t>
  </si>
  <si>
    <t>-811.16047516458 336.619681480464 841.560292890907</t>
  </si>
  <si>
    <t>-899.92172397793 45.7377009549532 -63.6010052150853</t>
  </si>
  <si>
    <t>-869.58508943348 34.0726899973679 338.640600422123</t>
  </si>
  <si>
    <t>-903.079322015849 43.2839509926066 785.445282955651</t>
  </si>
  <si>
    <t>-806.850793634188 -60.0371129278699 857.223337634892</t>
  </si>
  <si>
    <t>9763-20170724T111238.014535200.bin</t>
  </si>
  <si>
    <t>-903.974039847192 141.509578243852 -64.3232942076246</t>
  </si>
  <si>
    <t>-937.265505244368 136.895566263681 -175.16837640514</t>
  </si>
  <si>
    <t>-949.785727171567 136.271507977646 -272.992313745414</t>
  </si>
  <si>
    <t>-955.14011635742 136.720806143763 -361.926937666529</t>
  </si>
  <si>
    <t>-954.131771241084 137.987806359166 -451.008918433301</t>
  </si>
  <si>
    <t>-946.030319109346 140.43186871391 -575.303843012069</t>
  </si>
  <si>
    <t>-912.118749931526 142.418682423791 -651.139649205072</t>
  </si>
  <si>
    <t>-947.402241225259 166.97018301331 -519.921944739031</t>
  </si>
  <si>
    <t>-934.828184828736 302.152947675489 -498.378842002401</t>
  </si>
  <si>
    <t>-882.184118186655 356.610696299359 -214.03023131595</t>
  </si>
  <si>
    <t>-641.785289920721 359.097804585309 -198.12119021139</t>
  </si>
  <si>
    <t>-951.788598066334 111.742765303128 -521.293785879876</t>
  </si>
  <si>
    <t>-908.760413695054 237.027165387324 -67.0769988439883</t>
  </si>
  <si>
    <t>-917.665138606765 267.835412716033 335.199281943281</t>
  </si>
  <si>
    <t>-951.79711834189 296.405530263816 780.569235348185</t>
  </si>
  <si>
    <t>-811.271117889781 336.724511882037 841.512719780716</t>
  </si>
  <si>
    <t>-899.518390020254 45.8010803245279 -63.5911711610839</t>
  </si>
  <si>
    <t>-869.262324789831 34.0604463043346 338.65424062506</t>
  </si>
  <si>
    <t>-902.946144813189 43.350904227932 785.440178568238</t>
  </si>
  <si>
    <t>-806.877136025901 -60.1161566697319 857.221793031717</t>
  </si>
  <si>
    <t>9763-20170724T111238.080212300.bin</t>
  </si>
  <si>
    <t>-903.717423116158 141.660181642693 -64.389758393273</t>
  </si>
  <si>
    <t>-936.868898597318 136.781034030188 -175.265332194212</t>
  </si>
  <si>
    <t>-949.295250532457 135.848386373391 -273.098822708733</t>
  </si>
  <si>
    <t>-954.578904961293 135.989538523502 -362.038658971337</t>
  </si>
  <si>
    <t>-953.515219014902 136.926399962515 -451.124166380106</t>
  </si>
  <si>
    <t>-945.353529325202 138.890348022877 -575.423648174577</t>
  </si>
  <si>
    <t>-911.815562027374 140.503515185561 -651.434356466024</t>
  </si>
  <si>
    <t>-946.991963784825 165.660287942236 -520.160761675615</t>
  </si>
  <si>
    <t>-935.885938768484 301.083765037495 -499.297505966785</t>
  </si>
  <si>
    <t>-883.218359765845 359.364690669889 -215.712235245869</t>
  </si>
  <si>
    <t>-642.847381845025 360.791267924089 -199.260970952765</t>
  </si>
  <si>
    <t>-950.898068109329 110.391799869302 -521.290456984375</t>
  </si>
  <si>
    <t>-909.016216294327 237.074114871795 -67.2062938682782</t>
  </si>
  <si>
    <t>-917.696988883176 268.245154119331 335.046951499427</t>
  </si>
  <si>
    <t>-952.024431407607 296.524253561787 780.439216297475</t>
  </si>
  <si>
    <t>-811.471790145989 336.71028848812 841.409317952072</t>
  </si>
  <si>
    <t>-898.78562139052 46.1247114991897 -63.5941922632218</t>
  </si>
  <si>
    <t>-868.725942311798 34.0037813797726 338.654658767019</t>
  </si>
  <si>
    <t>-902.701253485091 43.4104669750959 785.420629633983</t>
  </si>
  <si>
    <t>-806.625564241653 -60.0643152587973 857.182233995613</t>
  </si>
  <si>
    <t>9763-20170724T111238.114805400.bin</t>
  </si>
  <si>
    <t>-903.638131006287 141.780310967393 -64.4258847861773</t>
  </si>
  <si>
    <t>-936.758629477293 136.732274469729 -175.30306093466</t>
  </si>
  <si>
    <t>-949.175778652346 135.640675389256 -273.136169371927</t>
  </si>
  <si>
    <t>-954.458987919905 135.633668601715 -362.07606973809</t>
  </si>
  <si>
    <t>-953.402846594216 136.421522537935 -451.163174069684</t>
  </si>
  <si>
    <t>-945.260712291762 138.178427879834 -575.466937036389</t>
  </si>
  <si>
    <t>-911.875195358435 139.634740232093 -651.548029097281</t>
  </si>
  <si>
    <t>-947.014515867152 165.049234780657 -520.256485712357</t>
  </si>
  <si>
    <t>-936.601005357148 300.565933086558 -499.709871557969</t>
  </si>
  <si>
    <t>-884.165292795839 360.148221949682 -216.352066167339</t>
  </si>
  <si>
    <t>-643.822062870573 360.896067961622 -199.457950350608</t>
  </si>
  <si>
    <t>-950.672561900509 109.761350752644 -521.277570106287</t>
  </si>
  <si>
    <t>-909.243908970155 237.145705058814 -67.2940427076824</t>
  </si>
  <si>
    <t>-917.658326004759 268.474069562156 334.952713754093</t>
  </si>
  <si>
    <t>-952.142012190867 296.578887691018 780.3623824604</t>
  </si>
  <si>
    <t>-811.572227491228 336.696145190991 841.338313881942</t>
  </si>
  <si>
    <t>-898.397989035941 46.269309648937 -63.6141994052161</t>
  </si>
  <si>
    <t>-868.640614628249 34.0375394360317 338.653785445653</t>
  </si>
  <si>
    <t>-902.601651807173 43.4064222379488 785.408443365832</t>
  </si>
  <si>
    <t>-806.409022945586 -59.9726954725425 857.151289706776</t>
  </si>
  <si>
    <t>9763-20170724T111238.180983600.bin</t>
  </si>
  <si>
    <t>-903.365134853979 142.169637937637 -64.5470106357341</t>
  </si>
  <si>
    <t>-936.432176813773 136.736220654076 -175.421961573086</t>
  </si>
  <si>
    <t>-948.846831849544 135.345919315336 -273.25140843483</t>
  </si>
  <si>
    <t>-954.145453028145 135.083018306623 -362.190143661966</t>
  </si>
  <si>
    <t>-953.122177214592 135.635507780666 -451.279395231598</t>
  </si>
  <si>
    <t>-945.043503289675 137.088487893963 -575.591237518814</t>
  </si>
  <si>
    <t>-911.846865718895 138.372223382851 -651.757917619691</t>
  </si>
  <si>
    <t>-947.000279049327 164.108795918865 -520.460548865116</t>
  </si>
  <si>
    <t>-937.673479179811 299.770393221216 -500.372622810541</t>
  </si>
  <si>
    <t>-885.888118862821 361.04303170864 -217.255605189957</t>
  </si>
  <si>
    <t>-645.64403401716 360.755944330172 -198.994876303021</t>
  </si>
  <si>
    <t>-950.196484756009 108.789623511477 -521.314835177749</t>
  </si>
  <si>
    <t>-909.515388256186 237.25615719023 -67.53399777943</t>
  </si>
  <si>
    <t>-917.47276022329 268.886730059831 334.698391138429</t>
  </si>
  <si>
    <t>-952.236249410293 296.447074524384 780.133190464</t>
  </si>
  <si>
    <t>-811.836317384165 337.152498038904 841.110490204236</t>
  </si>
  <si>
    <t>-897.578827098905 46.9590091698465 -63.6228835090529</t>
  </si>
  <si>
    <t>-868.327255176666 34.3411837812005 338.670305983342</t>
  </si>
  <si>
    <t>-902.328960392768 43.4859354400774 785.397538847699</t>
  </si>
  <si>
    <t>-806.307372075553 -60.0424133931886 857.154374715083</t>
  </si>
  <si>
    <t>9763-20170724T111238.212609100.bin</t>
  </si>
  <si>
    <t>-903.226468230062 142.395435590046 -64.6363583286977</t>
  </si>
  <si>
    <t>-936.282939860928 136.798030344856 -175.506270228585</t>
  </si>
  <si>
    <t>-948.685578280364 135.286903527689 -273.335508806431</t>
  </si>
  <si>
    <t>-953.971505522211 134.922481392839 -362.274652859872</t>
  </si>
  <si>
    <t>-952.933563682985 135.383322247758 -451.364134450503</t>
  </si>
  <si>
    <t>-944.832525523678 136.718376065957 -575.675956438364</t>
  </si>
  <si>
    <t>-911.650376645744 137.967394705956 -651.849591072426</t>
  </si>
  <si>
    <t>-946.895561652284 163.796267278045 -520.577415603516</t>
  </si>
  <si>
    <t>-937.974239785885 299.514711624691 -500.662179904068</t>
  </si>
  <si>
    <t>-886.834858792521 360.432476547398 -217.351548159703</t>
  </si>
  <si>
    <t>-646.616104084927 359.652168880458 -198.772562864427</t>
  </si>
  <si>
    <t>-949.899368969336 108.465399560142 -521.367396393118</t>
  </si>
  <si>
    <t>-909.624120332478 237.381185212572 -67.6602579356813</t>
  </si>
  <si>
    <t>-917.411762357642 269.218941704871 334.559065308979</t>
  </si>
  <si>
    <t>-952.325021894802 296.457034883732 779.999725612095</t>
  </si>
  <si>
    <t>-811.886673312729 337.008859834079 840.991247962114</t>
  </si>
  <si>
    <t>-897.194594176731 47.2236362475742 -63.632323200261</t>
  </si>
  <si>
    <t>-867.993352931329 34.4437311897891 338.659373004258</t>
  </si>
  <si>
    <t>-902.225116086112 43.4667172529234 785.388720913794</t>
  </si>
  <si>
    <t>-806.114618405557 -59.9763071453654 857.149559333394</t>
  </si>
  <si>
    <t>9763-20170724T111238.283302500.bin</t>
  </si>
  <si>
    <t>-902.871049454354 142.560767487209 -64.7443273451531</t>
  </si>
  <si>
    <t>-935.936698456256 136.663517144415 -175.596091105533</t>
  </si>
  <si>
    <t>-948.200918811445 134.967134597834 -273.439572504813</t>
  </si>
  <si>
    <t>-953.300418752801 134.459452389599 -362.38906436527</t>
  </si>
  <si>
    <t>-952.013752671781 134.801795087409 -451.475913695808</t>
  </si>
  <si>
    <t>-943.500942623484 135.996393968738 -575.761552126491</t>
  </si>
  <si>
    <t>-910.204356865358 137.224694513338 -651.885408708933</t>
  </si>
  <si>
    <t>-945.893386220432 163.144277550292 -520.710756972645</t>
  </si>
  <si>
    <t>-937.692164053211 298.956799662197 -501.011886560854</t>
  </si>
  <si>
    <t>-889.034331161131 356.883989386525 -216.638740263308</t>
  </si>
  <si>
    <t>-648.381812262679 352.415312350372 -205.810207222675</t>
  </si>
  <si>
    <t>-948.600664301224 107.797054208367 -521.428227669141</t>
  </si>
  <si>
    <t>-909.666211157961 237.431535109777 -67.8785984232753</t>
  </si>
  <si>
    <t>-916.966498678824 269.714443429706 334.314355575003</t>
  </si>
  <si>
    <t>-952.469901508649 296.425576758989 779.739865460421</t>
  </si>
  <si>
    <t>-812.095934400826 337.179242605557 840.74459935534</t>
  </si>
  <si>
    <t>-896.364595855402 47.4646582220807 -63.6305549274643</t>
  </si>
  <si>
    <t>-867.002329634893 34.3619403048474 338.639081188404</t>
  </si>
  <si>
    <t>-902.006007654665 43.4240312830912 785.342741538951</t>
  </si>
  <si>
    <t>-805.778168272098 -59.9003725072023 857.117396755114</t>
  </si>
  <si>
    <t>9763-20170724T111238.312888900.bin</t>
  </si>
  <si>
    <t>-902.632751276243 142.547877633881 -64.7671233242475</t>
  </si>
  <si>
    <t>-935.709486310161 136.511275193097 -175.608011312114</t>
  </si>
  <si>
    <t>-947.917334484989 134.751970606162 -273.457546762618</t>
  </si>
  <si>
    <t>-952.938050763231 134.208535226442 -362.411117966543</t>
  </si>
  <si>
    <t>-951.544180569409 134.537381929201 -451.496496560977</t>
  </si>
  <si>
    <t>-942.851124722428 135.735877127961 -575.76946808323</t>
  </si>
  <si>
    <t>-909.49808165193 136.983100488444 -651.868390792055</t>
  </si>
  <si>
    <t>-945.412970200579 162.886501813777 -520.727726625841</t>
  </si>
  <si>
    <t>-937.732467686492 298.734554030096 -501.071641477929</t>
  </si>
  <si>
    <t>-890.605416122472 354.38666824151 -215.987235348678</t>
  </si>
  <si>
    <t>-649.755171662942 349.017554807427 -212.357327495825</t>
  </si>
  <si>
    <t>-947.940225275287 107.530518795379 -521.438322726221</t>
  </si>
  <si>
    <t>-909.701601638627 237.397674564325 -67.9421464640126</t>
  </si>
  <si>
    <t>-916.608993772875 269.972869488851 334.234219776549</t>
  </si>
  <si>
    <t>-952.61046555694 296.493002083548 779.626623744286</t>
  </si>
  <si>
    <t>-812.177282236291 337.04612903102 840.628941739266</t>
  </si>
  <si>
    <t>-895.873992411061 47.4934309984446 -63.6240250926983</t>
  </si>
  <si>
    <t>-866.413282114042 34.2981151348549 338.635329166934</t>
  </si>
  <si>
    <t>-901.817044624236 43.5270903152314 785.311866921862</t>
  </si>
  <si>
    <t>-805.807937320151 -59.9846521491766 857.109566833821</t>
  </si>
  <si>
    <t>9763-20170724T111238.381573800.bin</t>
  </si>
  <si>
    <t>-901.947881246766 142.339492918789 -64.7703891514791</t>
  </si>
  <si>
    <t>-935.143315053652 136.041506449454 -175.561222945005</t>
  </si>
  <si>
    <t>-947.443204170268 134.157189194189 -273.396915190375</t>
  </si>
  <si>
    <t>-952.541014683663 133.540638737563 -362.345641087099</t>
  </si>
  <si>
    <t>-951.216415383332 133.839852520265 -451.432152120599</t>
  </si>
  <si>
    <t>-942.611472925739 135.045409937343 -575.711258552851</t>
  </si>
  <si>
    <t>-909.166991512175 136.420374721813 -651.767866692351</t>
  </si>
  <si>
    <t>-945.350089169251 162.202010804732 -520.681080265718</t>
  </si>
  <si>
    <t>-938.828260971773 298.100319533725 -501.013347981372</t>
  </si>
  <si>
    <t>-893.654487378112 350.378975252961 -214.975850072125</t>
  </si>
  <si>
    <t>-653.055469511421 344.483545464312 -226.298471492038</t>
  </si>
  <si>
    <t>-947.446200984889 106.827778610055 -521.363410490089</t>
  </si>
  <si>
    <t>-909.461909826176 237.065626267964 -68.0079049600008</t>
  </si>
  <si>
    <t>-915.815734677338 270.229768300208 334.129425891037</t>
  </si>
  <si>
    <t>-952.761080499882 296.416031984264 779.412991895385</t>
  </si>
  <si>
    <t>-812.446904416136 337.397064576307 840.403239572844</t>
  </si>
  <si>
    <t>-894.768234480495 47.464581646288 -63.5923154768365</t>
  </si>
  <si>
    <t>-865.283297633378 34.0400886358502 338.657797223746</t>
  </si>
  <si>
    <t>-901.542575210573 43.5708125209731 785.269098189455</t>
  </si>
  <si>
    <t>-805.500541589906 -59.9040588232892 857.075516592751</t>
  </si>
  <si>
    <t>9763-20170724T111238.411788900.bin</t>
  </si>
  <si>
    <t>-901.506061194241 142.230797734318 -64.7705892900688</t>
  </si>
  <si>
    <t>-934.787122585791 135.766653597603 -175.526150921066</t>
  </si>
  <si>
    <t>-947.218060818881 133.820309598599 -273.344142566071</t>
  </si>
  <si>
    <t>-952.45453040095 133.179279983206 -362.284615614604</t>
  </si>
  <si>
    <t>-951.288532827519 133.48882691387 -451.37329001653</t>
  </si>
  <si>
    <t>-942.923740952275 134.745645286622 -575.66834862455</t>
  </si>
  <si>
    <t>-909.448205495546 136.239719106147 -651.708911873265</t>
  </si>
  <si>
    <t>-945.659514652061 161.883333123761 -520.628644367259</t>
  </si>
  <si>
    <t>-939.6524554703 297.793873138215 -500.937969581251</t>
  </si>
  <si>
    <t>-895.347591776746 349.440140298158 -214.649651824499</t>
  </si>
  <si>
    <t>-655.189448196252 344.677370033193 -233.418020429535</t>
  </si>
  <si>
    <t>-947.550051616011 106.501908782553 -521.315783049136</t>
  </si>
  <si>
    <t>-909.283264463116 236.890104927058 -68.045417125907</t>
  </si>
  <si>
    <t>-915.514918218462 270.288097649301 334.07454399351</t>
  </si>
  <si>
    <t>-952.888702793342 296.46817431595 779.299205238155</t>
  </si>
  <si>
    <t>-812.612125943184 337.567232061217 840.296210972354</t>
  </si>
  <si>
    <t>-894.052001778891 47.4337111057093 -63.5830500754377</t>
  </si>
  <si>
    <t>-864.717267634728 33.9256249352347 338.67520704104</t>
  </si>
  <si>
    <t>-901.400860710199 43.5908202388814 785.247728532701</t>
  </si>
  <si>
    <t>-805.426224801378 -59.940202602854 857.063600002639</t>
  </si>
  <si>
    <t>9763-20170724T111238.480474500.bin</t>
  </si>
  <si>
    <t>-900.631307285599 142.050967716407 -64.8197353691126</t>
  </si>
  <si>
    <t>-934.057506213457 135.282973646837 -175.513568881427</t>
  </si>
  <si>
    <t>-946.733431379186 133.229615178753 -273.297784102706</t>
  </si>
  <si>
    <t>-952.236630167951 132.554775415792 -362.221880352749</t>
  </si>
  <si>
    <t>-951.380123877303 132.897998295024 -451.313880213117</t>
  </si>
  <si>
    <t>-943.490097630669 134.275255756836 -575.63878601032</t>
  </si>
  <si>
    <t>-909.974132832736 136.083105895625 -651.654822113244</t>
  </si>
  <si>
    <t>-946.226340272198 161.366264781792 -520.576055406898</t>
  </si>
  <si>
    <t>-941.477604967837 297.335659107198 -500.892087438313</t>
  </si>
  <si>
    <t>-897.821283259755 347.311823276708 -214.208004370597</t>
  </si>
  <si>
    <t>-658.693448705146 351.133130980052 -243.432938388379</t>
  </si>
  <si>
    <t>-947.698026885049 105.972233213252 -521.283020139459</t>
  </si>
  <si>
    <t>-908.99896868121 236.666506068884 -68.1742119129277</t>
  </si>
  <si>
    <t>-915.07996042453 270.103579525675 333.944784445566</t>
  </si>
  <si>
    <t>-952.889467563718 296.173154017815 779.093159207671</t>
  </si>
  <si>
    <t>-812.669305147941 337.448899454931 840.100896249928</t>
  </si>
  <si>
    <t>-892.620771501688 47.2615759141418 -63.5584211688373</t>
  </si>
  <si>
    <t>-863.350500279257 33.5654373007624 338.698187625895</t>
  </si>
  <si>
    <t>-901.144580906665 43.5644554505629 785.192644629268</t>
  </si>
  <si>
    <t>-805.133731569155 -59.9214569673668 857.025118092353</t>
  </si>
  <si>
    <t>9763-20170724T111238.513063700.bin</t>
  </si>
  <si>
    <t>-900.321151655165 141.952088474136 -64.8376281546398</t>
  </si>
  <si>
    <t>-933.871592054067 135.045618953055 -175.485191715569</t>
  </si>
  <si>
    <t>-946.678886407532 132.966461447515 -273.251846463612</t>
  </si>
  <si>
    <t>-952.308559693714 132.305805685913 -362.168204209414</t>
  </si>
  <si>
    <t>-951.584860839831 132.703477093141 -451.261168998132</t>
  </si>
  <si>
    <t>-943.88549352908 134.200640994392 -575.596512894787</t>
  </si>
  <si>
    <t>-910.362542147132 136.218609315649 -651.604116103288</t>
  </si>
  <si>
    <t>-946.664060401182 161.241480271998 -520.511407457208</t>
  </si>
  <si>
    <t>-942.501121426486 297.228568479789 -500.763417043332</t>
  </si>
  <si>
    <t>-898.678260645957 346.544063459336 -213.990462386926</t>
  </si>
  <si>
    <t>-660.012743331658 355.218651010825 -245.840151180116</t>
  </si>
  <si>
    <t>-947.883130793282 105.841991552502 -521.253945860119</t>
  </si>
  <si>
    <t>-909.100651261369 236.673328400939 -68.2194535211303</t>
  </si>
  <si>
    <t>-915.186501440149 270.032523175538 333.905890133991</t>
  </si>
  <si>
    <t>-953.117102601976 296.375279128237 779.022137237961</t>
  </si>
  <si>
    <t>-812.739528830378 337.096805608876 840.040058995912</t>
  </si>
  <si>
    <t>-891.916501627585 47.0502195859631 -63.559909798468</t>
  </si>
  <si>
    <t>-862.705526072359 33.3659609828801 338.701413264326</t>
  </si>
  <si>
    <t>-901.002070598853 43.5894118194001 785.157923156067</t>
  </si>
  <si>
    <t>-804.942779995554 -59.849681104354 856.992786147909</t>
  </si>
  <si>
    <t>9763-20170724T111238.581253200.bin</t>
  </si>
  <si>
    <t>-899.907417891053 141.667746904456 -64.9742891176687</t>
  </si>
  <si>
    <t>-933.714152905701 134.330238993789 -175.515992433332</t>
  </si>
  <si>
    <t>-946.81385988907 132.15852061324 -273.241823915937</t>
  </si>
  <si>
    <t>-952.729401380582 131.520116971955 -362.139816717267</t>
  </si>
  <si>
    <t>-952.309608096447 132.051104858222 -451.233969522859</t>
  </si>
  <si>
    <t>-945.048963736716 133.850524441507 -575.591785188925</t>
  </si>
  <si>
    <t>-911.590897035165 136.318325444307 -651.614700355855</t>
  </si>
  <si>
    <t>-947.930544220567 160.762644095656 -520.448988327581</t>
  </si>
  <si>
    <t>-945.16640894193 296.745933481719 -500.494902539804</t>
  </si>
  <si>
    <t>-900.806984785491 347.023650399041 -213.971528121962</t>
  </si>
  <si>
    <t>-662.722373729404 361.88439559259 -247.818986644987</t>
  </si>
  <si>
    <t>-948.557560151217 105.354515993444 -521.287145086231</t>
  </si>
  <si>
    <t>-909.750732445782 236.413200553232 -68.3217936166055</t>
  </si>
  <si>
    <t>-915.566900445692 269.962374384696 333.791688128519</t>
  </si>
  <si>
    <t>-953.45205409726 296.606422663244 778.898579612704</t>
  </si>
  <si>
    <t>-813.009089127119 337.068091166027 839.938616230628</t>
  </si>
  <si>
    <t>-890.449625515955 46.7205797005449 -63.6094111766662</t>
  </si>
  <si>
    <t>-861.590606797236 33.0044019693719 338.676168922091</t>
  </si>
  <si>
    <t>-900.788357499374 43.5487552244886 785.090777426384</t>
  </si>
  <si>
    <t>-804.688405067605 -59.8554443513635 856.921636233574</t>
  </si>
  <si>
    <t>9763-20170724T111238.612862500.bin</t>
  </si>
  <si>
    <t>-899.667307573969 141.494570939746 -65.0311727299461</t>
  </si>
  <si>
    <t>-933.554718947274 133.945848097605 -175.534050049132</t>
  </si>
  <si>
    <t>-946.773148963862 131.71517277501 -273.242442213558</t>
  </si>
  <si>
    <t>-952.813347076861 131.069563970346 -362.13199351276</t>
  </si>
  <si>
    <t>-952.532585141179 131.641641313997 -451.22656764345</t>
  </si>
  <si>
    <t>-945.480468039184 133.549116767406 -575.594640833979</t>
  </si>
  <si>
    <t>-912.104917731525 136.247485034606 -651.646203734559</t>
  </si>
  <si>
    <t>-948.433802346125 160.414978784802 -520.433057001743</t>
  </si>
  <si>
    <t>-946.435573391384 296.388969051152 -500.37525177008</t>
  </si>
  <si>
    <t>-901.225642392387 347.514004481626 -214.134914007177</t>
  </si>
  <si>
    <t>-663.44876141442 364.651604076792 -249.053768811017</t>
  </si>
  <si>
    <t>-948.733541259387 105.004396258993 -521.299817255548</t>
  </si>
  <si>
    <t>-909.931163447542 236.167436629933 -68.3836532348629</t>
  </si>
  <si>
    <t>-915.810571153645 269.907685036383 333.713017424515</t>
  </si>
  <si>
    <t>-953.474467711833 296.517638389418 778.821226653036</t>
  </si>
  <si>
    <t>-813.146223122009 337.34631630035 839.880889880326</t>
  </si>
  <si>
    <t>-889.741594648927 46.6375480030424 -63.6471528247087</t>
  </si>
  <si>
    <t>-860.919837529518 32.8309206567096 338.638027564017</t>
  </si>
  <si>
    <t>-900.604641240919 43.6455654251909 785.046042768851</t>
  </si>
  <si>
    <t>-804.654511615913 -59.8924640103885 856.884686023574</t>
  </si>
  <si>
    <t>9763-20170724T111238.679039300.bin</t>
  </si>
  <si>
    <t>-899.137645414211 141.031827735299 -65.117129613066</t>
  </si>
  <si>
    <t>-933.048312334198 133.040412762536 -175.581690651914</t>
  </si>
  <si>
    <t>-946.396391422196 130.634909619183 -273.268455602496</t>
  </si>
  <si>
    <t>-952.592571698613 129.908211790763 -362.146544958494</t>
  </si>
  <si>
    <t>-952.504971285684 130.480711846756 -451.241466373686</t>
  </si>
  <si>
    <t>-945.757334949434 132.473668454377 -575.625178904937</t>
  </si>
  <si>
    <t>-912.648397440013 135.642067889569 -651.774934581748</t>
  </si>
  <si>
    <t>-948.878131407814 159.30160339773 -520.454374023678</t>
  </si>
  <si>
    <t>-948.203539081698 295.277880122192 -500.260448134139</t>
  </si>
  <si>
    <t>-900.361234030641 347.536124516981 -214.653527942848</t>
  </si>
  <si>
    <t>-662.907957425514 366.801567103346 -250.648628049101</t>
  </si>
  <si>
    <t>-948.574838628478 103.891438198878 -521.325843611078</t>
  </si>
  <si>
    <t>-910.234652510383 235.506673749799 -68.511477062937</t>
  </si>
  <si>
    <t>-916.360219265248 269.615829807586 333.55039515816</t>
  </si>
  <si>
    <t>-953.411442156074 296.220240970957 778.659171230405</t>
  </si>
  <si>
    <t>-813.432496403181 338.161184518609 839.766436085409</t>
  </si>
  <si>
    <t>-888.296576331318 46.2499881129488 -63.7080996816795</t>
  </si>
  <si>
    <t>-859.715097063595 32.5284002615172 338.597084898622</t>
  </si>
  <si>
    <t>-900.336769717761 43.6490190697482 784.96157913167</t>
  </si>
  <si>
    <t>-804.330498097299 -59.8274449192318 856.813038337181</t>
  </si>
  <si>
    <t>9763-20170724T111238.714176200.bin</t>
  </si>
  <si>
    <t>-898.87932076559 140.77466583902 -65.1641078069432</t>
  </si>
  <si>
    <t>-932.790052112993 132.585849074786 -175.614195270132</t>
  </si>
  <si>
    <t>-946.192065599018 130.099181787944 -273.291473890296</t>
  </si>
  <si>
    <t>-952.456700074048 129.331777132644 -362.164467007439</t>
  </si>
  <si>
    <t>-952.45550277224 129.896981260636 -451.259490065518</t>
  </si>
  <si>
    <t>-945.84670218822 131.915481944427 -575.650337766682</t>
  </si>
  <si>
    <t>-912.928708420606 135.288070819064 -651.873914066712</t>
  </si>
  <si>
    <t>-949.022097114054 158.73159054587 -520.476603285705</t>
  </si>
  <si>
    <t>-948.768288009174 294.706220435456 -500.248384999859</t>
  </si>
  <si>
    <t>-900.044567853297 347.229705697509 -214.83891824913</t>
  </si>
  <si>
    <t>-662.660624799945 365.539907370013 -251.777539266823</t>
  </si>
  <si>
    <t>-948.487881476213 103.322926102338 -521.347381483068</t>
  </si>
  <si>
    <t>-910.455949715205 235.299615908964 -68.59747311915</t>
  </si>
  <si>
    <t>-916.734574865123 269.476676717682 333.456176973745</t>
  </si>
  <si>
    <t>-953.485412456661 296.238731688637 778.584864949199</t>
  </si>
  <si>
    <t>-813.569813623672 338.337405596252 839.728983639952</t>
  </si>
  <si>
    <t>-887.627851606685 45.9981225609063 -63.734848117056</t>
  </si>
  <si>
    <t>-859.19193857461 32.3340875543281 338.582692778561</t>
  </si>
  <si>
    <t>-900.184325932249 43.6839175776709 784.922533686954</t>
  </si>
  <si>
    <t>-804.077896216783 -59.7008832727902 856.772323672056</t>
  </si>
  <si>
    <t>9763-20170724T111238.779856100.bin</t>
  </si>
  <si>
    <t>-898.499517331196 140.637301885829 -65.254848559445</t>
  </si>
  <si>
    <t>-932.458056453184 132.15641355861 -175.66809481395</t>
  </si>
  <si>
    <t>-946.047307389033 129.627147991107 -273.318486352801</t>
  </si>
  <si>
    <t>-952.53512477109 128.903459312038 -362.175828885098</t>
  </si>
  <si>
    <t>-952.808843435225 129.598939457379 -451.269557631791</t>
  </si>
  <si>
    <t>-946.634780006128 131.891584242867 -575.677931588593</t>
  </si>
  <si>
    <t>-914.214300568495 135.626787906641 -652.097751354268</t>
  </si>
  <si>
    <t>-949.831203029914 158.58342586501 -520.445202819074</t>
  </si>
  <si>
    <t>-950.324697023483 294.518338509104 -500.082016363093</t>
  </si>
  <si>
    <t>-900.881665996002 346.713498253237 -214.736097806708</t>
  </si>
  <si>
    <t>-663.504644172037 363.685846685136 -252.352789196742</t>
  </si>
  <si>
    <t>-948.872225408186 103.181964732705 -521.418602991924</t>
  </si>
  <si>
    <t>-910.818664890717 235.159290364356 -68.7453404119136</t>
  </si>
  <si>
    <t>-917.547839981662 269.335263736774 333.30117059133</t>
  </si>
  <si>
    <t>-953.639745006699 296.296701615664 778.462201765846</t>
  </si>
  <si>
    <t>-813.870873968268 338.801852433363 839.660547536995</t>
  </si>
  <si>
    <t>-886.618819513723 45.9740663266643 -63.7860133884598</t>
  </si>
  <si>
    <t>-858.505931960874 32.1568914190239 338.548935832661</t>
  </si>
  <si>
    <t>-899.933493593142 43.6951734579202 784.863888652354</t>
  </si>
  <si>
    <t>-803.768417790287 -59.6355509820814 856.713224439611</t>
  </si>
  <si>
    <t>9763-20170724T111238.815953500.bin</t>
  </si>
  <si>
    <t>-898.434704609518 140.616952568658 -65.2753102221072</t>
  </si>
  <si>
    <t>-932.417629224434 132.056998491769 -175.675144457031</t>
  </si>
  <si>
    <t>-946.113871128388 129.543009073714 -273.310807543145</t>
  </si>
  <si>
    <t>-952.732448858892 128.868819432397 -362.158924669972</t>
  </si>
  <si>
    <t>-953.169880108713 129.652670535384 -451.251167302982</t>
  </si>
  <si>
    <t>-947.257657413372 132.111791822444 -575.669117693407</t>
  </si>
  <si>
    <t>-915.109977667138 135.994640905656 -652.196637990089</t>
  </si>
  <si>
    <t>-950.444998147458 158.727562277657 -520.399416680634</t>
  </si>
  <si>
    <t>-951.389416428347 294.68431879191 -499.891128498218</t>
  </si>
  <si>
    <t>-901.219759073114 345.48733885122 -214.420787128564</t>
  </si>
  <si>
    <t>-663.823634706889 362.15826001243 -252.05070303355</t>
  </si>
  <si>
    <t>-949.273305290432 103.33159965457 -521.438542113071</t>
  </si>
  <si>
    <t>-911.058537057655 235.113456298132 -68.7569771141573</t>
  </si>
  <si>
    <t>-917.813399099605 269.386704495261 333.280848073514</t>
  </si>
  <si>
    <t>-953.790551735474 296.403260231392 778.457546762587</t>
  </si>
  <si>
    <t>-813.997163649289 338.810609811732 839.667961516098</t>
  </si>
  <si>
    <t>-886.259027591786 45.9881046068872 -63.8164611110695</t>
  </si>
  <si>
    <t>-858.310924700365 32.1129890851516 338.52798199441</t>
  </si>
  <si>
    <t>-899.795137568091 43.726046347032 784.841806018408</t>
  </si>
  <si>
    <t>-803.64963773786 -59.6235032192155 856.69038968442</t>
  </si>
  <si>
    <t>9763-20170724T111238.882656000.bin</t>
  </si>
  <si>
    <t>-898.296365803049 140.52398904939 -65.2805626637411</t>
  </si>
  <si>
    <t>-932.370148968447 131.817900038965 -175.640910049423</t>
  </si>
  <si>
    <t>-946.272197666375 129.362928772077 -273.249074253253</t>
  </si>
  <si>
    <t>-953.125293176841 128.817790012633 -362.080295592028</t>
  </si>
  <si>
    <t>-953.843189834761 129.813282421761 -451.168637786724</t>
  </si>
  <si>
    <t>-948.369766772669 132.656568756242 -575.598350014723</t>
  </si>
  <si>
    <t>-916.723910026498 136.845371831531 -652.318625107951</t>
  </si>
  <si>
    <t>-951.556391792747 159.096930366017 -520.244363235112</t>
  </si>
  <si>
    <t>-953.288676520711 294.966807295506 -499.420520213473</t>
  </si>
  <si>
    <t>-902.53411893064 344.136348126849 -213.76775021225</t>
  </si>
  <si>
    <t>-664.316996630744 358.00735379388 -247.099377415334</t>
  </si>
  <si>
    <t>-950.000463824575 103.71369895214 -521.441521539636</t>
  </si>
  <si>
    <t>-911.407553315022 234.940677054491 -68.7086133263849</t>
  </si>
  <si>
    <t>-918.060749405911 269.426509143511 333.312650165577</t>
  </si>
  <si>
    <t>-954.019130457825 296.453495314686 778.498655698514</t>
  </si>
  <si>
    <t>-814.182261412784 338.680550322108 839.734422386319</t>
  </si>
  <si>
    <t>-885.523665108814 45.8737417615289 -63.8688103078449</t>
  </si>
  <si>
    <t>-858.017097414145 32.0066618390015 338.506381971565</t>
  </si>
  <si>
    <t>-899.591853725835 43.6841618579397 784.812518486264</t>
  </si>
  <si>
    <t>-803.401571996384 -59.634545184819 856.645235682736</t>
  </si>
  <si>
    <t>9763-20170724T111238.911232800.bin</t>
  </si>
  <si>
    <t>-898.068886432118 140.435275394768 -65.275227175099</t>
  </si>
  <si>
    <t>-932.232119671468 131.653190849947 -175.60175898162</t>
  </si>
  <si>
    <t>-946.234685362333 129.202287177851 -273.19575822971</t>
  </si>
  <si>
    <t>-953.186435397984 128.689439424537 -362.019433383292</t>
  </si>
  <si>
    <t>-954.010270347684 129.747100769681 -451.106324599387</t>
  </si>
  <si>
    <t>-948.69120461899 132.710325356112 -575.539924577188</t>
  </si>
  <si>
    <t>-917.247755109664 137.030887369324 -652.33612788309</t>
  </si>
  <si>
    <t>-951.889670462841 159.094902463783 -520.160092538899</t>
  </si>
  <si>
    <t>-954.015449183212 294.944240204055 -499.25785334718</t>
  </si>
  <si>
    <t>-902.935219231905 343.900865441689 -213.62653805084</t>
  </si>
  <si>
    <t>-664.04680974618 356.078856053604 -242.519899312838</t>
  </si>
  <si>
    <t>-950.173942044259 103.717485367253 -521.405495650586</t>
  </si>
  <si>
    <t>-911.392677416383 234.813886815048 -68.6701166371849</t>
  </si>
  <si>
    <t>-918.097132074345 269.376484154618 333.343671986985</t>
  </si>
  <si>
    <t>-954.122126279601 296.45048580974 778.518685098943</t>
  </si>
  <si>
    <t>-814.218091279448 338.436138628753 839.767003134666</t>
  </si>
  <si>
    <t>-885.080936080391 45.7871451804708 -63.8786230896844</t>
  </si>
  <si>
    <t>-857.678036375169 31.9340769844944 338.50412588949</t>
  </si>
  <si>
    <t>-899.402929346586 43.7921843792624 784.787885106618</t>
  </si>
  <si>
    <t>-803.329993596017 -59.6318382796567 856.62625610862</t>
  </si>
  <si>
    <t>9763-20170724T111238.981924100.bin</t>
  </si>
  <si>
    <t>-897.613202773416 140.095397893038 -65.2348355363936</t>
  </si>
  <si>
    <t>-931.938404270988 131.140282727522 -175.497357458528</t>
  </si>
  <si>
    <t>-946.119676049867 128.663479609026 -273.064686662935</t>
  </si>
  <si>
    <t>-953.245586258758 128.174598069099 -361.874797340285</t>
  </si>
  <si>
    <t>-954.253763779071 129.305284299061 -450.958740404982</t>
  </si>
  <si>
    <t>-949.201671809508 132.42217832041 -575.399714270835</t>
  </si>
  <si>
    <t>-918.068116726439 136.963461564776 -652.309604019618</t>
  </si>
  <si>
    <t>-952.398587334943 158.734790596023 -519.9855572149</t>
  </si>
  <si>
    <t>-955.078364503305 294.558849717863 -498.951424896808</t>
  </si>
  <si>
    <t>-902.394423809178 342.815730548898 -213.492364567156</t>
  </si>
  <si>
    <t>-662.538334804225 351.88560983122 -234.412150987009</t>
  </si>
  <si>
    <t>-950.451029402526 103.366354877709 -521.293284351516</t>
  </si>
  <si>
    <t>-911.402210037313 234.520883748517 -68.6234716316587</t>
  </si>
  <si>
    <t>-918.225508799973 269.02805716479 333.393195825119</t>
  </si>
  <si>
    <t>-954.300157980311 296.401364893168 778.546707915314</t>
  </si>
  <si>
    <t>-814.522724674048 338.793210288262 839.804718498837</t>
  </si>
  <si>
    <t>-884.167918908305 45.3840019202175 -63.870566899894</t>
  </si>
  <si>
    <t>-856.978090857846 31.6431802004272 338.530510345984</t>
  </si>
  <si>
    <t>-899.153241645125 43.8131385835459 784.747347575898</t>
  </si>
  <si>
    <t>-802.963062085908 -59.5029911452143 856.584119493246</t>
  </si>
  <si>
    <t>9763-20170724T111239.013510500.bin</t>
  </si>
  <si>
    <t>-897.408360624433 140.057718961354 -65.2441890222401</t>
  </si>
  <si>
    <t>-931.804511508488 130.988882971208 -175.475247762485</t>
  </si>
  <si>
    <t>-946.074464994382 128.462574437399 -273.028617360525</t>
  </si>
  <si>
    <t>-953.289108612418 127.945485899917 -361.831273443017</t>
  </si>
  <si>
    <t>-954.394477795123 129.063714858446 -450.914204266334</t>
  </si>
  <si>
    <t>-949.484656422956 132.178672394865 -575.361033694394</t>
  </si>
  <si>
    <t>-918.45284760118 136.777800842034 -652.308489182344</t>
  </si>
  <si>
    <t>-952.652813324776 158.491070681414 -519.945066145402</t>
  </si>
  <si>
    <t>-955.478454284038 294.303916887837 -498.870497260565</t>
  </si>
  <si>
    <t>-901.924698980573 341.974147350702 -213.474793087752</t>
  </si>
  <si>
    <t>-661.757802269724 349.422130334306 -231.22762276798</t>
  </si>
  <si>
    <t>-950.636985091753 103.124888679783 -521.25132403653</t>
  </si>
  <si>
    <t>-911.469994589849 234.518048706934 -68.6308694451735</t>
  </si>
  <si>
    <t>-918.426461738638 269.039995599048 333.382148816428</t>
  </si>
  <si>
    <t>-954.494790875866 296.565331569557 778.535630884927</t>
  </si>
  <si>
    <t>-814.625443549386 338.627566638666 839.811047575321</t>
  </si>
  <si>
    <t>-883.707400031515 45.3486079947029 -63.8601975735987</t>
  </si>
  <si>
    <t>-856.70479170256 31.5656040392346 338.551933517465</t>
  </si>
  <si>
    <t>-899.03173322032 43.8308228309515 784.738294446351</t>
  </si>
  <si>
    <t>-802.845926612676 -59.4913329351821 856.572300290857</t>
  </si>
  <si>
    <t>9763-20170724T111239.080692900.bin</t>
  </si>
  <si>
    <t>-897.051789602496 140.019167112119 -65.2577233504608</t>
  </si>
  <si>
    <t>-931.499039988598 130.782578843107 -175.458770565752</t>
  </si>
  <si>
    <t>-945.871578832913 128.137329804613 -272.99392258612</t>
  </si>
  <si>
    <t>-953.200161116433 127.515690541097 -361.786623983292</t>
  </si>
  <si>
    <t>-954.438403873998 128.529628823123 -450.868963692068</t>
  </si>
  <si>
    <t>-949.733494781679 131.496390628166 -575.327496526294</t>
  </si>
  <si>
    <t>-918.801342198229 136.113237014356 -652.313932631049</t>
  </si>
  <si>
    <t>-952.818392284123 157.874436443837 -519.937911295282</t>
  </si>
  <si>
    <t>-955.570860106335 293.679701287455 -498.884774444115</t>
  </si>
  <si>
    <t>-900.096259053567 339.49930695809 -213.552919686737</t>
  </si>
  <si>
    <t>-659.514980397654 344.297882380114 -225.742981491581</t>
  </si>
  <si>
    <t>-950.789282536632 102.507599077948 -521.180960892736</t>
  </si>
  <si>
    <t>-911.46327151475 234.42464726633 -68.6737258069313</t>
  </si>
  <si>
    <t>-918.580269582251 269.02869227048 333.329518769816</t>
  </si>
  <si>
    <t>-954.492505543035 296.297508026295 778.506122114117</t>
  </si>
  <si>
    <t>-814.821546142061 338.97642927552 839.806867211461</t>
  </si>
  <si>
    <t>-882.99027650427 45.3542941125966 -63.8525888154207</t>
  </si>
  <si>
    <t>-856.274018780756 31.4957381605473 338.576096440464</t>
  </si>
  <si>
    <t>-898.833507112603 43.8085653925641 784.734866545064</t>
  </si>
  <si>
    <t>-802.485281941703 -59.3820743375729 856.540326774232</t>
  </si>
  <si>
    <t>9763-20170724T111239.116790300.bin</t>
  </si>
  <si>
    <t>-897.042234682782 140.148050385874 -65.2533839536534</t>
  </si>
  <si>
    <t>-931.474364934767 130.861475486712 -175.455205393965</t>
  </si>
  <si>
    <t>-945.845613493879 128.164719897971 -272.98902293051</t>
  </si>
  <si>
    <t>-953.176940244141 127.490726277737 -361.781083430922</t>
  </si>
  <si>
    <t>-954.422090056113 128.445445937557 -450.864057575028</t>
  </si>
  <si>
    <t>-949.730399093788 131.319817316486 -575.325004689774</t>
  </si>
  <si>
    <t>-918.786678986639 135.906515451516 -652.308665384016</t>
  </si>
  <si>
    <t>-952.783003603341 157.739685938886 -519.953818936958</t>
  </si>
  <si>
    <t>-955.313431660947 293.558238308027 -498.922449372736</t>
  </si>
  <si>
    <t>-899.051262212778 338.234670785279 -213.563326973419</t>
  </si>
  <si>
    <t>-658.361414067427 342.420926083973 -223.650492940415</t>
  </si>
  <si>
    <t>-950.806900677309 102.370209318627 -521.158053204763</t>
  </si>
  <si>
    <t>-911.603112420698 234.610572439417 -68.6977534038028</t>
  </si>
  <si>
    <t>-918.678340056305 269.247733375056 333.303284268287</t>
  </si>
  <si>
    <t>-954.706328213701 296.479435219067 778.499064782138</t>
  </si>
  <si>
    <t>-814.915223566067 338.737382843964 839.818074262589</t>
  </si>
  <si>
    <t>-882.856485220847 45.4386664619819 -63.8469221416526</t>
  </si>
  <si>
    <t>-856.224046031036 31.5601814702595 338.586644627108</t>
  </si>
  <si>
    <t>-898.726307908503 43.8156091561245 784.733598589435</t>
  </si>
  <si>
    <t>-802.310143914956 -59.3215374208237 856.524199406035</t>
  </si>
  <si>
    <t>9763-20170724T111239.181463900.bin</t>
  </si>
  <si>
    <t>-897.078917709757 140.551929930346 -65.2721027839478</t>
  </si>
  <si>
    <t>-931.402093503404 131.243391202267 -175.505907749779</t>
  </si>
  <si>
    <t>-945.696753631916 128.520492825037 -273.050193772669</t>
  </si>
  <si>
    <t>-952.965497537718 127.818455364504 -361.847299714333</t>
  </si>
  <si>
    <t>-954.154098558023 128.737492753905 -450.931378730415</t>
  </si>
  <si>
    <t>-949.390248342839 131.552249033738 -575.391070490196</t>
  </si>
  <si>
    <t>-918.318203488381 136.008223103575 -652.330572515264</t>
  </si>
  <si>
    <t>-952.361082431249 158.002664263684 -520.029718947564</t>
  </si>
  <si>
    <t>-954.161318532767 293.847400162541 -499.036721412505</t>
  </si>
  <si>
    <t>-897.257695468098 336.16607357089 -213.445621048429</t>
  </si>
  <si>
    <t>-656.500609457529 339.110633707672 -222.284967266364</t>
  </si>
  <si>
    <t>-950.612282763377 102.624751090254 -521.215297141983</t>
  </si>
  <si>
    <t>-911.631083269418 234.927866296863 -68.7719047846662</t>
  </si>
  <si>
    <t>-918.492719347441 269.721093858815 333.219386803476</t>
  </si>
  <si>
    <t>-955.004371518515 296.619074781071 778.454929792606</t>
  </si>
  <si>
    <t>-815.158007841444 338.679662934164 839.783517692961</t>
  </si>
  <si>
    <t>-882.89961497081 45.955149545106 -63.7976660793607</t>
  </si>
  <si>
    <t>-856.328610029006 31.7728301932157 338.629458888831</t>
  </si>
  <si>
    <t>-898.506558097645 43.8677863381458 784.756199511003</t>
  </si>
  <si>
    <t>-802.218032471942 -59.3996463752235 856.531421206127</t>
  </si>
  <si>
    <t>9763-20170724T111239.212007600.bin</t>
  </si>
  <si>
    <t>-897.070115351642 140.682596978439 -65.281281654699</t>
  </si>
  <si>
    <t>-931.344006103048 131.429251412369 -175.535078239238</t>
  </si>
  <si>
    <t>-945.609805578708 128.734037265222 -273.084469630354</t>
  </si>
  <si>
    <t>-952.85834024961 128.050572765582 -361.883223864292</t>
  </si>
  <si>
    <t>-954.033560012589 128.980797656023 -450.967554841575</t>
  </si>
  <si>
    <t>-949.258322308624 131.803653078117 -575.426498233587</t>
  </si>
  <si>
    <t>-918.101833180609 136.144799134736 -652.338534803909</t>
  </si>
  <si>
    <t>-952.162418568416 158.25237690357 -520.060961783659</t>
  </si>
  <si>
    <t>-953.558242337664 294.108546644278 -499.09972426705</t>
  </si>
  <si>
    <t>-896.546277368406 335.807105742298 -213.438990867474</t>
  </si>
  <si>
    <t>-655.798430047376 338.00843271039 -222.737109909566</t>
  </si>
  <si>
    <t>-950.556944683374 102.870336685829 -521.255481903242</t>
  </si>
  <si>
    <t>-911.441948153373 234.94704771391 -68.8045177569855</t>
  </si>
  <si>
    <t>-918.184525788859 269.805474491786 333.183160147978</t>
  </si>
  <si>
    <t>-954.979585669884 296.413867637111 778.427130535635</t>
  </si>
  <si>
    <t>-815.278911987016 338.968416695856 839.747225175333</t>
  </si>
  <si>
    <t>-883.056893430008 46.2165593277196 -63.7816298789176</t>
  </si>
  <si>
    <t>-856.429503533813 31.8253925589543 338.634328089506</t>
  </si>
  <si>
    <t>-898.359409732439 43.9553672483648 784.770240351808</t>
  </si>
  <si>
    <t>-802.122177517122 -59.3641071741631 856.539315413722</t>
  </si>
  <si>
    <t>9763-20170724T111239.278181800.bin</t>
  </si>
  <si>
    <t>-897.238064860104 141.024314206125 -65.2659167044219</t>
  </si>
  <si>
    <t>-931.449346750562 131.96993549534 -175.555715151815</t>
  </si>
  <si>
    <t>-945.686022503451 129.319918612582 -273.110526454083</t>
  </si>
  <si>
    <t>-952.923129013753 128.630756980928 -361.910274023663</t>
  </si>
  <si>
    <t>-954.102051986946 129.506730433717 -450.994983921816</t>
  </si>
  <si>
    <t>-949.349778020902 132.203885765754 -575.457631519527</t>
  </si>
  <si>
    <t>-918.015597066035 136.219147731812 -652.31513927278</t>
  </si>
  <si>
    <t>-952.078634088678 158.712910988736 -520.111908601895</t>
  </si>
  <si>
    <t>-952.622722171891 294.607320027436 -499.285464692822</t>
  </si>
  <si>
    <t>-895.909116804892 336.075101017263 -213.531697937285</t>
  </si>
  <si>
    <t>-655.231491887329 336.498767830985 -224.710274783538</t>
  </si>
  <si>
    <t>-950.803635770194 103.321271805725 -521.263734921501</t>
  </si>
  <si>
    <t>-911.232586452283 235.231074434108 -68.808259512036</t>
  </si>
  <si>
    <t>-917.799649510236 270.167032940201 333.175608008446</t>
  </si>
  <si>
    <t>-955.310165088102 296.564083805753 778.391777833933</t>
  </si>
  <si>
    <t>-815.375122928619 338.358856282479 839.699320003256</t>
  </si>
  <si>
    <t>-883.577835602351 46.6055940478923 -63.7601561330047</t>
  </si>
  <si>
    <t>-856.875260182242 32.0050321117442 338.643197091449</t>
  </si>
  <si>
    <t>-898.127928136129 44.0532398338191 784.809688801985</t>
  </si>
  <si>
    <t>-802.083419477789 -59.4492158649127 856.572962806736</t>
  </si>
  <si>
    <t>9763-20170724T111239.314953100.bin</t>
  </si>
  <si>
    <t>-897.236700307074 141.022990247788 -65.2425343726089</t>
  </si>
  <si>
    <t>-931.42345072936 132.102496490245 -175.550814723261</t>
  </si>
  <si>
    <t>-945.634996613898 129.46706030716 -273.109792420207</t>
  </si>
  <si>
    <t>-952.850232633113 128.751522813968 -361.911004298747</t>
  </si>
  <si>
    <t>-954.009573717181 129.560744983763 -450.996601608039</t>
  </si>
  <si>
    <t>-949.232863463775 132.12204088787 -575.461307144936</t>
  </si>
  <si>
    <t>-917.797208866168 135.952939420554 -652.286703725295</t>
  </si>
  <si>
    <t>-951.881968055696 158.693391356795 -520.141518503174</t>
  </si>
  <si>
    <t>-952.004823395496 294.609431687586 -499.449692569321</t>
  </si>
  <si>
    <t>-896.087578807372 336.191219989129 -213.555543151375</t>
  </si>
  <si>
    <t>-655.493447040878 335.685928194111 -226.405254366843</t>
  </si>
  <si>
    <t>-950.787872344132 103.296703034733 -521.239616268489</t>
  </si>
  <si>
    <t>-910.993402857385 235.247680130378 -68.7734649777797</t>
  </si>
  <si>
    <t>-917.592338931027 270.201945972192 333.208320266323</t>
  </si>
  <si>
    <t>-955.480819338185 296.635848784678 778.38923846578</t>
  </si>
  <si>
    <t>-815.500651877198 338.308324057612 839.677893953666</t>
  </si>
  <si>
    <t>-883.80809779284 46.5473987613359 -63.7629687329716</t>
  </si>
  <si>
    <t>-857.098262171992 31.9703030491814 338.640718660842</t>
  </si>
  <si>
    <t>-898.103261017912 43.9654436308388 784.833443867533</t>
  </si>
  <si>
    <t>-801.931389169174 -59.4308046511612 856.579317967491</t>
  </si>
  <si>
    <t>9763-20170724T111239.381633400.bin</t>
  </si>
  <si>
    <t>-896.994489185313 140.98213208147 -65.2026551921637</t>
  </si>
  <si>
    <t>-931.171638511666 132.36119791516 -175.537827471343</t>
  </si>
  <si>
    <t>-945.346240373602 129.736190776105 -273.102382658145</t>
  </si>
  <si>
    <t>-952.522155018175 128.933256892833 -361.90601169452</t>
  </si>
  <si>
    <t>-953.639601735832 129.55519742646 -450.993632547867</t>
  </si>
  <si>
    <t>-948.804263507264 131.750778014971 -575.463065984555</t>
  </si>
  <si>
    <t>-917.09330013788 135.192656680804 -652.193895304716</t>
  </si>
  <si>
    <t>-951.311174585158 158.486918903146 -520.216413942186</t>
  </si>
  <si>
    <t>-950.821681691744 294.442343948784 -499.868160706879</t>
  </si>
  <si>
    <t>-897.1521805824 336.343294895615 -213.590232898746</t>
  </si>
  <si>
    <t>-656.819092462267 333.215368452367 -230.352714257592</t>
  </si>
  <si>
    <t>-950.55298015566 103.082204488173 -521.164147297012</t>
  </si>
  <si>
    <t>-910.308423598115 235.285535504142 -68.6677734145624</t>
  </si>
  <si>
    <t>-917.11530742763 270.273663685612 333.30750018201</t>
  </si>
  <si>
    <t>-955.770457170701 296.715789435589 778.416758042614</t>
  </si>
  <si>
    <t>-815.691784253836 338.097948885896 839.676688384243</t>
  </si>
  <si>
    <t>-884.008235882753 46.4981475803406 -63.7651584809967</t>
  </si>
  <si>
    <t>-857.209124187797 31.888105192324 338.631448621437</t>
  </si>
  <si>
    <t>-897.882541355154 44.0690748225975 784.856434785214</t>
  </si>
  <si>
    <t>-801.863494941379 -59.487423138962 856.576107496342</t>
  </si>
  <si>
    <t>9763-20170724T111239.414225400.bin</t>
  </si>
  <si>
    <t>-896.804669433416 140.900351997233 -65.1612903260143</t>
  </si>
  <si>
    <t>-930.995326947789 132.419357053595 -175.503011164718</t>
  </si>
  <si>
    <t>-945.193103277059 129.809608000433 -273.064563257402</t>
  </si>
  <si>
    <t>-952.397059675731 128.980676216803 -361.865722511264</t>
  </si>
  <si>
    <t>-953.551240851446 129.537035359623 -450.953391133165</t>
  </si>
  <si>
    <t>-948.777164902928 131.599755921165 -575.427337181803</t>
  </si>
  <si>
    <t>-916.853680277996 134.896154533987 -652.076392039863</t>
  </si>
  <si>
    <t>-951.197691457755 158.395506630962 -520.205685270481</t>
  </si>
  <si>
    <t>-950.48525156964 294.360782586236 -499.946468946184</t>
  </si>
  <si>
    <t>-898.015597839796 336.281844348309 -213.449088499419</t>
  </si>
  <si>
    <t>-657.873116895993 331.803974143036 -232.485699075158</t>
  </si>
  <si>
    <t>-950.558513242019 102.988350632832 -521.099350386732</t>
  </si>
  <si>
    <t>-909.927848770003 235.243723679358 -68.5898812276283</t>
  </si>
  <si>
    <t>-916.704780150042 270.264659277214 333.383056130183</t>
  </si>
  <si>
    <t>-955.803457996542 296.592639990396 778.451386449126</t>
  </si>
  <si>
    <t>-815.751237435181 338.079711706206 839.700968827109</t>
  </si>
  <si>
    <t>-884.014312529879 46.3476137314196 -63.7546735022476</t>
  </si>
  <si>
    <t>-857.086196904572 31.7513498797798 338.633790627587</t>
  </si>
  <si>
    <t>-897.804065110337 44.0683146458518 784.856391537602</t>
  </si>
  <si>
    <t>-801.713780916229 -59.4382001155425 856.552630203297</t>
  </si>
  <si>
    <t>9763-20170724T111239.480904300.bin</t>
  </si>
  <si>
    <t>-896.429662878146 140.86773311174 -65.0110356530824</t>
  </si>
  <si>
    <t>-930.837785301268 132.604268778654 -175.301656757927</t>
  </si>
  <si>
    <t>-945.241935664861 130.052398770335 -272.834562709017</t>
  </si>
  <si>
    <t>-952.643376160501 129.22931723939 -361.619556247699</t>
  </si>
  <si>
    <t>-954.007380723709 129.745988341693 -450.704422400319</t>
  </si>
  <si>
    <t>-949.540542624953 131.708134572268 -575.191446505533</t>
  </si>
  <si>
    <t>-916.984655769582 134.911945896995 -651.577733783571</t>
  </si>
  <si>
    <t>-951.767725479124 158.549311277756 -519.983646327487</t>
  </si>
  <si>
    <t>-950.755237520163 294.512785093912 -499.799748627192</t>
  </si>
  <si>
    <t>-900.224067385194 336.170577944884 -212.91566638313</t>
  </si>
  <si>
    <t>-660.401913212586 330.033768403273 -235.24150719183</t>
  </si>
  <si>
    <t>-951.24505743986 103.140155815197 -520.838125485636</t>
  </si>
  <si>
    <t>-909.393444944581 235.263070377417 -68.3699794790862</t>
  </si>
  <si>
    <t>-915.732911733574 270.481999371803 333.592857182133</t>
  </si>
  <si>
    <t>-956.051771249445 296.617269534162 778.560520958867</t>
  </si>
  <si>
    <t>-815.862993832417 337.68362198747 839.781187390507</t>
  </si>
  <si>
    <t>-883.844507258488 46.2406134226162 -63.7381403673116</t>
  </si>
  <si>
    <t>-856.650027390927 31.6478490542836 338.632622587219</t>
  </si>
  <si>
    <t>-897.53993251993 44.2155758366503 784.819940338776</t>
  </si>
  <si>
    <t>-801.539428522259 -59.3790842196815 856.509142943452</t>
  </si>
  <si>
    <t>9763-20170724T111239.511510400.bin</t>
  </si>
  <si>
    <t>-896.195531820121 140.855227959693 -64.9291083420445</t>
  </si>
  <si>
    <t>-930.745186878623 132.676504791476 -175.181786672052</t>
  </si>
  <si>
    <t>-945.287054911863 130.16258819184 -272.695289945825</t>
  </si>
  <si>
    <t>-952.821008479177 129.363459112142 -361.469273555627</t>
  </si>
  <si>
    <t>-954.325799014432 129.895332607271 -450.551790682443</t>
  </si>
  <si>
    <t>-950.063766871317 131.871264331416 -575.045679184357</t>
  </si>
  <si>
    <t>-917.083228160124 135.130299426428 -651.247287158764</t>
  </si>
  <si>
    <t>-952.188721388687 158.706338823381 -519.830916750622</t>
  </si>
  <si>
    <t>-951.085848701466 294.668633173764 -499.589057943788</t>
  </si>
  <si>
    <t>-900.839523595872 335.887252041589 -212.591565804254</t>
  </si>
  <si>
    <t>-661.153131635113 329.619593531028 -236.298546029075</t>
  </si>
  <si>
    <t>-951.689873809644 103.297228785695 -520.693361715253</t>
  </si>
  <si>
    <t>-909.030427915962 235.240682095681 -68.2650070051046</t>
  </si>
  <si>
    <t>-915.179674134697 270.443148069046 333.702214537681</t>
  </si>
  <si>
    <t>-956.002595604784 296.378127963555 778.61683487673</t>
  </si>
  <si>
    <t>-815.982081324555 338.058627973167 839.80807743498</t>
  </si>
  <si>
    <t>-883.73121506794 46.2399134310253 -63.7094596192977</t>
  </si>
  <si>
    <t>-856.388036423817 31.6352285583121 338.650655922979</t>
  </si>
  <si>
    <t>-897.427579154778 44.250913332995 784.799825668602</t>
  </si>
  <si>
    <t>-801.525902790356 -59.4293285837011 856.497869688721</t>
  </si>
  <si>
    <t>9763-20170724T111239.581198200.bin</t>
  </si>
  <si>
    <t>-895.671322659171 141.183967066125 -64.8541625740271</t>
  </si>
  <si>
    <t>-930.412822469218 133.097351439981 -175.053391276625</t>
  </si>
  <si>
    <t>-945.208992866247 130.675216698779 -272.530803534085</t>
  </si>
  <si>
    <t>-953.009652161469 129.971157287197 -361.282760362744</t>
  </si>
  <si>
    <t>-954.817224129648 130.613133108154 -450.358851570691</t>
  </si>
  <si>
    <t>-951.016072349233 132.761758514067 -574.864921292893</t>
  </si>
  <si>
    <t>-917.042529931127 136.290705346504 -650.617014701495</t>
  </si>
  <si>
    <t>-952.916164641464 159.520536182858 -519.604837441898</t>
  </si>
  <si>
    <t>-951.750063711828 295.472179783499 -499.265594695982</t>
  </si>
  <si>
    <t>-902.553963837896 335.796686416088 -211.959228640355</t>
  </si>
  <si>
    <t>-663.285622426323 328.582341978233 -239.335955539749</t>
  </si>
  <si>
    <t>-952.46157677521 104.112101736013 -520.547125007041</t>
  </si>
  <si>
    <t>-908.322600795284 235.634331132528 -68.1248753836945</t>
  </si>
  <si>
    <t>-914.45581757123 270.771569876618 333.848326728035</t>
  </si>
  <si>
    <t>-956.264671962638 296.486493035974 778.687629605783</t>
  </si>
  <si>
    <t>-816.117664513588 337.774161647174 839.855066034256</t>
  </si>
  <si>
    <t>-883.335489862631 46.5120834241438 -63.6452599644877</t>
  </si>
  <si>
    <t>-855.727556309156 31.710091399395 338.689650290947</t>
  </si>
  <si>
    <t>-897.138178576115 44.4047280779478 784.757871944675</t>
  </si>
  <si>
    <t>-801.407841293264 -59.414778700803 856.483013279762</t>
  </si>
  <si>
    <t>9763-20170724T111239.613786400.bin</t>
  </si>
  <si>
    <t>-895.466369477191 141.30168348726 -64.8307813162136</t>
  </si>
  <si>
    <t>-930.272695238388 133.245792579793 -175.011572807104</t>
  </si>
  <si>
    <t>-945.191994534237 130.858283196346 -272.471232721566</t>
  </si>
  <si>
    <t>-953.131538441205 130.192702555173 -361.211089791834</t>
  </si>
  <si>
    <t>-955.105561548411 130.88252114976 -450.283388000366</t>
  </si>
  <si>
    <t>-951.566093064156 133.109471558037 -574.795665873459</t>
  </si>
  <si>
    <t>-917.059193932664 136.826838337515 -650.297187855802</t>
  </si>
  <si>
    <t>-953.357571615804 159.833175931129 -519.515184437778</t>
  </si>
  <si>
    <t>-952.259755639808 295.785285067766 -499.163548156171</t>
  </si>
  <si>
    <t>-903.635958587476 335.552011128834 -211.682081987121</t>
  </si>
  <si>
    <t>-664.558282032104 328.121536120605 -240.621296774471</t>
  </si>
  <si>
    <t>-952.889779438866 104.425888887379 -520.492783035176</t>
  </si>
  <si>
    <t>-908.154719219794 235.817936570021 -68.0922771178539</t>
  </si>
  <si>
    <t>-914.145730953662 270.896906087076 333.888191510307</t>
  </si>
  <si>
    <t>-956.390556263095 296.534746694443 778.722296712663</t>
  </si>
  <si>
    <t>-816.219856360656 337.755272701968 839.880569420906</t>
  </si>
  <si>
    <t>-883.136212593344 46.5787410647272 -63.6247713499885</t>
  </si>
  <si>
    <t>-855.357894231481 31.7004836267029 338.695539465384</t>
  </si>
  <si>
    <t>-897.015853947766 44.4496949614454 784.735554878946</t>
  </si>
  <si>
    <t>-801.313678681979 -59.386025803414 856.474765742608</t>
  </si>
  <si>
    <t>9763-20170724T111239.678959200.bin</t>
  </si>
  <si>
    <t>-895.063527552777 141.319886424054 -64.7352778510702</t>
  </si>
  <si>
    <t>-930.043886119406 133.250840616092 -174.860244785764</t>
  </si>
  <si>
    <t>-945.195472705384 130.880645674201 -272.284353386393</t>
  </si>
  <si>
    <t>-953.37908752763 130.246662461717 -361.002280362776</t>
  </si>
  <si>
    <t>-955.630752794123 130.988284297913 -450.067485690619</t>
  </si>
  <si>
    <t>-952.513486742179 133.312146890547 -574.589369213597</t>
  </si>
  <si>
    <t>-916.920294305892 137.426974253222 -649.564178235528</t>
  </si>
  <si>
    <t>-954.188475405576 159.992147696201 -519.284034018502</t>
  </si>
  <si>
    <t>-953.513798750514 295.934827609939 -498.833443556628</t>
  </si>
  <si>
    <t>-905.540174396638 334.85882192832 -211.127613326097</t>
  </si>
  <si>
    <t>-666.75686816938 326.914835975343 -242.276255924563</t>
  </si>
  <si>
    <t>-953.582151158769 104.586834266688 -520.302931435192</t>
  </si>
  <si>
    <t>-907.995905049677 235.873920337642 -67.9773785500525</t>
  </si>
  <si>
    <t>-913.392222610882 271.13909104539 333.995175224336</t>
  </si>
  <si>
    <t>-956.571392130483 296.484668797304 778.802917683327</t>
  </si>
  <si>
    <t>-816.234187939325 337.178903544013 839.931338720778</t>
  </si>
  <si>
    <t>-882.46708894628 46.5432619876033 -63.5780093480157</t>
  </si>
  <si>
    <t>-854.537883019894 31.6723943440843 338.732205796899</t>
  </si>
  <si>
    <t>-896.778395163162 44.5373196583159 784.688250204135</t>
  </si>
  <si>
    <t>-801.236989504042 -59.4210131982807 856.464318744178</t>
  </si>
  <si>
    <t>9763-20170724T111239.714948700.bin</t>
  </si>
  <si>
    <t>-894.737172772808 141.261909516184 -64.6899180863377</t>
  </si>
  <si>
    <t>-929.823468388971 133.132242871279 -174.776592335798</t>
  </si>
  <si>
    <t>-945.068064979893 130.745146946746 -272.185797679612</t>
  </si>
  <si>
    <t>-953.335839489243 130.11147503039 -360.895904261136</t>
  </si>
  <si>
    <t>-955.671223240308 130.869527454645 -449.958951908109</t>
  </si>
  <si>
    <t>-952.669404497881 133.235173307499 -574.482830865133</t>
  </si>
  <si>
    <t>-916.546032062359 137.543679471913 -649.192546280867</t>
  </si>
  <si>
    <t>-954.348916184644 159.896365328509 -519.168325779381</t>
  </si>
  <si>
    <t>-953.995251370276 295.827303015422 -498.656748345658</t>
  </si>
  <si>
    <t>-906.51526700746 334.561323692306 -210.843382443373</t>
  </si>
  <si>
    <t>-667.845637224565 326.250587416712 -242.759348602424</t>
  </si>
  <si>
    <t>-953.632029179581 104.492434345523 -520.203582759481</t>
  </si>
  <si>
    <t>-907.756869323952 235.781117624626 -67.9060637674253</t>
  </si>
  <si>
    <t>-912.964291304016 271.315406325922 334.045255807561</t>
  </si>
  <si>
    <t>-956.723431235266 296.569403611193 778.812186801059</t>
  </si>
  <si>
    <t>-816.307683281184 337.011351775214 839.928770551488</t>
  </si>
  <si>
    <t>-881.997490049161 46.4910830755161 -63.5388960598328</t>
  </si>
  <si>
    <t>-854.002623216753 31.57907560998 338.765202888346</t>
  </si>
  <si>
    <t>-896.669478212603 44.5610350886313 784.666034617291</t>
  </si>
  <si>
    <t>-801.189432856107 -59.440398051883 856.461322324773</t>
  </si>
  <si>
    <t>9763-20170724T111239.782633600.bin</t>
  </si>
  <si>
    <t>-894.072202063045 140.799503234421 -64.6319167399596</t>
  </si>
  <si>
    <t>-929.359059686172 132.537341746159 -174.644630890558</t>
  </si>
  <si>
    <t>-944.772211680238 130.137460362895 -272.026985753993</t>
  </si>
  <si>
    <t>-953.187686385518 129.532136853676 -360.723459785011</t>
  </si>
  <si>
    <t>-955.665461886718 130.362427394012 -449.781951410432</t>
  </si>
  <si>
    <t>-952.855203143823 132.875435778717 -574.307377114852</t>
  </si>
  <si>
    <t>-915.740069776823 137.530475222116 -648.508558822706</t>
  </si>
  <si>
    <t>-954.582220099924 159.468675490466 -518.96206245091</t>
  </si>
  <si>
    <t>-955.015427391038 295.366077384462 -498.260403219733</t>
  </si>
  <si>
    <t>-909.04013799719 333.459338363616 -210.117471692621</t>
  </si>
  <si>
    <t>-670.625236263897 324.702512600932 -243.770123335727</t>
  </si>
  <si>
    <t>-953.601884119395 104.070164343089 -520.057729025328</t>
  </si>
  <si>
    <t>-907.429255168043 235.284279844158 -67.8049495995087</t>
  </si>
  <si>
    <t>-912.14215380487 271.248862645241 334.114248246365</t>
  </si>
  <si>
    <t>-956.716150113591 296.24124362867 778.819363128644</t>
  </si>
  <si>
    <t>-816.394975137603 337.069861145096 839.89583040715</t>
  </si>
  <si>
    <t>-881.014148124179 46.0431293916149 -63.4803984585008</t>
  </si>
  <si>
    <t>-852.761435924055 31.2521566089627 338.810208745974</t>
  </si>
  <si>
    <t>-896.423041857399 44.6636191698667 784.614920160183</t>
  </si>
  <si>
    <t>-800.972167864146 -59.3477559534917 856.434401769334</t>
  </si>
  <si>
    <t>9763-20170724T111239.815221800.bin</t>
  </si>
  <si>
    <t>-893.884502966878 140.444512821717 -64.5955985883437</t>
  </si>
  <si>
    <t>-929.268344660895 132.126288055819 -174.572887776205</t>
  </si>
  <si>
    <t>-944.755569986705 129.748023704905 -271.944140647602</t>
  </si>
  <si>
    <t>-953.232616800738 129.190539680159 -360.634988179855</t>
  </si>
  <si>
    <t>-955.765439827839 130.098243732516 -449.691124700818</t>
  </si>
  <si>
    <t>-953.024892553953 132.751196673214 -574.215209426902</t>
  </si>
  <si>
    <t>-915.500748454884 137.574828114187 -648.199722135338</t>
  </si>
  <si>
    <t>-954.803967218351 159.280685030998 -518.840983564399</t>
  </si>
  <si>
    <t>-955.724389759482 295.153005942197 -497.992542058518</t>
  </si>
  <si>
    <t>-910.640463061093 332.642479810065 -209.629616185215</t>
  </si>
  <si>
    <t>-672.394819304029 323.749014670749 -244.426285826124</t>
  </si>
  <si>
    <t>-953.657685954495 103.886708238326 -519.99583035694</t>
  </si>
  <si>
    <t>-907.497469895217 235.004102155416 -67.7527184850735</t>
  </si>
  <si>
    <t>-911.973187586155 271.084927997519 334.158774994656</t>
  </si>
  <si>
    <t>-956.834705273587 296.285184418548 778.813315279068</t>
  </si>
  <si>
    <t>-816.520929189363 337.150172628066 839.882885692754</t>
  </si>
  <si>
    <t>-880.622866280155 45.6219148334089 -63.4650332315981</t>
  </si>
  <si>
    <t>-852.234789295734 31.0199692235519 338.822949385813</t>
  </si>
  <si>
    <t>-896.372127998278 44.6074791442434 784.586287757894</t>
  </si>
  <si>
    <t>-800.809306774418 -59.2972476432171 856.411185886363</t>
  </si>
  <si>
    <t>9763-20170724T111239.880394300.bin</t>
  </si>
  <si>
    <t>-893.746807018852 139.862553414046 -64.5631108748773</t>
  </si>
  <si>
    <t>-929.216245952778 131.422266401443 -174.503517441451</t>
  </si>
  <si>
    <t>-944.769852848209 129.089112171326 -271.865243695056</t>
  </si>
  <si>
    <t>-953.301221293081 128.632837443309 -360.551532228324</t>
  </si>
  <si>
    <t>-955.880970928703 129.706510634288 -449.60446035655</t>
  </si>
  <si>
    <t>-953.197764896974 132.66150866688 -574.12304090093</t>
  </si>
  <si>
    <t>-914.973787856826 137.835172942638 -647.724647913848</t>
  </si>
  <si>
    <t>-955.15247254835 159.051866376102 -518.688087595428</t>
  </si>
  <si>
    <t>-957.18844794722 294.868740442399 -497.513897142572</t>
  </si>
  <si>
    <t>-913.529119641434 330.867496302978 -208.741997938428</t>
  </si>
  <si>
    <t>-675.568965843268 322.61972727236 -245.59074476801</t>
  </si>
  <si>
    <t>-953.604749209042 103.670300639186 -519.969060510084</t>
  </si>
  <si>
    <t>-907.878863090735 234.519973386932 -67.6925070191429</t>
  </si>
  <si>
    <t>-912.343793746895 270.666571625907 334.213155179181</t>
  </si>
  <si>
    <t>-957.063584853275 296.427072119615 778.813252040864</t>
  </si>
  <si>
    <t>-816.718070651269 337.172525510037 839.889180893608</t>
  </si>
  <si>
    <t>-879.974625379708 45.0391473330187 -63.4920903618136</t>
  </si>
  <si>
    <t>-851.575953955897 30.8126189478012 338.808533178026</t>
  </si>
  <si>
    <t>-896.14815418624 44.7172910699101 784.516744398243</t>
  </si>
  <si>
    <t>-800.652321571449 -59.2338211564352 856.363931543923</t>
  </si>
  <si>
    <t>9763-20170724T111239.912039900.bin</t>
  </si>
  <si>
    <t>-893.77957453604 139.802811168719 -64.5949625435857</t>
  </si>
  <si>
    <t>-929.230590921582 131.28131610051 -174.535130002423</t>
  </si>
  <si>
    <t>-944.784632893737 128.971017536257 -271.897276829394</t>
  </si>
  <si>
    <t>-953.321755064839 128.572628189269 -360.583189067893</t>
  </si>
  <si>
    <t>-955.91213237644 129.743596965992 -449.634699966057</t>
  </si>
  <si>
    <t>-953.247015609116 132.875355040193 -574.149388297117</t>
  </si>
  <si>
    <t>-914.704312776134 138.239872171213 -647.570812938669</t>
  </si>
  <si>
    <t>-955.298310439986 159.184086179494 -518.67901074673</t>
  </si>
  <si>
    <t>-957.883180565605 294.956733070271 -497.339043109412</t>
  </si>
  <si>
    <t>-914.791566823569 330.339929423556 -208.405944069465</t>
  </si>
  <si>
    <t>-676.951925001311 322.36493606952 -246.083205783136</t>
  </si>
  <si>
    <t>-953.541353544197 103.810335256174 -520.034196489709</t>
  </si>
  <si>
    <t>-908.127747983366 234.405374811603 -67.7025166446629</t>
  </si>
  <si>
    <t>-912.87199416976 270.581369752246 334.197281790464</t>
  </si>
  <si>
    <t>-957.141907511256 296.466005875268 778.814206010595</t>
  </si>
  <si>
    <t>-816.76737900537 337.095254680503 839.900657522093</t>
  </si>
  <si>
    <t>-879.775581192015 45.1159456628338 -63.5400793367031</t>
  </si>
  <si>
    <t>-851.568213299962 30.8380840152322 338.772208505818</t>
  </si>
  <si>
    <t>-896.099108807237 44.6966041856481 784.503126619708</t>
  </si>
  <si>
    <t>-800.564098324373 -59.2201666724468 856.347661629358</t>
  </si>
  <si>
    <t>9763-20170724T111239.983224500.bin</t>
  </si>
  <si>
    <t>-894.278714274797 139.992629512853 -64.6963335419706</t>
  </si>
  <si>
    <t>-929.641609011526 131.346681188401 -174.655174637917</t>
  </si>
  <si>
    <t>-945.152289706572 129.097273845972 -272.025576894091</t>
  </si>
  <si>
    <t>-953.660192337238 128.820701205544 -360.714873044234</t>
  </si>
  <si>
    <t>-956.231030103472 130.184424743225 -449.764074858093</t>
  </si>
  <si>
    <t>-953.54687602916 133.661594931624 -574.269289134735</t>
  </si>
  <si>
    <t>-914.398674001722 139.393849729172 -647.341598387649</t>
  </si>
  <si>
    <t>-955.797066692064 159.809649834122 -518.730736246675</t>
  </si>
  <si>
    <t>-959.372141623632 295.499249858166 -497.020953023283</t>
  </si>
  <si>
    <t>-917.356579974894 330.132798900092 -207.838540740014</t>
  </si>
  <si>
    <t>-679.81393192191 322.986848279245 -247.502432486543</t>
  </si>
  <si>
    <t>-953.658656387464 104.453325053539 -520.230654529525</t>
  </si>
  <si>
    <t>-909.130386633787 234.404437663693 -67.7857915413033</t>
  </si>
  <si>
    <t>-914.255031684064 270.471394668392 334.119086705575</t>
  </si>
  <si>
    <t>-957.237636705029 296.507413931957 778.815814713174</t>
  </si>
  <si>
    <t>-816.910392440476 337.249764530187 839.935803383992</t>
  </si>
  <si>
    <t>-879.85011279287 45.4277376054488 -63.6552939518931</t>
  </si>
  <si>
    <t>-851.807360912716 31.1350291428057 338.667873490509</t>
  </si>
  <si>
    <t>-895.954111871048 44.7288532358984 784.492324460269</t>
  </si>
  <si>
    <t>-800.603556929029 -59.3516868124771 856.345237145107</t>
  </si>
  <si>
    <t>9763-20170724T111240.015831400.bin</t>
  </si>
  <si>
    <t>-894.710885514539 139.986177267836 -64.7559719452852</t>
  </si>
  <si>
    <t>-930.010793207925 131.323175000228 -174.733580821289</t>
  </si>
  <si>
    <t>-945.442378250215 129.123118409864 -272.117848309999</t>
  </si>
  <si>
    <t>-953.868091096309 128.917599590422 -360.815049846476</t>
  </si>
  <si>
    <t>-956.345463370726 130.37955232837 -449.865394864547</t>
  </si>
  <si>
    <t>-953.519681165259 134.023831778435 -574.362532122074</t>
  </si>
  <si>
    <t>-914.107567462266 139.919990950485 -647.279943095013</t>
  </si>
  <si>
    <t>-955.910895848883 160.094268603914 -518.793453532241</t>
  </si>
  <si>
    <t>-959.94510800083 295.755885704749 -496.932666698611</t>
  </si>
  <si>
    <t>-918.342247625574 330.051111153535 -207.650478074667</t>
  </si>
  <si>
    <t>-680.987404463966 323.431004996538 -248.512277318567</t>
  </si>
  <si>
    <t>-953.615548133508 104.746183468255 -520.361613498215</t>
  </si>
  <si>
    <t>-909.719963386664 234.371103979766 -67.8401288390387</t>
  </si>
  <si>
    <t>-914.98887064142 270.305094926197 334.074807907971</t>
  </si>
  <si>
    <t>-957.200623896362 296.447378730561 778.809488475168</t>
  </si>
  <si>
    <t>-816.935953288926 337.31922004116 839.986116614516</t>
  </si>
  <si>
    <t>-880.102068376113 45.3523224866253 -63.7364680913823</t>
  </si>
  <si>
    <t>-852.177771011356 31.2405799277835 338.601448951138</t>
  </si>
  <si>
    <t>-895.951099955852 44.6444396431389 784.481420371382</t>
  </si>
  <si>
    <t>-800.263763836014 -59.1377868355958 856.317457038699</t>
  </si>
  <si>
    <t>9763-20170724T111240.078998600.bin</t>
  </si>
  <si>
    <t>-895.286905460131 140.219860983105 -64.9253095792226</t>
  </si>
  <si>
    <t>-930.399683260827 131.575188486744 -174.964397504189</t>
  </si>
  <si>
    <t>-945.591911044233 129.476889861815 -272.388469799302</t>
  </si>
  <si>
    <t>-953.768483828345 129.397032955903 -361.109296163367</t>
  </si>
  <si>
    <t>-955.964798104586 131.020313810277 -450.16411465091</t>
  </si>
  <si>
    <t>-952.712297094492 134.927757679315 -574.643000248486</t>
  </si>
  <si>
    <t>-912.910348836745 141.092328753797 -647.326082178508</t>
  </si>
  <si>
    <t>-955.401741871613 160.875972086436 -519.030460476748</t>
  </si>
  <si>
    <t>-960.063619968879 296.473615626282 -496.93492848087</t>
  </si>
  <si>
    <t>-918.534336062068 330.604656705448 -207.622824209155</t>
  </si>
  <si>
    <t>-681.3658410671 325.244604285861 -249.733738793964</t>
  </si>
  <si>
    <t>-952.88535669796 105.540360855952 -520.70158331502</t>
  </si>
  <si>
    <t>-910.412115511778 234.547947403222 -67.9641287817673</t>
  </si>
  <si>
    <t>-916.538003313549 269.912888748008 333.98920768178</t>
  </si>
  <si>
    <t>-957.108347521656 296.331754959833 778.853782136377</t>
  </si>
  <si>
    <t>-817.014269323626 337.573184874205 840.173490754219</t>
  </si>
  <si>
    <t>-880.504902701724 45.7744627673083 -63.9137088239437</t>
  </si>
  <si>
    <t>-852.709814589663 31.6005734048126 338.430912246749</t>
  </si>
  <si>
    <t>-895.8145407593 44.6731368277215 784.44094319124</t>
  </si>
  <si>
    <t>-800.064434800199 -59.0425395685324 856.289606711049</t>
  </si>
  <si>
    <t>9763-20170724T111240.115100200.bin</t>
  </si>
  <si>
    <t>-895.534676722844 140.632314322507 -64.9620310876767</t>
  </si>
  <si>
    <t>-930.512569315579 132.048697799981 -175.048864340852</t>
  </si>
  <si>
    <t>-945.567123266812 130.011513475793 -272.495489329601</t>
  </si>
  <si>
    <t>-953.611851592969 129.98995903359 -361.228332834039</t>
  </si>
  <si>
    <t>-955.668000969799 131.675528977566 -450.285537666082</t>
  </si>
  <si>
    <t>-952.212774631745 135.673373338742 -574.755997595991</t>
  </si>
  <si>
    <t>-912.283163901254 141.921234185485 -647.361879562091</t>
  </si>
  <si>
    <t>-955.016116813106 161.580213603557 -519.129670889375</t>
  </si>
  <si>
    <t>-959.853037693922 297.161864966386 -496.978026510252</t>
  </si>
  <si>
    <t>-918.298579842751 331.333874824278 -207.674155436965</t>
  </si>
  <si>
    <t>-681.189059997816 326.23289472336 -250.147324605964</t>
  </si>
  <si>
    <t>-952.450465656262 106.247842712171 -520.835705401018</t>
  </si>
  <si>
    <t>-910.690541606894 234.941218231108 -67.9788455029376</t>
  </si>
  <si>
    <t>-917.470148658985 269.954826156603 333.994669687014</t>
  </si>
  <si>
    <t>-957.214774709446 296.505843664084 778.91979399061</t>
  </si>
  <si>
    <t>-817.093278940973 337.583408734287 840.286677089093</t>
  </si>
  <si>
    <t>-880.787721620923 46.182785825963 -63.9586960721873</t>
  </si>
  <si>
    <t>-852.851644480437 31.7767755389514 338.367971358731</t>
  </si>
  <si>
    <t>-895.765737606373 44.6607435066508 784.424641971412</t>
  </si>
  <si>
    <t>-800.033843774089 -59.0674273140125 856.279987489873</t>
  </si>
  <si>
    <t>9763-20170724T111240.179274400.bin</t>
  </si>
  <si>
    <t>-895.832317710087 141.302757169229 -64.9227907332428</t>
  </si>
  <si>
    <t>-930.589068817355 132.916414649419 -175.094742719325</t>
  </si>
  <si>
    <t>-945.406594463276 131.033868916222 -272.580915893794</t>
  </si>
  <si>
    <t>-953.220012539789 131.150249005751 -361.334495005338</t>
  </si>
  <si>
    <t>-955.030395524802 132.972464755665 -450.394215399949</t>
  </si>
  <si>
    <t>-951.217003167508 137.161915304696 -574.84790170494</t>
  </si>
  <si>
    <t>-911.102472743404 143.483493066245 -647.345361808778</t>
  </si>
  <si>
    <t>-954.176104258957 162.983300514289 -519.18985438047</t>
  </si>
  <si>
    <t>-959.129852691179 298.548954853103 -496.943200995942</t>
  </si>
  <si>
    <t>-918.489200925584 332.757559254224 -207.513968773343</t>
  </si>
  <si>
    <t>-681.683388187786 327.137196475693 -251.586045634812</t>
  </si>
  <si>
    <t>-951.613986631899 107.653273891866 -520.974018592315</t>
  </si>
  <si>
    <t>-911.057203052844 235.694480419551 -67.8852722237353</t>
  </si>
  <si>
    <t>-918.380587037751 269.968643173419 334.142461818542</t>
  </si>
  <si>
    <t>-957.249711676304 296.473593968979 779.197511482353</t>
  </si>
  <si>
    <t>-817.164433470354 337.672571757548 840.565508235837</t>
  </si>
  <si>
    <t>-881.010919001128 46.6877764466053 -64.0443532265714</t>
  </si>
  <si>
    <t>-853.337162193412 32.0822000143748 338.293297647052</t>
  </si>
  <si>
    <t>-895.645486139084 44.6772267299543 784.403260695089</t>
  </si>
  <si>
    <t>-800.034710245783 -59.1576830129559 856.265864104445</t>
  </si>
  <si>
    <t>9763-20170724T111240.213397200.bin</t>
  </si>
  <si>
    <t>-895.798017390863 141.501816864127 -64.870873797374</t>
  </si>
  <si>
    <t>-930.519461551461 133.194464645551 -175.059855384531</t>
  </si>
  <si>
    <t>-945.270878006525 131.380413668753 -272.557463736556</t>
  </si>
  <si>
    <t>-953.011166760846 131.560081778406 -361.31709806637</t>
  </si>
  <si>
    <t>-954.734047555495 133.447630147964 -450.377438939261</t>
  </si>
  <si>
    <t>-950.785403896225 137.730564141398 -574.82359383878</t>
  </si>
  <si>
    <t>-910.580374703581 144.052204865975 -647.270946745526</t>
  </si>
  <si>
    <t>-953.791264671638 163.510891190772 -519.14898164282</t>
  </si>
  <si>
    <t>-958.770898715962 299.073937498555 -496.867515902079</t>
  </si>
  <si>
    <t>-918.955079898653 333.012989531097 -207.291818932256</t>
  </si>
  <si>
    <t>-682.374683838612 326.762260340045 -252.475693509475</t>
  </si>
  <si>
    <t>-951.25498676077 108.18083989458 -520.972806493401</t>
  </si>
  <si>
    <t>-911.079726249244 235.786601343094 -67.7506242712205</t>
  </si>
  <si>
    <t>-918.280095072315 270.004627975774 334.284078396928</t>
  </si>
  <si>
    <t>-957.370052887122 296.51050670514 779.399718671493</t>
  </si>
  <si>
    <t>-817.266574156006 337.717674588724 840.721019580903</t>
  </si>
  <si>
    <t>-880.851543940595 46.9263269254293 -64.0341807544111</t>
  </si>
  <si>
    <t>-853.478107549181 32.1598898485308 338.318074293087</t>
  </si>
  <si>
    <t>-895.579873849764 44.6938065476529 784.407397797863</t>
  </si>
  <si>
    <t>-800.007977478392 -59.1765282196764 856.270052023217</t>
  </si>
  <si>
    <t>9763-20170724T111240.280546500.bin</t>
  </si>
  <si>
    <t>-895.654751149716 141.56914810717 -64.6725035940817</t>
  </si>
  <si>
    <t>-930.434606701039 133.364315441794 -174.850828385374</t>
  </si>
  <si>
    <t>-945.12651003153 131.638458320433 -272.358900518899</t>
  </si>
  <si>
    <t>-952.768565367708 131.900095490113 -361.127022942071</t>
  </si>
  <si>
    <t>-954.349853128467 133.871069910427 -450.187994619811</t>
  </si>
  <si>
    <t>-950.15753332218 138.27236119935 -574.622216928596</t>
  </si>
  <si>
    <t>-909.759166250884 144.580443620551 -646.963099160792</t>
  </si>
  <si>
    <t>-953.246989004141 164.000744060302 -518.928265183697</t>
  </si>
  <si>
    <t>-958.285239807414 299.535543407901 -496.52078086829</t>
  </si>
  <si>
    <t>-919.968998911226 332.751619083062 -206.659019196042</t>
  </si>
  <si>
    <t>-683.627881673708 325.783481089592 -252.97444136682</t>
  </si>
  <si>
    <t>-950.757505225595 108.670502747985 -520.801522017107</t>
  </si>
  <si>
    <t>-911.030067422763 235.936020099572 -67.4440175255023</t>
  </si>
  <si>
    <t>-917.408993699554 270.334956896585 334.589149319107</t>
  </si>
  <si>
    <t>-957.613659947598 296.520400989666 779.73657268226</t>
  </si>
  <si>
    <t>-817.373327370904 337.412518178204 840.955636228579</t>
  </si>
  <si>
    <t>-880.659528321222 46.8638141831716 -63.901299472347</t>
  </si>
  <si>
    <t>-853.176594473107 32.0342540610482 338.441095203613</t>
  </si>
  <si>
    <t>-895.48135271747 44.6681571335403 784.41313406533</t>
  </si>
  <si>
    <t>-799.815167649027 -59.1156638382618 856.275490317321</t>
  </si>
  <si>
    <t>9763-20170724T111240.315640000.bin</t>
  </si>
  <si>
    <t>-895.353418951284 141.60983118592 -64.5441286241372</t>
  </si>
  <si>
    <t>-930.129311793414 133.41840938734 -174.724751988507</t>
  </si>
  <si>
    <t>-944.78382947212 131.719859996465 -272.238829089447</t>
  </si>
  <si>
    <t>-952.377736040053 132.012704918885 -361.010984154943</t>
  </si>
  <si>
    <t>-953.897072890606 134.021604247544 -450.072236214888</t>
  </si>
  <si>
    <t>-949.60432899874 138.482831477707 -574.500800997581</t>
  </si>
  <si>
    <t>-909.119810649968 144.813861542147 -646.79161624259</t>
  </si>
  <si>
    <t>-952.724029775272 164.185163354623 -518.796481589936</t>
  </si>
  <si>
    <t>-957.753343909171 299.708084344203 -496.33440458895</t>
  </si>
  <si>
    <t>-919.782088736836 332.491139879841 -206.378052582304</t>
  </si>
  <si>
    <t>-683.379910353536 325.632708984655 -252.397598740734</t>
  </si>
  <si>
    <t>-950.262707029005 108.854164357316 -520.695493584168</t>
  </si>
  <si>
    <t>-910.5805956032 235.936129174534 -67.3084655722074</t>
  </si>
  <si>
    <t>-916.872003585811 270.37642660885 334.722588360643</t>
  </si>
  <si>
    <t>-957.582606212515 296.326581629277 779.81379511229</t>
  </si>
  <si>
    <t>-817.43223687537 337.584814658966 840.993699500554</t>
  </si>
  <si>
    <t>-880.413158542902 46.9898351999595 -63.8073590815562</t>
  </si>
  <si>
    <t>-852.837058100258 31.9349337718313 338.520359110297</t>
  </si>
  <si>
    <t>-895.419865261639 44.6765102063364 784.428887344891</t>
  </si>
  <si>
    <t>-799.806757892276 -59.1551560375767 856.292851642983</t>
  </si>
  <si>
    <t>9763-20170724T111240.381815700.bin</t>
  </si>
  <si>
    <t>-894.67154493655 142.040538206414 -64.4476134777232</t>
  </si>
  <si>
    <t>-929.364535941288 133.831889177317 -174.653072235049</t>
  </si>
  <si>
    <t>-943.937539422228 132.167260481359 -272.180111490976</t>
  </si>
  <si>
    <t>-951.452528009182 132.510171919411 -360.958690003388</t>
  </si>
  <si>
    <t>-952.886864027657 134.586145224803 -450.019784561369</t>
  </si>
  <si>
    <t>-948.46862708446 139.158410917825 -574.439928068567</t>
  </si>
  <si>
    <t>-907.912780920798 145.540327295443 -646.686216373397</t>
  </si>
  <si>
    <t>-951.579296306093 164.813593621209 -518.713391527754</t>
  </si>
  <si>
    <t>-956.344048049183 300.330148109929 -496.15826012283</t>
  </si>
  <si>
    <t>-918.135040125276 332.591036631427 -206.174620661709</t>
  </si>
  <si>
    <t>-681.421317864952 326.338891680116 -250.654713065325</t>
  </si>
  <si>
    <t>-949.246667322098 109.479142466774 -520.664147882664</t>
  </si>
  <si>
    <t>-909.547813017491 236.253703618394 -67.2841902499886</t>
  </si>
  <si>
    <t>-916.440034917049 270.574457570877 334.747194965528</t>
  </si>
  <si>
    <t>-957.522929766974 296.181016339335 779.724887563062</t>
  </si>
  <si>
    <t>-817.500867644153 337.681068609671 841.033916823585</t>
  </si>
  <si>
    <t>-880.051081119237 47.6199420511143 -63.6559702288477</t>
  </si>
  <si>
    <t>-852.370254062547 32.0217147713383 338.643842721577</t>
  </si>
  <si>
    <t>-895.284893986202 44.692971190575 784.467708664579</t>
  </si>
  <si>
    <t>-799.691501619833 -59.1401101903662 856.356309544022</t>
  </si>
  <si>
    <t>9763-20170724T111240.414785800.bin</t>
  </si>
  <si>
    <t>-894.455638832925 142.299370753477 -64.4823694229522</t>
  </si>
  <si>
    <t>-929.057892277827 134.104371908159 -174.717356593298</t>
  </si>
  <si>
    <t>-943.530114764812 132.483099683231 -272.259972118112</t>
  </si>
  <si>
    <t>-950.944147218183 132.876176196181 -361.046968362716</t>
  </si>
  <si>
    <t>-952.267328776702 135.010859047581 -450.108370734765</t>
  </si>
  <si>
    <t>-947.682703213465 139.673210539478 -574.519299921996</t>
  </si>
  <si>
    <t>-907.139010062482 146.077550118482 -646.770231673113</t>
  </si>
  <si>
    <t>-950.819748821599 165.289976213224 -518.776486503779</t>
  </si>
  <si>
    <t>-955.363032082847 300.799877721237 -496.17688216855</t>
  </si>
  <si>
    <t>-916.684624270124 332.931572293503 -206.241190242286</t>
  </si>
  <si>
    <t>-679.768905508553 327.330128387233 -249.72022565784</t>
  </si>
  <si>
    <t>-948.580734926123 109.953091703161 -520.767775348096</t>
  </si>
  <si>
    <t>-909.261730127041 236.525359366154 -67.3365563993777</t>
  </si>
  <si>
    <t>-916.442342898005 270.660896801496 334.705578744455</t>
  </si>
  <si>
    <t>-957.571748641294 296.202636532877 779.719956560926</t>
  </si>
  <si>
    <t>-817.482246637927 337.425269056263 841.062267031296</t>
  </si>
  <si>
    <t>-879.952124186137 47.8727055263712 -63.645011017505</t>
  </si>
  <si>
    <t>-852.185346329493 32.2037751706034 338.646132656889</t>
  </si>
  <si>
    <t>-895.1979905533 44.7304139941575 784.481352068895</t>
  </si>
  <si>
    <t>-799.621262209369 -59.1055692298457 856.387283799137</t>
  </si>
  <si>
    <t>9763-20170724T111240.482958000.bin</t>
  </si>
  <si>
    <t>-894.367253674825 142.753008414592 -64.4914615964407</t>
  </si>
  <si>
    <t>-928.747333767615 134.651980155496 -174.802789361882</t>
  </si>
  <si>
    <t>-942.843247269341 133.160048461553 -272.40264223044</t>
  </si>
  <si>
    <t>-949.840686468506 133.684681623811 -361.222679507886</t>
  </si>
  <si>
    <t>-950.670111609312 135.96145362908 -450.286476487786</t>
  </si>
  <si>
    <t>-945.316407234752 140.827816610154 -574.658883216256</t>
  </si>
  <si>
    <t>-904.970691872767 147.275727167686 -647.016978368678</t>
  </si>
  <si>
    <t>-948.679261573342 166.357439389908 -518.889435493939</t>
  </si>
  <si>
    <t>-952.590805535602 301.876957220129 -496.179696073951</t>
  </si>
  <si>
    <t>-912.223334792013 333.613232592525 -206.430702758584</t>
  </si>
  <si>
    <t>-675.008452557016 330.068155682124 -248.471595861459</t>
  </si>
  <si>
    <t>-946.665304035871 111.01507599902 -520.968150045217</t>
  </si>
  <si>
    <t>-909.07039929764 237.170574554757 -67.4245432892014</t>
  </si>
  <si>
    <t>-916.61495398512 270.848675177727 334.649478793462</t>
  </si>
  <si>
    <t>-957.632094867349 296.159453053138 779.717766349441</t>
  </si>
  <si>
    <t>-817.527068403398 337.29337849242 841.084782585794</t>
  </si>
  <si>
    <t>-880.027697831817 48.1170373058403 -63.6306797869706</t>
  </si>
  <si>
    <t>-852.013562599394 32.3603893158593 338.639911155547</t>
  </si>
  <si>
    <t>-895.123180619352 44.6830673457325 784.496311953784</t>
  </si>
  <si>
    <t>-799.454874978199 -59.0605275318246 856.413790615142</t>
  </si>
  <si>
    <t>9763-20170724T111240.515056000.bin</t>
  </si>
  <si>
    <t>-894.29361617928 143.000021964154 -64.5168036369266</t>
  </si>
  <si>
    <t>-928.592338178127 134.948923285866 -174.857240284395</t>
  </si>
  <si>
    <t>-942.497012021267 133.532893222606 -272.485666176489</t>
  </si>
  <si>
    <t>-949.271335203698 134.136619145293 -361.322517016047</t>
  </si>
  <si>
    <t>-949.827370446783 136.498786492623 -450.386222213422</t>
  </si>
  <si>
    <t>-944.039090855001 141.488432368068 -574.734182459134</t>
  </si>
  <si>
    <t>-903.922514919438 147.977997170805 -647.215777262105</t>
  </si>
  <si>
    <t>-947.522015865712 166.965473014671 -518.94789267657</t>
  </si>
  <si>
    <t>-951.023354905473 302.475567699747 -496.125921474558</t>
  </si>
  <si>
    <t>-909.255514832487 334.173355755385 -206.571294000365</t>
  </si>
  <si>
    <t>-671.913841354657 331.819133647566 -247.975525237271</t>
  </si>
  <si>
    <t>-945.65031068192 111.620168114336 -521.081677899721</t>
  </si>
  <si>
    <t>-908.857314167542 237.434720645253 -67.4415530193116</t>
  </si>
  <si>
    <t>-916.572323015271 271.102843894907 334.630054951888</t>
  </si>
  <si>
    <t>-957.654277306714 296.139081906203 779.70953917831</t>
  </si>
  <si>
    <t>-817.604333085402 337.468713779973 841.069933974086</t>
  </si>
  <si>
    <t>-880.080781858956 48.3382034827973 -63.6237164737911</t>
  </si>
  <si>
    <t>-851.988817218202 32.4497519915399 338.636192954371</t>
  </si>
  <si>
    <t>-895.023676180373 44.7604654117258 784.495634266798</t>
  </si>
  <si>
    <t>-799.358134771752 -58.982847569001 856.417832156039</t>
  </si>
  <si>
    <t>9763-20170724T111240.582238100.bin</t>
  </si>
  <si>
    <t>-894.213752761533 143.735231750087 -64.4963062128766</t>
  </si>
  <si>
    <t>-928.315586872803 135.886156671418 -174.912271926574</t>
  </si>
  <si>
    <t>-941.862395069167 134.666690676161 -272.593677991364</t>
  </si>
  <si>
    <t>-948.235530129589 135.452713709578 -361.458772104642</t>
  </si>
  <si>
    <t>-948.313170762094 137.995579749068 -450.519290797423</t>
  </si>
  <si>
    <t>-941.776825914112 143.231683564683 -574.819989124379</t>
  </si>
  <si>
    <t>-902.380907727008 149.849157872477 -647.684188911909</t>
  </si>
  <si>
    <t>-945.430623419974 168.602828855221 -518.996430922183</t>
  </si>
  <si>
    <t>-947.911114755183 304.088174915359 -495.882691898945</t>
  </si>
  <si>
    <t>-902.621755363027 336.249897402072 -206.909257192676</t>
  </si>
  <si>
    <t>-665.170767718365 335.596623795627 -247.743894266679</t>
  </si>
  <si>
    <t>-943.875725787 113.25209263348 -521.246204100707</t>
  </si>
  <si>
    <t>-908.504047649302 238.314848863313 -67.4294427805438</t>
  </si>
  <si>
    <t>-916.602562077964 271.721598642278 334.656448375976</t>
  </si>
  <si>
    <t>-957.847823815938 296.276707479838 779.752261853343</t>
  </si>
  <si>
    <t>-817.72944119244 337.424871206959 841.078691928096</t>
  </si>
  <si>
    <t>-880.315618865363 49.0148339328416 -63.6197495213768</t>
  </si>
  <si>
    <t>-852.295103221924 32.6993192415603 338.628096018789</t>
  </si>
  <si>
    <t>-894.976728093749 44.7188204314625 784.519538297781</t>
  </si>
  <si>
    <t>-799.351389902582 -59.0726481145921 856.425011947408</t>
  </si>
  <si>
    <t>9763-20170724T111240.616328700.bin</t>
  </si>
  <si>
    <t>-894.2079798617 144.211127854278 -64.4795352139998</t>
  </si>
  <si>
    <t>-928.208986118924 136.522951524228 -174.93789580723</t>
  </si>
  <si>
    <t>-941.595722551352 135.417212116096 -272.642821956321</t>
  </si>
  <si>
    <t>-947.795503955144 136.295989229703 -361.519170155114</t>
  </si>
  <si>
    <t>-947.671417851683 138.918754998542 -450.577325360449</t>
  </si>
  <si>
    <t>-940.824121381634 144.250743346427 -574.857141316737</t>
  </si>
  <si>
    <t>-901.932948636558 150.941648806343 -647.985535880835</t>
  </si>
  <si>
    <t>-944.516805752222 169.581258176685 -519.01779250459</t>
  </si>
  <si>
    <t>-946.424619380012 305.056415583886 -495.798091118932</t>
  </si>
  <si>
    <t>-899.209519651768 337.416497275349 -207.155079905363</t>
  </si>
  <si>
    <t>-661.655121668291 337.621168954308 -247.38724102067</t>
  </si>
  <si>
    <t>-943.158016076736 114.227513601601 -521.31782052717</t>
  </si>
  <si>
    <t>-908.344693121857 238.88756755865 -67.387657406428</t>
  </si>
  <si>
    <t>-916.657437213037 272.020747567065 334.716490975074</t>
  </si>
  <si>
    <t>-958.039695881038 296.462209514753 779.828021427955</t>
  </si>
  <si>
    <t>-817.772766256956 337.151063554744 841.121896872606</t>
  </si>
  <si>
    <t>-880.486714691224 49.3850228146657 -63.6374698750868</t>
  </si>
  <si>
    <t>-852.644612880441 32.8619439458384 338.614223934715</t>
  </si>
  <si>
    <t>-895.006357801627 44.6405493183343 784.542873384461</t>
  </si>
  <si>
    <t>-799.344231125412 -59.1319584974344 856.426919877167</t>
  </si>
  <si>
    <t>9763-20170724T111240.677492700.bin</t>
  </si>
  <si>
    <t>-894.156004826745 145.161652110581 -64.4142027757148</t>
  </si>
  <si>
    <t>-927.946309664172 137.85839203901 -174.963303144497</t>
  </si>
  <si>
    <t>-941.044178006071 137.048864255818 -272.710234832973</t>
  </si>
  <si>
    <t>-946.940849524423 138.181521986811 -361.604349676708</t>
  </si>
  <si>
    <t>-946.47240943059 141.037394701432 -450.654203530934</t>
  </si>
  <si>
    <t>-939.102181043275 146.671098636965 -574.89099175492</t>
  </si>
  <si>
    <t>-901.390359419536 153.524885549414 -648.619205727571</t>
  </si>
  <si>
    <t>-942.776270493444 171.870411738072 -518.990931540293</t>
  </si>
  <si>
    <t>-943.194254620439 307.274509987219 -495.311203076115</t>
  </si>
  <si>
    <t>-892.056161698795 339.091858793679 -207.276958675531</t>
  </si>
  <si>
    <t>-654.319964541348 340.645031039231 -246.392558412091</t>
  </si>
  <si>
    <t>-941.9146686237 116.513495599165 -521.450183120374</t>
  </si>
  <si>
    <t>-907.836773502684 239.944549250898 -67.253435042726</t>
  </si>
  <si>
    <t>-916.517701504044 272.26631871571 334.90898386928</t>
  </si>
  <si>
    <t>-958.194813604583 296.396632348949 780.060138384955</t>
  </si>
  <si>
    <t>-817.917791949401 337.221220383517 841.240594578877</t>
  </si>
  <si>
    <t>-880.858389133619 50.187529869595 -63.6528095684422</t>
  </si>
  <si>
    <t>-853.515535472776 33.2386088381422 338.615484287559</t>
  </si>
  <si>
    <t>-894.994171074619 44.6384670780399 784.599434802169</t>
  </si>
  <si>
    <t>-799.302966236727 -59.1398136472783 856.436658409249</t>
  </si>
  <si>
    <t>9763-20170724T111240.713110200.bin</t>
  </si>
  <si>
    <t>-894.083108923336 145.659091690781 -64.3771498149634</t>
  </si>
  <si>
    <t>-927.731899998151 138.582713675781 -174.98420109648</t>
  </si>
  <si>
    <t>-940.649645294622 137.970412442791 -272.75641447958</t>
  </si>
  <si>
    <t>-946.360578080961 139.282626214921 -361.660303222996</t>
  </si>
  <si>
    <t>-945.683219821032 142.315995284453 -450.70285219306</t>
  </si>
  <si>
    <t>-937.998967796215 148.193906034144 -574.909168517723</t>
  </si>
  <si>
    <t>-901.002708766337 155.143162370723 -648.99029446255</t>
  </si>
  <si>
    <t>-941.666086092002 173.284681023318 -518.96015121639</t>
  </si>
  <si>
    <t>-941.283546596538 308.644156636551 -495.029832281615</t>
  </si>
  <si>
    <t>-888.772654230055 340.081110366059 -207.200803531298</t>
  </si>
  <si>
    <t>-650.971769257809 342.218661970823 -245.892344349518</t>
  </si>
  <si>
    <t>-941.095061763075 117.929801291715 -521.544309191253</t>
  </si>
  <si>
    <t>-907.390313529829 240.497640791009 -67.1622502927152</t>
  </si>
  <si>
    <t>-916.393011565358 272.460843112625 335.021753830693</t>
  </si>
  <si>
    <t>-958.316823117334 296.432088614727 780.177737335924</t>
  </si>
  <si>
    <t>-817.95779674544 337.065012874917 841.297087538442</t>
  </si>
  <si>
    <t>-881.095397320506 50.6188387125198 -63.6352637671524</t>
  </si>
  <si>
    <t>-853.888349318851 33.3871529527155 338.630199917933</t>
  </si>
  <si>
    <t>-895.008111125832 44.5934905331778 784.618171058871</t>
  </si>
  <si>
    <t>-799.291664134525 -59.1691943901862 856.444017605622</t>
  </si>
  <si>
    <t>9763-20170724T111240.750208700.bin</t>
  </si>
  <si>
    <t>-893.923859784914 146.058040027611 -64.3493236334913</t>
  </si>
  <si>
    <t>-927.456766928349 139.224784294772 -175.006801301022</t>
  </si>
  <si>
    <t>-940.152364281086 138.811800850168 -272.80923695697</t>
  </si>
  <si>
    <t>-945.612526724431 140.299508504064 -361.7261724298</t>
  </si>
  <si>
    <t>-944.636275203572 143.498943259307 -450.760127261145</t>
  </si>
  <si>
    <t>-936.483822337959 149.595799156313 -574.925958406657</t>
  </si>
  <si>
    <t>-900.195404295537 156.620917577513 -649.34927989767</t>
  </si>
  <si>
    <t>-940.190033222285 174.588757227454 -518.935555389919</t>
  </si>
  <si>
    <t>-938.986574054126 309.91953565118 -494.780183680099</t>
  </si>
  <si>
    <t>-885.564109411641 340.488079387379 -207.025464104706</t>
  </si>
  <si>
    <t>-647.689934501351 343.257493087449 -245.223051945518</t>
  </si>
  <si>
    <t>-939.952704322146 119.237048386999 -521.637887019175</t>
  </si>
  <si>
    <t>-906.851897899037 240.946383353525 -67.0636673561201</t>
  </si>
  <si>
    <t>-916.037090877479 272.57629947342 335.142608347043</t>
  </si>
  <si>
    <t>-958.446062251869 296.468761554064 780.295750114164</t>
  </si>
  <si>
    <t>-818.068815535722 337.126007701901 841.357292388928</t>
  </si>
  <si>
    <t>-881.288256606078 50.9441908660529 -63.6261430413042</t>
  </si>
  <si>
    <t>-854.118850322094 33.4826226643572 338.632013770741</t>
  </si>
  <si>
    <t>-894.998267098001 44.5718448417765 784.624915104164</t>
  </si>
  <si>
    <t>-799.303637123194 -59.2103906789328 856.45125863233</t>
  </si>
  <si>
    <t>9763-20170724T111240.813418200.bin</t>
  </si>
  <si>
    <t>-893.481450021914 146.632560762082 -64.1992626309061</t>
  </si>
  <si>
    <t>-926.597479064043 140.388808312447 -175.016981781699</t>
  </si>
  <si>
    <t>-938.693426925379 140.36957833021 -272.896167544198</t>
  </si>
  <si>
    <t>-943.517655914944 142.166754517167 -361.844222908863</t>
  </si>
  <si>
    <t>-941.814735655293 145.618552349106 -450.857803092293</t>
  </si>
  <si>
    <t>-932.555356024458 152.003615015003 -574.931650597181</t>
  </si>
  <si>
    <t>-897.569666796091 159.156183886596 -649.963910621296</t>
  </si>
  <si>
    <t>-936.389962170429 176.864385903577 -518.891015108168</t>
  </si>
  <si>
    <t>-933.496688952345 312.08658625861 -494.314066363131</t>
  </si>
  <si>
    <t>-880.437754995432 340.182874747317 -206.240218071023</t>
  </si>
  <si>
    <t>-642.591847136431 343.240110552524 -244.593027758111</t>
  </si>
  <si>
    <t>-936.870096104004 121.523290827078 -521.774655529374</t>
  </si>
  <si>
    <t>-905.656490976976 241.672387297263 -66.778243779847</t>
  </si>
  <si>
    <t>-915.105116999049 272.763384977082 335.46395522204</t>
  </si>
  <si>
    <t>-958.612838981709 296.373755179106 780.584188236131</t>
  </si>
  <si>
    <t>-817.979718733963 336.323228880571 841.523546009328</t>
  </si>
  <si>
    <t>-881.577431766617 51.3299379165551 -63.601080339498</t>
  </si>
  <si>
    <t>-854.32090478173 33.5811811961953 338.638561830994</t>
  </si>
  <si>
    <t>-894.90873205133 44.6570248665766 784.625953607447</t>
  </si>
  <si>
    <t>-799.429632994766 -59.3042570238517 856.48041878515</t>
  </si>
  <si>
    <t>9763-20170724T111240.881593900.bin</t>
  </si>
  <si>
    <t>-893.021279201748 147.180581355151 -63.9728120924584</t>
  </si>
  <si>
    <t>-925.789759431596 141.509368945959 -174.924599477929</t>
  </si>
  <si>
    <t>-937.258444529552 141.854954548017 -272.878716706006</t>
  </si>
  <si>
    <t>-941.386717803121 143.930087357159 -361.855554579048</t>
  </si>
  <si>
    <t>-938.862935404972 147.599019056433 -450.841050406415</t>
  </si>
  <si>
    <t>-928.33095430117 154.218121747635 -574.800989895402</t>
  </si>
  <si>
    <t>-894.909492767199 161.432485061792 -650.537257109777</t>
  </si>
  <si>
    <t>-932.388741601343 178.966420228855 -518.726229240999</t>
  </si>
  <si>
    <t>-927.878202607952 314.082116677896 -493.760773796464</t>
  </si>
  <si>
    <t>-878.049773548645 339.392892506728 -204.853107044158</t>
  </si>
  <si>
    <t>-640.085072932263 343.108024993513 -242.400183718251</t>
  </si>
  <si>
    <t>-933.542370708153 123.644345364262 -521.778380455132</t>
  </si>
  <si>
    <t>-904.410034527149 242.431269823387 -66.4882590413926</t>
  </si>
  <si>
    <t>-914.055299290798 272.836941854782 335.801672093779</t>
  </si>
  <si>
    <t>-958.86392737322 296.482399124836 780.818452417277</t>
  </si>
  <si>
    <t>-818.016478151299 335.843116752324 841.646351840936</t>
  </si>
  <si>
    <t>-881.963863643982 51.7548633988117 -63.5541488747143</t>
  </si>
  <si>
    <t>-854.701801136983 33.784272310987 338.675320510786</t>
  </si>
  <si>
    <t>-894.840526420063 44.7326527536834 784.626924425899</t>
  </si>
  <si>
    <t>-799.528917395674 -59.3536418514354 856.52276550818</t>
  </si>
  <si>
    <t>9763-20170724T111240.915701200.bin</t>
  </si>
  <si>
    <t>-892.756470266617 147.47245717214 -63.9034193310619</t>
  </si>
  <si>
    <t>-925.356409107554 142.061895288618 -174.917797661475</t>
  </si>
  <si>
    <t>-936.509905500192 142.564320333561 -272.907650138313</t>
  </si>
  <si>
    <t>-940.287333256703 144.754997678194 -361.897368858687</t>
  </si>
  <si>
    <t>-937.3479868966 148.509352706059 -450.866481979051</t>
  </si>
  <si>
    <t>-926.171126470958 155.214434616012 -574.76528291756</t>
  </si>
  <si>
    <t>-893.594979111438 162.476922949572 -650.864533850721</t>
  </si>
  <si>
    <t>-930.374338219439 179.919655421299 -518.682312071999</t>
  </si>
  <si>
    <t>-925.139788757088 314.965194920451 -493.491315277748</t>
  </si>
  <si>
    <t>-877.675905582319 338.867898839796 -204.065897095053</t>
  </si>
  <si>
    <t>-639.753989870989 342.608476846214 -241.881998119877</t>
  </si>
  <si>
    <t>-931.804645580222 124.607985009844 -521.804833755034</t>
  </si>
  <si>
    <t>-903.70827699056 242.680720753005 -66.3568576182462</t>
  </si>
  <si>
    <t>-913.564153988528 272.787894122133 335.950285644715</t>
  </si>
  <si>
    <t>-958.770187826307 296.19847787457 780.94066197464</t>
  </si>
  <si>
    <t>-818.017218318256 336.009691242272 841.694127519602</t>
  </si>
  <si>
    <t>-882.092049661657 52.1236919474477 -63.539002489018</t>
  </si>
  <si>
    <t>-854.869834816411 33.8724353045336 338.680444854079</t>
  </si>
  <si>
    <t>-894.837543185175 44.7247071149723 784.629793776203</t>
  </si>
  <si>
    <t>-799.674304680203 -59.4794638204603 856.551815997042</t>
  </si>
  <si>
    <t>9763-20170724T111240.979873300.bin</t>
  </si>
  <si>
    <t>-892.372136017113 148.198877306594 -63.7705542325448</t>
  </si>
  <si>
    <t>-924.571618112871 143.250341332936 -174.923405428168</t>
  </si>
  <si>
    <t>-935.027539708541 144.025102762881 -272.988266444937</t>
  </si>
  <si>
    <t>-938.036875601948 146.413110099467 -362.002188406907</t>
  </si>
  <si>
    <t>-934.197045976151 150.310072539216 -450.930984410394</t>
  </si>
  <si>
    <t>-921.629200209981 157.154809780775 -574.68875288548</t>
  </si>
  <si>
    <t>-890.491473333218 164.505142005034 -651.379382492897</t>
  </si>
  <si>
    <t>-926.228594851073 181.788741956965 -518.605470760618</t>
  </si>
  <si>
    <t>-919.893800964153 316.688757717272 -492.930218932301</t>
  </si>
  <si>
    <t>-877.582964403318 337.443797889897 -202.464717898083</t>
  </si>
  <si>
    <t>-639.713654439355 342.246660350815 -240.490506633266</t>
  </si>
  <si>
    <t>-928.090786391209 126.497128277707 -521.852555309729</t>
  </si>
  <si>
    <t>-902.657234170735 243.433413546091 -66.1539730308755</t>
  </si>
  <si>
    <t>-913.027843474168 272.99019911508 336.181171360744</t>
  </si>
  <si>
    <t>-958.870600204337 296.171885528599 781.127595187057</t>
  </si>
  <si>
    <t>-817.949244237576 335.513259121531 841.796373930968</t>
  </si>
  <si>
    <t>-882.369879441416 52.8496723489716 -63.5062087030972</t>
  </si>
  <si>
    <t>-855.118472990903 34.0773332308786 338.687307587866</t>
  </si>
  <si>
    <t>-894.800049829773 44.7791742192999 784.634416146055</t>
  </si>
  <si>
    <t>-799.749571447247 -59.5021406790675 856.594099476356</t>
  </si>
  <si>
    <t>9763-20170724T111241.016976400.bin</t>
  </si>
  <si>
    <t>-892.217515213075 148.425596216133 -63.7042121917301</t>
  </si>
  <si>
    <t>-924.341948329168 143.648361787123 -174.886165694394</t>
  </si>
  <si>
    <t>-934.625111475301 144.553689330313 -272.968192501258</t>
  </si>
  <si>
    <t>-937.434831231355 147.054037843998 -361.985600802161</t>
  </si>
  <si>
    <t>-933.353796433902 151.055712772023 -450.898868062963</t>
  </si>
  <si>
    <t>-920.407130340331 158.038328394914 -574.60994953349</t>
  </si>
  <si>
    <t>-889.933413413914 165.444296527701 -651.561462385438</t>
  </si>
  <si>
    <t>-925.095615698785 182.606319204221 -518.505083584242</t>
  </si>
  <si>
    <t>-918.322391223981 317.436780321425 -492.55596135753</t>
  </si>
  <si>
    <t>-878.305694168616 336.747198668013 -201.665912671367</t>
  </si>
  <si>
    <t>-640.576831254918 341.911144365489 -240.513244991986</t>
  </si>
  <si>
    <t>-927.113169377858 127.325249831371 -521.836555594648</t>
  </si>
  <si>
    <t>-902.329850094547 243.757529390213 -66.0708761218366</t>
  </si>
  <si>
    <t>-912.754280841015 273.069513985888 336.280738827379</t>
  </si>
  <si>
    <t>-959.011537142381 296.338602150691 781.211830957183</t>
  </si>
  <si>
    <t>-818.013710435707 335.452178523488 841.850712105924</t>
  </si>
  <si>
    <t>-882.391100811396 52.9391487275634 -63.4970828212474</t>
  </si>
  <si>
    <t>-855.211073272832 34.1585247404068 338.700901504422</t>
  </si>
  <si>
    <t>-894.815040120751 44.7628576067782 784.638660068688</t>
  </si>
  <si>
    <t>-799.85413493557 -59.5877880916389 856.615481305027</t>
  </si>
  <si>
    <t>9763-20170724T111241.082150300.bin</t>
  </si>
  <si>
    <t>-891.784212295827 148.497876131632 -63.6606377073202</t>
  </si>
  <si>
    <t>-924.072170231597 143.93175724205 -174.804032702983</t>
  </si>
  <si>
    <t>-934.461368840372 145.000448409086 -272.873269050283</t>
  </si>
  <si>
    <t>-937.353167427422 147.642972480925 -361.883949262753</t>
  </si>
  <si>
    <t>-933.338984992533 151.778223102642 -450.794109435289</t>
  </si>
  <si>
    <t>-920.470510583568 158.936237246562 -574.503441667906</t>
  </si>
  <si>
    <t>-891.104196554592 166.434504699156 -651.875347702706</t>
  </si>
  <si>
    <t>-924.984717987359 183.418262683831 -518.346730028222</t>
  </si>
  <si>
    <t>-917.426809411071 318.142132467719 -492.066632943449</t>
  </si>
  <si>
    <t>-881.330516891577 335.001918866168 -200.512182989302</t>
  </si>
  <si>
    <t>-644.389529989696 341.830581449708 -243.676577883502</t>
  </si>
  <si>
    <t>-927.282103510996 128.154422902054 -521.783450560219</t>
  </si>
  <si>
    <t>-901.629932991106 243.881789664705 -65.9292677023377</t>
  </si>
  <si>
    <t>-912.063700075525 272.901263442976 336.44331533353</t>
  </si>
  <si>
    <t>-958.992075688457 296.240661973998 781.333103761706</t>
  </si>
  <si>
    <t>-817.916310856262 335.14400387376 841.925807744708</t>
  </si>
  <si>
    <t>-882.221986639057 52.8914540970563 -63.4949245227763</t>
  </si>
  <si>
    <t>-855.241034453932 34.2497134807199 338.722875633765</t>
  </si>
  <si>
    <t>-894.742642570348 44.915834012374 784.629509297814</t>
  </si>
  <si>
    <t>-799.98605495489 -59.6018752790881 856.633034748573</t>
  </si>
  <si>
    <t>9763-20170724T111241.114794500.bin</t>
  </si>
  <si>
    <t>-891.555354624327 148.432525624773 -63.6619076026365</t>
  </si>
  <si>
    <t>-923.98732536916 143.948220461059 -174.766712970175</t>
  </si>
  <si>
    <t>-934.57293156288 145.07115725838 -272.814282692393</t>
  </si>
  <si>
    <t>-937.671205919193 147.757503018391 -361.816740834355</t>
  </si>
  <si>
    <t>-933.892100162778 151.9309560682 -450.735503001608</t>
  </si>
  <si>
    <t>-921.379489264236 159.137673840019 -574.478429929951</t>
  </si>
  <si>
    <t>-892.435658631234 166.683688596549 -652.004738058885</t>
  </si>
  <si>
    <t>-925.677550945059 183.594696236056 -518.294083309886</t>
  </si>
  <si>
    <t>-917.812185031328 318.293482634726 -492.00896674161</t>
  </si>
  <si>
    <t>-883.315266086053 334.107642232243 -200.202295398005</t>
  </si>
  <si>
    <t>-646.850830087974 342.841418162223 -245.58004593052</t>
  </si>
  <si>
    <t>-928.093628456789 128.337943433867 -521.756397299078</t>
  </si>
  <si>
    <t>-901.250683301535 243.79702901391 -65.8736784282025</t>
  </si>
  <si>
    <t>-911.7872560042 272.734715585804 336.502110963998</t>
  </si>
  <si>
    <t>-958.917996440882 296.1117143661 781.371982210614</t>
  </si>
  <si>
    <t>-817.859332648225 335.096395910063 841.951835946316</t>
  </si>
  <si>
    <t>-882.171705820948 52.8629251606767 -63.499344986753</t>
  </si>
  <si>
    <t>-855.149658532882 34.2206075749914 338.715750388026</t>
  </si>
  <si>
    <t>-894.698937551068 45.0095889702384 784.621646120116</t>
  </si>
  <si>
    <t>-800.07644889714 -59.6210512736382 856.637222734811</t>
  </si>
  <si>
    <t>9763-20170724T111241.182984300.bin</t>
  </si>
  <si>
    <t>-891.38598222872 148.066430393551 -63.6266939667331</t>
  </si>
  <si>
    <t>-924.055177486138 143.685431822758 -174.666046567719</t>
  </si>
  <si>
    <t>-935.07259954962 144.866362751548 -272.665488251624</t>
  </si>
  <si>
    <t>-938.652921691302 147.598792841321 -361.6484398541</t>
  </si>
  <si>
    <t>-935.446238139046 151.813751332735 -450.587677925329</t>
  </si>
  <si>
    <t>-923.825719156224 159.07707411196 -574.414198920953</t>
  </si>
  <si>
    <t>-895.465824975835 166.672701156273 -652.151258950251</t>
  </si>
  <si>
    <t>-927.64939054026 183.505226070579 -518.182800585038</t>
  </si>
  <si>
    <t>-919.372410321294 318.207652775245 -492.016254055434</t>
  </si>
  <si>
    <t>-887.072995467708 332.656573206527 -199.887605848812</t>
  </si>
  <si>
    <t>-651.445089166429 345.294504680418 -248.576566585286</t>
  </si>
  <si>
    <t>-930.229296321512 128.256722318243 -521.665738154198</t>
  </si>
  <si>
    <t>-900.701194787147 243.422700875261 -65.7946095875416</t>
  </si>
  <si>
    <t>-911.34977433474 272.476668718382 336.569792440903</t>
  </si>
  <si>
    <t>-958.799012888273 295.948625190102 781.40174038078</t>
  </si>
  <si>
    <t>-817.819324878446 335.244724560865 841.964907394268</t>
  </si>
  <si>
    <t>-882.325556191673 52.5667977741796 -63.4952315420248</t>
  </si>
  <si>
    <t>-855.324662799105 33.9114975807752 338.720614483434</t>
  </si>
  <si>
    <t>-894.863695442701 44.8211886898812 784.639432576797</t>
  </si>
  <si>
    <t>-799.903106431836 -59.5182917728405 856.632692930197</t>
  </si>
  <si>
    <t>9763-20170724T111241.214638400.bin</t>
  </si>
  <si>
    <t>-891.495980369716 147.895589385913 -63.6169081268512</t>
  </si>
  <si>
    <t>-924.298093162404 143.512985685403 -174.617060897773</t>
  </si>
  <si>
    <t>-935.532611431551 144.689912282694 -272.591957948025</t>
  </si>
  <si>
    <t>-939.350621049175 147.418490915642 -361.565043964894</t>
  </si>
  <si>
    <t>-936.421093717139 151.629146600046 -450.51404145571</t>
  </si>
  <si>
    <t>-925.228392943525 158.886263697465 -574.380321269406</t>
  </si>
  <si>
    <t>-897.041650482856 166.48424112697 -652.180176319287</t>
  </si>
  <si>
    <t>-928.828109462295 183.315507067019 -518.134782506348</t>
  </si>
  <si>
    <t>-920.3465933889 318.01579726452 -492.050716584332</t>
  </si>
  <si>
    <t>-888.804873937036 332.190571172051 -199.825732443504</t>
  </si>
  <si>
    <t>-653.585048641213 346.756993204581 -249.92815962011</t>
  </si>
  <si>
    <t>-931.479162248918 128.070169509944 -521.611034976155</t>
  </si>
  <si>
    <t>-900.829854727342 243.266361512267 -65.7841591318053</t>
  </si>
  <si>
    <t>-911.273487702111 272.444291170592 336.576714247753</t>
  </si>
  <si>
    <t>-958.862121523383 296.065629175909 781.404708844442</t>
  </si>
  <si>
    <t>-817.783126767141 335.000523579909 841.96978920764</t>
  </si>
  <si>
    <t>-882.447576170361 52.3684217022233 -63.4989540862342</t>
  </si>
  <si>
    <t>-855.495181731691 33.8829021603215 338.728004001504</t>
  </si>
  <si>
    <t>-894.860239432581 44.8656904172681 784.654559523669</t>
  </si>
  <si>
    <t>-799.960626940196 -59.5324335719454 856.643453753641</t>
  </si>
  <si>
    <t>9763-20170724T111241.282811700.bin</t>
  </si>
  <si>
    <t>-891.847060318167 147.167961807967 -63.5915204148397</t>
  </si>
  <si>
    <t>-924.936662197211 142.796739856308 -174.506764045825</t>
  </si>
  <si>
    <t>-936.589276159369 143.969584722019 -272.432741428397</t>
  </si>
  <si>
    <t>-940.852416667972 146.690912513843 -361.385942300948</t>
  </si>
  <si>
    <t>-938.434327249485 150.890915269 -450.350775184955</t>
  </si>
  <si>
    <t>-928.022057098286 158.130687001005 -574.28625104004</t>
  </si>
  <si>
    <t>-900.027292736014 165.71696074923 -652.156330679426</t>
  </si>
  <si>
    <t>-931.216269515394 182.564665657478 -518.018342845822</t>
  </si>
  <si>
    <t>-922.404955451862 317.279733306513 -492.119414515998</t>
  </si>
  <si>
    <t>-891.361180462286 330.898015530721 -199.814573310071</t>
  </si>
  <si>
    <t>-657.07264383634 350.312548837554 -252.566905837631</t>
  </si>
  <si>
    <t>-933.99195475011 127.324607913208 -521.478395487478</t>
  </si>
  <si>
    <t>-901.045985131993 242.521005385386 -65.7667806235073</t>
  </si>
  <si>
    <t>-911.21464833246 272.047488815488 336.575670212287</t>
  </si>
  <si>
    <t>-958.784431054366 295.961523289123 781.387865509319</t>
  </si>
  <si>
    <t>-817.709340129387 334.918013343125 841.947853019094</t>
  </si>
  <si>
    <t>-882.933275848155 51.5930856613168 -63.4963492404593</t>
  </si>
  <si>
    <t>-856.039098367029 33.6615422075492 338.759561278173</t>
  </si>
  <si>
    <t>-895.000830477167 44.7501632529911 784.708957962121</t>
  </si>
  <si>
    <t>-799.880394050316 -59.472129756907 856.661182131776</t>
  </si>
  <si>
    <t>9763-20170724T111241.316910500.bin</t>
  </si>
  <si>
    <t>-892.064094169394 146.794158508115 -63.6088388047546</t>
  </si>
  <si>
    <t>-925.260664107233 142.425437759983 -174.492120828411</t>
  </si>
  <si>
    <t>-937.085424120167 143.590951286222 -272.39760883182</t>
  </si>
  <si>
    <t>-941.536729485111 146.303142396856 -361.341812450828</t>
  </si>
  <si>
    <t>-939.338394090625 150.492406839756 -450.312999634638</t>
  </si>
  <si>
    <t>-929.265440888057 157.716306859433 -574.277284320982</t>
  </si>
  <si>
    <t>-901.317147623029 165.28333292687 -652.166163244986</t>
  </si>
  <si>
    <t>-932.281811409925 182.156475731209 -518.002179371249</t>
  </si>
  <si>
    <t>-923.316637639217 316.888211628124 -492.201403145517</t>
  </si>
  <si>
    <t>-892.301518819625 330.088793181852 -199.874489504807</t>
  </si>
  <si>
    <t>-658.518535960949 352.164469661362 -253.811138967119</t>
  </si>
  <si>
    <t>-935.114127720472 126.918514785254 -521.451262964552</t>
  </si>
  <si>
    <t>-901.125698549422 242.129046171952 -65.7858272087279</t>
  </si>
  <si>
    <t>-911.296149690905 271.803638853748 336.545739559317</t>
  </si>
  <si>
    <t>-958.740792964747 295.913706141295 781.359085616262</t>
  </si>
  <si>
    <t>-817.735117921133 335.12847059172 841.913933648355</t>
  </si>
  <si>
    <t>-883.268119217911 51.2893908167166 -63.4939739419289</t>
  </si>
  <si>
    <t>-856.394025962773 33.5398679541113 338.771390410623</t>
  </si>
  <si>
    <t>-895.029745617336 44.7594738141379 784.742393952143</t>
  </si>
  <si>
    <t>-799.920034498009 -59.4821487354466 856.680722846823</t>
  </si>
  <si>
    <t>9763-20170724T111241.382088600.bin</t>
  </si>
  <si>
    <t>-892.691954283724 146.148959187498 -63.6588751516991</t>
  </si>
  <si>
    <t>-926.047638164593 141.788938246066 -174.494657221697</t>
  </si>
  <si>
    <t>-938.138582749368 142.955276955433 -272.367527620023</t>
  </si>
  <si>
    <t>-942.882419353234 145.66831837779 -361.296765165743</t>
  </si>
  <si>
    <t>-941.027534781549 149.859770824195 -450.275431545351</t>
  </si>
  <si>
    <t>-931.485884235961 157.089101728513 -574.281641273224</t>
  </si>
  <si>
    <t>-903.563676648725 164.665589404905 -652.178881083523</t>
  </si>
  <si>
    <t>-934.218192378175 181.524249495554 -517.989826278923</t>
  </si>
  <si>
    <t>-924.926229230015 316.260134244966 -492.343522122059</t>
  </si>
  <si>
    <t>-893.960182364144 329.059537887919 -199.993615119704</t>
  </si>
  <si>
    <t>-661.113230098614 355.500966502912 -255.975283624341</t>
  </si>
  <si>
    <t>-937.151511534752 126.291454105316 -521.435506685208</t>
  </si>
  <si>
    <t>-901.588552180872 241.412013033857 -65.8558203103138</t>
  </si>
  <si>
    <t>-911.667280759002 271.478554478956 336.448922277637</t>
  </si>
  <si>
    <t>-958.72757318969 295.961280048134 781.272470031969</t>
  </si>
  <si>
    <t>-817.706223364492 335.115673031422 841.8301494114</t>
  </si>
  <si>
    <t>-884.130797210749 50.7506162182299 -63.5122564646083</t>
  </si>
  <si>
    <t>-857.258582418697 33.3320257285177 338.767698251822</t>
  </si>
  <si>
    <t>-895.161579718535 44.6694597221585 784.814236562745</t>
  </si>
  <si>
    <t>-799.995861948353 -59.5438810918283 856.719829007346</t>
  </si>
  <si>
    <t>9763-20170724T111241.416198700.bin</t>
  </si>
  <si>
    <t>-893.084233625235 145.853662612277 -63.6820664979163</t>
  </si>
  <si>
    <t>-926.502033106524 141.514873501549 -174.500190678947</t>
  </si>
  <si>
    <t>-938.673430486723 142.673728006569 -272.363225006498</t>
  </si>
  <si>
    <t>-943.501901059903 145.371196677049 -361.288269798383</t>
  </si>
  <si>
    <t>-941.742818445907 149.538403739018 -450.270083244233</t>
  </si>
  <si>
    <t>-932.348106186586 156.72640962555 -574.289820916238</t>
  </si>
  <si>
    <t>-904.388803678996 164.294180673768 -652.174582014189</t>
  </si>
  <si>
    <t>-934.99530028508 181.179306600036 -518.001657677044</t>
  </si>
  <si>
    <t>-925.577900231318 315.92486286422 -492.453074742458</t>
  </si>
  <si>
    <t>-894.66244576592 328.564927323177 -200.090912313031</t>
  </si>
  <si>
    <t>-662.444354489006 357.351843245804 -257.510627257898</t>
  </si>
  <si>
    <t>-937.968914026628 125.947227506773 -521.427986946747</t>
  </si>
  <si>
    <t>-901.898735908251 241.123684584844 -65.8971397610832</t>
  </si>
  <si>
    <t>-911.90193833226 271.319983220699 336.399780107803</t>
  </si>
  <si>
    <t>-958.748983743584 296.042354990016 781.226031922912</t>
  </si>
  <si>
    <t>-817.689186668691 335.045657955825 841.791184091086</t>
  </si>
  <si>
    <t>-884.602225924004 50.417026560076 -63.5344963932419</t>
  </si>
  <si>
    <t>-857.777891016096 33.3202360359901 338.762428848068</t>
  </si>
  <si>
    <t>-895.19879159293 44.6662729193768 784.849771904931</t>
  </si>
  <si>
    <t>-800.053902703621 -59.5778958061903 856.737782569623</t>
  </si>
  <si>
    <t>9763-20170724T111241.481352100.bin</t>
  </si>
  <si>
    <t>-893.683589715449 145.178677757644 -63.7531425125443</t>
  </si>
  <si>
    <t>-927.172641734696 140.889445673025 -174.551537394654</t>
  </si>
  <si>
    <t>-939.451543326245 142.039170013353 -272.401184422096</t>
  </si>
  <si>
    <t>-944.396354731443 144.710370318642 -361.320667440331</t>
  </si>
  <si>
    <t>-942.773375155443 148.833710380685 -450.307161798419</t>
  </si>
  <si>
    <t>-933.589025306429 155.942293274235 -574.347177836884</t>
  </si>
  <si>
    <t>-905.548257306663 163.433660690997 -652.210072483143</t>
  </si>
  <si>
    <t>-936.07683576418 180.427603967405 -518.065741690681</t>
  </si>
  <si>
    <t>-926.252419706373 315.176721768922 -492.663667862371</t>
  </si>
  <si>
    <t>-895.369073846959 327.439117164178 -200.281877976322</t>
  </si>
  <si>
    <t>-664.410026996289 361.55748230053 -259.819012984596</t>
  </si>
  <si>
    <t>-939.184402903295 125.20091603213 -521.460886414281</t>
  </si>
  <si>
    <t>-902.181508870281 240.392893022502 -65.9809090480181</t>
  </si>
  <si>
    <t>-912.242427180621 270.879669676966 336.29260917434</t>
  </si>
  <si>
    <t>-958.746059566806 296.125051537961 781.130304899531</t>
  </si>
  <si>
    <t>-817.748915075873 335.335408248089 841.708106763985</t>
  </si>
  <si>
    <t>-885.493644518573 49.8190451519081 -63.590771242982</t>
  </si>
  <si>
    <t>-858.896846143365 33.2106812596185 338.741706722598</t>
  </si>
  <si>
    <t>-895.313088006059 44.5869740017761 784.914745611136</t>
  </si>
  <si>
    <t>-800.132731020088 -59.6494117765649 856.767444571146</t>
  </si>
  <si>
    <t>9763-20170724T111241.516016900.bin</t>
  </si>
  <si>
    <t>-893.965856518166 144.859007134658 -63.7985821153434</t>
  </si>
  <si>
    <t>-927.479194137911 140.597500325047 -174.590879447286</t>
  </si>
  <si>
    <t>-939.806207562324 141.740365100655 -272.434523711618</t>
  </si>
  <si>
    <t>-944.805800997328 144.393118421533 -361.35151999733</t>
  </si>
  <si>
    <t>-943.248924091767 148.484629416856 -450.340670061171</t>
  </si>
  <si>
    <t>-934.16856543016 155.533724191584 -574.391728066839</t>
  </si>
  <si>
    <t>-906.084790788831 162.944242295297 -652.246820892201</t>
  </si>
  <si>
    <t>-936.551645496751 180.042151887055 -518.115981970803</t>
  </si>
  <si>
    <t>-926.456204503311 314.775656083326 -492.771258820316</t>
  </si>
  <si>
    <t>-895.656408900457 326.70236126962 -200.366869514471</t>
  </si>
  <si>
    <t>-665.336411866093 363.288593033443 -260.905685585026</t>
  </si>
  <si>
    <t>-939.776779200019 124.821043940291 -521.489927303856</t>
  </si>
  <si>
    <t>-902.342199866948 240.058976184377 -66.0184585472682</t>
  </si>
  <si>
    <t>-912.329236153339 270.711668874597 336.244334609195</t>
  </si>
  <si>
    <t>-958.755771205302 296.175084827443 781.085872878519</t>
  </si>
  <si>
    <t>-817.717826201812 335.225788198849 841.671635168664</t>
  </si>
  <si>
    <t>-885.91861545772 49.5096680721063 -63.6098496327317</t>
  </si>
  <si>
    <t>-859.36528640137 33.1407011240681 338.735347323093</t>
  </si>
  <si>
    <t>-895.336708289828 44.5898242588669 784.94209105601</t>
  </si>
  <si>
    <t>-800.074921553269 -59.5846790394364 856.776532046106</t>
  </si>
  <si>
    <t>9763-20170724T111241.579183300.bin</t>
  </si>
  <si>
    <t>-894.428145654037 144.090800592105 -63.8226273820345</t>
  </si>
  <si>
    <t>-928.033136850822 139.91891490211 -174.590512268116</t>
  </si>
  <si>
    <t>-940.464200975454 141.072552469527 -272.420887056974</t>
  </si>
  <si>
    <t>-945.568605356147 143.708818753859 -361.332352329821</t>
  </si>
  <si>
    <t>-944.127328664193 147.755069040247 -450.325521709112</t>
  </si>
  <si>
    <t>-935.219662244758 154.710288804288 -574.394400492164</t>
  </si>
  <si>
    <t>-907.031858639385 161.929216329619 -652.229879662718</t>
  </si>
  <si>
    <t>-937.407716466032 179.254222190114 -518.125847129763</t>
  </si>
  <si>
    <t>-926.716284667856 313.961325517771 -492.87485792851</t>
  </si>
  <si>
    <t>-895.864403007924 325.117121480809 -200.445527269776</t>
  </si>
  <si>
    <t>-666.784260760252 366.458140773629 -262.607940037552</t>
  </si>
  <si>
    <t>-940.871462254801 124.045381129217 -521.469639437474</t>
  </si>
  <si>
    <t>-902.455742164482 239.201289706723 -66.0574538268054</t>
  </si>
  <si>
    <t>-912.39917966572 270.226369062096 336.177803010275</t>
  </si>
  <si>
    <t>-958.684032171113 296.079709703628 781.017754095287</t>
  </si>
  <si>
    <t>-817.625551961173 335.077441632304 841.589689880024</t>
  </si>
  <si>
    <t>-886.696144264596 48.7984326109895 -63.6363052783145</t>
  </si>
  <si>
    <t>-860.257756563999 32.8663485360235 338.73394875</t>
  </si>
  <si>
    <t>-895.455473004283 44.4762988553543 785.004795730017</t>
  </si>
  <si>
    <t>-800.097178191619 -59.6328318797162 856.805924480732</t>
  </si>
  <si>
    <t>9763-20170724T111241.616216600.bin</t>
  </si>
  <si>
    <t>-894.686728953197 143.73880150965 -63.8257084740083</t>
  </si>
  <si>
    <t>-928.334690096113 139.624841274433 -174.582815120364</t>
  </si>
  <si>
    <t>-940.805439983128 140.787453199784 -272.407990295999</t>
  </si>
  <si>
    <t>-945.946955082655 143.41528967746 -361.31758649477</t>
  </si>
  <si>
    <t>-944.544649665449 147.435644130504 -450.312549562746</t>
  </si>
  <si>
    <t>-935.692805356805 154.335562130128 -574.388513143519</t>
  </si>
  <si>
    <t>-907.4392385478 161.448739385085 -652.210024356301</t>
  </si>
  <si>
    <t>-937.786496538685 178.899473447915 -518.125333119868</t>
  </si>
  <si>
    <t>-926.752798002314 313.579352190101 -492.902011229381</t>
  </si>
  <si>
    <t>-895.873508212641 324.423694882523 -200.463957938033</t>
  </si>
  <si>
    <t>-667.332150792703 367.694555164813 -263.292197189048</t>
  </si>
  <si>
    <t>-941.38952163421 123.698973568024 -521.452244174335</t>
  </si>
  <si>
    <t>-902.57905210413 238.866640638074 -66.0680066991263</t>
  </si>
  <si>
    <t>-912.464274276363 270.015329460305 336.159266022797</t>
  </si>
  <si>
    <t>-958.713213395772 296.128030826731 780.983765226053</t>
  </si>
  <si>
    <t>-817.594648078202 334.917917072661 841.549565326897</t>
  </si>
  <si>
    <t>-887.132855410897 48.4229403929189 -63.647616905418</t>
  </si>
  <si>
    <t>-860.769588130413 32.7760581186831 338.738826046535</t>
  </si>
  <si>
    <t>-895.507110499031 44.4283937748796 785.035787207602</t>
  </si>
  <si>
    <t>-800.048111216913 -59.6004981764656 856.819132355538</t>
  </si>
  <si>
    <t>9763-20170724T111241.682393000.bin</t>
  </si>
  <si>
    <t>-895.15524097044 143.09821267928 -63.8586996948318</t>
  </si>
  <si>
    <t>-928.862190661549 139.077243966166 -174.601231343002</t>
  </si>
  <si>
    <t>-941.378231270731 140.246578856542 -272.420589549296</t>
  </si>
  <si>
    <t>-946.559548418153 142.851395421593 -361.328599542593</t>
  </si>
  <si>
    <t>-945.195106126719 146.815522527911 -450.326609460167</t>
  </si>
  <si>
    <t>-936.395988283122 153.601091248052 -574.412723049915</t>
  </si>
  <si>
    <t>-907.994292264661 160.482871385083 -652.20089461873</t>
  </si>
  <si>
    <t>-938.314135946641 178.205990142347 -518.161198251577</t>
  </si>
  <si>
    <t>-926.657484308638 312.849746382206 -493.055896076929</t>
  </si>
  <si>
    <t>-895.528977284127 322.858925770743 -200.614471194724</t>
  </si>
  <si>
    <t>-668.06261407497 370.347739617067 -264.291298257904</t>
  </si>
  <si>
    <t>-942.22183344435 123.024217794472 -521.455927869384</t>
  </si>
  <si>
    <t>-902.688003878371 238.175472410529 -66.121612858958</t>
  </si>
  <si>
    <t>-912.539825788894 269.596883290104 336.085189278577</t>
  </si>
  <si>
    <t>-958.731548992875 296.179017205816 780.890112638488</t>
  </si>
  <si>
    <t>-817.619309054285 335.02585645723 841.434012709014</t>
  </si>
  <si>
    <t>-887.942194652383 47.8446102574394 -63.6632543247304</t>
  </si>
  <si>
    <t>-861.712147204564 32.6601363540872 338.749544163473</t>
  </si>
  <si>
    <t>-895.55116056435 44.4327858540951 785.094468714939</t>
  </si>
  <si>
    <t>-800.227366121064 -59.7308050480708 856.862201680611</t>
  </si>
  <si>
    <t>9763-20170724T111241.718063100.bin</t>
  </si>
  <si>
    <t>-895.31521004906 142.72163038222 -63.8791049488108</t>
  </si>
  <si>
    <t>-929.070333659246 138.769939823801 -174.609426397493</t>
  </si>
  <si>
    <t>-941.604282611683 139.963201458791 -272.426299323313</t>
  </si>
  <si>
    <t>-946.792226847368 142.575195107559 -361.333642052371</t>
  </si>
  <si>
    <t>-945.425910549447 146.531150907082 -450.332006697398</t>
  </si>
  <si>
    <t>-936.61472691398 153.28777534581 -574.418812751362</t>
  </si>
  <si>
    <t>-908.134979399459 160.045514073065 -652.189333783982</t>
  </si>
  <si>
    <t>-938.463436659506 177.900023318808 -518.16818315686</t>
  </si>
  <si>
    <t>-926.493350053759 312.527457940294 -493.074534360096</t>
  </si>
  <si>
    <t>-895.164020810644 321.799748996931 -200.630201591665</t>
  </si>
  <si>
    <t>-668.233750845635 371.237792199321 -264.734313973428</t>
  </si>
  <si>
    <t>-942.520971124 122.72882732651 -521.460501096397</t>
  </si>
  <si>
    <t>-902.586296650565 237.759676210429 -66.1502655240125</t>
  </si>
  <si>
    <t>-912.516949353871 269.302678486712 336.045082176051</t>
  </si>
  <si>
    <t>-958.616977135042 296.00997136908 780.840187538253</t>
  </si>
  <si>
    <t>-817.556053307374 335.059637336773 841.373312041953</t>
  </si>
  <si>
    <t>-888.332469875668 47.4663120195528 -63.6722713303685</t>
  </si>
  <si>
    <t>-862.139999633293 32.4900297482695 338.750808615103</t>
  </si>
  <si>
    <t>-895.656077966082 44.2880233637798 785.120148660598</t>
  </si>
  <si>
    <t>-800.185097700718 -59.7460182234715 856.880070456617</t>
  </si>
  <si>
    <t>9763-20170724T111241.784243000.bin</t>
  </si>
  <si>
    <t>-895.644672351569 142.195492200937 -63.9577472441337</t>
  </si>
  <si>
    <t>-929.489570797806 138.392327020071 -174.665709692808</t>
  </si>
  <si>
    <t>-942.023764947288 139.639504810588 -272.481813183336</t>
  </si>
  <si>
    <t>-947.181298989135 142.271285439891 -361.390335020224</t>
  </si>
  <si>
    <t>-945.754725289699 146.213561999787 -450.38851636918</t>
  </si>
  <si>
    <t>-936.82836456662 152.914777392922 -574.470052563606</t>
  </si>
  <si>
    <t>-908.212329925471 159.424740212296 -652.211674108021</t>
  </si>
  <si>
    <t>-938.574264410235 177.539627610022 -518.221734695222</t>
  </si>
  <si>
    <t>-926.00908226661 312.11296869115 -493.126666489844</t>
  </si>
  <si>
    <t>-894.655384054175 320.153732136224 -200.648478045941</t>
  </si>
  <si>
    <t>-668.226560658243 371.996001162546 -264.626128544328</t>
  </si>
  <si>
    <t>-942.938497032408 122.392107257146 -521.514054852189</t>
  </si>
  <si>
    <t>-902.529478259963 237.325414257448 -66.2345072886108</t>
  </si>
  <si>
    <t>-912.541310738781 268.930484533777 335.953975679545</t>
  </si>
  <si>
    <t>-958.706567819836 296.210903102456 780.722577497193</t>
  </si>
  <si>
    <t>-817.593490319648 335.072313469159 841.255102011139</t>
  </si>
  <si>
    <t>-889.075100674545 46.9085733981797 -63.7076644826587</t>
  </si>
  <si>
    <t>-862.830612568737 32.3150967103206 338.72612312918</t>
  </si>
  <si>
    <t>-895.653915219018 44.3159398527914 785.138810753774</t>
  </si>
  <si>
    <t>-800.302123648754 -59.814271240931 856.917816303463</t>
  </si>
  <si>
    <t>9763-20170724T111241.815349800.bin</t>
  </si>
  <si>
    <t>-895.831461090791 141.988457605573 -63.9866081756963</t>
  </si>
  <si>
    <t>-929.71069944808 138.276749643372 -174.687295056315</t>
  </si>
  <si>
    <t>-942.235680699314 139.567298111045 -272.504046155202</t>
  </si>
  <si>
    <t>-947.369930656637 142.223513961769 -361.413122845181</t>
  </si>
  <si>
    <t>-945.904261476626 146.173490944675 -450.410292467028</t>
  </si>
  <si>
    <t>-936.908752330334 152.867511765321 -574.487227098365</t>
  </si>
  <si>
    <t>-908.248338781763 159.266284435011 -652.221698078298</t>
  </si>
  <si>
    <t>-938.612875482371 177.48953170813 -518.236390120744</t>
  </si>
  <si>
    <t>-925.77142130297 312.027442206369 -493.089753113473</t>
  </si>
  <si>
    <t>-894.361916097014 319.147274838761 -200.593476376243</t>
  </si>
  <si>
    <t>-668.045604636619 371.284352370255 -264.730295513145</t>
  </si>
  <si>
    <t>-943.121783640988 122.353963985791 -521.537875398289</t>
  </si>
  <si>
    <t>-902.56258053956 237.154905448023 -66.2616272147833</t>
  </si>
  <si>
    <t>-912.645740467201 268.78948619057 335.922701909373</t>
  </si>
  <si>
    <t>-958.745579916648 296.307010293583 780.677586361928</t>
  </si>
  <si>
    <t>-817.508798372574 334.711591796416 841.213731385196</t>
  </si>
  <si>
    <t>-889.44047008459 46.670639402937 -63.7435207834833</t>
  </si>
  <si>
    <t>-863.161209097762 32.2912005358576 338.695678215181</t>
  </si>
  <si>
    <t>-895.628497247812 44.3671246121357 785.136955598032</t>
  </si>
  <si>
    <t>-800.423438604751 -59.8859400377121 856.932269805239</t>
  </si>
  <si>
    <t>9763-20170724T111241.880520900.bin</t>
  </si>
  <si>
    <t>-896.235700623047 141.479988672769 -64.0485904473621</t>
  </si>
  <si>
    <t>-930.185025152163 137.939101449042 -174.733343276828</t>
  </si>
  <si>
    <t>-942.691904634285 139.327841629397 -272.551169073967</t>
  </si>
  <si>
    <t>-947.777728688685 142.051409429214 -361.460894108984</t>
  </si>
  <si>
    <t>-946.232888801651 146.043473596197 -450.454893266311</t>
  </si>
  <si>
    <t>-937.094109151727 152.767116521367 -574.519718815581</t>
  </si>
  <si>
    <t>-908.381802204761 158.997704331093 -652.248842787268</t>
  </si>
  <si>
    <t>-938.730825338338 177.364187666863 -518.25584422893</t>
  </si>
  <si>
    <t>-925.302773840964 311.809284808057 -492.93329274476</t>
  </si>
  <si>
    <t>-894.113540288956 317.807086030214 -200.388487982906</t>
  </si>
  <si>
    <t>-667.617586896424 369.010886600311 -264.643322362066</t>
  </si>
  <si>
    <t>-943.500447505975 122.252742999452 -521.594015438971</t>
  </si>
  <si>
    <t>-902.638850089359 236.779305326191 -66.3155264044128</t>
  </si>
  <si>
    <t>-912.924270944477 268.21867149119 335.878986390032</t>
  </si>
  <si>
    <t>-958.663525370496 296.258408584112 780.62474992372</t>
  </si>
  <si>
    <t>-817.543905206507 335.103102641693 841.15306301734</t>
  </si>
  <si>
    <t>-890.176219826686 46.0483733061801 -63.8375089774864</t>
  </si>
  <si>
    <t>-863.907396212916 32.1226228883575 338.61834777336</t>
  </si>
  <si>
    <t>-895.716777983155 44.2536370409639 785.132952335097</t>
  </si>
  <si>
    <t>-800.285024853396 -59.7983714602703 856.919301030815</t>
  </si>
  <si>
    <t>9763-20170724T111241.914138700.bin</t>
  </si>
  <si>
    <t>-896.453413713643 141.282233812022 -64.0830729456894</t>
  </si>
  <si>
    <t>-930.439804396687 137.819739756163 -174.759036392714</t>
  </si>
  <si>
    <t>-942.943280609599 139.25969557025 -272.576398677636</t>
  </si>
  <si>
    <t>-948.011468741079 142.02226180431 -361.486103638158</t>
  </si>
  <si>
    <t>-946.43440683637 146.043841236837 -450.4780394482</t>
  </si>
  <si>
    <t>-937.23618977824 152.797855546057 -574.536886276725</t>
  </si>
  <si>
    <t>-908.523106925334 158.963931793018 -652.270815911305</t>
  </si>
  <si>
    <t>-938.841146432793 177.375603416186 -518.263753049173</t>
  </si>
  <si>
    <t>-925.16681051791 311.778989438552 -492.833816621684</t>
  </si>
  <si>
    <t>-894.003257139632 317.147532183761 -200.27409693724</t>
  </si>
  <si>
    <t>-667.311763019818 367.724584062813 -264.335359220929</t>
  </si>
  <si>
    <t>-943.726734952559 122.275814308743 -521.625647406296</t>
  </si>
  <si>
    <t>-902.749988644291 236.675385883365 -66.3346419075714</t>
  </si>
  <si>
    <t>-913.173193631232 267.988894738012 335.866169505023</t>
  </si>
  <si>
    <t>-958.667412721386 296.311508830765 780.614150968795</t>
  </si>
  <si>
    <t>-817.524222008011 335.070402323081 841.141468951278</t>
  </si>
  <si>
    <t>-890.519408048775 45.7254609169199 -63.8894155586169</t>
  </si>
  <si>
    <t>-864.28452607681 32.0734761490794 338.578049336555</t>
  </si>
  <si>
    <t>-895.808369410957 44.1399850790954 785.133329837015</t>
  </si>
  <si>
    <t>-800.218168007047 -59.7725727228462 856.91079302195</t>
  </si>
  <si>
    <t>9763-20170724T111241.982315500.bin</t>
  </si>
  <si>
    <t>-896.818861227171 140.921195935887 -64.128872483148</t>
  </si>
  <si>
    <t>-930.907697234387 137.57182625306 -174.776710363073</t>
  </si>
  <si>
    <t>-943.429282517091 139.097359731663 -272.590519584149</t>
  </si>
  <si>
    <t>-948.484775567054 141.93013197549 -361.498716590947</t>
  </si>
  <si>
    <t>-946.865281557724 146.011792200764 -450.487248368146</t>
  </si>
  <si>
    <t>-937.577359792165 152.837248122869 -574.535456741404</t>
  </si>
  <si>
    <t>-908.860715532402 158.93930486563 -652.273079571823</t>
  </si>
  <si>
    <t>-939.140541553152 177.37482502752 -518.243497947183</t>
  </si>
  <si>
    <t>-925.133748063142 311.704019118314 -492.606251302852</t>
  </si>
  <si>
    <t>-894.202783347566 316.100265095738 -200.005504900226</t>
  </si>
  <si>
    <t>-667.034846419053 365.806904026863 -263.051850573957</t>
  </si>
  <si>
    <t>-944.188668205036 122.292487192678 -521.652310198263</t>
  </si>
  <si>
    <t>-902.940231190983 236.45545755156 -66.3320333756516</t>
  </si>
  <si>
    <t>-913.416105051577 267.735182903785 335.87003806428</t>
  </si>
  <si>
    <t>-958.681442014115 296.42674563782 780.622030129334</t>
  </si>
  <si>
    <t>-817.422637215238 334.74961394445 841.157456960704</t>
  </si>
  <si>
    <t>-891.037955877027 45.2377194370133 -63.9519415963425</t>
  </si>
  <si>
    <t>-864.812661525502 31.9044508457855 338.526771466953</t>
  </si>
  <si>
    <t>-895.869791350487 44.1100040892866 785.125517122361</t>
  </si>
  <si>
    <t>-800.214646280609 -59.7473087523956 856.896330743486</t>
  </si>
  <si>
    <t>9763-20170724T111242.013161000.bin</t>
  </si>
  <si>
    <t>-896.859376601234 140.737079102051 -64.1157533894952</t>
  </si>
  <si>
    <t>-930.992111595028 137.423441457013 -174.751078055482</t>
  </si>
  <si>
    <t>-943.512054574209 138.982568020101 -272.564542932362</t>
  </si>
  <si>
    <t>-948.549012405403 141.846148752875 -361.47279571599</t>
  </si>
  <si>
    <t>-946.89479204064 145.957813716302 -450.459241421615</t>
  </si>
  <si>
    <t>-937.54037142466 152.822546191532 -574.500346858149</t>
  </si>
  <si>
    <t>-908.8164380482 158.927885322486 -652.235249989718</t>
  </si>
  <si>
    <t>-939.108739104254 177.339769226517 -518.199768196933</t>
  </si>
  <si>
    <t>-925.007538800117 311.633286340971 -492.43360466105</t>
  </si>
  <si>
    <t>-894.248043378299 315.611761167395 -199.808848387744</t>
  </si>
  <si>
    <t>-666.83105510522 364.754352100884 -262.397201321282</t>
  </si>
  <si>
    <t>-944.2044138209 122.263433466311 -521.632234843467</t>
  </si>
  <si>
    <t>-902.861240293329 236.277936443925 -66.3102388499333</t>
  </si>
  <si>
    <t>-913.369482333019 267.560829591881 335.890748111193</t>
  </si>
  <si>
    <t>-958.610842838354 296.341686288024 780.638233434128</t>
  </si>
  <si>
    <t>-817.4048135624 334.868396929119 841.167735147361</t>
  </si>
  <si>
    <t>-891.165774935963 45.0313683543527 -63.9585657100247</t>
  </si>
  <si>
    <t>-864.931448081526 31.7805897284793 338.522338676244</t>
  </si>
  <si>
    <t>-895.930447840333 44.0410056575752 785.12499885567</t>
  </si>
  <si>
    <t>-800.213717886491 -59.7631498095486 856.89041177934</t>
  </si>
  <si>
    <t>9763-20170724T111242.081346300.bin</t>
  </si>
  <si>
    <t>-896.771615422736 140.536742513744 -64.0713491908558</t>
  </si>
  <si>
    <t>-931.029542785708 137.282517191171 -174.669844439516</t>
  </si>
  <si>
    <t>-943.599087875356 138.903076601069 -272.475867118621</t>
  </si>
  <si>
    <t>-948.657563894659 141.828018610334 -361.380956170386</t>
  </si>
  <si>
    <t>-947.00092093232 146.007268992135 -450.36424919025</t>
  </si>
  <si>
    <t>-937.618351759815 152.974481179713 -574.39747711496</t>
  </si>
  <si>
    <t>-908.914280445588 159.142338303416 -652.134678592793</t>
  </si>
  <si>
    <t>-939.217074839863 177.447116422108 -518.078376999269</t>
  </si>
  <si>
    <t>-925.190782892377 311.698844208815 -492.034156927307</t>
  </si>
  <si>
    <t>-894.654951153408 315.614930828774 -199.38515615589</t>
  </si>
  <si>
    <t>-666.696055377204 362.86012662046 -261.462165511633</t>
  </si>
  <si>
    <t>-944.276938210358 122.370065983414 -521.554840941687</t>
  </si>
  <si>
    <t>-902.720560053407 236.17347864154 -66.2308653254464</t>
  </si>
  <si>
    <t>-913.201171820389 267.434810333935 335.972492694825</t>
  </si>
  <si>
    <t>-958.65840043993 296.462575437688 780.677233281069</t>
  </si>
  <si>
    <t>-817.325035553171 334.526983142254 841.202934009214</t>
  </si>
  <si>
    <t>-891.163547461677 44.746837478735 -63.9537135067677</t>
  </si>
  <si>
    <t>-864.915466885214 31.6742424162462 338.532134929559</t>
  </si>
  <si>
    <t>-895.935279129348 44.0833849701062 785.118245495846</t>
  </si>
  <si>
    <t>-800.188166816218 -59.6920879703309 856.884544475731</t>
  </si>
  <si>
    <t>9763-20170724T111242.114442900.bin</t>
  </si>
  <si>
    <t>-896.660621307024 140.435904229432 -64.0554161908266</t>
  </si>
  <si>
    <t>-931.001421158027 137.174265108128 -174.628108986755</t>
  </si>
  <si>
    <t>-943.617077116498 138.800651632389 -272.428141987714</t>
  </si>
  <si>
    <t>-948.706772942948 141.736718148219 -361.330945541907</t>
  </si>
  <si>
    <t>-947.070697640896 145.933596479694 -450.313828032725</t>
  </si>
  <si>
    <t>-937.705989327473 152.933263632625 -574.346613246226</t>
  </si>
  <si>
    <t>-909.016322256433 159.139543107941 -652.085959914643</t>
  </si>
  <si>
    <t>-939.325396747927 177.393841822247 -518.022708413284</t>
  </si>
  <si>
    <t>-925.389853253323 311.633931068676 -491.872401069679</t>
  </si>
  <si>
    <t>-894.773188763968 315.56338759659 -199.232049335855</t>
  </si>
  <si>
    <t>-666.347550526082 361.019770423879 -260.928351050258</t>
  </si>
  <si>
    <t>-944.328575834597 122.312389960212 -521.508987371869</t>
  </si>
  <si>
    <t>-902.609982512647 236.089888697205 -66.2051367124844</t>
  </si>
  <si>
    <t>-913.061517637839 267.326825401501 336.000916452886</t>
  </si>
  <si>
    <t>-958.624514659511 296.433593584252 780.690906844361</t>
  </si>
  <si>
    <t>-817.338397414802 334.680930079272 841.210782207037</t>
  </si>
  <si>
    <t>-891.035507746946 44.6100030981897 -63.9448893382513</t>
  </si>
  <si>
    <t>-864.813397728364 31.5909920381823 338.544284995431</t>
  </si>
  <si>
    <t>-895.935174411553 44.1072475174201 785.116238943396</t>
  </si>
  <si>
    <t>-800.200964031048 -59.6780283431588 856.885736591572</t>
  </si>
  <si>
    <t>9763-20170724T111242.180615500.bin</t>
  </si>
  <si>
    <t>-896.370545489859 140.342961911344 -64.0371364635201</t>
  </si>
  <si>
    <t>-930.842952602034 136.995407645212 -174.5662344877</t>
  </si>
  <si>
    <t>-943.481064255915 138.590330761458 -272.363981652944</t>
  </si>
  <si>
    <t>-948.552477496608 141.513261942083 -361.268203013912</t>
  </si>
  <si>
    <t>-946.858689971416 145.712448666298 -450.249859574421</t>
  </si>
  <si>
    <t>-937.372286322346 152.73031834161 -574.272435386688</t>
  </si>
  <si>
    <t>-908.708135635034 158.992485484601 -652.016653312334</t>
  </si>
  <si>
    <t>-939.101777672408 177.187974983357 -517.950477322779</t>
  </si>
  <si>
    <t>-925.336883438642 311.407389305736 -491.632301039899</t>
  </si>
  <si>
    <t>-895.425265100279 315.668803892384 -198.923612263738</t>
  </si>
  <si>
    <t>-665.13216263175 354.467037202275 -258.175038910488</t>
  </si>
  <si>
    <t>-943.991726913636 122.096541397746 -521.44193531066</t>
  </si>
  <si>
    <t>-902.479585200214 236.071532347531 -66.2077788247042</t>
  </si>
  <si>
    <t>-912.900189687542 267.209688666419 336.006752592306</t>
  </si>
  <si>
    <t>-958.592102240834 296.448803390402 780.682293553089</t>
  </si>
  <si>
    <t>-817.31883623636 334.741622596661 841.203487353285</t>
  </si>
  <si>
    <t>-890.589683878281 44.4265830905724 -63.9174416861777</t>
  </si>
  <si>
    <t>-864.460355935551 31.5202104101195 338.581449609423</t>
  </si>
  <si>
    <t>-895.891997785514 44.2186248950693 785.113584360266</t>
  </si>
  <si>
    <t>-800.36871122587 -59.7514590925678 856.896916772396</t>
  </si>
  <si>
    <t>9763-20170724T111242.212389100.bin</t>
  </si>
  <si>
    <t>-896.203072880153 140.211592549758 -64.0402700802747</t>
  </si>
  <si>
    <t>-930.660697085592 136.818806545447 -174.572445884169</t>
  </si>
  <si>
    <t>-943.264698925103 138.38322454301 -272.375160936508</t>
  </si>
  <si>
    <t>-948.295729155724 141.281340411829 -361.282509025435</t>
  </si>
  <si>
    <t>-946.552934695118 145.45997498493 -450.264276655914</t>
  </si>
  <si>
    <t>-936.989087388332 152.452896872518 -574.282229547176</t>
  </si>
  <si>
    <t>-908.359816554626 158.730948110227 -652.038078928316</t>
  </si>
  <si>
    <t>-938.788134643261 176.924795694545 -517.968818471505</t>
  </si>
  <si>
    <t>-925.192333979072 311.154337538412 -491.604905455462</t>
  </si>
  <si>
    <t>-895.571045617174 315.654257651657 -198.870390392447</t>
  </si>
  <si>
    <t>-664.376281678643 350.846406475711 -256.847511242335</t>
  </si>
  <si>
    <t>-943.607172561142 121.826349143849 -521.447310429866</t>
  </si>
  <si>
    <t>-902.325365952428 235.974527914327 -66.218069314136</t>
  </si>
  <si>
    <t>-912.797689731398 267.12656138371 335.994020734113</t>
  </si>
  <si>
    <t>-958.523480780254 296.387750706006 780.654643778726</t>
  </si>
  <si>
    <t>-817.335252459519 334.982682642462 841.182449163662</t>
  </si>
  <si>
    <t>-890.367218677109 44.257362594321 -63.8949373580159</t>
  </si>
  <si>
    <t>-864.288456053501 31.3573072468339 338.607338221865</t>
  </si>
  <si>
    <t>-895.931317368323 44.1803730693546 785.11631972932</t>
  </si>
  <si>
    <t>-800.157707830295 -59.5707137173029 856.882888228378</t>
  </si>
  <si>
    <t>9763-20170724T111242.280569000.bin</t>
  </si>
  <si>
    <t>-895.856126360262 140.167448737618 -64.0684209655414</t>
  </si>
  <si>
    <t>-930.198639991624 136.674389869283 -174.633449513066</t>
  </si>
  <si>
    <t>-942.731749806574 138.165258125681 -272.446254146274</t>
  </si>
  <si>
    <t>-947.710939145379 141.00142148669 -361.358544171133</t>
  </si>
  <si>
    <t>-945.928642740658 145.123826705022 -450.342152132275</t>
  </si>
  <si>
    <t>-936.321660112506 152.044855631623 -574.360712480975</t>
  </si>
  <si>
    <t>-907.792526862264 158.334749065216 -652.152327690715</t>
  </si>
  <si>
    <t>-938.207800507817 176.555731613016 -518.067080101076</t>
  </si>
  <si>
    <t>-924.920918333188 310.816442532693 -491.688735091956</t>
  </si>
  <si>
    <t>-895.671263168359 315.069289723518 -198.913087860107</t>
  </si>
  <si>
    <t>-662.311079802088 342.737128268077 -252.096297021987</t>
  </si>
  <si>
    <t>-942.890732160011 121.442868034919 -521.505502056223</t>
  </si>
  <si>
    <t>-902.104367370744 235.944580541571 -66.2449759995077</t>
  </si>
  <si>
    <t>-912.676179627625 267.202839982373 335.9563289118</t>
  </si>
  <si>
    <t>-958.514929825367 296.453899027501 780.601528618934</t>
  </si>
  <si>
    <t>-817.314309200473 334.981483269342 841.143204205257</t>
  </si>
  <si>
    <t>-889.937406229616 44.2562560321453 -63.8771234147625</t>
  </si>
  <si>
    <t>-863.99895560799 31.2080829760339 338.629516734364</t>
  </si>
  <si>
    <t>-895.976582554451 44.1556207920653 785.128845245266</t>
  </si>
  <si>
    <t>-800.234640348247 -59.6365128583825 856.877820611882</t>
  </si>
  <si>
    <t>9763-20170724T111242.313189700.bin</t>
  </si>
  <si>
    <t>-895.775329488976 140.153871042567 -64.0710349280482</t>
  </si>
  <si>
    <t>-930.074735190951 136.616953113843 -174.647984106001</t>
  </si>
  <si>
    <t>-942.582029997342 138.074978778782 -272.464554454268</t>
  </si>
  <si>
    <t>-947.542674903611 140.883605955481 -361.37889732828</t>
  </si>
  <si>
    <t>-945.746205124008 144.981026117388 -450.363368051218</t>
  </si>
  <si>
    <t>-936.124968566444 151.870440021808 -574.382632124411</t>
  </si>
  <si>
    <t>-907.650845998971 158.178500909318 -652.192928523455</t>
  </si>
  <si>
    <t>-938.048242642203 176.398242243738 -518.097645538976</t>
  </si>
  <si>
    <t>-924.912215075562 310.66298848895 -491.713028176954</t>
  </si>
  <si>
    <t>-895.831619197281 314.829472682873 -198.91934642873</t>
  </si>
  <si>
    <t>-661.321281396482 338.777586231144 -248.740828742198</t>
  </si>
  <si>
    <t>-942.669594579052 121.27918015448 -521.518152393681</t>
  </si>
  <si>
    <t>-902.091174001419 235.943007097522 -66.2722784522376</t>
  </si>
  <si>
    <t>-912.714836608959 267.234012612009 335.925090497978</t>
  </si>
  <si>
    <t>-958.530901799309 296.514805673891 780.572811276441</t>
  </si>
  <si>
    <t>-817.296258640711 334.902841580891 841.124129128101</t>
  </si>
  <si>
    <t>-889.815538602398 44.2003196811379 -63.875862082489</t>
  </si>
  <si>
    <t>-863.968079934454 31.1412902693642 338.636360748735</t>
  </si>
  <si>
    <t>-896.04256326358 44.0768634084152 785.137953026044</t>
  </si>
  <si>
    <t>-800.116178106648 -59.561490832579 856.863495657977</t>
  </si>
  <si>
    <t>9763-20170724T111242.379364300.bin</t>
  </si>
  <si>
    <t>-895.647085824987 140.098705854861 -64.0723366581084</t>
  </si>
  <si>
    <t>-929.800324013067 136.530527669875 -174.693583398255</t>
  </si>
  <si>
    <t>-942.219189383098 137.956048902097 -272.52198031561</t>
  </si>
  <si>
    <t>-947.116824240902 140.735751657684 -361.440628974568</t>
  </si>
  <si>
    <t>-945.275275535612 144.807728090514 -450.425320642363</t>
  </si>
  <si>
    <t>-935.609566591335 151.667398554805 -574.442724602472</t>
  </si>
  <si>
    <t>-907.2131618728 158.021469412384 -652.277819682485</t>
  </si>
  <si>
    <t>-937.619176594413 176.214454376382 -518.16924208197</t>
  </si>
  <si>
    <t>-924.859111419407 310.532341594438 -491.853546697076</t>
  </si>
  <si>
    <t>-895.643445055583 314.936324373773 -199.076735930419</t>
  </si>
  <si>
    <t>-659.193124659076 332.852048983012 -241.750806448617</t>
  </si>
  <si>
    <t>-942.106550255334 121.08299343456 -521.568469742798</t>
  </si>
  <si>
    <t>-902.045703812865 235.862747776804 -66.2962220369499</t>
  </si>
  <si>
    <t>-912.684094315221 267.138782754891 335.901782643865</t>
  </si>
  <si>
    <t>-958.4753125042 296.463578666191 780.552112248179</t>
  </si>
  <si>
    <t>-817.291015499671 335.03308981342 841.104915177022</t>
  </si>
  <si>
    <t>-889.583242489919 44.2044430246301 -63.8862790048096</t>
  </si>
  <si>
    <t>-863.928745633116 31.1047764254963 338.636855143503</t>
  </si>
  <si>
    <t>-896.018042196612 44.1535367726819 785.136049156221</t>
  </si>
  <si>
    <t>-800.204581926214 -59.5951526457447 856.852511818558</t>
  </si>
  <si>
    <t>9763-20170724T111242.415972300.bin</t>
  </si>
  <si>
    <t>-895.648587445619 140.163501755372 -64.090726998453</t>
  </si>
  <si>
    <t>-929.762768514525 136.567224172568 -174.723160102516</t>
  </si>
  <si>
    <t>-942.162998610635 137.981019227288 -272.553999000361</t>
  </si>
  <si>
    <t>-947.049857487533 140.755829050394 -361.473515657311</t>
  </si>
  <si>
    <t>-945.203888036647 144.830198766064 -450.457931497582</t>
  </si>
  <si>
    <t>-935.538474075839 151.70145293009 -574.47463048461</t>
  </si>
  <si>
    <t>-907.158347066403 158.092637580629 -652.312628614979</t>
  </si>
  <si>
    <t>-937.591236778132 176.246857170673 -518.202043406356</t>
  </si>
  <si>
    <t>-925.027750105342 310.589686751254 -491.908434008598</t>
  </si>
  <si>
    <t>-895.530642676021 315.231752945181 -199.163397543807</t>
  </si>
  <si>
    <t>-658.165979018502 330.754081867765 -237.477712433516</t>
  </si>
  <si>
    <t>-941.992128628217 121.108357199737 -521.600089139405</t>
  </si>
  <si>
    <t>-902.126964407515 235.933222105347 -66.3011509915632</t>
  </si>
  <si>
    <t>-912.803165216811 267.242345580572 335.893335133635</t>
  </si>
  <si>
    <t>-958.518213041059 296.55322325487 780.543252012188</t>
  </si>
  <si>
    <t>-817.214359767381 334.663363813304 841.108251842371</t>
  </si>
  <si>
    <t>-889.531690270266 44.2574083578925 -63.8901064545433</t>
  </si>
  <si>
    <t>-863.902124154179 31.1144395021552 338.633245402909</t>
  </si>
  <si>
    <t>-896.018063957103 44.1733864571943 785.134908618305</t>
  </si>
  <si>
    <t>-800.261721432551 -59.6302337828288 856.848600949729</t>
  </si>
  <si>
    <t>9763-20170724T111242.482146900.bin</t>
  </si>
  <si>
    <t>-895.54160352652 140.172446301371 -64.0817935253974</t>
  </si>
  <si>
    <t>-929.59304721033 136.501768286391 -174.730913735264</t>
  </si>
  <si>
    <t>-941.978725738272 137.853179887797 -272.564647980427</t>
  </si>
  <si>
    <t>-946.869249932098 140.574443047776 -361.485539536703</t>
  </si>
  <si>
    <t>-945.04405579557 144.601339078694 -450.472591201622</t>
  </si>
  <si>
    <t>-935.426084818669 151.415117314768 -574.496248154219</t>
  </si>
  <si>
    <t>-907.03306188202 157.861240902846 -652.325041776488</t>
  </si>
  <si>
    <t>-937.544781553127 175.994057474215 -518.240380855946</t>
  </si>
  <si>
    <t>-925.321068874998 310.376834361819 -492.017368948033</t>
  </si>
  <si>
    <t>-894.627958043537 315.700743708601 -199.407010142033</t>
  </si>
  <si>
    <t>-655.959902816656 328.294791498708 -229.898514488808</t>
  </si>
  <si>
    <t>-941.772405852581 120.839673166401 -521.598519642435</t>
  </si>
  <si>
    <t>-902.105874402624 235.830055360911 -66.3176354841966</t>
  </si>
  <si>
    <t>-912.853042817922 267.20269478823 335.870082447532</t>
  </si>
  <si>
    <t>-958.347928281316 296.327707443394 780.522716014624</t>
  </si>
  <si>
    <t>-817.186116416792 334.951476745553 841.093377878615</t>
  </si>
  <si>
    <t>-889.290089475798 44.3283522303377 -63.8872070970343</t>
  </si>
  <si>
    <t>-863.756073509678 31.0391367449442 338.637372298034</t>
  </si>
  <si>
    <t>-896.063391654375 44.1232021312453 785.132899070881</t>
  </si>
  <si>
    <t>-800.282670725637 -59.6609842278001 856.842180062345</t>
  </si>
  <si>
    <t>9763-20170724T111242.515246100.bin</t>
  </si>
  <si>
    <t>-895.468070496494 140.190795359146 -64.0961737403305</t>
  </si>
  <si>
    <t>-929.499878241142 136.474851411726 -174.750006646035</t>
  </si>
  <si>
    <t>-941.895517873698 137.790089591556 -272.582876296051</t>
  </si>
  <si>
    <t>-946.806149855334 140.479478176903 -361.503508919379</t>
  </si>
  <si>
    <t>-945.011586051999 144.475596584522 -450.492648732046</t>
  </si>
  <si>
    <t>-935.447740301179 151.248404636636 -574.522700010757</t>
  </si>
  <si>
    <t>-907.034960576927 157.698185334606 -652.343964943428</t>
  </si>
  <si>
    <t>-937.564719741927 175.847536987297 -518.275938336002</t>
  </si>
  <si>
    <t>-925.421453503303 310.253164118985 -492.090626494025</t>
  </si>
  <si>
    <t>-894.039849155518 315.315468347841 -199.548644180236</t>
  </si>
  <si>
    <t>-654.894316416454 327.771033006966 -226.103457408568</t>
  </si>
  <si>
    <t>-941.748115581193 120.688336589328 -521.610457865484</t>
  </si>
  <si>
    <t>-902.088355445005 235.848493399403 -66.3336649450993</t>
  </si>
  <si>
    <t>-912.886596259999 267.277065007112 335.848240915862</t>
  </si>
  <si>
    <t>-958.366729575758 296.392064458398 780.50210016995</t>
  </si>
  <si>
    <t>-817.209487040316 335.015840061002 841.083209579207</t>
  </si>
  <si>
    <t>-889.154577119451 44.3345801716728 -63.8834194099147</t>
  </si>
  <si>
    <t>-863.646470215839 31.0240218535296 338.642097612929</t>
  </si>
  <si>
    <t>-896.04366612049 44.1579105427832 785.12729234318</t>
  </si>
  <si>
    <t>-800.138487458303 -59.5157990762852 856.829972308203</t>
  </si>
  <si>
    <t>9763-20170724T111242.584424600.bin</t>
  </si>
  <si>
    <t>-895.216270246015 140.103936020692 -64.1186132063704</t>
  </si>
  <si>
    <t>-929.273033409331 136.286709156936 -174.761281974523</t>
  </si>
  <si>
    <t>-941.733674322878 137.545870773465 -272.586723750332</t>
  </si>
  <si>
    <t>-946.720089751068 140.195586552563 -361.504350717471</t>
  </si>
  <si>
    <t>-945.017539560261 144.163532431828 -450.496429737987</t>
  </si>
  <si>
    <t>-935.597606069261 150.907869011609 -574.539206669477</t>
  </si>
  <si>
    <t>-907.160119868674 157.351520759649 -652.351899518372</t>
  </si>
  <si>
    <t>-937.66688420665 175.521552451754 -518.296910643761</t>
  </si>
  <si>
    <t>-925.533398396092 309.941537098336 -492.177096649173</t>
  </si>
  <si>
    <t>-892.872645030001 315.019578682154 -199.775374276801</t>
  </si>
  <si>
    <t>-653.0510242719 326.723795510078 -219.761878925889</t>
  </si>
  <si>
    <t>-941.818587475934 120.358550978438 -521.611429638177</t>
  </si>
  <si>
    <t>-901.961119222688 235.773954495786 -66.3820480789441</t>
  </si>
  <si>
    <t>-912.752495626402 267.257935738048 335.795760537411</t>
  </si>
  <si>
    <t>-958.313220148212 296.32824095105 780.471159201229</t>
  </si>
  <si>
    <t>-817.230685805279 335.230723026146 841.048201259772</t>
  </si>
  <si>
    <t>-888.78250332315 44.2566614096795 -63.8807730408554</t>
  </si>
  <si>
    <t>-863.373036818969 30.9420334413671 338.6509780565</t>
  </si>
  <si>
    <t>-896.025271131022 44.1768312750442 785.114076472526</t>
  </si>
  <si>
    <t>-800.1163904097 -59.487186386141 856.825397518687</t>
  </si>
  <si>
    <t>9763-20170724T111242.616086100.bin</t>
  </si>
  <si>
    <t>-895.034515892822 140.139926837449 -64.1202224355266</t>
  </si>
  <si>
    <t>-929.119002485992 136.305080363335 -174.753672750672</t>
  </si>
  <si>
    <t>-941.619171605058 137.547792732829 -272.574155040562</t>
  </si>
  <si>
    <t>-946.647084528369 140.182025558249 -361.489954009406</t>
  </si>
  <si>
    <t>-944.991224081911 144.132816036077 -450.483770389369</t>
  </si>
  <si>
    <t>-935.642518618926 150.851853730574 -574.533215328291</t>
  </si>
  <si>
    <t>-907.19440895304 157.26380955648 -652.344772533099</t>
  </si>
  <si>
    <t>-937.672291421417 175.476269391781 -518.294150069068</t>
  </si>
  <si>
    <t>-925.444446568842 309.889807063759 -492.212053096246</t>
  </si>
  <si>
    <t>-892.346563942383 315.278013765459 -199.865188380824</t>
  </si>
  <si>
    <t>-652.272224656506 326.363069741667 -216.963521564479</t>
  </si>
  <si>
    <t>-941.84044312064 120.314134300998 -521.596263892491</t>
  </si>
  <si>
    <t>-901.7829094818 235.807986253102 -66.3960702849768</t>
  </si>
  <si>
    <t>-912.586557136377 267.294637049408 335.781185590888</t>
  </si>
  <si>
    <t>-958.340435555523 296.366953003966 780.451600870357</t>
  </si>
  <si>
    <t>-817.227922587587 335.164789273709 841.025825968682</t>
  </si>
  <si>
    <t>-888.60137361097 44.331929634247 -63.8710400851368</t>
  </si>
  <si>
    <t>-863.194042919845 30.9595421543204 338.65889678852</t>
  </si>
  <si>
    <t>-895.925468499071 44.3224788374432 785.102024115803</t>
  </si>
  <si>
    <t>-800.236506967801 -59.5319515769804 856.831955135255</t>
  </si>
  <si>
    <t>9763-20170724T111242.644161900.bin</t>
  </si>
  <si>
    <t>-894.86341632429 140.120121554912 -64.1274281238791</t>
  </si>
  <si>
    <t>-928.996905748846 136.28623985339 -174.745871964621</t>
  </si>
  <si>
    <t>-941.561117847524 137.521640651035 -272.558195428116</t>
  </si>
  <si>
    <t>-946.655729435539 140.145624896481 -361.470558321866</t>
  </si>
  <si>
    <t>-945.075638190614 144.083109806001 -450.466289566358</t>
  </si>
  <si>
    <t>-935.841213054732 150.77941777804 -574.52560376171</t>
  </si>
  <si>
    <t>-907.404730039279 157.139033153218 -652.345495811812</t>
  </si>
  <si>
    <t>-937.80383363203 175.413106801967 -518.288133901522</t>
  </si>
  <si>
    <t>-925.466143831026 309.82574888237 -492.245041493684</t>
  </si>
  <si>
    <t>-891.759106214902 315.032404000389 -199.964391276315</t>
  </si>
  <si>
    <t>-651.495818188994 326.432048953111 -213.910559692574</t>
  </si>
  <si>
    <t>-942.005588724156 120.25229165986 -521.578353820034</t>
  </si>
  <si>
    <t>-901.592160650864 235.754294187123 -66.4047236712155</t>
  </si>
  <si>
    <t>-912.359281898732 267.207250430818 335.776171508649</t>
  </si>
  <si>
    <t>-958.2204757205 296.164912567359 780.434525888754</t>
  </si>
  <si>
    <t>-817.185494498089 335.259251106228 840.999168527988</t>
  </si>
  <si>
    <t>-888.469148973081 44.3064676113877 -63.8711900508899</t>
  </si>
  <si>
    <t>-863.067788945031 30.9307496383472 338.658975666622</t>
  </si>
  <si>
    <t>-895.909464860907 44.3485474248641 785.099041617915</t>
  </si>
  <si>
    <t>-800.308213498241 -59.5807926129498 856.837466682966</t>
  </si>
  <si>
    <t>9763-20170724T111242.713973000.bin</t>
  </si>
  <si>
    <t>-894.72812483918 140.172061922691 -64.1573710294955</t>
  </si>
  <si>
    <t>-928.948832408797 136.336016244838 -174.748766917632</t>
  </si>
  <si>
    <t>-941.701141237766 137.580125687369 -272.53676978232</t>
  </si>
  <si>
    <t>-947.010935310938 140.218125480303 -361.436091121821</t>
  </si>
  <si>
    <t>-945.690826581653 144.176174690511 -450.435091525576</t>
  </si>
  <si>
    <t>-936.864312534856 150.909316692913 -574.521982185213</t>
  </si>
  <si>
    <t>-908.483515730024 157.215824660131 -652.366611437688</t>
  </si>
  <si>
    <t>-938.598183526067 175.522574605658 -518.268303488873</t>
  </si>
  <si>
    <t>-925.979226328095 309.920393895168 -492.279517888899</t>
  </si>
  <si>
    <t>-890.200756801282 314.693622108533 -200.237830407649</t>
  </si>
  <si>
    <t>-649.86641288713 326.69957761728 -212.324947012141</t>
  </si>
  <si>
    <t>-942.898554032186 120.370046019966 -521.566764862601</t>
  </si>
  <si>
    <t>-901.37315653694 235.838363847083 -66.4424691191018</t>
  </si>
  <si>
    <t>-912.123471882782 267.277185659178 335.739955500354</t>
  </si>
  <si>
    <t>-958.297014840752 296.283453037295 780.374552297999</t>
  </si>
  <si>
    <t>-817.193328784254 335.125642149301 840.941432024376</t>
  </si>
  <si>
    <t>-888.446587356711 44.3354371214964 -63.8701198149101</t>
  </si>
  <si>
    <t>-863.09585895598 30.9045058963725 338.661330256876</t>
  </si>
  <si>
    <t>-895.99030870223 44.217143200523 785.09936239956</t>
  </si>
  <si>
    <t>-800.227570152409 -59.5609332950783 856.840843868037</t>
  </si>
  <si>
    <t>9763-20170724T111242.779149800.bin</t>
  </si>
  <si>
    <t>-894.600272324545 140.13682750013 -64.1714248522097</t>
  </si>
  <si>
    <t>-928.945176565062 136.280767897014 -174.723598420767</t>
  </si>
  <si>
    <t>-941.908190900679 137.517503814679 -272.484020999086</t>
  </si>
  <si>
    <t>-947.449754460891 140.153023991451 -361.369318510104</t>
  </si>
  <si>
    <t>-946.400459323109 144.111717359295 -450.371822944333</t>
  </si>
  <si>
    <t>-937.993480982899 150.849300044561 -574.487781067805</t>
  </si>
  <si>
    <t>-909.574736346144 157.157603418381 -652.318385315331</t>
  </si>
  <si>
    <t>-939.480734661615 175.455898851615 -518.223985691619</t>
  </si>
  <si>
    <t>-926.410334072505 309.839698245995 -492.388330551501</t>
  </si>
  <si>
    <t>-888.44810870242 315.185854165614 -200.632303009777</t>
  </si>
  <si>
    <t>-648.444568902449 327.195966994624 -218.094196198594</t>
  </si>
  <si>
    <t>-943.90519083924 120.312714191585 -521.516995317704</t>
  </si>
  <si>
    <t>-901.139670879954 235.74733646085 -66.4944678040606</t>
  </si>
  <si>
    <t>-911.941681909279 267.271048674104 335.679871234641</t>
  </si>
  <si>
    <t>-958.250466561649 296.207402607095 780.302901641403</t>
  </si>
  <si>
    <t>-817.219960817262 335.325101660034 840.862107592204</t>
  </si>
  <si>
    <t>-888.35991331646 44.3487041746948 -63.8573443855979</t>
  </si>
  <si>
    <t>-862.991858730984 30.8562131009689 338.670971099729</t>
  </si>
  <si>
    <t>-895.95275948344 44.2664649949875 785.091279404075</t>
  </si>
  <si>
    <t>-800.227383264798 -59.5382568920713 856.845003004003</t>
  </si>
  <si>
    <t>9763-20170724T111242.812738300.bin</t>
  </si>
  <si>
    <t>-894.570200935628 140.051433089825 -64.1700244117618</t>
  </si>
  <si>
    <t>-928.986566483516 136.200225982625 -174.700148238768</t>
  </si>
  <si>
    <t>-942.035288327121 137.437774848131 -272.449043149188</t>
  </si>
  <si>
    <t>-947.663637136505 140.072693005915 -361.328972030007</t>
  </si>
  <si>
    <t>-946.710108426372 144.029033347142 -450.332715589518</t>
  </si>
  <si>
    <t>-938.445913242196 150.760816899656 -574.458449047627</t>
  </si>
  <si>
    <t>-909.971479940474 157.08631107154 -652.26734917201</t>
  </si>
  <si>
    <t>-939.841989700848 175.367790752437 -518.19259499521</t>
  </si>
  <si>
    <t>-926.535378454444 309.747384444655 -492.410175817725</t>
  </si>
  <si>
    <t>-888.128478824124 315.163296759241 -200.71366388444</t>
  </si>
  <si>
    <t>-648.423919827594 327.623138170404 -221.627340005616</t>
  </si>
  <si>
    <t>-944.323067126244 120.228970759559 -521.481289062617</t>
  </si>
  <si>
    <t>-901.085598345162 235.694662411591 -66.5196297556569</t>
  </si>
  <si>
    <t>-911.855866012474 267.221392042516 335.655359146917</t>
  </si>
  <si>
    <t>-958.248583115055 296.202613112578 780.269811111873</t>
  </si>
  <si>
    <t>-817.257347671771 335.466466752791 840.826466219637</t>
  </si>
  <si>
    <t>-888.367015938241 44.2306264061535 -63.8571460116124</t>
  </si>
  <si>
    <t>-862.996291219037 30.8206550340979 338.673887840595</t>
  </si>
  <si>
    <t>-895.996384165703 44.20123914755 785.097175686604</t>
  </si>
  <si>
    <t>-800.261977495005 -59.5944135579591 856.851679607077</t>
  </si>
  <si>
    <t>9763-20170724T111242.877912200.bin</t>
  </si>
  <si>
    <t>-894.710404446176 140.075698732044 -64.192658677183</t>
  </si>
  <si>
    <t>-929.250928022778 136.264551558832 -174.685394613661</t>
  </si>
  <si>
    <t>-942.458461876728 137.532135579533 -272.412734644641</t>
  </si>
  <si>
    <t>-948.251124792346 140.194408622656 -361.281114175214</t>
  </si>
  <si>
    <t>-947.483092402311 144.178877605153 -450.285416136236</t>
  </si>
  <si>
    <t>-939.498305412318 150.952299616932 -574.427205641793</t>
  </si>
  <si>
    <t>-910.900797504177 157.355424085108 -652.18450973625</t>
  </si>
  <si>
    <t>-940.760687961339 175.539763602931 -518.149663356219</t>
  </si>
  <si>
    <t>-927.214427350639 309.904665338413 -492.441115102735</t>
  </si>
  <si>
    <t>-888.297864302598 315.630661074005 -200.818243449258</t>
  </si>
  <si>
    <t>-649.737256048887 329.566203485296 -231.567098759363</t>
  </si>
  <si>
    <t>-945.263405783075 120.403561500711 -521.44756183693</t>
  </si>
  <si>
    <t>-901.221806716527 235.783800343234 -66.542826575706</t>
  </si>
  <si>
    <t>-911.932677776038 267.277046795672 335.636402412612</t>
  </si>
  <si>
    <t>-958.331427622678 296.356770048363 780.223789019024</t>
  </si>
  <si>
    <t>-817.138225620047 334.870354712229 840.791631998446</t>
  </si>
  <si>
    <t>-888.544332220711 44.2585089489658 -63.8771666780445</t>
  </si>
  <si>
    <t>-863.123662007116 30.9189212473111 338.652908448097</t>
  </si>
  <si>
    <t>-895.923737394671 44.3387884317585 785.090149171542</t>
  </si>
  <si>
    <t>-800.310229492312 -59.5636439204816 856.851226595104</t>
  </si>
  <si>
    <t>9763-20170724T111242.915677500.bin</t>
  </si>
  <si>
    <t>-894.872067020084 140.055469327143 -64.2103412680467</t>
  </si>
  <si>
    <t>-929.459627174859 136.255381456737 -174.688752409089</t>
  </si>
  <si>
    <t>-942.724952458155 137.526690487362 -272.408054942137</t>
  </si>
  <si>
    <t>-948.576416359195 140.191321210411 -361.272604659413</t>
  </si>
  <si>
    <t>-947.874241528313 144.17774115148 -450.277463188046</t>
  </si>
  <si>
    <t>-939.988505668094 150.954397205918 -574.42540068229</t>
  </si>
  <si>
    <t>-911.245866761721 157.410569483967 -652.124803737682</t>
  </si>
  <si>
    <t>-941.217011657125 175.541491185086 -518.146711652931</t>
  </si>
  <si>
    <t>-927.6061965488 309.905227343303 -492.480099515833</t>
  </si>
  <si>
    <t>-888.341261857119 315.902133596376 -200.909247628596</t>
  </si>
  <si>
    <t>-650.519594411542 330.765391337862 -236.558915268489</t>
  </si>
  <si>
    <t>-945.700418930962 120.403353330372 -521.441205657787</t>
  </si>
  <si>
    <t>-901.344016538716 235.741271433779 -66.547109258363</t>
  </si>
  <si>
    <t>-912.062215552714 267.227396914486 335.632427444293</t>
  </si>
  <si>
    <t>-958.3358366813 296.373942921825 780.216719891471</t>
  </si>
  <si>
    <t>-817.190591873345 335.067182942495 840.782053284264</t>
  </si>
  <si>
    <t>-888.751847836456 44.2234367026495 -63.8854927434595</t>
  </si>
  <si>
    <t>-863.243660426533 30.8771293549448 338.638878189783</t>
  </si>
  <si>
    <t>-896.006241519433 44.2263155740325 785.09460178674</t>
  </si>
  <si>
    <t>-800.104339562783 -59.4221300284303 856.837985093485</t>
  </si>
  <si>
    <t>9763-20170724T111242.982846200.bin</t>
  </si>
  <si>
    <t>-895.186831440241 140.041420243479 -64.214394476475</t>
  </si>
  <si>
    <t>-929.831420730515 136.244637009533 -174.675132182223</t>
  </si>
  <si>
    <t>-943.183021672462 137.511048699328 -272.382869975207</t>
  </si>
  <si>
    <t>-949.128568327903 140.170545603224 -361.241196713508</t>
  </si>
  <si>
    <t>-948.536248515599 144.153557876441 -450.24702069336</t>
  </si>
  <si>
    <t>-940.820227554339 150.927907447419 -574.405710441087</t>
  </si>
  <si>
    <t>-911.669495486076 157.521344907754 -651.9414073882</t>
  </si>
  <si>
    <t>-941.998357517175 175.518112884854 -518.12739145851</t>
  </si>
  <si>
    <t>-928.309853848152 309.903293569911 -492.613567198848</t>
  </si>
  <si>
    <t>-888.531344741008 316.66480384861 -201.129054275106</t>
  </si>
  <si>
    <t>-652.19790054962 333.658490258041 -244.815804802177</t>
  </si>
  <si>
    <t>-946.433024684783 120.375564540386 -521.411751502371</t>
  </si>
  <si>
    <t>-901.644660513868 235.692332380032 -66.5685814876634</t>
  </si>
  <si>
    <t>-912.351120653068 267.238531870139 335.606573776886</t>
  </si>
  <si>
    <t>-958.321490001836 296.39400902328 780.203831334837</t>
  </si>
  <si>
    <t>-817.174819643816 335.072546670614 840.775046439016</t>
  </si>
  <si>
    <t>-889.030166629927 44.2309836092259 -63.9144999876994</t>
  </si>
  <si>
    <t>-863.436577533023 31.0030813655544 338.608394791203</t>
  </si>
  <si>
    <t>-895.980472339512 44.284302609185 785.082686899121</t>
  </si>
  <si>
    <t>-800.234155692918 -59.4969265214356 856.842165058749</t>
  </si>
  <si>
    <t>9763-20170724T111243.015548600.bin</t>
  </si>
  <si>
    <t>-895.318754482567 139.909029734725 -64.2191985644188</t>
  </si>
  <si>
    <t>-929.983292787403 136.092078792558 -174.672943258924</t>
  </si>
  <si>
    <t>-943.375476367424 137.341175549022 -272.375297044715</t>
  </si>
  <si>
    <t>-949.367550209308 139.986198519405 -361.23103376146</t>
  </si>
  <si>
    <t>-948.831187015923 143.957291771015 -450.237666037829</t>
  </si>
  <si>
    <t>-941.203775517771 150.718992837976 -574.402603085125</t>
  </si>
  <si>
    <t>-911.838901538598 157.378601635615 -651.851730221787</t>
  </si>
  <si>
    <t>-942.364778167581 175.31699433807 -518.127272153223</t>
  </si>
  <si>
    <t>-928.739911463469 309.723748791711 -492.681394184214</t>
  </si>
  <si>
    <t>-888.777506329968 316.746976601186 -201.228389862266</t>
  </si>
  <si>
    <t>-652.922398490763 334.233992160931 -247.244373882161</t>
  </si>
  <si>
    <t>-946.755571046094 120.170060766203 -521.400229198665</t>
  </si>
  <si>
    <t>-901.772994471857 235.507795999471 -66.5824401182015</t>
  </si>
  <si>
    <t>-912.350910514387 267.115128624933 335.591312896086</t>
  </si>
  <si>
    <t>-958.137382570155 296.122623188998 780.197944778907</t>
  </si>
  <si>
    <t>-817.108638424975 335.228787989359 840.768543619438</t>
  </si>
  <si>
    <t>-889.169881731308 44.1239008078446 -63.9194663469821</t>
  </si>
  <si>
    <t>-863.513882797535 30.9758149279464 338.602048260336</t>
  </si>
  <si>
    <t>-895.99538947843 44.2626266650987 785.075413707026</t>
  </si>
  <si>
    <t>-800.151038005207 -59.4253537673337 856.838557739263</t>
  </si>
  <si>
    <t>9763-20170724T111243.079720000.bin</t>
  </si>
  <si>
    <t>-895.658320424996 139.888349010173 -64.2409169705707</t>
  </si>
  <si>
    <t>-930.354397215731 135.979777838608 -174.681548487793</t>
  </si>
  <si>
    <t>-943.802675840753 137.176079383387 -272.376865710349</t>
  </si>
  <si>
    <t>-949.857170772959 139.784900147996 -361.229415322785</t>
  </si>
  <si>
    <t>-949.393590872501 143.733080563075 -450.237465720652</t>
  </si>
  <si>
    <t>-941.879576295076 150.477788600616 -574.410243677248</t>
  </si>
  <si>
    <t>-912.085393295029 157.247813399332 -651.685609556409</t>
  </si>
  <si>
    <t>-943.05591697836 175.088914822207 -518.14105062011</t>
  </si>
  <si>
    <t>-929.681377574381 309.538723401468 -492.795118242308</t>
  </si>
  <si>
    <t>-889.785940179326 316.819965264813 -201.339108267424</t>
  </si>
  <si>
    <t>-654.543885879158 335.128413600678 -250.092536521355</t>
  </si>
  <si>
    <t>-947.316621247908 119.930644755495 -521.394817752432</t>
  </si>
  <si>
    <t>-902.252859465798 235.500735678468 -66.634837896403</t>
  </si>
  <si>
    <t>-912.589774248858 267.198845896261 335.53805234852</t>
  </si>
  <si>
    <t>-958.19770135259 296.262344926828 780.17174713984</t>
  </si>
  <si>
    <t>-817.113133954008 335.139663670257 840.760135937937</t>
  </si>
  <si>
    <t>-889.367907068261 44.1203771405881 -63.92895528718</t>
  </si>
  <si>
    <t>-863.619479103188 31.0266105611695 338.58849229162</t>
  </si>
  <si>
    <t>-896.007906821519 44.2383470574555 785.066883137053</t>
  </si>
  <si>
    <t>-800.189830204684 -59.4676301294269 856.839654755494</t>
  </si>
  <si>
    <t>9763-20170724T111243.115830100.bin</t>
  </si>
  <si>
    <t>-895.757224273923 139.796802722246 -64.2614340370204</t>
  </si>
  <si>
    <t>-930.454488867902 135.841163563386 -174.699958657444</t>
  </si>
  <si>
    <t>-943.924733926967 137.003387927472 -272.39257678886</t>
  </si>
  <si>
    <t>-950.006992103358 139.584548026535 -361.244091932753</t>
  </si>
  <si>
    <t>-949.580131754157 143.509568188437 -450.253470575849</t>
  </si>
  <si>
    <t>-942.125471096484 150.226870219172 -574.431202931448</t>
  </si>
  <si>
    <t>-912.146558479148 157.013807492576 -651.633652295011</t>
  </si>
  <si>
    <t>-943.312775157841 174.853369194526 -518.168844214429</t>
  </si>
  <si>
    <t>-930.097812501763 309.330675685894 -492.877509338835</t>
  </si>
  <si>
    <t>-890.291924724449 316.844274931471 -201.415245590926</t>
  </si>
  <si>
    <t>-655.120835752382 335.068140196178 -250.5404472508</t>
  </si>
  <si>
    <t>-947.498929016372 119.688366933255 -521.404281178044</t>
  </si>
  <si>
    <t>-902.397998495132 235.360050845053 -66.6582823253882</t>
  </si>
  <si>
    <t>-912.748337547022 267.160124892212 335.506295505226</t>
  </si>
  <si>
    <t>-958.14764494708 296.200082680527 780.158169712105</t>
  </si>
  <si>
    <t>-817.167670220715 335.456588079467 840.745878064968</t>
  </si>
  <si>
    <t>-889.411981854833 44.055062932634 -63.9366337737465</t>
  </si>
  <si>
    <t>-863.675650548217 31.0018150111096 338.582813146848</t>
  </si>
  <si>
    <t>-896.034684216048 44.1876339804835 785.063230309521</t>
  </si>
  <si>
    <t>-800.130260702619 -59.4394437487135 856.833744720258</t>
  </si>
  <si>
    <t>9763-20170724T111243.177994400.bin</t>
  </si>
  <si>
    <t>-895.974903190077 139.585763757298 -64.3145315148561</t>
  </si>
  <si>
    <t>-930.641334795113 135.525187252338 -174.758902633895</t>
  </si>
  <si>
    <t>-944.12192118103 136.610645276873 -272.45111809556</t>
  </si>
  <si>
    <t>-950.228917999244 139.128352493935 -361.302663408495</t>
  </si>
  <si>
    <t>-949.841591395141 142.997448118819 -450.314549193228</t>
  </si>
  <si>
    <t>-942.457849533013 149.646190590835 -574.500225715232</t>
  </si>
  <si>
    <t>-912.16432662109 156.426801361426 -651.580458615813</t>
  </si>
  <si>
    <t>-943.695004479993 174.310255984813 -518.255491518873</t>
  </si>
  <si>
    <t>-930.857083610712 308.831971322776 -493.024397233252</t>
  </si>
  <si>
    <t>-891.212549971546 316.652972170647 -201.548238353286</t>
  </si>
  <si>
    <t>-656.047983987058 335.282855442627 -250.552512219444</t>
  </si>
  <si>
    <t>-947.719219155278 119.130791792077 -521.448949882537</t>
  </si>
  <si>
    <t>-902.848630074658 235.146916946863 -66.7273805876823</t>
  </si>
  <si>
    <t>-913.125109943743 267.090119135901 335.427701274257</t>
  </si>
  <si>
    <t>-958.101091742473 296.166511242663 780.12251040504</t>
  </si>
  <si>
    <t>-817.129316950664 335.429402087434 840.725341411136</t>
  </si>
  <si>
    <t>-889.423862022305 43.8596634173136 -63.9670643262192</t>
  </si>
  <si>
    <t>-863.712812504152 30.9886495248848 338.559874663231</t>
  </si>
  <si>
    <t>-896.009708360253 44.1979887350062 785.052185226033</t>
  </si>
  <si>
    <t>-800.207258316475 -59.5135895689743 856.837172367211</t>
  </si>
  <si>
    <t>9763-20170724T111243.212090400.bin</t>
  </si>
  <si>
    <t>-896.045057254024 139.430171247531 -64.3340620265003</t>
  </si>
  <si>
    <t>-930.687323036693 135.320903447387 -174.784320136493</t>
  </si>
  <si>
    <t>-944.12987941228 136.368581280447 -272.482073771842</t>
  </si>
  <si>
    <t>-950.195615232421 138.853268353897 -361.337431461893</t>
  </si>
  <si>
    <t>-949.76083398766 142.691505763544 -450.350466474578</t>
  </si>
  <si>
    <t>-942.303642547941 149.300656367092 -574.533955366048</t>
  </si>
  <si>
    <t>-911.858022474705 156.07797089155 -651.554299891841</t>
  </si>
  <si>
    <t>-943.62567516269 173.98628593234 -518.300710414811</t>
  </si>
  <si>
    <t>-931.04681512614 308.538624910409 -493.082937557699</t>
  </si>
  <si>
    <t>-891.58324095895 316.587117407988 -201.588414991286</t>
  </si>
  <si>
    <t>-656.292642192285 335.349835384695 -249.932248965962</t>
  </si>
  <si>
    <t>-947.54500301687 118.798151288011 -521.473063706024</t>
  </si>
  <si>
    <t>-903.025903973841 234.986823226599 -66.750999957813</t>
  </si>
  <si>
    <t>-913.30238777015 267.056382694775 335.39397196501</t>
  </si>
  <si>
    <t>-958.140745868683 296.252641421311 780.095921530516</t>
  </si>
  <si>
    <t>-817.108229615818 335.266832661639 840.717290579055</t>
  </si>
  <si>
    <t>-889.367833182254 43.6947544755476 -63.9880274703615</t>
  </si>
  <si>
    <t>-863.679100886621 30.9404561711704 338.544050741726</t>
  </si>
  <si>
    <t>-895.987633437788 44.2163466273814 785.040626136371</t>
  </si>
  <si>
    <t>-800.2188278013 -59.523705458646 856.829459902688</t>
  </si>
  <si>
    <t>9763-20170724T111243.281274300.bin</t>
  </si>
  <si>
    <t>-896.131148477068 138.974727791743 -64.3772383707973</t>
  </si>
  <si>
    <t>-930.67841577127 134.755597031515 -174.853058922685</t>
  </si>
  <si>
    <t>-943.959614684837 135.7130649972 -272.573797551152</t>
  </si>
  <si>
    <t>-949.848445676775 138.117787866591 -361.443281305478</t>
  </si>
  <si>
    <t>-949.205272095543 141.880159578456 -450.458324941218</t>
  </si>
  <si>
    <t>-941.426122597109 148.387466421182 -574.627363193848</t>
  </si>
  <si>
    <t>-910.733093525979 155.200343175498 -651.54640264412</t>
  </si>
  <si>
    <t>-943.014453584232 173.127993313649 -518.425129072334</t>
  </si>
  <si>
    <t>-931.101937928331 307.744190837237 -493.225462477725</t>
  </si>
  <si>
    <t>-892.435992389463 316.731215148782 -201.651449914733</t>
  </si>
  <si>
    <t>-656.658829889407 334.559114314219 -247.935354999831</t>
  </si>
  <si>
    <t>-946.684274967075 117.919891130427 -521.548288141338</t>
  </si>
  <si>
    <t>-903.28880063899 234.51698238362 -66.7971769404637</t>
  </si>
  <si>
    <t>-913.5715680744 266.87072667046 335.32494905746</t>
  </si>
  <si>
    <t>-958.134646314213 296.294079379722 780.028085164488</t>
  </si>
  <si>
    <t>-817.139989602546 335.398529361612 840.680508804754</t>
  </si>
  <si>
    <t>-889.283213706282 43.2933965373131 -64.0127089914917</t>
  </si>
  <si>
    <t>-863.672136146835 30.6999489514237 338.529396615454</t>
  </si>
  <si>
    <t>-895.981024106914 44.2195417817857 785.037804839137</t>
  </si>
  <si>
    <t>-800.086373500344 -59.4134414052805 856.812752883388</t>
  </si>
  <si>
    <t>9763-20170724T111243.315970100.bin</t>
  </si>
  <si>
    <t>-896.175411109495 138.779126842084 -64.4064103011192</t>
  </si>
  <si>
    <t>-930.681379245687 134.505054267489 -174.893145729655</t>
  </si>
  <si>
    <t>-943.886466114214 135.424273122664 -272.624529381006</t>
  </si>
  <si>
    <t>-949.690083748798 137.796958520002 -361.500484936358</t>
  </si>
  <si>
    <t>-948.946389980915 141.531104076207 -450.515908310548</t>
  </si>
  <si>
    <t>-941.009951524286 148.003096908895 -574.676751514462</t>
  </si>
  <si>
    <t>-910.209753002653 154.837306103058 -651.551184039096</t>
  </si>
  <si>
    <t>-942.737305895935 172.764353193652 -518.487759708582</t>
  </si>
  <si>
    <t>-931.199377048233 307.400479015101 -493.258140892171</t>
  </si>
  <si>
    <t>-892.911234006622 317.050229239728 -201.655582835469</t>
  </si>
  <si>
    <t>-656.676929522327 332.673303309736 -246.37803790146</t>
  </si>
  <si>
    <t>-946.267352372862 117.546043613389 -521.591728347962</t>
  </si>
  <si>
    <t>-903.465154409452 234.302491099677 -66.8144299796407</t>
  </si>
  <si>
    <t>-913.745945068929 266.777742100666 335.297879643793</t>
  </si>
  <si>
    <t>-958.139398622425 296.323771142198 780.00226542593</t>
  </si>
  <si>
    <t>-817.147343541064 335.411739578617 840.670517968983</t>
  </si>
  <si>
    <t>-889.210228712053 43.1052039932179 -64.0296642433606</t>
  </si>
  <si>
    <t>-863.691900833285 30.6199599232023 338.52165455254</t>
  </si>
  <si>
    <t>-895.960362788109 44.2400455427128 785.036589975804</t>
  </si>
  <si>
    <t>-800.103785311409 -59.4295921256082 856.809960317629</t>
  </si>
  <si>
    <t>9763-20170724T111243.382140100.bin</t>
  </si>
  <si>
    <t>-896.336530826081 138.338496143261 -64.4394458913075</t>
  </si>
  <si>
    <t>-930.776509918602 133.946039808701 -174.942030497829</t>
  </si>
  <si>
    <t>-943.881957326698 134.795750767867 -272.687539254828</t>
  </si>
  <si>
    <t>-949.577580697518 137.116795845331 -361.571750257686</t>
  </si>
  <si>
    <t>-948.708303540584 140.813120832383 -450.587584014122</t>
  </si>
  <si>
    <t>-940.578401088259 147.247514296091 -574.738019351635</t>
  </si>
  <si>
    <t>-909.560067324491 154.103169823578 -651.522608324749</t>
  </si>
  <si>
    <t>-942.522787087211 172.03412392314 -518.567232172828</t>
  </si>
  <si>
    <t>-931.558956352802 306.694306068419 -493.197547410356</t>
  </si>
  <si>
    <t>-893.735635395874 316.793252298181 -201.549515582007</t>
  </si>
  <si>
    <t>-656.819684678887 328.182272721912 -243.881614214622</t>
  </si>
  <si>
    <t>-945.789104141651 116.79788342884 -521.643812815298</t>
  </si>
  <si>
    <t>-903.906198433939 233.818300868614 -66.8446238028639</t>
  </si>
  <si>
    <t>-914.267326395469 266.503434529579 335.24869157834</t>
  </si>
  <si>
    <t>-958.131531410823 296.336630438509 779.963189537241</t>
  </si>
  <si>
    <t>-817.170027099022 335.505944003417 840.650368678887</t>
  </si>
  <si>
    <t>-889.135115037064 42.6964796780721 -64.0749711192556</t>
  </si>
  <si>
    <t>-863.862099705075 30.4418905811617 338.498959874932</t>
  </si>
  <si>
    <t>-896.0028183761 44.1543824086457 785.03541491258</t>
  </si>
  <si>
    <t>-799.997680135333 -59.3888962750486 856.792644059885</t>
  </si>
  <si>
    <t>9763-20170724T111243.414830200.bin</t>
  </si>
  <si>
    <t>-896.406510239296 138.129277341891 -64.4628049783724</t>
  </si>
  <si>
    <t>-930.8213369452 133.658246251037 -174.970092803055</t>
  </si>
  <si>
    <t>-943.904907823519 134.477241121424 -272.718670661731</t>
  </si>
  <si>
    <t>-949.580124102537 136.784438315281 -361.604722855469</t>
  </si>
  <si>
    <t>-948.689631335046 140.481740885029 -450.620344353565</t>
  </si>
  <si>
    <t>-940.528785563918 146.932546850552 -574.767863070906</t>
  </si>
  <si>
    <t>-909.39664403945 153.79666452661 -651.505807986662</t>
  </si>
  <si>
    <t>-942.545513721641 171.715237679671 -518.597873483839</t>
  </si>
  <si>
    <t>-931.821729028791 306.372941636843 -493.128959818975</t>
  </si>
  <si>
    <t>-893.802390834597 316.2998114434 -201.500559734725</t>
  </si>
  <si>
    <t>-656.781405144576 326.141059979024 -243.632255468715</t>
  </si>
  <si>
    <t>-945.694429190203 116.472526872375 -521.675343944941</t>
  </si>
  <si>
    <t>-904.10306104528 233.556699627905 -66.8725337232448</t>
  </si>
  <si>
    <t>-914.493042832438 266.35705174371 335.210668826837</t>
  </si>
  <si>
    <t>-958.109618615426 296.327710138972 779.93214214227</t>
  </si>
  <si>
    <t>-817.225088958291 335.752150502019 840.632958759741</t>
  </si>
  <si>
    <t>-889.068844522747 42.5324740509109 -64.0932596557923</t>
  </si>
  <si>
    <t>-863.905362900275 30.358053560064 338.489994675825</t>
  </si>
  <si>
    <t>-895.981710191439 44.1735671247998 785.036889348289</t>
  </si>
  <si>
    <t>-799.976645235806 -59.3736550044011 856.788856626207</t>
  </si>
  <si>
    <t>9763-20170724T111243.479975200.bin</t>
  </si>
  <si>
    <t>-896.468464817763 137.69993041313 -64.5231620694859</t>
  </si>
  <si>
    <t>-930.842646741162 133.062257094178 -175.036049247664</t>
  </si>
  <si>
    <t>-943.885742368022 133.801735335554 -272.790820199435</t>
  </si>
  <si>
    <t>-949.520202909649 136.060991891709 -361.680669416557</t>
  </si>
  <si>
    <t>-948.584893140944 139.735203385585 -450.69668232183</t>
  </si>
  <si>
    <t>-940.356276865967 146.179919585245 -574.840067023568</t>
  </si>
  <si>
    <t>-908.956792669356 153.045459208637 -651.468628180876</t>
  </si>
  <si>
    <t>-942.509130610056 170.971636078662 -518.679103316337</t>
  </si>
  <si>
    <t>-932.235158478267 305.649343843281 -493.100758749927</t>
  </si>
  <si>
    <t>-893.265989919487 315.780064565108 -201.604604033851</t>
  </si>
  <si>
    <t>-656.121597790391 323.478895327244 -243.487811472442</t>
  </si>
  <si>
    <t>-945.445762215134 115.716325314875 -521.742302205924</t>
  </si>
  <si>
    <t>-904.401523658583 233.091119806109 -66.9535543157951</t>
  </si>
  <si>
    <t>-914.870126251886 266.184920072967 335.103483477507</t>
  </si>
  <si>
    <t>-958.10830769611 296.352075597957 779.859979725034</t>
  </si>
  <si>
    <t>-817.246584106982 335.811266553048 840.590858741975</t>
  </si>
  <si>
    <t>-888.858401720363 42.1433514917057 -64.1134728612581</t>
  </si>
  <si>
    <t>-863.856767623685 30.1258384927687 338.484557568906</t>
  </si>
  <si>
    <t>-895.957608585257 44.1680815809168 785.03998398126</t>
  </si>
  <si>
    <t>-799.930426971122 -59.3656631942031 856.781542668463</t>
  </si>
  <si>
    <t>9763-20170724T111243.606975200.bin</t>
  </si>
  <si>
    <t>-896.476974323715 137.516688563567 -64.5325033126695</t>
  </si>
  <si>
    <t>-930.827720339599 132.800259058051 -175.049479486649</t>
  </si>
  <si>
    <t>-943.842355368039 133.489200679453 -272.808287552498</t>
  </si>
  <si>
    <t>-949.44825134756 135.708377892939 -361.70084444657</t>
  </si>
  <si>
    <t>-948.480023085113 139.348748893693 -450.718036752635</t>
  </si>
  <si>
    <t>-940.202395184461 145.752825231529 -574.860187034823</t>
  </si>
  <si>
    <t>-908.67493008944 152.607397524445 -651.437359997701</t>
  </si>
  <si>
    <t>-942.42302972119 170.565385647344 -518.711170215857</t>
  </si>
  <si>
    <t>-932.338715167265 305.266603432626 -493.164159909962</t>
  </si>
  <si>
    <t>-892.81989622062 315.763212520654 -201.755034800022</t>
  </si>
  <si>
    <t>-655.731693388014 322.991871733093 -244.037895419847</t>
  </si>
  <si>
    <t>-945.26697117856 115.304126088791 -521.751682481067</t>
  </si>
  <si>
    <t>-904.551670679456 232.912666034148 -66.9850042264496</t>
  </si>
  <si>
    <t>-915.014015011867 266.134161250572 335.061672155888</t>
  </si>
  <si>
    <t>-958.155072277802 296.423936722093 779.824556788305</t>
  </si>
  <si>
    <t>-817.219361694 335.593290635156 840.57145692433</t>
  </si>
  <si>
    <t>-888.737924314912 41.961311437386 -64.1155600832549</t>
  </si>
  <si>
    <t>-863.838642121283 30.036993855012 338.49153017397</t>
  </si>
  <si>
    <t>-895.917197317092 44.206885968832 785.038930421946</t>
  </si>
  <si>
    <t>-799.897738303875 -59.336629546402 856.776784140354</t>
  </si>
  <si>
    <t>9763-20170724T111243.617969800.bin</t>
  </si>
  <si>
    <t>-896.350744982343 136.905837385751 -64.5602445575518</t>
  </si>
  <si>
    <t>-930.627286296627 131.98791960026 -175.091389311019</t>
  </si>
  <si>
    <t>-943.610343416039 132.45625879504 -272.855934250763</t>
  </si>
  <si>
    <t>-949.201553119683 134.455390325046 -361.754506642669</t>
  </si>
  <si>
    <t>-948.233652484986 137.856733838874 -450.781124957645</t>
  </si>
  <si>
    <t>-939.971448528354 143.907908623988 -574.942100669637</t>
  </si>
  <si>
    <t>-908.191019424066 150.546231218572 -651.433763624919</t>
  </si>
  <si>
    <t>-942.268992757196 168.884746686298 -518.868815140772</t>
  </si>
  <si>
    <t>-932.611970738585 303.656645015553 -493.551007062494</t>
  </si>
  <si>
    <t>-892.474861130649 315.75132324833 -202.288270123655</t>
  </si>
  <si>
    <t>-655.20154016604 321.342538362172 -243.773015917212</t>
  </si>
  <si>
    <t>-944.945500785028 113.605741218052 -521.741125301128</t>
  </si>
  <si>
    <t>-904.603423560603 232.20511683985 -67.0713653573052</t>
  </si>
  <si>
    <t>-915.065439812799 265.756404421148 334.948005069998</t>
  </si>
  <si>
    <t>-958.073748205118 296.248722687497 779.699611348304</t>
  </si>
  <si>
    <t>-817.258236597512 335.828385975256 840.459302786716</t>
  </si>
  <si>
    <t>-888.457917140549 41.4113403307797 -64.0775242242729</t>
  </si>
  <si>
    <t>-863.769077820297 29.6333413691382 338.546909576792</t>
  </si>
  <si>
    <t>-895.952046078331 44.0682497075672 785.079316347628</t>
  </si>
  <si>
    <t>-799.682302410097 -59.2659372154005 856.78357443441</t>
  </si>
  <si>
    <t>9763-20170724T111243.680134800.bin</t>
  </si>
  <si>
    <t>-896.243294600556 136.820886608266 -64.5812299274209</t>
  </si>
  <si>
    <t>-930.477366217612 131.794967147188 -175.120874429897</t>
  </si>
  <si>
    <t>-943.47198235973 132.13710933271 -272.884133982453</t>
  </si>
  <si>
    <t>-949.093642784319 134.00841223983 -361.783653380969</t>
  </si>
  <si>
    <t>-948.176963329847 137.269729116246 -450.816182027626</t>
  </si>
  <si>
    <t>-940.007771743808 143.112199909988 -574.993248964325</t>
  </si>
  <si>
    <t>-908.126124755235 149.527155014681 -651.461858489917</t>
  </si>
  <si>
    <t>-942.290287171222 168.184550110484 -518.962040392848</t>
  </si>
  <si>
    <t>-932.769873003939 302.988877382304 -493.792732646183</t>
  </si>
  <si>
    <t>-892.999440608954 315.596941883375 -202.501614321163</t>
  </si>
  <si>
    <t>-655.433943903666 319.18475103421 -242.51044493081</t>
  </si>
  <si>
    <t>-944.914980263368 112.898259603765 -521.735916882392</t>
  </si>
  <si>
    <t>-904.613526934116 232.076447580389 -67.1536423937339</t>
  </si>
  <si>
    <t>-915.018056362841 265.665691355725 334.863953428214</t>
  </si>
  <si>
    <t>-958.064209500949 296.187553218093 779.599200599254</t>
  </si>
  <si>
    <t>-817.32288746867 336.03607821981 840.355665439555</t>
  </si>
  <si>
    <t>-888.232925676181 41.3970539724914 -64.0522926712424</t>
  </si>
  <si>
    <t>-863.65887418382 29.5909320136316 338.578304819112</t>
  </si>
  <si>
    <t>-895.881015077573 44.1046354780515 785.091226372849</t>
  </si>
  <si>
    <t>-799.676878206187 -59.2913321472597 856.794229881291</t>
  </si>
  <si>
    <t>9763-20170724T111243.711863700.bin</t>
  </si>
  <si>
    <t>-896.218808014097 136.898650097562 -64.6101917861766</t>
  </si>
  <si>
    <t>-930.443044629378 131.81138111905 -175.149965173195</t>
  </si>
  <si>
    <t>-943.436965162235 132.099081932796 -272.9136305344</t>
  </si>
  <si>
    <t>-949.061145246673 133.920787695184 -361.814050374993</t>
  </si>
  <si>
    <t>-948.149531618433 137.131875680988 -450.848352521329</t>
  </si>
  <si>
    <t>-939.990716250231 142.903595956981 -575.029438769133</t>
  </si>
  <si>
    <t>-908.064914374063 149.204491199755 -651.488987129051</t>
  </si>
  <si>
    <t>-942.283982437981 168.008489801704 -519.01343292178</t>
  </si>
  <si>
    <t>-932.795259252931 302.822304018986 -493.889067345546</t>
  </si>
  <si>
    <t>-893.207413597376 315.592477611328 -202.580131601813</t>
  </si>
  <si>
    <t>-655.502512753738 317.964348943562 -241.843158596155</t>
  </si>
  <si>
    <t>-944.878181332342 112.719144010102 -521.753600918754</t>
  </si>
  <si>
    <t>-904.654767219988 232.119446573288 -67.2100042045134</t>
  </si>
  <si>
    <t>-915.017049720109 265.690845718494 334.810216466628</t>
  </si>
  <si>
    <t>-958.0343266791 296.123215982534 779.54531823584</t>
  </si>
  <si>
    <t>-817.286220464323 335.942693067565 840.305067219412</t>
  </si>
  <si>
    <t>-888.134046052847 41.5050404320718 -64.0451883925442</t>
  </si>
  <si>
    <t>-863.587852337574 29.6288940902032 338.585098528691</t>
  </si>
  <si>
    <t>-895.836468342573 44.138656988217 785.096131947456</t>
  </si>
  <si>
    <t>-799.664579341875 -59.2876353154775 856.798759398904</t>
  </si>
  <si>
    <t>9763-20170724T111243.779042900.bin</t>
  </si>
  <si>
    <t>-896.200001374303 137.122110943693 -64.701953100977</t>
  </si>
  <si>
    <t>-930.447194397509 131.901152691498 -175.228252735149</t>
  </si>
  <si>
    <t>-943.423319172414 132.117075483651 -272.99457528042</t>
  </si>
  <si>
    <t>-949.015332768165 133.890606969847 -361.897997586507</t>
  </si>
  <si>
    <t>-948.054774339571 137.070827800501 -450.932889906628</t>
  </si>
  <si>
    <t>-939.810107311647 142.818240297305 -575.109418291544</t>
  </si>
  <si>
    <t>-907.746792905881 148.978969237747 -651.522821440636</t>
  </si>
  <si>
    <t>-942.18045094068 167.935901949873 -519.102271524429</t>
  </si>
  <si>
    <t>-932.559584194222 302.729479240924 -493.883306967156</t>
  </si>
  <si>
    <t>-892.041100259974 315.971953948101 -202.723373556823</t>
  </si>
  <si>
    <t>-654.116592440875 316.0375278851 -240.707530270562</t>
  </si>
  <si>
    <t>-944.696075691027 112.642246773698 -521.828585438588</t>
  </si>
  <si>
    <t>-904.726600480887 232.271894403362 -67.3575887884076</t>
  </si>
  <si>
    <t>-915.064656296356 265.82206805239 334.664991489008</t>
  </si>
  <si>
    <t>-958.037237311523 296.087169739732 779.430418715869</t>
  </si>
  <si>
    <t>-817.368359433305 336.176252867587 840.195787223268</t>
  </si>
  <si>
    <t>-887.957410995873 41.7405620311283 -64.0384774335943</t>
  </si>
  <si>
    <t>-863.406588230461 29.7446965381414 338.58791147237</t>
  </si>
  <si>
    <t>-895.771741729418 44.1637754168478 785.099694462869</t>
  </si>
  <si>
    <t>-799.783365614715 -59.4300690295472 856.805992026738</t>
  </si>
  <si>
    <t>9763-20170724T111243.812001000.bin</t>
  </si>
  <si>
    <t>-896.200728439256 137.160185973632 -64.7429326110619</t>
  </si>
  <si>
    <t>-930.404319321552 131.855257320352 -175.278846945647</t>
  </si>
  <si>
    <t>-943.359058019043 132.030576622195 -273.048102262869</t>
  </si>
  <si>
    <t>-948.937691703854 133.778698043421 -361.952837954397</t>
  </si>
  <si>
    <t>-947.969279311563 136.944265160144 -450.988135706642</t>
  </si>
  <si>
    <t>-939.719187074113 142.682062223499 -575.164618927891</t>
  </si>
  <si>
    <t>-907.573795581284 148.8063507457 -651.546645006386</t>
  </si>
  <si>
    <t>-942.098714347112 167.80448540791 -519.160077667652</t>
  </si>
  <si>
    <t>-932.387956000827 302.580840713889 -493.879322067004</t>
  </si>
  <si>
    <t>-890.018241699697 316.909063627303 -203.034416621215</t>
  </si>
  <si>
    <t>-652.066085543831 315.575274020892 -240.822143859371</t>
  </si>
  <si>
    <t>-944.600521764038 112.509854305191 -521.881230235837</t>
  </si>
  <si>
    <t>-904.772796209307 232.311593556667 -67.4354451336808</t>
  </si>
  <si>
    <t>-915.230049323291 265.886654323013 334.582017780917</t>
  </si>
  <si>
    <t>-958.123168244274 296.20186351473 779.357633457832</t>
  </si>
  <si>
    <t>-817.383663544645 336.022471279781 840.136268933187</t>
  </si>
  <si>
    <t>-887.893363341554 41.7590691507494 -64.0279716516992</t>
  </si>
  <si>
    <t>-863.3195337864 29.7117647964619 338.595509094162</t>
  </si>
  <si>
    <t>-895.767923849721 44.119606136218 785.095866624675</t>
  </si>
  <si>
    <t>-799.683246415089 -59.3816351389271 856.807343930605</t>
  </si>
  <si>
    <t>9763-20170724T111243.882187700.bin</t>
  </si>
  <si>
    <t>-896.110914104414 137.20780110086 -64.8295223471348</t>
  </si>
  <si>
    <t>-930.205260939247 131.749001325404 -175.391705464659</t>
  </si>
  <si>
    <t>-943.12540608524 131.787755094298 -273.165555664315</t>
  </si>
  <si>
    <t>-948.695924277744 133.406512097212 -362.073281556273</t>
  </si>
  <si>
    <t>-947.742832906158 136.434791769583 -451.113489508417</t>
  </si>
  <si>
    <t>-939.537336273809 141.970618293962 -575.30229980119</t>
  </si>
  <si>
    <t>-907.265742021076 147.967804107882 -651.641036736432</t>
  </si>
  <si>
    <t>-941.890688895425 167.183838293622 -519.33742186502</t>
  </si>
  <si>
    <t>-932.039949649176 301.983317676318 -494.254190835259</t>
  </si>
  <si>
    <t>-883.50324332863 319.671305601826 -204.560230030747</t>
  </si>
  <si>
    <t>-645.766147803753 318.831822003164 -243.691004213018</t>
  </si>
  <si>
    <t>-944.405656213946 111.885410184285 -521.968463110853</t>
  </si>
  <si>
    <t>-904.729809050752 232.295976842734 -67.6056646970219</t>
  </si>
  <si>
    <t>-915.793999133609 265.852549656955 334.397108535504</t>
  </si>
  <si>
    <t>-958.104304017471 296.124919830262 779.199803336329</t>
  </si>
  <si>
    <t>-817.373613697886 335.918731163225 840.016022861236</t>
  </si>
  <si>
    <t>-887.735969053598 41.9233657150648 -64.0473178225561</t>
  </si>
  <si>
    <t>-863.027110254143 29.7765063508223 338.564833618524</t>
  </si>
  <si>
    <t>-895.589283435012 44.2601915279374 785.062779522226</t>
  </si>
  <si>
    <t>-799.53069627539 -59.2324954319263 856.821396134012</t>
  </si>
  <si>
    <t>9763-20170724T111243.914312200.bin</t>
  </si>
  <si>
    <t>-896.185881493414 137.099994605669 -64.8642853362419</t>
  </si>
  <si>
    <t>-930.190019052436 131.646594679233 -175.454494096207</t>
  </si>
  <si>
    <t>-943.059043625866 131.616787989718 -273.235176827119</t>
  </si>
  <si>
    <t>-948.596081555586 133.144149522618 -362.146606502705</t>
  </si>
  <si>
    <t>-947.622487383693 136.051878400058 -451.190697020795</t>
  </si>
  <si>
    <t>-939.403245196014 141.388320587441 -575.387216140895</t>
  </si>
  <si>
    <t>-907.099095064244 147.31060083663 -651.718053360868</t>
  </si>
  <si>
    <t>-941.758555505814 166.691163849513 -519.4629447647</t>
  </si>
  <si>
    <t>-931.910871376182 301.533535011657 -494.612798266436</t>
  </si>
  <si>
    <t>-879.708640748434 321.376102256504 -205.696861676933</t>
  </si>
  <si>
    <t>-642.131805332753 321.452644110358 -245.797289032934</t>
  </si>
  <si>
    <t>-944.281851001351 111.38888965279 -522.006119402137</t>
  </si>
  <si>
    <t>-904.911943240468 232.26753708356 -67.6691047287866</t>
  </si>
  <si>
    <t>-916.071760156882 265.628761267658 334.347215894396</t>
  </si>
  <si>
    <t>-958.089477959279 296.058625768388 779.172038362515</t>
  </si>
  <si>
    <t>-817.460093143207 336.19790457743 839.995782699416</t>
  </si>
  <si>
    <t>-887.767668921588 41.7126854820799 -64.0666639345676</t>
  </si>
  <si>
    <t>-862.89101713635 29.7508552823488 338.54078885811</t>
  </si>
  <si>
    <t>-895.538000935484 44.2921991357107 785.05452478452</t>
  </si>
  <si>
    <t>-799.555866874016 -59.2607354308027 856.828447937201</t>
  </si>
  <si>
    <t>9763-20170724T111243.981479400.bin</t>
  </si>
  <si>
    <t>-896.646991659911 136.556196466805 -64.8984929868665</t>
  </si>
  <si>
    <t>-930.496290080444 131.147960027742 -175.538405789818</t>
  </si>
  <si>
    <t>-943.220460244446 131.013735705636 -273.337973303316</t>
  </si>
  <si>
    <t>-948.625257125599 132.388705120538 -362.259955892739</t>
  </si>
  <si>
    <t>-947.520378778458 135.085878438797 -451.309114013094</t>
  </si>
  <si>
    <t>-939.120867948171 140.067098198519 -575.508392012302</t>
  </si>
  <si>
    <t>-906.772205796875 145.847272667584 -651.831328600377</t>
  </si>
  <si>
    <t>-941.539099264255 165.528937652356 -519.65886780084</t>
  </si>
  <si>
    <t>-931.548318307841 300.443120668915 -495.256059804894</t>
  </si>
  <si>
    <t>-872.98430126833 324.70617817186 -207.901186696504</t>
  </si>
  <si>
    <t>-635.325965950557 326.444892825268 -247.477752041926</t>
  </si>
  <si>
    <t>-944.094793095391 110.221461398452 -522.050011816385</t>
  </si>
  <si>
    <t>-905.520063855147 232.083327402198 -67.7254031720787</t>
  </si>
  <si>
    <t>-916.410997899985 265.32398333842 334.308351770823</t>
  </si>
  <si>
    <t>-958.190774579952 296.171017872517 779.147130317038</t>
  </si>
  <si>
    <t>-817.469650613627 335.940091600294 840.00169262985</t>
  </si>
  <si>
    <t>-888.143252217424 40.7460374571842 -64.0921323247904</t>
  </si>
  <si>
    <t>-862.904038157447 29.4475015717417 338.511872848743</t>
  </si>
  <si>
    <t>-895.583482251947 44.1721057383893 785.035670975949</t>
  </si>
  <si>
    <t>-799.196225353119 -59.0186951736616 856.788781640703</t>
  </si>
  <si>
    <t>9763-20170724T111244.012290400.bin</t>
  </si>
  <si>
    <t>-896.828497135328 136.330564850186 -64.8890251034661</t>
  </si>
  <si>
    <t>-930.631776379049 130.935656078006 -175.543639219277</t>
  </si>
  <si>
    <t>-943.282342323674 130.78935491773 -273.35269251265</t>
  </si>
  <si>
    <t>-948.607220196255 132.142785069447 -362.279874197111</t>
  </si>
  <si>
    <t>-947.409772134454 134.808117131665 -451.328801631844</t>
  </si>
  <si>
    <t>-938.867805655362 139.733503750743 -575.520575888783</t>
  </si>
  <si>
    <t>-906.518096331299 145.466120167396 -651.846664411341</t>
  </si>
  <si>
    <t>-941.346869933356 165.220103225802 -519.685169657989</t>
  </si>
  <si>
    <t>-931.285707956924 300.145717329634 -495.380034767735</t>
  </si>
  <si>
    <t>-869.954015321968 326.038629833341 -208.745807574037</t>
  </si>
  <si>
    <t>-632.192237498539 328.577785218896 -247.652027721399</t>
  </si>
  <si>
    <t>-943.906340260237 109.912008134723 -522.054662722268</t>
  </si>
  <si>
    <t>-905.648112045689 231.933713984575 -67.7092125013346</t>
  </si>
  <si>
    <t>-916.473243198949 265.222042987424 334.322240041915</t>
  </si>
  <si>
    <t>-958.133528637863 296.022528229033 779.173657008984</t>
  </si>
  <si>
    <t>-817.438871777268 335.894921215425 840.022303556849</t>
  </si>
  <si>
    <t>-888.342774530671 40.5200151987456 -64.0768937433468</t>
  </si>
  <si>
    <t>-862.823180389007 29.3080908539696 338.511962076313</t>
  </si>
  <si>
    <t>-895.557119004747 44.1714621146439 785.017973218035</t>
  </si>
  <si>
    <t>-799.087223752887 -58.9398156926297 856.773654556206</t>
  </si>
  <si>
    <t>9763-20170724T111244.082478500.bin</t>
  </si>
  <si>
    <t>-897.112965085546 136.238982621433 -64.8333528720211</t>
  </si>
  <si>
    <t>-930.788866775162 130.951744665909 -175.532067248202</t>
  </si>
  <si>
    <t>-943.275448347953 130.883755885238 -273.362202266996</t>
  </si>
  <si>
    <t>-948.431264830743 132.303427261309 -362.298496824537</t>
  </si>
  <si>
    <t>-947.045139729828 135.030257852362 -451.34268939532</t>
  </si>
  <si>
    <t>-938.2198837654 140.036778468369 -575.511277155663</t>
  </si>
  <si>
    <t>-905.862620699329 145.743775375311 -651.836026746702</t>
  </si>
  <si>
    <t>-940.825453200436 165.486973905587 -519.664941485217</t>
  </si>
  <si>
    <t>-930.564873421323 300.376838663008 -495.187028809923</t>
  </si>
  <si>
    <t>-863.314915762722 328.371034085232 -210.081825818335</t>
  </si>
  <si>
    <t>-625.487331012001 333.465593724763 -248.330026918252</t>
  </si>
  <si>
    <t>-943.381480456072 110.180427463789 -522.076745164706</t>
  </si>
  <si>
    <t>-905.821520248287 231.900032641521 -67.5863199429858</t>
  </si>
  <si>
    <t>-916.748932926864 265.316636120835 334.431829727008</t>
  </si>
  <si>
    <t>-958.169903014622 295.88106648958 779.296599320265</t>
  </si>
  <si>
    <t>-817.419497762128 335.601081044359 840.114979583858</t>
  </si>
  <si>
    <t>-888.701069463698 40.4024814263926 -64.0605273231803</t>
  </si>
  <si>
    <t>-862.55479274544 29.125256127737 338.486154367765</t>
  </si>
  <si>
    <t>-895.542678622666 44.1465987720298 784.987194316397</t>
  </si>
  <si>
    <t>-799.135476293407 -59.0176413006031 856.751349562919</t>
  </si>
  <si>
    <t>9763-20170724T111244.114270500.bin</t>
  </si>
  <si>
    <t>-897.336913765846 136.234681905886 -64.7997034265211</t>
  </si>
  <si>
    <t>-930.911520716377 131.024218841977 -175.532727380208</t>
  </si>
  <si>
    <t>-943.283107601551 131.01379416809 -273.377449451875</t>
  </si>
  <si>
    <t>-948.323874468625 132.481329428083 -362.319543496667</t>
  </si>
  <si>
    <t>-946.812593549102 135.250986219753 -451.36035776027</t>
  </si>
  <si>
    <t>-937.802202944884 140.312041391152 -575.513653653164</t>
  </si>
  <si>
    <t>-905.435493400061 146.016495295393 -651.834517087865</t>
  </si>
  <si>
    <t>-940.468467238212 165.736575256346 -519.658461640548</t>
  </si>
  <si>
    <t>-930.03248014699 300.591943325058 -495.100797904391</t>
  </si>
  <si>
    <t>-860.26475996725 329.358957835959 -210.678155609963</t>
  </si>
  <si>
    <t>-622.506604174698 335.342386244269 -249.22737968852</t>
  </si>
  <si>
    <t>-943.065938632645 110.433252695655 -522.101518230649</t>
  </si>
  <si>
    <t>-906.021509168306 231.947077282838 -67.5319132874765</t>
  </si>
  <si>
    <t>-916.971720400459 265.29588193617 334.491253943575</t>
  </si>
  <si>
    <t>-958.184215396917 295.821973194897 779.36228241128</t>
  </si>
  <si>
    <t>-817.463893605284 335.674080354053 840.164033635509</t>
  </si>
  <si>
    <t>-888.997655848641 40.3080064027604 -64.0591592738883</t>
  </si>
  <si>
    <t>-862.674050490323 29.186697640187 338.480330015471</t>
  </si>
  <si>
    <t>-895.579395979485 44.0536383050794 784.973480956676</t>
  </si>
  <si>
    <t>-798.871745450077 -58.8348392250218 856.729454869462</t>
  </si>
  <si>
    <t>9763-20170724T111244.182454000.bin</t>
  </si>
  <si>
    <t>-897.861509840721 136.65630744407 -64.8018065852076</t>
  </si>
  <si>
    <t>-931.190948006621 131.6471742184 -175.618199871538</t>
  </si>
  <si>
    <t>-943.307526191156 131.769821273136 -273.494874500813</t>
  </si>
  <si>
    <t>-948.10301754338 133.34250546047 -362.448594721354</t>
  </si>
  <si>
    <t>-946.331735710214 136.201174580882 -451.481851149565</t>
  </si>
  <si>
    <t>-936.94555926912 141.369450944308 -575.602878240584</t>
  </si>
  <si>
    <t>-904.568745861822 147.094544515169 -651.917878625282</t>
  </si>
  <si>
    <t>-939.718721479378 166.742592861563 -519.729500794076</t>
  </si>
  <si>
    <t>-928.876166705891 301.54384493429 -495.064618369815</t>
  </si>
  <si>
    <t>-854.596568993391 331.940792173711 -211.957257925769</t>
  </si>
  <si>
    <t>-616.90596158993 337.501316388601 -250.985210293955</t>
  </si>
  <si>
    <t>-942.433297457416 111.447934153381 -522.237220593858</t>
  </si>
  <si>
    <t>-906.466524799845 232.465761228203 -67.5207172386315</t>
  </si>
  <si>
    <t>-917.655128776571 265.409128787745 334.529230319667</t>
  </si>
  <si>
    <t>-958.159533232165 295.815633733268 779.416059876097</t>
  </si>
  <si>
    <t>-817.483782296429 335.779507813632 840.248294505089</t>
  </si>
  <si>
    <t>-889.658222797984 40.7341462863697 -64.1347563296835</t>
  </si>
  <si>
    <t>-862.983648879554 29.5659472875523 338.380357287134</t>
  </si>
  <si>
    <t>-895.577670987184 44.0019343975955 784.920831541725</t>
  </si>
  <si>
    <t>-798.789238083806 -58.7933448920674 856.701160839414</t>
  </si>
  <si>
    <t>9763-20170724T111244.213248400.bin</t>
  </si>
  <si>
    <t>-898.126564706993 137.082755638744 -64.7939140463176</t>
  </si>
  <si>
    <t>-931.357485232165 132.181711095239 -175.644856676053</t>
  </si>
  <si>
    <t>-943.36411305993 132.35521735366 -273.534800966052</t>
  </si>
  <si>
    <t>-948.051267136874 133.957543113428 -362.49388564357</t>
  </si>
  <si>
    <t>-946.164138747612 136.827422474758 -451.52437719687</t>
  </si>
  <si>
    <t>-936.608281488754 141.992054363263 -575.632550668971</t>
  </si>
  <si>
    <t>-904.208845192854 147.707302623519 -651.938815439621</t>
  </si>
  <si>
    <t>-939.40809518909 167.364120333417 -519.760170585687</t>
  </si>
  <si>
    <t>-928.312958034066 302.139655640836 -495.069764212681</t>
  </si>
  <si>
    <t>-851.747853984902 333.522338055295 -212.679800588517</t>
  </si>
  <si>
    <t>-614.091942681719 338.729127856941 -251.965726252643</t>
  </si>
  <si>
    <t>-942.218691434123 112.074634951866 -522.277368332338</t>
  </si>
  <si>
    <t>-906.634000543846 232.837332135973 -67.5068307239472</t>
  </si>
  <si>
    <t>-918.014956822005 265.563464611379 334.555630012089</t>
  </si>
  <si>
    <t>-958.131369461686 295.794219219366 779.487250153072</t>
  </si>
  <si>
    <t>-817.491040040536 335.870759484746 840.326604930111</t>
  </si>
  <si>
    <t>-890.004813784941 41.2422943790802 -64.1746983832052</t>
  </si>
  <si>
    <t>-863.130417601522 29.8051583803722 338.319594040152</t>
  </si>
  <si>
    <t>-895.542306884601 44.032917368319 784.894227602575</t>
  </si>
  <si>
    <t>-798.790460980599 -58.7852679771349 856.691628991212</t>
  </si>
  <si>
    <t>9763-20170724T111244.281426600.bin</t>
  </si>
  <si>
    <t>-898.611458685411 138.09868117136 -64.7783128487338</t>
  </si>
  <si>
    <t>-931.806332883462 133.330681666623 -175.645858883817</t>
  </si>
  <si>
    <t>-943.703306912061 133.566855828966 -273.549106386166</t>
  </si>
  <si>
    <t>-948.26021236328 135.20216012636 -362.514280439037</t>
  </si>
  <si>
    <t>-946.212041958188 138.07831755275 -451.541144511432</t>
  </si>
  <si>
    <t>-936.400267218246 143.220773367806 -575.630228246625</t>
  </si>
  <si>
    <t>-903.925319867596 148.915182945932 -651.90575611065</t>
  </si>
  <si>
    <t>-939.218855665444 168.597555729503 -519.760850518304</t>
  </si>
  <si>
    <t>-927.576612962718 303.331474151368 -495.073272763513</t>
  </si>
  <si>
    <t>-846.360829192203 335.912663511406 -214.121932331506</t>
  </si>
  <si>
    <t>-608.503046660985 340.017338149783 -252.301571950729</t>
  </si>
  <si>
    <t>-942.217301453981 113.318356510985 -522.288718625614</t>
  </si>
  <si>
    <t>-907.012767321231 233.712665883241 -67.4351191134166</t>
  </si>
  <si>
    <t>-918.355156349333 266.314795510318 334.63849021005</t>
  </si>
  <si>
    <t>-958.16949621307 295.878671982756 779.678917861791</t>
  </si>
  <si>
    <t>-817.481307492287 335.809694783842 840.503681170927</t>
  </si>
  <si>
    <t>-890.504673694116 42.3162437510628 -64.2084355582625</t>
  </si>
  <si>
    <t>-863.211092273152 30.4116991072519 338.24407181426</t>
  </si>
  <si>
    <t>-895.390496390555 44.2157625829745 784.842558811972</t>
  </si>
  <si>
    <t>-798.994847428725 -58.9101468463944 856.677444187221</t>
  </si>
  <si>
    <t>9763-20170724T111244.314119500.bin</t>
  </si>
  <si>
    <t>-898.79599709623 138.40721871078 -64.7486070489456</t>
  </si>
  <si>
    <t>-932.029520044209 133.676696458349 -175.606065191758</t>
  </si>
  <si>
    <t>-943.914664583065 133.931049414666 -273.510780736005</t>
  </si>
  <si>
    <t>-948.441941879472 135.575904272451 -362.477345401383</t>
  </si>
  <si>
    <t>-946.345988357225 138.453265203541 -451.502976166637</t>
  </si>
  <si>
    <t>-936.448384964832 143.58778975334 -575.585579579793</t>
  </si>
  <si>
    <t>-903.915139464159 149.27072098198 -651.837328451554</t>
  </si>
  <si>
    <t>-939.278373112797 168.966396884626 -519.717558600564</t>
  </si>
  <si>
    <t>-927.449653513736 303.67955797914 -494.999213549474</t>
  </si>
  <si>
    <t>-844.146572626706 336.624079889711 -214.702096926853</t>
  </si>
  <si>
    <t>-606.106334883171 339.787339576094 -251.81974797327</t>
  </si>
  <si>
    <t>-942.329141672737 113.690204048611 -522.248192515944</t>
  </si>
  <si>
    <t>-907.245573050785 233.983888934601 -67.3787461167439</t>
  </si>
  <si>
    <t>-918.225461247374 266.635041146124 334.700854218754</t>
  </si>
  <si>
    <t>-958.22537448878 295.963710175487 779.775806257611</t>
  </si>
  <si>
    <t>-817.479606547022 335.719924724209 840.582147808837</t>
  </si>
  <si>
    <t>-890.625248270321 42.615822539773 -64.2073816030851</t>
  </si>
  <si>
    <t>-863.244668472084 30.662964101663 338.237767124707</t>
  </si>
  <si>
    <t>-895.360949131853 44.2440555209873 784.826502287378</t>
  </si>
  <si>
    <t>-798.954784769001 -58.8705685590485 856.663293350828</t>
  </si>
  <si>
    <t>9763-20170724T111244.378290900.bin</t>
  </si>
  <si>
    <t>-899.059427407043 138.923483321958 -64.6868216502244</t>
  </si>
  <si>
    <t>-932.43335849185 134.159088397661 -175.500609428521</t>
  </si>
  <si>
    <t>-944.330622883973 134.426827424801 -273.403884265822</t>
  </si>
  <si>
    <t>-948.822185631586 136.09548103496 -362.371789141365</t>
  </si>
  <si>
    <t>-946.643137563058 139.005088724184 -451.394390686592</t>
  </si>
  <si>
    <t>-936.579729014059 144.189804054638 -575.461531676958</t>
  </si>
  <si>
    <t>-903.872303021734 149.869617700614 -651.639139899214</t>
  </si>
  <si>
    <t>-939.461662540717 169.54456484773 -519.585370941383</t>
  </si>
  <si>
    <t>-927.343163539809 304.195036838937 -494.724116484101</t>
  </si>
  <si>
    <t>-841.942292479616 337.286506186151 -215.076430067821</t>
  </si>
  <si>
    <t>-603.637880879211 337.40054646676 -250.599532269955</t>
  </si>
  <si>
    <t>-942.554286510479 114.272035404536 -522.146154495567</t>
  </si>
  <si>
    <t>-907.580499690324 234.236983474586 -67.2517123834111</t>
  </si>
  <si>
    <t>-917.829195765696 267.027424286819 334.835836656471</t>
  </si>
  <si>
    <t>-958.211727015551 295.84736799861 779.955904954701</t>
  </si>
  <si>
    <t>-817.562208633118 336.043894875349 840.694808669842</t>
  </si>
  <si>
    <t>-890.822205304366 43.4466276865419 -64.1906635657137</t>
  </si>
  <si>
    <t>-863.297442834607 31.1564793550865 338.23446663197</t>
  </si>
  <si>
    <t>-895.30752208088 44.2559033568878 784.802575026834</t>
  </si>
  <si>
    <t>-799.153619057643 -59.0690100406769 856.675513141412</t>
  </si>
  <si>
    <t>9763-20170724T111244.414897900.bin</t>
  </si>
  <si>
    <t>-899.300910658883 139.317056399662 -64.6609895774964</t>
  </si>
  <si>
    <t>-932.727577428738 134.542863070195 -175.45852242523</t>
  </si>
  <si>
    <t>-944.636272141722 134.833368608602 -273.360365284465</t>
  </si>
  <si>
    <t>-949.123390330658 136.534116419122 -362.327742780164</t>
  </si>
  <si>
    <t>-946.924590559288 139.486122243623 -451.348526277141</t>
  </si>
  <si>
    <t>-936.817651036795 144.740956190833 -575.409247785983</t>
  </si>
  <si>
    <t>-904.01509634155 150.432916982285 -651.544658644747</t>
  </si>
  <si>
    <t>-939.732713984933 170.064728197005 -519.520787523258</t>
  </si>
  <si>
    <t>-927.565227526213 304.686269358094 -494.528827254434</t>
  </si>
  <si>
    <t>-841.96083385485 337.013278475412 -214.854073255855</t>
  </si>
  <si>
    <t>-603.525900539022 335.856339263875 -249.47149317944</t>
  </si>
  <si>
    <t>-942.797838428591 114.792203355981 -522.111611207172</t>
  </si>
  <si>
    <t>-907.915720136358 234.524337071096 -67.2085879109067</t>
  </si>
  <si>
    <t>-917.972021105915 267.23914085158 334.890090565911</t>
  </si>
  <si>
    <t>-958.228327785434 295.860806170697 780.000577458911</t>
  </si>
  <si>
    <t>-817.608811950088 336.190838782931 840.721006910378</t>
  </si>
  <si>
    <t>-891.00338599617 43.9649612386283 -64.1725500963191</t>
  </si>
  <si>
    <t>-863.141602211302 31.4212439710327 338.22164132801</t>
  </si>
  <si>
    <t>-895.250579351676 44.3010378159684 784.792251877854</t>
  </si>
  <si>
    <t>-799.152035829506 -59.0579555232528 856.69030978186</t>
  </si>
  <si>
    <t>9763-20170724T111244.482078500.bin</t>
  </si>
  <si>
    <t>-899.924738408921 139.829906031115 -64.6652733893071</t>
  </si>
  <si>
    <t>-933.401801447217 135.064909884459 -175.447952043775</t>
  </si>
  <si>
    <t>-945.331734928082 135.419685116517 -273.346956297972</t>
  </si>
  <si>
    <t>-949.827840858059 137.199542026345 -362.312407713618</t>
  </si>
  <si>
    <t>-947.626930655512 140.252798599654 -451.329627650301</t>
  </si>
  <si>
    <t>-937.504438066418 145.670761092741 -575.382045927506</t>
  </si>
  <si>
    <t>-904.499062112363 151.405094232596 -651.426733708283</t>
  </si>
  <si>
    <t>-940.471760444779 170.923696214931 -519.464250081831</t>
  </si>
  <si>
    <t>-928.312319265388 305.507739040966 -494.181890470828</t>
  </si>
  <si>
    <t>-843.207156984228 335.094515268775 -214.051732786279</t>
  </si>
  <si>
    <t>-604.633814134547 332.301360216542 -247.605035726049</t>
  </si>
  <si>
    <t>-943.445693526641 115.649278691099 -522.121137310091</t>
  </si>
  <si>
    <t>-908.760900414775 235.146120242835 -67.197472117001</t>
  </si>
  <si>
    <t>-918.813836951762 267.571890083606 334.924639210233</t>
  </si>
  <si>
    <t>-958.236997957145 295.998746920784 780.05836683189</t>
  </si>
  <si>
    <t>-817.589989546271 336.170135141835 840.819817551051</t>
  </si>
  <si>
    <t>-891.387357539416 44.3437997758538 -64.2030809123989</t>
  </si>
  <si>
    <t>-863.071763519604 31.8168355336234 338.15987708801</t>
  </si>
  <si>
    <t>-895.232945648201 44.2763376596417 784.761036684377</t>
  </si>
  <si>
    <t>-799.023914370322 -58.9591158911094 856.688627979337</t>
  </si>
  <si>
    <t>9763-20170724T111244.515203400.bin</t>
  </si>
  <si>
    <t>-900.155819151094 140.021468897161 -64.6739712623441</t>
  </si>
  <si>
    <t>-933.677464405808 135.203030051663 -175.440836246817</t>
  </si>
  <si>
    <t>-945.647636373125 135.568670775996 -273.334789922159</t>
  </si>
  <si>
    <t>-950.179183912452 137.378845488369 -362.297910327191</t>
  </si>
  <si>
    <t>-948.012227162384 140.482726612825 -451.314202253754</t>
  </si>
  <si>
    <t>-937.934381330055 145.991988829503 -575.366311840918</t>
  </si>
  <si>
    <t>-904.844773057039 151.741388331219 -651.373135660104</t>
  </si>
  <si>
    <t>-940.921244661952 171.206080844903 -519.432101019839</t>
  </si>
  <si>
    <t>-928.886057291678 305.772525313324 -494.006416624051</t>
  </si>
  <si>
    <t>-844.254116683411 333.956263290594 -213.588318516299</t>
  </si>
  <si>
    <t>-605.612496101834 330.544083886013 -246.593619842966</t>
  </si>
  <si>
    <t>-943.817232195099 115.929046440458 -522.122315445705</t>
  </si>
  <si>
    <t>-909.164740025019 235.332152378991 -67.2025030637225</t>
  </si>
  <si>
    <t>-919.176436755288 267.734787460211 334.922580719497</t>
  </si>
  <si>
    <t>-958.191073529107 296.021230599972 780.103283533929</t>
  </si>
  <si>
    <t>-817.649073972551 336.513309228527 840.894743487563</t>
  </si>
  <si>
    <t>-891.458137687204 44.5673832429184 -64.211747267869</t>
  </si>
  <si>
    <t>-862.89678208494 31.9415735616212 338.130802144141</t>
  </si>
  <si>
    <t>-895.218276054856 44.2721776411586 784.734219244698</t>
  </si>
  <si>
    <t>-799.095554000568 -59.0334924096435 856.6763513025</t>
  </si>
  <si>
    <t>9763-20170724T111244.583384400.bin</t>
  </si>
  <si>
    <t>-900.533424930606 140.37650696914 -64.6773247277736</t>
  </si>
  <si>
    <t>-934.156580407689 135.451652251889 -175.408660278923</t>
  </si>
  <si>
    <t>-946.227151784888 135.803499684132 -273.29046070673</t>
  </si>
  <si>
    <t>-950.85138137973 137.627881823303 -362.248490144917</t>
  </si>
  <si>
    <t>-948.777031956928 140.770829421133 -451.26567655094</t>
  </si>
  <si>
    <t>-938.828677545112 146.359822010309 -575.324493549344</t>
  </si>
  <si>
    <t>-905.614924990091 152.093765604981 -651.278463725582</t>
  </si>
  <si>
    <t>-941.849407248732 171.542991913476 -519.378203440241</t>
  </si>
  <si>
    <t>-930.179415539117 306.091738119059 -493.707059766771</t>
  </si>
  <si>
    <t>-846.880402867433 332.989263036904 -212.763925698901</t>
  </si>
  <si>
    <t>-608.061407756051 328.138568923377 -244.271445723498</t>
  </si>
  <si>
    <t>-944.563911882945 116.257829760994 -522.086534665449</t>
  </si>
  <si>
    <t>-909.980324957306 235.682157110049 -67.1691089655213</t>
  </si>
  <si>
    <t>-919.713013039968 268.104245802248 334.96114548496</t>
  </si>
  <si>
    <t>-958.111884093886 296.054319750812 780.232794507167</t>
  </si>
  <si>
    <t>-817.596563324857 336.572113166646 841.068618600436</t>
  </si>
  <si>
    <t>-891.393511768398 44.8920033007603 -64.2539416123386</t>
  </si>
  <si>
    <t>-862.620255004413 32.2569761508403 338.073181238711</t>
  </si>
  <si>
    <t>-895.146615163081 44.351284545628 784.687333745326</t>
  </si>
  <si>
    <t>-799.151095228361 -59.0610133876146 856.645558805824</t>
  </si>
  <si>
    <t>9763-20170724T111244.614506400.bin</t>
  </si>
  <si>
    <t>-900.568624925373 140.493333212438 -64.661047199097</t>
  </si>
  <si>
    <t>-934.248213603376 135.510666674504 -175.372810516892</t>
  </si>
  <si>
    <t>-946.387879532079 135.846263824799 -273.246057390254</t>
  </si>
  <si>
    <t>-951.082397720568 137.668613749676 -362.200359348458</t>
  </si>
  <si>
    <t>-949.085168580555 140.823927819745 -451.21894048955</t>
  </si>
  <si>
    <t>-939.251463638818 146.444892395014 -575.285528162446</t>
  </si>
  <si>
    <t>-906.001911538854 152.171055736372 -651.224431417346</t>
  </si>
  <si>
    <t>-942.274416955154 171.616399110401 -519.334110565486</t>
  </si>
  <si>
    <t>-930.875149170376 306.17076213422 -493.611003021961</t>
  </si>
  <si>
    <t>-848.384896521701 333.118626483256 -212.434229432359</t>
  </si>
  <si>
    <t>-609.49360823272 327.441468713368 -243.24941540048</t>
  </si>
  <si>
    <t>-944.883241121905 116.326221554786 -522.045889909789</t>
  </si>
  <si>
    <t>-910.152518433463 235.825006875507 -67.1274203151636</t>
  </si>
  <si>
    <t>-919.817458337609 268.24144240499 335.004942283456</t>
  </si>
  <si>
    <t>-958.119747991476 296.110715552854 780.308750675059</t>
  </si>
  <si>
    <t>-817.559016973647 336.461480760006 841.15082834638</t>
  </si>
  <si>
    <t>-891.28114918536 44.981176342324 -64.257662217211</t>
  </si>
  <si>
    <t>-862.501191941929 32.3421565318281 338.0688352475</t>
  </si>
  <si>
    <t>-895.153985202004 44.3197309928578 784.678220528325</t>
  </si>
  <si>
    <t>-799.088282610912 -59.0284784322548 856.635458402146</t>
  </si>
  <si>
    <t>9763-20170724T111244.681686000.bin</t>
  </si>
  <si>
    <t>-900.509569043337 140.772024098485 -64.6053414742314</t>
  </si>
  <si>
    <t>-934.286279221507 135.682970800573 -175.282584690323</t>
  </si>
  <si>
    <t>-946.56755515483 135.951684222784 -273.138498638146</t>
  </si>
  <si>
    <t>-951.412591360941 137.724556319063 -362.085722355337</t>
  </si>
  <si>
    <t>-949.588667630975 140.844580438462 -451.109237843066</t>
  </si>
  <si>
    <t>-940.019362492565 146.433135541449 -575.197807008909</t>
  </si>
  <si>
    <t>-906.765108007564 152.113389467745 -651.138197449952</t>
  </si>
  <si>
    <t>-943.024660284834 171.62427395292 -519.254327737567</t>
  </si>
  <si>
    <t>-932.201313808045 306.242504962832 -493.607101271183</t>
  </si>
  <si>
    <t>-851.304127417873 333.602516053928 -212.007550173398</t>
  </si>
  <si>
    <t>-612.364773656955 327.800918133207 -242.423678137481</t>
  </si>
  <si>
    <t>-945.43603642032 116.323424620215 -521.930837746037</t>
  </si>
  <si>
    <t>-910.34833688996 236.143608995491 -67.0451503440562</t>
  </si>
  <si>
    <t>-919.95885949241 268.452603514982 335.097158328632</t>
  </si>
  <si>
    <t>-958.161711205709 296.237386155818 780.434147252424</t>
  </si>
  <si>
    <t>-817.552358861728 336.41215765286 841.280382087429</t>
  </si>
  <si>
    <t>-891.025772445578 45.2751689080992 -64.2206139154828</t>
  </si>
  <si>
    <t>-862.099955165962 32.4547670020897 338.089697767853</t>
  </si>
  <si>
    <t>-895.143649586509 44.2945524662005 784.665614472676</t>
  </si>
  <si>
    <t>-799.09946918296 -59.0695292774935 856.628688201619</t>
  </si>
  <si>
    <t>9763-20170724T111244.712797100.bin</t>
  </si>
  <si>
    <t>-900.465739186745 140.89327358321 -64.5728731645951</t>
  </si>
  <si>
    <t>-934.264395102733 135.746029026129 -175.240781367548</t>
  </si>
  <si>
    <t>-946.594762277204 135.975834884156 -273.090486872796</t>
  </si>
  <si>
    <t>-951.496377517278 137.719637663608 -362.035268294616</t>
  </si>
  <si>
    <t>-949.741165222074 140.81841402772 -451.060873557593</t>
  </si>
  <si>
    <t>-940.27950960151 146.38654516728 -575.158744697314</t>
  </si>
  <si>
    <t>-907.05787115584 152.049961091475 -651.114445400341</t>
  </si>
  <si>
    <t>-943.288985848087 171.589235718227 -519.220655223451</t>
  </si>
  <si>
    <t>-932.761363305454 306.24197256614 -493.639079206618</t>
  </si>
  <si>
    <t>-852.440477360356 333.651602078245 -211.879482800281</t>
  </si>
  <si>
    <t>-613.475414627516 328.25304996936 -242.167061815024</t>
  </si>
  <si>
    <t>-945.597154147496 116.283259098295 -521.878165067729</t>
  </si>
  <si>
    <t>-910.383345228661 236.213474817702 -67.0224182245133</t>
  </si>
  <si>
    <t>-919.982381859377 268.451064684407 335.125875128879</t>
  </si>
  <si>
    <t>-958.027044892837 296.051787550482 780.486777718574</t>
  </si>
  <si>
    <t>-817.615628794311 336.92521651284 841.32470397584</t>
  </si>
  <si>
    <t>-890.881053283498 45.4035285507284 -64.1873848904044</t>
  </si>
  <si>
    <t>-861.922619336066 32.4982825645761 338.117871439993</t>
  </si>
  <si>
    <t>-895.120359219775 44.3101578798323 784.669681113185</t>
  </si>
  <si>
    <t>-799.098766935406 -59.0739968974117 856.633787882558</t>
  </si>
  <si>
    <t>9763-20170724T111244.778962200.bin</t>
  </si>
  <si>
    <t>-900.372780218547 141.049645640013 -64.5413906121457</t>
  </si>
  <si>
    <t>-934.209148687476 135.731934796699 -175.189585482276</t>
  </si>
  <si>
    <t>-946.621043721908 135.790791106368 -273.029336599053</t>
  </si>
  <si>
    <t>-951.616749079991 137.370681128674 -361.971960416062</t>
  </si>
  <si>
    <t>-949.975705400093 140.299514914132 -451.00555558487</t>
  </si>
  <si>
    <t>-940.695308364913 145.625955608758 -575.127725070664</t>
  </si>
  <si>
    <t>-907.58356400021 151.211612503392 -651.136945395066</t>
  </si>
  <si>
    <t>-943.709668377408 170.941581588426 -519.240727868768</t>
  </si>
  <si>
    <t>-933.64274092855 305.673323043289 -493.884213410017</t>
  </si>
  <si>
    <t>-854.063957737547 333.782611477159 -211.983077573202</t>
  </si>
  <si>
    <t>-615.003014298542 329.02404608653 -241.616412198103</t>
  </si>
  <si>
    <t>-945.848667417913 115.622705030832 -521.774566323919</t>
  </si>
  <si>
    <t>-910.485459905133 236.311018824927 -67.0193986316272</t>
  </si>
  <si>
    <t>-919.943896206049 268.592386808563 335.128716682699</t>
  </si>
  <si>
    <t>-958.000328398881 296.046513595816 780.524353083506</t>
  </si>
  <si>
    <t>-817.65604249722 337.140762031805 841.368649931597</t>
  </si>
  <si>
    <t>-890.536257883532 45.5662057995978 -64.1156170432567</t>
  </si>
  <si>
    <t>-861.665151014266 32.5986565830353 338.193906217845</t>
  </si>
  <si>
    <t>-895.043602689115 44.3976048409795 784.693553940186</t>
  </si>
  <si>
    <t>-799.019245984429 -58.9869447520298 856.653293593466</t>
  </si>
  <si>
    <t>9763-20170724T111244.815065200.bin</t>
  </si>
  <si>
    <t>-900.264523654499 141.15634857515 -64.5515047438327</t>
  </si>
  <si>
    <t>-934.105235821876 135.736408590276 -175.193447851509</t>
  </si>
  <si>
    <t>-946.561719769109 135.688408363576 -273.027443962572</t>
  </si>
  <si>
    <t>-951.614674336967 137.163920396155 -361.968695963717</t>
  </si>
  <si>
    <t>-950.047964012134 139.981546943392 -451.007119963356</t>
  </si>
  <si>
    <t>-940.88833419786 145.145839547286 -575.145180839317</t>
  </si>
  <si>
    <t>-907.850411820261 150.660682816999 -651.191878880316</t>
  </si>
  <si>
    <t>-943.881101626037 170.535980205784 -519.290691587296</t>
  </si>
  <si>
    <t>-933.964301791338 305.305920938418 -494.108492680769</t>
  </si>
  <si>
    <t>-854.551267676595 334.030240885548 -212.222566312381</t>
  </si>
  <si>
    <t>-615.440144084789 329.430793728397 -241.472391791748</t>
  </si>
  <si>
    <t>-945.957019756278 115.210985021599 -521.745578768171</t>
  </si>
  <si>
    <t>-910.50550839903 236.445178390261 -67.0583832036609</t>
  </si>
  <si>
    <t>-919.950807743382 268.765664775671 335.086913023122</t>
  </si>
  <si>
    <t>-958.106768626564 296.243073878577 780.498387124131</t>
  </si>
  <si>
    <t>-817.647409707618 336.908380744709 841.365281448963</t>
  </si>
  <si>
    <t>-890.301647092246 45.6846591624139 -64.0883417492072</t>
  </si>
  <si>
    <t>-861.534755090058 32.6695299839294 338.227145290244</t>
  </si>
  <si>
    <t>-894.98210425567 44.4889782274122 784.711755012255</t>
  </si>
  <si>
    <t>-799.127326470734 -59.0544731985076 856.669491653467</t>
  </si>
  <si>
    <t>9763-20170724T111244.881240200.bin</t>
  </si>
  <si>
    <t>-900.024716760572 141.104411272207 -64.5742554749921</t>
  </si>
  <si>
    <t>-933.883402830662 135.464353330462 -175.199689385799</t>
  </si>
  <si>
    <t>-946.455254212937 135.204713025312 -273.018622976473</t>
  </si>
  <si>
    <t>-951.652896401424 136.480535576281 -361.954587257398</t>
  </si>
  <si>
    <t>-950.270920093991 139.090608612773 -451.002382332374</t>
  </si>
  <si>
    <t>-941.411279912816 143.958043393557 -575.174274322754</t>
  </si>
  <si>
    <t>-908.570123462809 149.246043391359 -651.322309789538</t>
  </si>
  <si>
    <t>-944.313146587957 169.483156188141 -519.376594973031</t>
  </si>
  <si>
    <t>-934.522601461592 304.321471479312 -494.504681717125</t>
  </si>
  <si>
    <t>-855.176508541106 334.0645680284 -212.705554129677</t>
  </si>
  <si>
    <t>-615.999771022755 329.643256529737 -241.442384537324</t>
  </si>
  <si>
    <t>-946.30699170476 114.149141656216 -521.688001140051</t>
  </si>
  <si>
    <t>-910.426243730241 236.289392264108 -67.1627921649473</t>
  </si>
  <si>
    <t>-919.835012116783 268.783589550157 334.969350591266</t>
  </si>
  <si>
    <t>-957.963246809645 296.045700524658 780.406462929915</t>
  </si>
  <si>
    <t>-817.652058496803 337.200167240349 841.286346489636</t>
  </si>
  <si>
    <t>-889.964243544233 45.7129386288084 -64.0129735757486</t>
  </si>
  <si>
    <t>-861.430232049684 32.5665463974487 338.31489384578</t>
  </si>
  <si>
    <t>-895.026551560342 44.4070277817173 784.766296427077</t>
  </si>
  <si>
    <t>-798.956327726647 -58.9642036077216 856.684032822424</t>
  </si>
  <si>
    <t>9763-20170724T111244.915341800.bin</t>
  </si>
  <si>
    <t>-900.037075858996 141.173090225968 -64.606289874176</t>
  </si>
  <si>
    <t>-933.884545166378 135.448260908404 -175.230779357269</t>
  </si>
  <si>
    <t>-946.516838519378 135.11652584386 -273.04168680438</t>
  </si>
  <si>
    <t>-951.797659573284 136.327419143905 -361.973648268218</t>
  </si>
  <si>
    <t>-950.527079218558 138.875141618419 -451.024948002632</t>
  </si>
  <si>
    <t>-941.851902368637 143.658131978335 -575.213013506964</t>
  </si>
  <si>
    <t>-909.130122648702 148.706448092544 -651.428611479108</t>
  </si>
  <si>
    <t>-944.688752918236 169.222066972905 -519.429794383807</t>
  </si>
  <si>
    <t>-934.92389938914 304.088142066666 -494.700857396087</t>
  </si>
  <si>
    <t>-855.415296012326 334.02268783602 -212.967796632451</t>
  </si>
  <si>
    <t>-616.217654940568 329.754224411096 -241.553063480476</t>
  </si>
  <si>
    <t>-946.650330839844 113.884959717602 -521.698145147984</t>
  </si>
  <si>
    <t>-910.542877065246 236.377828611862 -67.2386439411672</t>
  </si>
  <si>
    <t>-919.888637100079 268.895976454347 334.893094993892</t>
  </si>
  <si>
    <t>-958.046648379687 296.17311098868 780.349826757982</t>
  </si>
  <si>
    <t>-817.618498700755 336.911841641197 841.239687955876</t>
  </si>
  <si>
    <t>-889.879358762121 45.7879584066659 -63.9878977650726</t>
  </si>
  <si>
    <t>-861.43685997282 32.5693624841365 338.344013629614</t>
  </si>
  <si>
    <t>-895.038038490626 44.3730834173043 784.78890053212</t>
  </si>
  <si>
    <t>-799.037987518257 -59.0674462297454 856.701250533879</t>
  </si>
  <si>
    <t>9763-20170724T111244.982517200.bin</t>
  </si>
  <si>
    <t>-900.043759309066 141.118097308104 -64.6658655095758</t>
  </si>
  <si>
    <t>-933.877018843409 135.286733116299 -175.289167124919</t>
  </si>
  <si>
    <t>-946.561642273258 134.90060116229 -273.093130465623</t>
  </si>
  <si>
    <t>-951.915760641084 136.079210754486 -362.021131717495</t>
  </si>
  <si>
    <t>-950.744341856622 138.612873920471 -451.074243615624</t>
  </si>
  <si>
    <t>-942.232629096911 143.397342365649 -575.273616544163</t>
  </si>
  <si>
    <t>-909.781176071945 146.458892643152 -651.710084703285</t>
  </si>
  <si>
    <t>-945.039910186445 168.962065767464 -519.489372818238</t>
  </si>
  <si>
    <t>-935.707236317131 303.899090774403 -494.891606757499</t>
  </si>
  <si>
    <t>-855.477602409333 333.798767465228 -213.359441130155</t>
  </si>
  <si>
    <t>-616.281672218447 330.219986657931 -242.054953455266</t>
  </si>
  <si>
    <t>-946.916350192405 113.621922854761 -521.749750281838</t>
  </si>
  <si>
    <t>-910.654010880061 236.278175492791 -67.3688653432088</t>
  </si>
  <si>
    <t>-919.902495899961 268.907517230067 334.75608807744</t>
  </si>
  <si>
    <t>-958.065639697735 296.182165187356 780.228691439274</t>
  </si>
  <si>
    <t>-817.644446872097 336.932122473846 841.126860524069</t>
  </si>
  <si>
    <t>-889.773449392322 45.8248676006297 -63.9920719015109</t>
  </si>
  <si>
    <t>-861.605344177083 32.5737621651597 338.358101797933</t>
  </si>
  <si>
    <t>-895.02513956839 44.3786046161977 784.821395575971</t>
  </si>
  <si>
    <t>-798.996520127841 -59.0528079137503 856.708638339195</t>
  </si>
  <si>
    <t>9763-20170724T111245.014326400.bin</t>
  </si>
  <si>
    <t>-900.079458127078 140.96245828884 -64.6749916273598</t>
  </si>
  <si>
    <t>-933.949143928739 135.096397498005 -175.285421456249</t>
  </si>
  <si>
    <t>-946.710237523569 134.759941194463 -273.079494932135</t>
  </si>
  <si>
    <t>-952.149945879262 136.013688795066 -362.001330314719</t>
  </si>
  <si>
    <t>-951.078593726983 138.653497193636 -451.052559426686</t>
  </si>
  <si>
    <t>-942.721887370259 143.617739674268 -575.255425430911</t>
  </si>
  <si>
    <t>-910.7154235413 144.629185951194 -651.93382698475</t>
  </si>
  <si>
    <t>-945.495363703764 169.102874283416 -519.433154735561</t>
  </si>
  <si>
    <t>-936.534141783951 304.026519665812 -494.659703837298</t>
  </si>
  <si>
    <t>-855.954531087351 333.614878460985 -213.19447970083</t>
  </si>
  <si>
    <t>-616.802763092699 330.428129260106 -242.29877344634</t>
  </si>
  <si>
    <t>-947.3031592698 113.763485576894 -521.766569927616</t>
  </si>
  <si>
    <t>-910.789039844881 236.061798067277 -67.3777418358671</t>
  </si>
  <si>
    <t>-919.917903369747 268.827567557042 334.738784852598</t>
  </si>
  <si>
    <t>-958.063590131623 296.172194362167 780.186397643129</t>
  </si>
  <si>
    <t>-817.700995389038 337.121636459335 841.086576309168</t>
  </si>
  <si>
    <t>-889.700049517226 45.7087852712134 -64.0135510957094</t>
  </si>
  <si>
    <t>-861.601572717306 32.474035596571 338.342016294729</t>
  </si>
  <si>
    <t>-895.050313223887 44.3134589603596 784.820727026384</t>
  </si>
  <si>
    <t>-798.853738622799 -58.9688102236278 856.697505562155</t>
  </si>
  <si>
    <t>9763-20170724T111245.081503900.bin</t>
  </si>
  <si>
    <t>-900.028811031432 140.448367338159 -64.7042255985943</t>
  </si>
  <si>
    <t>-933.989817817462 134.542957466556 -175.284662533183</t>
  </si>
  <si>
    <t>-946.915585341977 134.303374153832 -273.057386146951</t>
  </si>
  <si>
    <t>-952.533453436427 135.686388474758 -361.966133017516</t>
  </si>
  <si>
    <t>-951.667713883731 138.493719142955 -451.014633647299</t>
  </si>
  <si>
    <t>-943.622788253009 143.726689035926 -575.226849778966</t>
  </si>
  <si>
    <t>-912.939235303171 139.413258596741 -652.330164873872</t>
  </si>
  <si>
    <t>-946.29356441421 169.092401526489 -519.345139194679</t>
  </si>
  <si>
    <t>-937.330702076431 303.925493986881 -494.107568058355</t>
  </si>
  <si>
    <t>-857.213351241237 332.86513193345 -212.442966523754</t>
  </si>
  <si>
    <t>-618.141031012702 330.192476269571 -242.245402973342</t>
  </si>
  <si>
    <t>-948.032295303745 113.755497698204 -521.789280845764</t>
  </si>
  <si>
    <t>-911.037575321087 235.436221992573 -67.2898238631167</t>
  </si>
  <si>
    <t>-920.19464050309 268.564216078772 334.796425317611</t>
  </si>
  <si>
    <t>-958.037838449627 296.126839440563 780.173753098529</t>
  </si>
  <si>
    <t>-817.711650925939 337.173142607787 841.091655229225</t>
  </si>
  <si>
    <t>-889.243709294886 45.1386905619315 -64.1077040787618</t>
  </si>
  <si>
    <t>-861.165712568737 32.2093802844624 338.259266389336</t>
  </si>
  <si>
    <t>-894.943221113191 44.4160213671125 784.772389779103</t>
  </si>
  <si>
    <t>-798.966622041788 -59.0591547795968 856.666143973302</t>
  </si>
  <si>
    <t>9763-20170724T111245.113150600.bin</t>
  </si>
  <si>
    <t>-899.869123025549 140.092610945778 -64.6890247606151</t>
  </si>
  <si>
    <t>-933.87245447278 134.194316143939 -175.256671432302</t>
  </si>
  <si>
    <t>-946.922693336327 133.946752712504 -273.012877143313</t>
  </si>
  <si>
    <t>-952.688902457135 135.316209950061 -361.912444217928</t>
  </si>
  <si>
    <t>-952.005089711871 138.101819257976 -450.963099013911</t>
  </si>
  <si>
    <t>-944.251274733124 143.297337761264 -575.195507124043</t>
  </si>
  <si>
    <t>-914.359841212329 136.471054664984 -652.428503606243</t>
  </si>
  <si>
    <t>-946.785442130726 168.679459601957 -519.31506077965</t>
  </si>
  <si>
    <t>-937.589376785412 303.498009362184 -494.06316852491</t>
  </si>
  <si>
    <t>-857.644790008712 332.373309960906 -212.343064555402</t>
  </si>
  <si>
    <t>-618.532192680534 329.645000666095 -241.81566062971</t>
  </si>
  <si>
    <t>-948.5411928517 113.342473988547 -521.738812371366</t>
  </si>
  <si>
    <t>-910.959785570917 235.142225806355 -67.2422349856242</t>
  </si>
  <si>
    <t>-920.336368566471 268.395293026468 334.82859367029</t>
  </si>
  <si>
    <t>-958.06104030444 296.153076828497 780.187546515553</t>
  </si>
  <si>
    <t>-817.719671854223 337.134335342487 841.114972842931</t>
  </si>
  <si>
    <t>-889.052599379659 44.7377279677871 -64.1501671241086</t>
  </si>
  <si>
    <t>-861.057666891322 32.0517489167728 338.230321109641</t>
  </si>
  <si>
    <t>-894.905046997786 44.4380332782744 784.746471742343</t>
  </si>
  <si>
    <t>-798.904698582527 -59.0103476960328 856.64674481233</t>
  </si>
  <si>
    <t>9763-20170724T111245.179342500.bin</t>
  </si>
  <si>
    <t>-899.762074055898 139.648843164431 -64.641245641134</t>
  </si>
  <si>
    <t>-933.845487997517 133.81696831653 -175.187799960683</t>
  </si>
  <si>
    <t>-946.929017700346 133.482633163548 -272.939257944413</t>
  </si>
  <si>
    <t>-952.709951208641 134.704786603068 -361.839968291888</t>
  </si>
  <si>
    <t>-952.027165104575 137.265625442507 -450.897318187795</t>
  </si>
  <si>
    <t>-944.259361081514 142.05745046275 -575.145162837288</t>
  </si>
  <si>
    <t>-915.46505459588 131.594738947853 -652.388014829245</t>
  </si>
  <si>
    <t>-946.594364325542 167.613533847561 -519.335180428565</t>
  </si>
  <si>
    <t>-936.757399007399 302.393315340389 -494.162161532188</t>
  </si>
  <si>
    <t>-857.145022946569 331.500964374723 -212.371731964109</t>
  </si>
  <si>
    <t>-618.002129696386 328.321097761389 -241.551147217096</t>
  </si>
  <si>
    <t>-948.760916979651 112.284134769255 -521.604498816798</t>
  </si>
  <si>
    <t>-910.801642989483 234.867175417764 -67.1898523872784</t>
  </si>
  <si>
    <t>-920.296260299512 268.157021174658 334.875161429037</t>
  </si>
  <si>
    <t>-958.105215678541 296.189891895972 780.233543494527</t>
  </si>
  <si>
    <t>-817.701818206944 336.952582107469 841.164455015677</t>
  </si>
  <si>
    <t>-889.144858942735 44.2700787995909 -64.1644228435315</t>
  </si>
  <si>
    <t>-861.220508792355 31.8444665800685 338.229036583599</t>
  </si>
  <si>
    <t>-894.891498821087 44.4111095274234 784.739874549276</t>
  </si>
  <si>
    <t>-798.831700576141 -58.982536746757 856.6397447204</t>
  </si>
  <si>
    <t>9763-20170724T111245.215429400.bin</t>
  </si>
  <si>
    <t>-899.807844002577 139.544747179627 -64.6198775699768</t>
  </si>
  <si>
    <t>-933.920415037429 133.780574778658 -175.160956776483</t>
  </si>
  <si>
    <t>-946.864523549724 133.395506051493 -272.930831883805</t>
  </si>
  <si>
    <t>-952.452633765316 134.517482195608 -361.845242355383</t>
  </si>
  <si>
    <t>-951.510170809756 136.913692327811 -450.904836887408</t>
  </si>
  <si>
    <t>-943.311620472526 141.401550138005 -575.136242682134</t>
  </si>
  <si>
    <t>-914.629683913291 129.724307114914 -652.246552060563</t>
  </si>
  <si>
    <t>-945.638777099917 167.08482256634 -519.384376577739</t>
  </si>
  <si>
    <t>-935.462691350126 301.859664994508 -494.366405315194</t>
  </si>
  <si>
    <t>-855.942225266624 330.937195288652 -212.547103963592</t>
  </si>
  <si>
    <t>-616.803199261003 327.438791954507 -241.72178461212</t>
  </si>
  <si>
    <t>-948.200102125307 111.768553214702 -521.551762007993</t>
  </si>
  <si>
    <t>-910.627229769624 234.713796057484 -67.1611684745567</t>
  </si>
  <si>
    <t>-920.000671979028 268.057399204481 334.902269734876</t>
  </si>
  <si>
    <t>-958.049623169565 296.062147207065 780.258850262888</t>
  </si>
  <si>
    <t>-817.752291996645 337.208001319246 841.176859621523</t>
  </si>
  <si>
    <t>-889.392204203702 44.2159566881387 -64.1388806496492</t>
  </si>
  <si>
    <t>-861.431879732251 31.7291155703201 338.250173593928</t>
  </si>
  <si>
    <t>-894.938700462519 44.3221638235459 784.753798106812</t>
  </si>
  <si>
    <t>-798.694084365845 -58.9077347770567 856.641399216182</t>
  </si>
  <si>
    <t>9763-20170724T111245.282607200.bin</t>
  </si>
  <si>
    <t>-899.868124893986 139.652970371537 -64.5785050354707</t>
  </si>
  <si>
    <t>-934.04883065844 134.028196569591 -175.105822552598</t>
  </si>
  <si>
    <t>-946.704917906279 133.5970557487 -272.913349687301</t>
  </si>
  <si>
    <t>-951.891239801723 134.593826286564 -361.853404832235</t>
  </si>
  <si>
    <t>-950.407607816102 136.764326262286 -450.911370785633</t>
  </si>
  <si>
    <t>-941.310816808083 140.818467654166 -575.095276092669</t>
  </si>
  <si>
    <t>-912.463810548907 127.433716844937 -651.865927025376</t>
  </si>
  <si>
    <t>-943.675298036586 166.67615962452 -519.425659311886</t>
  </si>
  <si>
    <t>-932.943886676046 301.478240022002 -494.746405903046</t>
  </si>
  <si>
    <t>-853.504436027795 330.672799687223 -212.916256493229</t>
  </si>
  <si>
    <t>-614.401249241735 326.673089596859 -242.32034297168</t>
  </si>
  <si>
    <t>-946.952539122388 111.392807758743 -521.470476617152</t>
  </si>
  <si>
    <t>-910.196575043806 234.732189889438 -67.1319473472032</t>
  </si>
  <si>
    <t>-919.314385183921 268.211383718741 334.926090522011</t>
  </si>
  <si>
    <t>-958.124013286628 296.097206018448 780.24918510926</t>
  </si>
  <si>
    <t>-817.757723047805 337.031593158836 841.150640710038</t>
  </si>
  <si>
    <t>-889.875675727747 44.3998265450346 -64.0722882815796</t>
  </si>
  <si>
    <t>-861.73881071531 31.7711371535429 338.300009193965</t>
  </si>
  <si>
    <t>-894.877621694575 44.3850134182312 784.786165371789</t>
  </si>
  <si>
    <t>-798.924053476638 -59.1083808345795 856.684298048299</t>
  </si>
  <si>
    <t>9763-20170724T111245.314277100.bin</t>
  </si>
  <si>
    <t>-899.851018923102 139.645844874462 -64.5665885143226</t>
  </si>
  <si>
    <t>-934.068630902632 134.09904298383 -175.086455946616</t>
  </si>
  <si>
    <t>-946.649550594562 133.669046152006 -272.903479694103</t>
  </si>
  <si>
    <t>-951.725172583887 134.63591492067 -361.850338434626</t>
  </si>
  <si>
    <t>-950.088917182081 136.741420196747 -450.907285699145</t>
  </si>
  <si>
    <t>-940.735482404669 140.663860665918 -575.076295049496</t>
  </si>
  <si>
    <t>-911.816164630706 126.701305901413 -651.716607170998</t>
  </si>
  <si>
    <t>-943.097834046131 166.572831367246 -519.430485841856</t>
  </si>
  <si>
    <t>-932.142491027198 301.403311881523 -494.972590048129</t>
  </si>
  <si>
    <t>-852.844419552175 330.691699427737 -213.112544646764</t>
  </si>
  <si>
    <t>-613.740153966191 326.477233241881 -242.477948513946</t>
  </si>
  <si>
    <t>-946.605121537362 111.30249655604 -521.440702675933</t>
  </si>
  <si>
    <t>-909.971814559522 234.737074050337 -67.1197603771557</t>
  </si>
  <si>
    <t>-919.036240269975 268.280332342038 334.934115066161</t>
  </si>
  <si>
    <t>-958.160279483952 296.128950378898 780.22932659093</t>
  </si>
  <si>
    <t>-817.756001628694 336.935344366198 841.128787971203</t>
  </si>
  <si>
    <t>-890.04024526898 44.3359152287485 -64.0605179857708</t>
  </si>
  <si>
    <t>-861.880116794631 31.8095234981329 338.313417632338</t>
  </si>
  <si>
    <t>-894.863528661097 44.3958260478198 784.801407061667</t>
  </si>
  <si>
    <t>-798.905031933143 -59.0959669658098 856.695210547179</t>
  </si>
  <si>
    <t>9763-20170724T111245.381455000.bin</t>
  </si>
  <si>
    <t>-899.645728298551 139.404048549749 -64.56284966846</t>
  </si>
  <si>
    <t>-933.933170574176 133.941454322849 -175.065105208518</t>
  </si>
  <si>
    <t>-946.51652081614 133.474649044342 -272.881756357044</t>
  </si>
  <si>
    <t>-951.571854493049 134.36006248786 -361.830634408713</t>
  </si>
  <si>
    <t>-949.893499801703 136.329674215155 -450.889889425022</t>
  </si>
  <si>
    <t>-940.460676998588 140.002485093944 -575.060466027444</t>
  </si>
  <si>
    <t>-911.513695660532 125.246214098718 -651.54161572458</t>
  </si>
  <si>
    <t>-942.692838395926 166.012047020498 -519.456238910919</t>
  </si>
  <si>
    <t>-931.183442720615 300.854825697204 -495.322845306142</t>
  </si>
  <si>
    <t>-852.104844541255 330.649852715382 -213.454059222985</t>
  </si>
  <si>
    <t>-612.96402006087 325.891496137786 -242.435543537393</t>
  </si>
  <si>
    <t>-946.530356155211 110.760370230632 -521.382063469537</t>
  </si>
  <si>
    <t>-909.478806092257 234.49226055148 -67.1289337973235</t>
  </si>
  <si>
    <t>-918.563944005934 268.189112175633 334.911652612526</t>
  </si>
  <si>
    <t>-958.149972234333 296.059499935921 780.177955971064</t>
  </si>
  <si>
    <t>-817.875232325556 337.325560292763 841.066865915922</t>
  </si>
  <si>
    <t>-890.142873314769 44.1260024609651 -64.0439878801152</t>
  </si>
  <si>
    <t>-861.966434579394 31.7131698313628 338.332348103576</t>
  </si>
  <si>
    <t>-894.828281312227 44.425597267626 784.827787043442</t>
  </si>
  <si>
    <t>-799.051925693803 -59.237279580934 856.717880237255</t>
  </si>
  <si>
    <t>9763-20170724T111245.413556500.bin</t>
  </si>
  <si>
    <t>-899.628559770566 139.408708003233 -64.5549495551792</t>
  </si>
  <si>
    <t>-933.955574338452 133.966537249857 -175.045874434246</t>
  </si>
  <si>
    <t>-946.603590031981 133.488561757547 -272.854128626551</t>
  </si>
  <si>
    <t>-951.729545289136 134.351361006877 -361.799253835999</t>
  </si>
  <si>
    <t>-950.134623765432 136.285097897843 -450.860826764886</t>
  </si>
  <si>
    <t>-940.830713481752 139.892399900628 -575.043015896552</t>
  </si>
  <si>
    <t>-911.876397091939 124.898222517726 -651.474995405503</t>
  </si>
  <si>
    <t>-942.953780716872 165.927658407902 -519.446527001744</t>
  </si>
  <si>
    <t>-931.210151551607 300.765237746324 -495.409039421251</t>
  </si>
  <si>
    <t>-852.110437735531 330.758674585982 -213.567216494641</t>
  </si>
  <si>
    <t>-612.961770305334 325.761248584739 -242.442583555748</t>
  </si>
  <si>
    <t>-946.895860286271 110.682489114898 -521.346619803141</t>
  </si>
  <si>
    <t>-909.459093603485 234.554673736521 -67.1444028996722</t>
  </si>
  <si>
    <t>-918.542722835534 268.213915284397 334.899370379987</t>
  </si>
  <si>
    <t>-958.2204989195 296.151812884286 780.149286214144</t>
  </si>
  <si>
    <t>-817.804818254313 336.929413196501 841.042301560041</t>
  </si>
  <si>
    <t>-890.159968823461 44.1149824188069 -64.0376844356047</t>
  </si>
  <si>
    <t>-862.014792232288 31.7420245971512 338.342069384175</t>
  </si>
  <si>
    <t>-894.765020667756 44.5136631936998 784.834827705849</t>
  </si>
  <si>
    <t>-799.067047070358 -59.2247948451941 856.72036991437</t>
  </si>
  <si>
    <t>9763-20170724T111245.478732500.bin</t>
  </si>
  <si>
    <t>-899.690056087138 139.354417176056 -64.5811042938331</t>
  </si>
  <si>
    <t>-934.147982911753 133.968083507718 -175.034057340995</t>
  </si>
  <si>
    <t>-947.000733861473 133.515862026273 -272.815748578439</t>
  </si>
  <si>
    <t>-952.349738924911 134.39738876136 -361.747550177592</t>
  </si>
  <si>
    <t>-951.014744931732 136.345042123446 -450.812964985839</t>
  </si>
  <si>
    <t>-942.112628339919 139.969758432189 -575.024180796747</t>
  </si>
  <si>
    <t>-913.20264837744 124.756139475427 -651.429582862</t>
  </si>
  <si>
    <t>-944.022510729688 165.994612859735 -519.415093774219</t>
  </si>
  <si>
    <t>-932.020881958368 300.824309315089 -495.459126690024</t>
  </si>
  <si>
    <t>-852.808305559928 330.886498908295 -213.656281324246</t>
  </si>
  <si>
    <t>-613.655955218363 325.759859027692 -242.478894948101</t>
  </si>
  <si>
    <t>-948.037430614143 110.75493162162 -521.314852409804</t>
  </si>
  <si>
    <t>-909.392032149151 234.540756309783 -67.1682768653784</t>
  </si>
  <si>
    <t>-918.486171381718 268.17017574117 334.87775240434</t>
  </si>
  <si>
    <t>-958.211268430727 296.1193698736 780.109863535017</t>
  </si>
  <si>
    <t>-817.789556264147 336.87624689976 841.002784573962</t>
  </si>
  <si>
    <t>-890.334285266597 43.9849268178568 -64.0473565230485</t>
  </si>
  <si>
    <t>-862.195972343825 31.6948227405514 338.335318462395</t>
  </si>
  <si>
    <t>-894.811049158071 44.4066248357135 784.84216471712</t>
  </si>
  <si>
    <t>-798.852818268183 -59.103797679795 856.70941687919</t>
  </si>
  <si>
    <t>9763-20170724T111245.510821800.bin</t>
  </si>
  <si>
    <t>-899.724739675986 139.365593201278 -64.6024632562435</t>
  </si>
  <si>
    <t>-934.250519872177 133.988747735996 -175.034766520907</t>
  </si>
  <si>
    <t>-947.22698437708 133.555949548977 -272.800268768679</t>
  </si>
  <si>
    <t>-952.714112363179 134.462533174613 -361.72333500184</t>
  </si>
  <si>
    <t>-951.543323169722 136.445385992314 -450.79034698538</t>
  </si>
  <si>
    <t>-942.897049647655 140.131494885099 -575.017824878852</t>
  </si>
  <si>
    <t>-914.037098961159 124.969739910668 -651.452434933031</t>
  </si>
  <si>
    <t>-944.707429010461 166.12989995074 -519.392997515168</t>
  </si>
  <si>
    <t>-932.600251280481 300.959899245033 -495.483489371619</t>
  </si>
  <si>
    <t>-853.399952927248 330.97494612277 -213.672099796872</t>
  </si>
  <si>
    <t>-614.240105714922 325.851507994509 -242.432496788423</t>
  </si>
  <si>
    <t>-948.696524340914 110.888908127242 -521.309876624496</t>
  </si>
  <si>
    <t>-909.406475157037 234.588098825754 -67.1763198861923</t>
  </si>
  <si>
    <t>-918.450298421925 268.260091430397 334.867278457461</t>
  </si>
  <si>
    <t>-958.302296232761 296.250821137365 780.100740396775</t>
  </si>
  <si>
    <t>-817.83304208544 336.841545156532 840.99484409611</t>
  </si>
  <si>
    <t>-890.375037112678 43.9778297719813 -64.0634144755376</t>
  </si>
  <si>
    <t>-862.171497415478 31.729909007182 338.316073718363</t>
  </si>
  <si>
    <t>-894.764459806672 44.4593537817441 784.829872136035</t>
  </si>
  <si>
    <t>-798.898023069403 -59.1301067583768 856.705921013093</t>
  </si>
  <si>
    <t>9763-20170724T111245.580006000.bin</t>
  </si>
  <si>
    <t>-899.775598087528 139.368911769461 -64.6064485748246</t>
  </si>
  <si>
    <t>-934.434914590736 133.97074552609 -174.99587237544</t>
  </si>
  <si>
    <t>-947.795281391429 133.585414076199 -272.709776560597</t>
  </si>
  <si>
    <t>-953.739556467618 134.575064744532 -361.602646697573</t>
  </si>
  <si>
    <t>-953.133919654026 136.691114996332 -450.672222760864</t>
  </si>
  <si>
    <t>-945.387740475314 140.62386845159 -574.951488758363</t>
  </si>
  <si>
    <t>-916.698963656679 125.985852620314 -651.552471794099</t>
  </si>
  <si>
    <t>-946.908925047703 166.520414797372 -519.270379234987</t>
  </si>
  <si>
    <t>-934.610968527941 301.341446617128 -495.437816987783</t>
  </si>
  <si>
    <t>-855.326873432774 331.589833494847 -213.674882880307</t>
  </si>
  <si>
    <t>-616.10866338726 326.432225397997 -241.939696457365</t>
  </si>
  <si>
    <t>-950.683983938136 111.266593114735 -521.254292870419</t>
  </si>
  <si>
    <t>-909.473020227547 234.565553973993 -67.1908550822211</t>
  </si>
  <si>
    <t>-918.337781187101 268.239840996441 334.85657140535</t>
  </si>
  <si>
    <t>-958.239826321337 296.147001757198 780.075441596196</t>
  </si>
  <si>
    <t>-817.82240778071 336.920227901649 840.967370914696</t>
  </si>
  <si>
    <t>-890.413335184546 44.0012588453938 -64.0674132665674</t>
  </si>
  <si>
    <t>-862.049758187171 31.705634389094 338.299339061113</t>
  </si>
  <si>
    <t>-894.73966947604 44.4420425926855 784.80735953293</t>
  </si>
  <si>
    <t>-798.816557023723 -59.0838646668633 856.698994077666</t>
  </si>
  <si>
    <t>9763-20170724T111245.615722200.bin</t>
  </si>
  <si>
    <t>-899.746807611252 139.410936911263 -64.6123903088089</t>
  </si>
  <si>
    <t>-934.477243705129 133.976048682627 -174.977661753145</t>
  </si>
  <si>
    <t>-948.065242189695 133.599477553979 -272.660244818513</t>
  </si>
  <si>
    <t>-954.2828065272 134.621571401962 -361.533972162793</t>
  </si>
  <si>
    <t>-954.01823155919 136.800766138449 -450.60367975613</t>
  </si>
  <si>
    <t>-946.816957593777 140.859201271373 -574.911691886725</t>
  </si>
  <si>
    <t>-918.164701832995 126.648837873859 -651.606876811407</t>
  </si>
  <si>
    <t>-948.17636604313 166.7049465448 -519.202983592006</t>
  </si>
  <si>
    <t>-935.909664264901 301.545977170248 -495.388877702438</t>
  </si>
  <si>
    <t>-856.563864241386 331.898155622676 -213.654581006268</t>
  </si>
  <si>
    <t>-617.329425867717 326.75595317106 -241.784594459499</t>
  </si>
  <si>
    <t>-951.795232886647 111.441853992589 -521.216809236179</t>
  </si>
  <si>
    <t>-909.491081038605 234.567151226235 -67.2151879416159</t>
  </si>
  <si>
    <t>-918.313555091033 268.23166439503 334.833992976383</t>
  </si>
  <si>
    <t>-958.204696254494 296.100671216023 780.052229947274</t>
  </si>
  <si>
    <t>-817.839750518788 337.051173953907 840.945962423594</t>
  </si>
  <si>
    <t>-890.330030434036 44.0635950960191 -64.0671419315554</t>
  </si>
  <si>
    <t>-861.929576476552 31.7937279677999 338.297815211802</t>
  </si>
  <si>
    <t>-894.636892501461 44.5717277124363 784.792286396105</t>
  </si>
  <si>
    <t>-798.897946142657 -59.1095098262665 856.705524326163</t>
  </si>
  <si>
    <t>9763-20170724T111245.679892600.bin</t>
  </si>
  <si>
    <t>-899.862178540476 139.522090506583 -64.643572655319</t>
  </si>
  <si>
    <t>-934.624888088454 133.94999318555 -174.991782149472</t>
  </si>
  <si>
    <t>-948.325174603465 133.50066143403 -272.65827994723</t>
  </si>
  <si>
    <t>-954.678956874693 134.48063310021 -361.522920312904</t>
  </si>
  <si>
    <t>-954.583816441016 136.647219532847 -450.5933639735</t>
  </si>
  <si>
    <t>-947.653755340384 140.723203813837 -574.916152994195</t>
  </si>
  <si>
    <t>-918.963348543698 127.15525018984 -651.713391735781</t>
  </si>
  <si>
    <t>-949.00657464031 166.568431742322 -519.207051405354</t>
  </si>
  <si>
    <t>-937.041874630097 301.453827534933 -495.52337330446</t>
  </si>
  <si>
    <t>-857.769216911702 331.987999888538 -213.78815354061</t>
  </si>
  <si>
    <t>-618.532293390838 327.332171569979 -241.981809925939</t>
  </si>
  <si>
    <t>-952.400185316345 111.290543176381 -521.208593506912</t>
  </si>
  <si>
    <t>-909.758434746559 234.693115329648 -67.3154018822614</t>
  </si>
  <si>
    <t>-918.534566424842 268.387122351054 334.732294976556</t>
  </si>
  <si>
    <t>-958.212230448372 296.137851463549 779.985829186404</t>
  </si>
  <si>
    <t>-817.782757653763 336.834934182791 840.900656103377</t>
  </si>
  <si>
    <t>-890.280821392299 44.1520696195053 -64.0556264494747</t>
  </si>
  <si>
    <t>-861.908176538777 31.8540575857633 338.310439676823</t>
  </si>
  <si>
    <t>-894.698405564407 44.4382888192899 784.796937356481</t>
  </si>
  <si>
    <t>-798.78238076896 -59.0828947937248 856.705250248512</t>
  </si>
  <si>
    <t>9763-20170724T111245.716527100.bin</t>
  </si>
  <si>
    <t>-899.939855673979 139.584133818177 -64.6785386609083</t>
  </si>
  <si>
    <t>-934.679005014848 133.93683945075 -175.03037856544</t>
  </si>
  <si>
    <t>-948.340569703618 133.446722251541 -272.702120983396</t>
  </si>
  <si>
    <t>-954.65180908408 134.39896202353 -361.570014529565</t>
  </si>
  <si>
    <t>-954.50576235343 136.546888206074 -450.640803995161</t>
  </si>
  <si>
    <t>-947.496431839051 140.606677521224 -574.959858472759</t>
  </si>
  <si>
    <t>-918.835932881067 127.134407081747 -651.785023490469</t>
  </si>
  <si>
    <t>-948.926280747134 166.461912676921 -519.257228801687</t>
  </si>
  <si>
    <t>-937.175705705226 301.371946423589 -495.598315030952</t>
  </si>
  <si>
    <t>-858.021785290519 332.005360408072 -213.840476020389</t>
  </si>
  <si>
    <t>-618.784095761039 327.662898510896 -242.076875129649</t>
  </si>
  <si>
    <t>-952.235447673275 111.17840407058 -521.249121901245</t>
  </si>
  <si>
    <t>-909.958632547547 234.774607377616 -67.3730748102628</t>
  </si>
  <si>
    <t>-918.733103390951 268.495873336277 334.67231020906</t>
  </si>
  <si>
    <t>-958.274618912245 296.258555928506 779.939191142959</t>
  </si>
  <si>
    <t>-817.804421141736 336.786500834239 840.873642327599</t>
  </si>
  <si>
    <t>-890.257660340722 44.2183451534042 -64.0523722619652</t>
  </si>
  <si>
    <t>-861.922959635094 31.8766303054767 338.315048069021</t>
  </si>
  <si>
    <t>-894.73421478634 44.374322745155 784.805294142346</t>
  </si>
  <si>
    <t>-798.752333739974 -59.0916406725783 856.70490065263</t>
  </si>
  <si>
    <t>9763-20170724T111245.778690000.bin</t>
  </si>
  <si>
    <t>-899.928820855236 139.620410694521 -64.7599606835782</t>
  </si>
  <si>
    <t>-934.603132856895 133.897533993048 -175.128226765784</t>
  </si>
  <si>
    <t>-948.232948410199 133.350536687365 -272.804210711279</t>
  </si>
  <si>
    <t>-954.524416391594 134.253034618227 -361.674024434297</t>
  </si>
  <si>
    <t>-954.36864722102 136.353583432634 -450.745951938582</t>
  </si>
  <si>
    <t>-947.355201496604 140.349352460886 -575.066764045625</t>
  </si>
  <si>
    <t>-918.808663330846 126.802248339598 -651.920941766148</t>
  </si>
  <si>
    <t>-948.833248492967 166.236024676578 -519.380078661824</t>
  </si>
  <si>
    <t>-937.332753401864 301.152754197919 -495.671781429709</t>
  </si>
  <si>
    <t>-858.230148843009 331.91396076965 -213.913558478553</t>
  </si>
  <si>
    <t>-618.97797081467 328.01095899093 -242.093137136495</t>
  </si>
  <si>
    <t>-952.049919854849 110.946027672464 -521.338513222894</t>
  </si>
  <si>
    <t>-910.052839232837 234.738716859644 -67.4802138644601</t>
  </si>
  <si>
    <t>-919.079997500787 268.44066386154 334.561276732525</t>
  </si>
  <si>
    <t>-958.128880345108 296.109889793834 779.841579008727</t>
  </si>
  <si>
    <t>-817.799833206097 337.069266977567 840.812007999734</t>
  </si>
  <si>
    <t>-890.133037195241 44.2979770510447 -64.0952030600221</t>
  </si>
  <si>
    <t>-861.871568887271 31.9562760276103 338.277280568603</t>
  </si>
  <si>
    <t>-894.705871846508 44.3763862413671 784.794883627708</t>
  </si>
  <si>
    <t>-798.819548183206 -59.1752490008723 856.698486868188</t>
  </si>
  <si>
    <t>9763-20170724T111245.815304700.bin</t>
  </si>
  <si>
    <t>-899.924172313847 139.659059008177 -64.7657094896944</t>
  </si>
  <si>
    <t>-934.56667422655 133.908383019193 -175.142472409805</t>
  </si>
  <si>
    <t>-948.167441960881 133.32159545207 -272.822287605983</t>
  </si>
  <si>
    <t>-954.432324463643 134.181275091446 -361.694428625777</t>
  </si>
  <si>
    <t>-954.249365287711 136.2323540248 -450.767442540105</t>
  </si>
  <si>
    <t>-947.198625680016 140.151665533575 -575.088424378177</t>
  </si>
  <si>
    <t>-918.648999234952 126.543102443602 -651.930946444583</t>
  </si>
  <si>
    <t>-948.697589358597 166.072825001278 -519.418466661144</t>
  </si>
  <si>
    <t>-937.249362220324 301.00043191684 -495.74294150412</t>
  </si>
  <si>
    <t>-858.085975508438 331.896601641286 -214.016528310322</t>
  </si>
  <si>
    <t>-618.819581351161 328.053305328624 -242.081622612597</t>
  </si>
  <si>
    <t>-951.905227798513 110.781272192247 -521.343456874391</t>
  </si>
  <si>
    <t>-910.075771235685 234.772571511754 -67.5267900517119</t>
  </si>
  <si>
    <t>-919.219857216569 268.41129204598 334.517397438816</t>
  </si>
  <si>
    <t>-958.091970271864 296.08066210831 779.813114942047</t>
  </si>
  <si>
    <t>-817.80263781491 337.160559869257 840.793086975046</t>
  </si>
  <si>
    <t>-890.107007583502 44.3468110956796 -64.1087897747409</t>
  </si>
  <si>
    <t>-861.893869826339 31.999422049566 338.266926583541</t>
  </si>
  <si>
    <t>-894.701024210244 44.3608600904295 784.787739488354</t>
  </si>
  <si>
    <t>-798.819861024287 -59.1924576569072 856.696336823874</t>
  </si>
  <si>
    <t>9763-20170724T111245.879473300.bin</t>
  </si>
  <si>
    <t>-899.964381354487 139.744252218538 -64.8366994972318</t>
  </si>
  <si>
    <t>-934.586173145691 133.959122225025 -175.218293319027</t>
  </si>
  <si>
    <t>-948.107630215605 133.289726013924 -272.908393297575</t>
  </si>
  <si>
    <t>-954.276973259127 134.051403527893 -361.788078037402</t>
  </si>
  <si>
    <t>-953.975680168601 135.980284153044 -450.863465513346</t>
  </si>
  <si>
    <t>-946.736130898011 139.701538169788 -575.17997856966</t>
  </si>
  <si>
    <t>-918.09600857425 125.928722774126 -651.959340634336</t>
  </si>
  <si>
    <t>-948.29966597174 165.710238951605 -519.552298506727</t>
  </si>
  <si>
    <t>-936.872298810979 300.658030698413 -495.98381226418</t>
  </si>
  <si>
    <t>-857.657405537328 331.729779193975 -214.291342406285</t>
  </si>
  <si>
    <t>-618.385375139339 327.994847764223 -242.322869093065</t>
  </si>
  <si>
    <t>-951.543808634405 110.417673517656 -521.396448517144</t>
  </si>
  <si>
    <t>-910.188875831572 234.919288005009 -67.61243510586</t>
  </si>
  <si>
    <t>-919.290217499293 268.466898204932 334.440302590751</t>
  </si>
  <si>
    <t>-958.153857034624 296.203299783412 779.77598048601</t>
  </si>
  <si>
    <t>-817.889467751041 337.361385469152 840.760726597052</t>
  </si>
  <si>
    <t>-890.07846117809 44.3754385357265 -64.1340059888607</t>
  </si>
  <si>
    <t>-861.945029036164 32.0562302364151 338.248206048619</t>
  </si>
  <si>
    <t>-894.646655535976 44.3947648296257 784.770434283265</t>
  </si>
  <si>
    <t>-798.704073665669 -59.0897810830559 856.696139694617</t>
  </si>
  <si>
    <t>9763-20170724T111245.915575600.bin</t>
  </si>
  <si>
    <t>-899.929296984656 139.722357439677 -64.868302765411</t>
  </si>
  <si>
    <t>-934.5399929628 133.938856513878 -175.253378600505</t>
  </si>
  <si>
    <t>-948.024039729209 133.240097643054 -272.948589683355</t>
  </si>
  <si>
    <t>-954.149042741161 133.962572055341 -361.831676906244</t>
  </si>
  <si>
    <t>-953.792722490119 135.838008173509 -450.908049012732</t>
  </si>
  <si>
    <t>-946.466022007906 139.469855745931 -575.222003667421</t>
  </si>
  <si>
    <t>-917.758628637738 125.607363218228 -651.960107719746</t>
  </si>
  <si>
    <t>-948.045933502692 165.517329362975 -519.612902894826</t>
  </si>
  <si>
    <t>-936.590863024738 300.469870889322 -496.075190649008</t>
  </si>
  <si>
    <t>-857.294375863448 331.573318464955 -214.409071423628</t>
  </si>
  <si>
    <t>-618.023771598995 327.842300537917 -242.454939010592</t>
  </si>
  <si>
    <t>-951.334685711717 110.226342538601 -521.422055036991</t>
  </si>
  <si>
    <t>-910.108483893718 234.914939904916 -67.6331597735297</t>
  </si>
  <si>
    <t>-919.206845451681 268.488211063585 334.417442266771</t>
  </si>
  <si>
    <t>-958.191993977155 296.249112622579 779.761143501344</t>
  </si>
  <si>
    <t>-817.886572578966 337.267183971633 840.746046917108</t>
  </si>
  <si>
    <t>-890.100082263495 44.3031486606678 -64.1318522828647</t>
  </si>
  <si>
    <t>-861.948989435043 31.9768792279542 338.248937575043</t>
  </si>
  <si>
    <t>-894.669378310242 44.3438959887667 784.771164282677</t>
  </si>
  <si>
    <t>-798.577363584373 -59.0062526074696 856.690451921204</t>
  </si>
  <si>
    <t>9763-20170724T111245.980750600.bin</t>
  </si>
  <si>
    <t>-899.753633459788 139.804822129494 -64.8751100361823</t>
  </si>
  <si>
    <t>-934.34977771835 134.04107835382 -175.265819544026</t>
  </si>
  <si>
    <t>-947.768079544993 133.310298667343 -272.969877088762</t>
  </si>
  <si>
    <t>-953.812450580004 133.984147054939 -361.858871064763</t>
  </si>
  <si>
    <t>-953.356333416277 135.789813874678 -450.936171832097</t>
  </si>
  <si>
    <t>-945.869617759119 139.301104484477 -575.243977708712</t>
  </si>
  <si>
    <t>-917.07284305232 125.231008992305 -651.910860203251</t>
  </si>
  <si>
    <t>-947.467390021676 165.398992133392 -519.659308880283</t>
  </si>
  <si>
    <t>-935.884635509085 300.344202313626 -496.143351162311</t>
  </si>
  <si>
    <t>-856.449142278335 331.494771688745 -214.521604384205</t>
  </si>
  <si>
    <t>-617.196467036745 327.726584660611 -242.714266033951</t>
  </si>
  <si>
    <t>-950.861019287317 110.113065297524 -521.425333188295</t>
  </si>
  <si>
    <t>-909.809411816608 235.018176288401 -67.6680007478175</t>
  </si>
  <si>
    <t>-918.999682813779 268.548053357448 334.384245286406</t>
  </si>
  <si>
    <t>-958.238057819051 296.304408390558 779.715020172038</t>
  </si>
  <si>
    <t>-817.915785760135 337.264867608239 840.700258225703</t>
  </si>
  <si>
    <t>-890.041386430871 44.4498335081653 -64.1203177082703</t>
  </si>
  <si>
    <t>-861.944327880675 32.0197035200895 338.260985909164</t>
  </si>
  <si>
    <t>-894.596911462467 44.4463219346535 784.775715253062</t>
  </si>
  <si>
    <t>-798.714363539368 -59.0937704251612 856.701447610752</t>
  </si>
  <si>
    <t>9763-20170724T111246.017416100.bin</t>
  </si>
  <si>
    <t>-899.666193461395 139.873131398369 -64.8792220803394</t>
  </si>
  <si>
    <t>-934.241657269338 134.114642663422 -175.276647197108</t>
  </si>
  <si>
    <t>-947.624376259293 133.368066035745 -272.985472253226</t>
  </si>
  <si>
    <t>-953.63016199776 134.018637475272 -361.877201151995</t>
  </si>
  <si>
    <t>-953.128970124365 135.79149307533 -450.95490940366</t>
  </si>
  <si>
    <t>-945.57334680261 139.247083038046 -575.260220055574</t>
  </si>
  <si>
    <t>-916.751727938526 125.061633396534 -651.896442045106</t>
  </si>
  <si>
    <t>-947.17210693219 165.368086197862 -519.686222045389</t>
  </si>
  <si>
    <t>-935.497694618742 300.307805387281 -496.165635617809</t>
  </si>
  <si>
    <t>-856.038860415945 331.455652549768 -214.550013946863</t>
  </si>
  <si>
    <t>-616.785243103496 327.637185506237 -242.729385134159</t>
  </si>
  <si>
    <t>-950.623971968664 110.085138023568 -521.432934442448</t>
  </si>
  <si>
    <t>-909.703867218893 235.100261460238 -67.6860329145221</t>
  </si>
  <si>
    <t>-918.906363520764 268.602929802134 334.368098704667</t>
  </si>
  <si>
    <t>-958.311258300773 296.406094460525 779.696172790087</t>
  </si>
  <si>
    <t>-817.934301960054 337.182165153557 840.678833488612</t>
  </si>
  <si>
    <t>-889.9844322442 44.4779213701886 -64.1082095950195</t>
  </si>
  <si>
    <t>-861.940191914209 32.0120947381993 338.27562778388</t>
  </si>
  <si>
    <t>-894.621385515512 44.3988812419839 784.787571788591</t>
  </si>
  <si>
    <t>-798.74701417059 -59.1507982827609 856.710173737881</t>
  </si>
  <si>
    <t>9763-20170724T111246.079580400.bin</t>
  </si>
  <si>
    <t>-899.436851488002 139.827741744279 -64.8890601432671</t>
  </si>
  <si>
    <t>-933.975095069657 134.102259264761 -175.299954430164</t>
  </si>
  <si>
    <t>-947.279833642847 133.326216121477 -273.019093291407</t>
  </si>
  <si>
    <t>-953.197915616352 133.925364942145 -361.917152140368</t>
  </si>
  <si>
    <t>-952.591915252974 135.619612822793 -450.995748404465</t>
  </si>
  <si>
    <t>-944.873786348668 138.93526067608 -575.29476842747</t>
  </si>
  <si>
    <t>-916.052294060675 124.536183368443 -651.891315785085</t>
  </si>
  <si>
    <t>-946.482847040607 165.114671654442 -519.748594027523</t>
  </si>
  <si>
    <t>-934.674463067451 300.045152453378 -496.269484263253</t>
  </si>
  <si>
    <t>-855.305775634359 331.117438029929 -214.620155443669</t>
  </si>
  <si>
    <t>-616.047813429596 327.224775221353 -242.75168269202</t>
  </si>
  <si>
    <t>-950.057431381791 109.837758353577 -521.445225516912</t>
  </si>
  <si>
    <t>-909.361058417304 235.076354885144 -67.7072023836909</t>
  </si>
  <si>
    <t>-918.540749897226 268.568465130169 334.348345023493</t>
  </si>
  <si>
    <t>-958.273949299941 296.311187439142 779.654888420819</t>
  </si>
  <si>
    <t>-817.923699490228 337.203814861924 840.621423799868</t>
  </si>
  <si>
    <t>-889.861976584705 44.3835704684302 -64.0918580117562</t>
  </si>
  <si>
    <t>-861.947283569451 31.8886790208526 338.300086864652</t>
  </si>
  <si>
    <t>-894.681419483052 44.2866957090059 784.802740164514</t>
  </si>
  <si>
    <t>-798.580421481344 -59.0681768452007 856.70325196396</t>
  </si>
  <si>
    <t>9763-20170724T111246.111190400.bin</t>
  </si>
  <si>
    <t>-899.239448645724 139.839261049514 -64.8854871571801</t>
  </si>
  <si>
    <t>-933.769678180801 134.128727131278 -175.299592206383</t>
  </si>
  <si>
    <t>-947.067763646834 133.350773929244 -273.01965000188</t>
  </si>
  <si>
    <t>-952.979322249269 133.941655754085 -361.918223702628</t>
  </si>
  <si>
    <t>-952.367466121105 135.620839415425 -450.99702337433</t>
  </si>
  <si>
    <t>-944.641390655383 138.907960507878 -575.296357755716</t>
  </si>
  <si>
    <t>-915.848355606492 124.455107238452 -651.893530304962</t>
  </si>
  <si>
    <t>-946.236723203349 165.098752794847 -519.755461596833</t>
  </si>
  <si>
    <t>-934.372660197471 300.02060934042 -496.273932699444</t>
  </si>
  <si>
    <t>-854.985479884028 331.021442341446 -214.621917396972</t>
  </si>
  <si>
    <t>-615.726400728617 327.11089000193 -242.739729205139</t>
  </si>
  <si>
    <t>-949.845609994394 109.823930891871 -521.441415398895</t>
  </si>
  <si>
    <t>-909.122644971379 235.063222698909 -67.7030555291044</t>
  </si>
  <si>
    <t>-918.357128169742 268.565352174447 334.350435319589</t>
  </si>
  <si>
    <t>-958.234279916244 296.227037994249 779.638115187292</t>
  </si>
  <si>
    <t>-817.880144948137 337.119536564913 840.596186727073</t>
  </si>
  <si>
    <t>-889.688063741443 44.4180249578981 -64.0883295782193</t>
  </si>
  <si>
    <t>-861.853524459402 31.8761929771049 338.307745261787</t>
  </si>
  <si>
    <t>-894.650749918379 44.3355890806265 784.803330883573</t>
  </si>
  <si>
    <t>-798.734087479631 -59.1877332347167 856.707613090751</t>
  </si>
  <si>
    <t>9763-20170724T111246.179371800.bin</t>
  </si>
  <si>
    <t>-898.910925823854 139.881815723988 -64.8929959842002</t>
  </si>
  <si>
    <t>-933.409597764976 134.208456520036 -175.318763562176</t>
  </si>
  <si>
    <t>-946.738876512877 133.438852357423 -273.034758495462</t>
  </si>
  <si>
    <t>-952.703672631982 134.028839320421 -361.929617382578</t>
  </si>
  <si>
    <t>-952.169507533605 135.699722160919 -451.009287311855</t>
  </si>
  <si>
    <t>-944.577983328872 138.967251949645 -575.317370524115</t>
  </si>
  <si>
    <t>-915.8854579893 124.468550471641 -651.943389396873</t>
  </si>
  <si>
    <t>-946.095514472898 165.165663072778 -519.777668395356</t>
  </si>
  <si>
    <t>-934.18987305695 300.095500711494 -496.302674433035</t>
  </si>
  <si>
    <t>-854.704148039857 330.897456237262 -214.656578358589</t>
  </si>
  <si>
    <t>-615.450181771706 327.060498602089 -242.82891256058</t>
  </si>
  <si>
    <t>-949.741885013603 109.893116930551 -521.453204391776</t>
  </si>
  <si>
    <t>-908.763998103281 235.148152662758 -67.6992115116526</t>
  </si>
  <si>
    <t>-918.089274296486 268.613385056407 334.355236988717</t>
  </si>
  <si>
    <t>-958.288399813292 296.288173681607 779.605662354555</t>
  </si>
  <si>
    <t>-817.875693444846 336.980716599475 840.56234764554</t>
  </si>
  <si>
    <t>-889.393277970391 44.4456719692835 -64.0986941419238</t>
  </si>
  <si>
    <t>-861.727715262042 31.8309717756802 338.306774568033</t>
  </si>
  <si>
    <t>-894.616707075285 44.3733207271357 784.798448244608</t>
  </si>
  <si>
    <t>-798.676529452315 -59.1349336957023 856.692707616561</t>
  </si>
  <si>
    <t>9763-20170724T111246.216868400.bin</t>
  </si>
  <si>
    <t>-898.777800223629 139.947877048017 -64.8818496098055</t>
  </si>
  <si>
    <t>-933.246589702894 134.28699153099 -175.317701818071</t>
  </si>
  <si>
    <t>-946.564285107939 133.513381354654 -273.035103336854</t>
  </si>
  <si>
    <t>-952.52435350034 134.094299332913 -361.930394753179</t>
  </si>
  <si>
    <t>-951.992151303921 135.750519438151 -451.010371231065</t>
  </si>
  <si>
    <t>-944.410353018953 138.992343963249 -575.319808515472</t>
  </si>
  <si>
    <t>-915.753674829808 124.451016706121 -651.951231623789</t>
  </si>
  <si>
    <t>-945.915417267673 165.201659214928 -519.784962364132</t>
  </si>
  <si>
    <t>-934.007042073723 300.127947480796 -496.313153988902</t>
  </si>
  <si>
    <t>-854.490236538287 330.845116531733 -214.666685025807</t>
  </si>
  <si>
    <t>-615.242374022743 327.040104303835 -242.894445145728</t>
  </si>
  <si>
    <t>-949.57781375672 109.929773875927 -521.449569107375</t>
  </si>
  <si>
    <t>-908.618680138711 235.256047995061 -67.6980651101468</t>
  </si>
  <si>
    <t>-918.012219535509 268.691236947261 334.357302841409</t>
  </si>
  <si>
    <t>-958.361109754212 296.399828010578 779.593984626445</t>
  </si>
  <si>
    <t>-817.869878783685 336.815457966594 840.553365045332</t>
  </si>
  <si>
    <t>-889.26112809625 44.491316061929 -64.0926966675104</t>
  </si>
  <si>
    <t>-861.642593621676 31.8181053542203 338.314194250396</t>
  </si>
  <si>
    <t>-894.610315325717 44.3723263204151 784.794232471107</t>
  </si>
  <si>
    <t>-798.699744120715 -59.1625343650865 856.6900040649</t>
  </si>
  <si>
    <t>9763-20170724T111246.282042300.bin</t>
  </si>
  <si>
    <t>-898.512881623288 139.881873500088 -64.8667695342391</t>
  </si>
  <si>
    <t>-932.929530159782 134.209876230836 -175.318345428267</t>
  </si>
  <si>
    <t>-946.19799056032 133.407781854391 -273.042270130101</t>
  </si>
  <si>
    <t>-952.112939692805 133.954821490708 -361.94087688446</t>
  </si>
  <si>
    <t>-951.53514174845 135.568613409455 -451.021044281687</t>
  </si>
  <si>
    <t>-943.889120447017 138.74230798388 -575.32825230844</t>
  </si>
  <si>
    <t>-915.271649566894 124.088709688206 -651.952998828404</t>
  </si>
  <si>
    <t>-945.417929978231 164.981776868166 -519.808340837299</t>
  </si>
  <si>
    <t>-933.557770952504 299.913891373315 -496.342442951761</t>
  </si>
  <si>
    <t>-854.010748380342 330.710791574271 -214.713271455488</t>
  </si>
  <si>
    <t>-614.772092353823 326.994699838984 -243.032561593756</t>
  </si>
  <si>
    <t>-949.089499274706 109.709848017576 -521.445379599276</t>
  </si>
  <si>
    <t>-908.389206994522 235.186056193784 -67.6963719501412</t>
  </si>
  <si>
    <t>-917.787682569897 268.628585796159 334.358317285895</t>
  </si>
  <si>
    <t>-958.289537173354 296.275557035266 779.571616100642</t>
  </si>
  <si>
    <t>-817.834577432133 336.820378961536 840.529253246405</t>
  </si>
  <si>
    <t>-888.959326552712 44.3654934793617 -64.0810494030339</t>
  </si>
  <si>
    <t>-861.463723710787 31.7120422156522 338.334847378285</t>
  </si>
  <si>
    <t>-894.585503334794 44.3985877753212 784.789769121904</t>
  </si>
  <si>
    <t>-798.65482239489 -59.1203373624473 856.681369662881</t>
  </si>
  <si>
    <t>9763-20170724T111246.315136800.bin</t>
  </si>
  <si>
    <t>-898.38354593686 139.832203061276 -64.8739860756697</t>
  </si>
  <si>
    <t>-932.785685435802 134.161957833265 -175.330143700841</t>
  </si>
  <si>
    <t>-946.033045860877 133.35082780861 -273.056906550012</t>
  </si>
  <si>
    <t>-951.925508406601 133.885052113989 -361.956963640205</t>
  </si>
  <si>
    <t>-951.322206112284 135.481466435342 -451.037475815977</t>
  </si>
  <si>
    <t>-943.637386064059 138.625233892044 -575.343109719275</t>
  </si>
  <si>
    <t>-915.03263010173 123.905501819603 -651.959810600464</t>
  </si>
  <si>
    <t>-945.18447290658 164.878100151175 -519.829973160273</t>
  </si>
  <si>
    <t>-933.376205086267 299.812537351284 -496.359019878299</t>
  </si>
  <si>
    <t>-853.88752288768 330.574050756888 -214.709351868306</t>
  </si>
  <si>
    <t>-614.648908705127 326.921788099937 -243.036918716681</t>
  </si>
  <si>
    <t>-948.853753295754 109.605428304868 -521.454733467127</t>
  </si>
  <si>
    <t>-908.248143974813 235.180026858838 -67.7032309318017</t>
  </si>
  <si>
    <t>-917.744182981993 268.609581102182 334.350174741801</t>
  </si>
  <si>
    <t>-958.352276239243 296.36526660171 779.556399160139</t>
  </si>
  <si>
    <t>-817.878237587498 336.842921335242 840.514054800434</t>
  </si>
  <si>
    <t>-888.856236190993 44.3113647113901 -64.0814975156993</t>
  </si>
  <si>
    <t>-861.433490950245 31.6324615936305 338.338482785221</t>
  </si>
  <si>
    <t>-894.631519143986 44.3164781654496 784.788998255745</t>
  </si>
  <si>
    <t>-798.550902282911 -59.0663093382486 856.676766946273</t>
  </si>
  <si>
    <t>9763-20170724T111246.382315700.bin</t>
  </si>
  <si>
    <t>-898.112233622209 139.718128127281 -64.8923498800613</t>
  </si>
  <si>
    <t>-932.477199302598 134.037767708496 -175.35951728088</t>
  </si>
  <si>
    <t>-945.675402467017 133.209695109893 -273.092837990756</t>
  </si>
  <si>
    <t>-951.516401077669 133.724501965258 -361.996418596421</t>
  </si>
  <si>
    <t>-950.854642647561 135.296611737266 -451.07691387284</t>
  </si>
  <si>
    <t>-943.082190676291 138.401907467376 -575.377950709201</t>
  </si>
  <si>
    <t>-914.501663279661 123.581044849811 -651.984249657552</t>
  </si>
  <si>
    <t>-944.675454008451 164.672441545807 -519.874506062832</t>
  </si>
  <si>
    <t>-932.998047318023 299.611345038897 -496.372575889412</t>
  </si>
  <si>
    <t>-853.597597459369 330.286811994837 -214.688767304746</t>
  </si>
  <si>
    <t>-614.357006468054 326.840974444165 -243.026085403609</t>
  </si>
  <si>
    <t>-948.329890653477 109.398364076238 -521.483867181851</t>
  </si>
  <si>
    <t>-907.94986478039 235.0084771593 -67.7200954002022</t>
  </si>
  <si>
    <t>-917.596500926842 268.417762631202 334.331430993424</t>
  </si>
  <si>
    <t>-958.176166947572 296.074469536072 779.530143882126</t>
  </si>
  <si>
    <t>-817.88571164314 337.194913472733 840.480706466209</t>
  </si>
  <si>
    <t>-888.604332752537 44.2291480105282 -64.0998997649963</t>
  </si>
  <si>
    <t>-861.277993083953 31.500028151147 338.325163811395</t>
  </si>
  <si>
    <t>-894.625067934515 44.3030572120952 784.779417612717</t>
  </si>
  <si>
    <t>-798.554129356611 -59.0866678884365 856.670145107963</t>
  </si>
  <si>
    <t>9763-20170724T111246.412409500.bin</t>
  </si>
  <si>
    <t>-898.083945041956 139.713887347443 -64.9001991524001</t>
  </si>
  <si>
    <t>-932.435370682972 134.0303546256 -175.371549848749</t>
  </si>
  <si>
    <t>-945.616036162293 133.19914025563 -273.106995026284</t>
  </si>
  <si>
    <t>-951.438993636431 133.710656329058 -362.011858785658</t>
  </si>
  <si>
    <t>-950.757005640227 135.278807430253 -451.092231206391</t>
  </si>
  <si>
    <t>-942.953684560549 138.378031030085 -575.391632647439</t>
  </si>
  <si>
    <t>-914.387379166378 123.532909478155 -651.998552965961</t>
  </si>
  <si>
    <t>-944.565370895911 164.651556848753 -519.890183095017</t>
  </si>
  <si>
    <t>-932.942345188974 299.592465327533 -496.368196668774</t>
  </si>
  <si>
    <t>-853.589026884222 330.209818073127 -214.664705857286</t>
  </si>
  <si>
    <t>-614.352180228079 326.825352549245 -243.041145324364</t>
  </si>
  <si>
    <t>-948.209742356772 109.376676688989 -521.497066154408</t>
  </si>
  <si>
    <t>-907.977340714821 235.045133886671 -67.7262614336172</t>
  </si>
  <si>
    <t>-917.601908692812 268.461564282851 334.325235778882</t>
  </si>
  <si>
    <t>-958.239850804059 296.170302361063 779.519942081384</t>
  </si>
  <si>
    <t>-817.811061826541 336.804599792793 840.477932122657</t>
  </si>
  <si>
    <t>-888.542273056971 44.1787258379113 -64.1128111216768</t>
  </si>
  <si>
    <t>-861.273644563936 31.4871088878763 338.317324385119</t>
  </si>
  <si>
    <t>-894.640799651349 44.2742230096028 784.776593428131</t>
  </si>
  <si>
    <t>-798.626277501599 -59.1670844364451 856.668302594915</t>
  </si>
  <si>
    <t>9763-20170724T111246.483599000.bin</t>
  </si>
  <si>
    <t>-898.013157487467 139.637922821084 -64.9136472050461</t>
  </si>
  <si>
    <t>-932.334833984387 133.965414043539 -175.394737028923</t>
  </si>
  <si>
    <t>-945.473750107199 133.146111646606 -273.135963808149</t>
  </si>
  <si>
    <t>-951.252435592887 133.669250595828 -362.043635729748</t>
  </si>
  <si>
    <t>-950.520518261712 135.250521214289 -451.123507277114</t>
  </si>
  <si>
    <t>-942.640529428214 138.36845850662 -575.417491840742</t>
  </si>
  <si>
    <t>-914.086369566569 123.5052442566 -652.025378799017</t>
  </si>
  <si>
    <t>-944.291959814736 164.633960121996 -519.913358013808</t>
  </si>
  <si>
    <t>-932.777632748943 299.569006657278 -496.326584067696</t>
  </si>
  <si>
    <t>-853.372324666662 330.126998015362 -214.631402540825</t>
  </si>
  <si>
    <t>-614.149969264449 326.854861730462 -243.141178235449</t>
  </si>
  <si>
    <t>-947.924160440828 109.358827356329 -521.530190316042</t>
  </si>
  <si>
    <t>-907.893608551929 234.966243398617 -67.732759504234</t>
  </si>
  <si>
    <t>-917.535700885022 268.391978127189 334.317473467731</t>
  </si>
  <si>
    <t>-958.245378545828 296.167636428421 779.501552416284</t>
  </si>
  <si>
    <t>-817.900234316674 337.093843436217 840.457232864022</t>
  </si>
  <si>
    <t>-888.494592398265 44.1311321983903 -64.1236396442755</t>
  </si>
  <si>
    <t>-861.301652634014 31.4492316834676 338.311957943556</t>
  </si>
  <si>
    <t>-894.600025869618 44.3315143081368 784.775297348808</t>
  </si>
  <si>
    <t>-798.553626457698 -59.0821014340695 856.664057817634</t>
  </si>
  <si>
    <t>9763-20170724T111246.516707000.bin</t>
  </si>
  <si>
    <t>-897.998872399425 139.596736274315 -64.9142405374445</t>
  </si>
  <si>
    <t>-932.308295766157 133.935289176443 -175.399693990791</t>
  </si>
  <si>
    <t>-945.441616903214 133.123140900917 -273.141779645187</t>
  </si>
  <si>
    <t>-951.217500966365 133.652257979569 -362.049573213586</t>
  </si>
  <si>
    <t>-950.484740157073 135.239463495856 -451.129252574628</t>
  </si>
  <si>
    <t>-942.606355051247 138.365906227086 -575.423144374232</t>
  </si>
  <si>
    <t>-914.061589023657 123.52426450012 -652.03880495337</t>
  </si>
  <si>
    <t>-944.260303504739 164.627775628936 -519.917367715556</t>
  </si>
  <si>
    <t>-932.783686863827 299.565068897568 -496.304405965084</t>
  </si>
  <si>
    <t>-853.364687785363 330.082944591143 -214.608723523736</t>
  </si>
  <si>
    <t>-614.15156765426 326.844991471081 -243.201605464948</t>
  </si>
  <si>
    <t>-947.886265903808 109.352300296047 -521.537586344205</t>
  </si>
  <si>
    <t>-907.848324388975 234.925002669243 -67.7310747165056</t>
  </si>
  <si>
    <t>-917.546402154486 268.338346045439 334.318912311609</t>
  </si>
  <si>
    <t>-958.237970650685 296.152525768685 779.496378115467</t>
  </si>
  <si>
    <t>-817.936077203801 337.231894218648 840.449046212129</t>
  </si>
  <si>
    <t>-888.505525676767 44.0867052188855 -64.1273657472004</t>
  </si>
  <si>
    <t>-861.331464121387 31.3753878315215 338.308571082857</t>
  </si>
  <si>
    <t>-894.640183873724 44.2551111926741 784.771089777738</t>
  </si>
  <si>
    <t>-798.452977333274 -59.0302935046898 856.656259794809</t>
  </si>
  <si>
    <t>9763-20170724T111246.581883300.bin</t>
  </si>
  <si>
    <t>-897.962139497492 139.635054891124 -64.9061352099941</t>
  </si>
  <si>
    <t>-932.242092414911 133.97926897884 -175.401003864083</t>
  </si>
  <si>
    <t>-945.338302753396 133.166748623332 -273.148164794337</t>
  </si>
  <si>
    <t>-951.076652614704 133.693932085077 -362.058322327298</t>
  </si>
  <si>
    <t>-950.302287803205 135.277282278387 -451.137650782072</t>
  </si>
  <si>
    <t>-942.361667528676 138.39644994454 -575.427919298938</t>
  </si>
  <si>
    <t>-913.817149686925 123.591570600829 -652.050699895762</t>
  </si>
  <si>
    <t>-944.035041952859 164.661046606511 -519.923974050339</t>
  </si>
  <si>
    <t>-932.56137960549 299.590365665365 -496.264163379944</t>
  </si>
  <si>
    <t>-853.183403747425 330.040181335033 -214.549380258639</t>
  </si>
  <si>
    <t>-613.967549381726 326.815184958549 -243.116771637759</t>
  </si>
  <si>
    <t>-947.677093997997 109.386558979911 -521.543776760148</t>
  </si>
  <si>
    <t>-907.783593751828 234.982327547214 -67.7431054013177</t>
  </si>
  <si>
    <t>-917.58107299957 268.356184963875 334.307714555919</t>
  </si>
  <si>
    <t>-958.269093711748 296.182403710646 779.489428285321</t>
  </si>
  <si>
    <t>-817.89712532246 337.028183511456 840.437102975508</t>
  </si>
  <si>
    <t>-888.472834129394 44.0925167422006 -64.128772124094</t>
  </si>
  <si>
    <t>-861.346798271826 31.4005311530354 338.310997805913</t>
  </si>
  <si>
    <t>-894.623176791473 44.2618058061798 784.767781546194</t>
  </si>
  <si>
    <t>-798.461250533315 -59.0495414667416 856.649582897123</t>
  </si>
  <si>
    <t>9763-20170724T111246.618544900.bin</t>
  </si>
  <si>
    <t>-897.883554676621 139.651586762997 -64.9105676398875</t>
  </si>
  <si>
    <t>-932.161862886433 133.985208344035 -175.405418449436</t>
  </si>
  <si>
    <t>-945.232907767573 133.175019310212 -273.155837077824</t>
  </si>
  <si>
    <t>-950.93834884189 133.707972221699 -362.068140638414</t>
  </si>
  <si>
    <t>-950.120119995899 135.300253970807 -451.147020589306</t>
  </si>
  <si>
    <t>-942.108069385302 138.434961673511 -575.43222265026</t>
  </si>
  <si>
    <t>-913.551414027777 123.640126581175 -652.052251491814</t>
  </si>
  <si>
    <t>-943.806370055543 164.692403643882 -519.925521218864</t>
  </si>
  <si>
    <t>-932.312782752876 299.611123648199 -496.231937304977</t>
  </si>
  <si>
    <t>-852.997173757089 330.042120527957 -214.49765452295</t>
  </si>
  <si>
    <t>-613.778079622816 326.800814309328 -243.039958173149</t>
  </si>
  <si>
    <t>-947.461665210562 109.418824631921 -521.555268761407</t>
  </si>
  <si>
    <t>-907.7088664606 234.992046687895 -67.7546897764797</t>
  </si>
  <si>
    <t>-917.538084297685 268.370480666641 334.294989311434</t>
  </si>
  <si>
    <t>-958.266522775815 296.164689780371 779.479370215381</t>
  </si>
  <si>
    <t>-817.872504905749 336.93949850201 840.424391203902</t>
  </si>
  <si>
    <t>-888.373712644825 44.1035279462544 -64.1263954241</t>
  </si>
  <si>
    <t>-861.314990819521 31.4217624820699 338.318165114646</t>
  </si>
  <si>
    <t>-894.578009624399 44.323926120966 784.766000247146</t>
  </si>
  <si>
    <t>-798.575647316114 -59.1253577305258 856.663031096087</t>
  </si>
  <si>
    <t>9763-20170724T111246.681712800.bin</t>
  </si>
  <si>
    <t>-897.809670137958 139.669260710863 -64.9347181491961</t>
  </si>
  <si>
    <t>-932.088958985216 134.017814703206 -175.430021407077</t>
  </si>
  <si>
    <t>-945.156779006358 133.210604888553 -273.180991992844</t>
  </si>
  <si>
    <t>-950.857356163907 133.743192059629 -362.093578763364</t>
  </si>
  <si>
    <t>-950.033707820849 135.330764081087 -451.172533110073</t>
  </si>
  <si>
    <t>-942.01216692277 138.454609645778 -575.457190710653</t>
  </si>
  <si>
    <t>-913.475567216683 123.692166120375 -652.091238159734</t>
  </si>
  <si>
    <t>-943.70084381426 164.715591884627 -519.95225597643</t>
  </si>
  <si>
    <t>-932.156436971827 299.62054958396 -496.193645304484</t>
  </si>
  <si>
    <t>-852.876951037748 329.787452737011 -214.420741350002</t>
  </si>
  <si>
    <t>-613.658753913772 326.521100684485 -242.966678572989</t>
  </si>
  <si>
    <t>-947.383094572877 109.444019200277 -521.579155703751</t>
  </si>
  <si>
    <t>-907.652633149619 235.045988203288 -67.7685402091906</t>
  </si>
  <si>
    <t>-917.438572301873 268.44001872526 334.280895313923</t>
  </si>
  <si>
    <t>-958.337303742331 296.256082268015 779.460804123446</t>
  </si>
  <si>
    <t>-817.812595536043 336.576002447551 840.406966329022</t>
  </si>
  <si>
    <t>-888.317478228034 44.0894613217192 -64.1279559060221</t>
  </si>
  <si>
    <t>-861.273726426685 31.397659702649 338.317311636524</t>
  </si>
  <si>
    <t>-894.547382371099 44.3522789985964 784.760328101728</t>
  </si>
  <si>
    <t>-798.54999015384 -59.0936446497885 856.667845531907</t>
  </si>
  <si>
    <t>9763-20170724T111246.712805500.bin</t>
  </si>
  <si>
    <t>-897.747685357659 139.591460003749 -64.9263709924967</t>
  </si>
  <si>
    <t>-932.030705187689 133.94666216429 -175.420911999505</t>
  </si>
  <si>
    <t>-945.104696959488 133.141311011559 -273.171101397257</t>
  </si>
  <si>
    <t>-950.812621850785 133.673901837195 -362.083187146657</t>
  </si>
  <si>
    <t>-949.997409766583 135.260588008503 -451.162191627508</t>
  </si>
  <si>
    <t>-941.989347895433 138.382544959409 -575.447920487341</t>
  </si>
  <si>
    <t>-913.455583357421 123.640004813888 -652.086753275723</t>
  </si>
  <si>
    <t>-943.66811115308 164.644395176589 -519.942742443509</t>
  </si>
  <si>
    <t>-932.092148402924 299.543453675021 -496.169451212301</t>
  </si>
  <si>
    <t>-852.853310926952 329.618268498957 -214.375284734025</t>
  </si>
  <si>
    <t>-613.639760181743 326.324380810667 -242.957041743143</t>
  </si>
  <si>
    <t>-947.358397818058 109.373266049862 -521.5690056611</t>
  </si>
  <si>
    <t>-907.544024198299 234.952624960145 -67.7658408224257</t>
  </si>
  <si>
    <t>-917.355829005588 268.340863416702 334.283479186816</t>
  </si>
  <si>
    <t>-958.312199639743 296.201909212199 779.455285439803</t>
  </si>
  <si>
    <t>-817.907713494155 336.95117988824 840.392883849545</t>
  </si>
  <si>
    <t>-888.290510734702 44.0189213920612 -64.1241216528932</t>
  </si>
  <si>
    <t>-861.25847929889 31.3298995559389 338.322098473421</t>
  </si>
  <si>
    <t>-894.598135935384 44.2662788245893 784.761673388066</t>
  </si>
  <si>
    <t>-798.541960966684 -59.1263450809759 856.667771446837</t>
  </si>
  <si>
    <t>9763-20170724T111246.778982300.bin</t>
  </si>
  <si>
    <t>-897.643678149365 139.558304836677 -64.932739124874</t>
  </si>
  <si>
    <t>-931.967617420245 133.922556432926 -175.414952736474</t>
  </si>
  <si>
    <t>-945.076931464048 133.120829224686 -273.160330920256</t>
  </si>
  <si>
    <t>-950.816949302798 133.655907987245 -362.070500730491</t>
  </si>
  <si>
    <t>-950.033914610369 135.244910049187 -451.149659201156</t>
  </si>
  <si>
    <t>-942.071344339228 138.369444328143 -575.438137730625</t>
  </si>
  <si>
    <t>-913.527610579326 123.687664013442 -652.085033388818</t>
  </si>
  <si>
    <t>-943.718607493374 164.6290870116 -519.931318502173</t>
  </si>
  <si>
    <t>-932.085102232229 299.5198216732 -496.129411637052</t>
  </si>
  <si>
    <t>-852.728151538764 329.588436938884 -214.367933554622</t>
  </si>
  <si>
    <t>-613.527925150466 326.229168099638 -243.053315582166</t>
  </si>
  <si>
    <t>-947.432096926044 109.359484559915 -521.558640944476</t>
  </si>
  <si>
    <t>-907.419621566836 234.958893579537 -67.786774155201</t>
  </si>
  <si>
    <t>-917.299530558605 268.280829166607 334.266299819812</t>
  </si>
  <si>
    <t>-958.298776959874 296.174203196705 779.424573313499</t>
  </si>
  <si>
    <t>-817.844432907321 336.748279259139 840.364160454112</t>
  </si>
  <si>
    <t>-888.214785643888 43.9662866415688 -64.1327525238106</t>
  </si>
  <si>
    <t>-861.25139665396 31.3229922009859 338.319514898266</t>
  </si>
  <si>
    <t>-894.543222993026 44.3346247924305 784.753641778461</t>
  </si>
  <si>
    <t>-798.545753794209 -59.10413888315 856.671771851593</t>
  </si>
  <si>
    <t>9763-20170724T111246.813625900.bin</t>
  </si>
  <si>
    <t>-897.576903468294 139.512290316653 -64.9425017628923</t>
  </si>
  <si>
    <t>-931.919632780063 133.893263506605 -175.419701949684</t>
  </si>
  <si>
    <t>-945.048764984333 133.093812000095 -273.162488294203</t>
  </si>
  <si>
    <t>-950.807853733047 133.62676253976 -362.0713288592</t>
  </si>
  <si>
    <t>-950.046328261449 135.209413839741 -451.150802519903</t>
  </si>
  <si>
    <t>-942.115060496802 138.321144665227 -575.441662317666</t>
  </si>
  <si>
    <t>-913.581452810153 123.666255686725 -652.097413303694</t>
  </si>
  <si>
    <t>-943.737320201616 164.585880279572 -519.93645200713</t>
  </si>
  <si>
    <t>-932.067573369588 299.478898070222 -496.144297748443</t>
  </si>
  <si>
    <t>-852.712955382834 329.57149840951 -214.384667676725</t>
  </si>
  <si>
    <t>-613.5223878907 326.197730521077 -243.149020360383</t>
  </si>
  <si>
    <t>-947.472843559511 109.317619619257 -521.558516582713</t>
  </si>
  <si>
    <t>-907.275883208687 234.907509366721 -67.7912143239438</t>
  </si>
  <si>
    <t>-917.213789832251 268.236837352397 334.25985706073</t>
  </si>
  <si>
    <t>-958.256746013883 296.106916859214 779.413621134166</t>
  </si>
  <si>
    <t>-817.805335139412 336.694222379171 840.350775182642</t>
  </si>
  <si>
    <t>-888.199489047101 43.9142268015817 -64.1368422851224</t>
  </si>
  <si>
    <t>-861.234768166381 31.2720241450997 338.315290853955</t>
  </si>
  <si>
    <t>-894.54043825932 44.3258621721302 784.752910756054</t>
  </si>
  <si>
    <t>-798.519563468382 -59.0902709897236 856.672207687228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</si>
</sst>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6"/>
  <dimension ref="A1:Y3400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>
        <f>-731.419579668649 -4.89317865202474 -635.463755987064</f>
        <v>-1371.7765143077377</v>
      </c>
      <c r="J1" t="s">
        <v>7</v>
      </c>
      <c r="K1" t="s">
        <v>8</v>
      </c>
      <c r="L1" t="s">
        <v>9</v>
      </c>
      <c r="M1" t="s">
        <v>10</v>
      </c>
      <c r="N1">
        <f>-786.45599338451 -15.0906421593013 -513.214016713121</f>
        <v>-1314.7606522569322</v>
      </c>
      <c r="O1">
        <f>-817.681895931025 -145.549350258146 -483.16730512183</f>
        <v>-1446.398551311001</v>
      </c>
      <c r="P1">
        <f>-958.115354128882 -174.848290484919 -226.240797954342</f>
        <v>-1359.2044425681431</v>
      </c>
      <c r="Q1">
        <f>-861.979679229256 -199.182665415511 -6.65787764707829</f>
        <v>-1067.8202222918453</v>
      </c>
      <c r="R1" t="s">
        <v>11</v>
      </c>
      <c r="S1" t="s">
        <v>12</v>
      </c>
      <c r="T1" t="s">
        <v>13</v>
      </c>
      <c r="U1" t="s">
        <v>14</v>
      </c>
      <c r="V1">
        <f>-715.499392991796 -59.1742005578956 -63.7246554190319</f>
        <v>-838.39824896872346</v>
      </c>
      <c r="W1" t="s">
        <v>15</v>
      </c>
      <c r="X1" t="s">
        <v>16</v>
      </c>
      <c r="Y1" t="s">
        <v>17</v>
      </c>
    </row>
    <row r="2" spans="1:25" x14ac:dyDescent="0.3">
      <c r="A2">
        <v>50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>
        <f>-735.738464721991 -0.323852454674579 -636.869060793145</f>
        <v>-1372.9313779698105</v>
      </c>
      <c r="J2" t="s">
        <v>25</v>
      </c>
      <c r="K2" t="s">
        <v>26</v>
      </c>
      <c r="L2" t="s">
        <v>27</v>
      </c>
      <c r="M2" t="s">
        <v>28</v>
      </c>
      <c r="N2">
        <f>-789.349241731636 -11.2752117375849 -513.816846129627</f>
        <v>-1314.4412995988478</v>
      </c>
      <c r="O2">
        <f>-821.841631799962 -141.654852387366 -484.784677562724</f>
        <v>-1448.281161750052</v>
      </c>
      <c r="P2">
        <f>-951.006636759678 -174.221587295394 -222.397618058443</f>
        <v>-1347.6258421135151</v>
      </c>
      <c r="Q2">
        <f>-830.584200827385 -203.135835542093 -15.7257243020164</f>
        <v>-1049.4457606714943</v>
      </c>
      <c r="R2" t="s">
        <v>29</v>
      </c>
      <c r="S2" t="s">
        <v>30</v>
      </c>
      <c r="T2" t="s">
        <v>31</v>
      </c>
      <c r="U2" t="s">
        <v>32</v>
      </c>
      <c r="V2">
        <f>-719.076456112404 -57.8561150000926 -63.7367949627452</f>
        <v>-840.66936607524178</v>
      </c>
      <c r="W2" t="s">
        <v>33</v>
      </c>
      <c r="X2" t="s">
        <v>34</v>
      </c>
      <c r="Y2" t="s">
        <v>35</v>
      </c>
    </row>
    <row r="3" spans="1:25" x14ac:dyDescent="0.3">
      <c r="A3">
        <v>100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47</v>
      </c>
      <c r="N3">
        <f>-794.717264475904 -5.35061011956759 -514.382491055962</f>
        <v>-1314.4503656514335</v>
      </c>
      <c r="O3">
        <f>-829.052471883905 -135.538441493114 -486.837303664715</f>
        <v>-1451.4282170417341</v>
      </c>
      <c r="P3">
        <f>-928.23216822213 -180.587690269199 -213.478305557683</f>
        <v>-1322.2981640490118</v>
      </c>
      <c r="Q3">
        <f>-767.966511444604 -196.050507855408 -34.2392424184616</f>
        <v>-998.25626171847352</v>
      </c>
      <c r="R3" t="s">
        <v>48</v>
      </c>
      <c r="S3" t="s">
        <v>49</v>
      </c>
      <c r="T3" t="s">
        <v>50</v>
      </c>
      <c r="U3" t="s">
        <v>51</v>
      </c>
      <c r="V3">
        <f>-725.744669119316 -57.2850718962827 -63.5138217072347</f>
        <v>-846.54356272283337</v>
      </c>
      <c r="W3" t="s">
        <v>52</v>
      </c>
      <c r="X3" t="s">
        <v>53</v>
      </c>
      <c r="Y3" t="s">
        <v>54</v>
      </c>
    </row>
    <row r="4" spans="1:25" x14ac:dyDescent="0.3">
      <c r="A4">
        <v>150</v>
      </c>
      <c r="B4" t="s">
        <v>55</v>
      </c>
      <c r="C4" t="s">
        <v>56</v>
      </c>
      <c r="D4" t="s">
        <v>57</v>
      </c>
      <c r="E4" t="s">
        <v>58</v>
      </c>
      <c r="F4" t="s">
        <v>59</v>
      </c>
      <c r="G4" t="s">
        <v>60</v>
      </c>
      <c r="H4" t="s">
        <v>61</v>
      </c>
      <c r="I4" t="s">
        <v>62</v>
      </c>
      <c r="J4" t="s">
        <v>63</v>
      </c>
      <c r="K4" t="s">
        <v>64</v>
      </c>
      <c r="L4" t="s">
        <v>65</v>
      </c>
      <c r="M4" t="s">
        <v>66</v>
      </c>
      <c r="N4">
        <f>-797.102497146106 -3.73133383999584 -514.196211990308</f>
        <v>-1315.0300429764097</v>
      </c>
      <c r="O4">
        <f>-831.748940504051 -133.88603177299 -487.02350731297</f>
        <v>-1452.658479590011</v>
      </c>
      <c r="P4">
        <f>-911.208127671832 -186.919560446225 -208.698524960288</f>
        <v>-1306.8262130783451</v>
      </c>
      <c r="Q4">
        <f>-738.722556793702 -184.769919947701 -40.4875075678032</f>
        <v>-963.97998430920609</v>
      </c>
      <c r="R4" t="s">
        <v>67</v>
      </c>
      <c r="S4" t="s">
        <v>68</v>
      </c>
      <c r="T4" t="s">
        <v>69</v>
      </c>
      <c r="U4" t="s">
        <v>70</v>
      </c>
      <c r="V4">
        <f>-728.677835657432 -58.0108047423826 -63.2529212601137</f>
        <v>-849.9415616599282</v>
      </c>
      <c r="W4" t="s">
        <v>71</v>
      </c>
      <c r="X4" t="s">
        <v>72</v>
      </c>
      <c r="Y4" t="s">
        <v>73</v>
      </c>
    </row>
    <row r="5" spans="1:25" x14ac:dyDescent="0.3">
      <c r="A5">
        <v>200</v>
      </c>
      <c r="B5" t="s">
        <v>74</v>
      </c>
      <c r="C5" t="s">
        <v>75</v>
      </c>
      <c r="D5" t="s">
        <v>76</v>
      </c>
      <c r="E5" t="s">
        <v>77</v>
      </c>
      <c r="F5" t="s">
        <v>78</v>
      </c>
      <c r="G5" t="s">
        <v>79</v>
      </c>
      <c r="H5" t="s">
        <v>80</v>
      </c>
      <c r="I5" t="s">
        <v>81</v>
      </c>
      <c r="J5" t="s">
        <v>82</v>
      </c>
      <c r="K5" t="s">
        <v>83</v>
      </c>
      <c r="L5" t="s">
        <v>84</v>
      </c>
      <c r="M5" t="s">
        <v>85</v>
      </c>
      <c r="N5">
        <f>-801.38475032004 -2.50612439923179 -513.555020334282</f>
        <v>-1317.4458950535536</v>
      </c>
      <c r="O5">
        <f>-832.136261542059 -133.079560274103 -483.953017340547</f>
        <v>-1449.1688391567088</v>
      </c>
      <c r="P5">
        <f>-867.239620829944 -201.523485520635 -199.9206150431</f>
        <v>-1268.683721393679</v>
      </c>
      <c r="Q5">
        <f>-689.272380846866 -153.881522380741 -44.6507469085632</f>
        <v>-887.80465013617015</v>
      </c>
      <c r="R5" t="s">
        <v>86</v>
      </c>
      <c r="S5" t="s">
        <v>87</v>
      </c>
      <c r="T5" t="s">
        <v>88</v>
      </c>
      <c r="U5" t="s">
        <v>89</v>
      </c>
      <c r="V5">
        <f>-733.324145535679 -59.5229400864471 -62.6699431978146</f>
        <v>-855.51702881994072</v>
      </c>
      <c r="W5" t="s">
        <v>90</v>
      </c>
      <c r="X5" t="s">
        <v>91</v>
      </c>
      <c r="Y5" t="s">
        <v>92</v>
      </c>
    </row>
    <row r="6" spans="1:25" x14ac:dyDescent="0.3">
      <c r="A6">
        <v>250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  <c r="G6" t="s">
        <v>98</v>
      </c>
      <c r="H6" t="s">
        <v>99</v>
      </c>
      <c r="I6" t="s">
        <v>100</v>
      </c>
      <c r="J6" t="s">
        <v>101</v>
      </c>
      <c r="K6" t="s">
        <v>102</v>
      </c>
      <c r="L6" t="s">
        <v>103</v>
      </c>
      <c r="M6" t="s">
        <v>104</v>
      </c>
      <c r="N6">
        <f>-802.75328646281 -2.89087596421587 -513.212759014095</f>
        <v>-1318.8569214411209</v>
      </c>
      <c r="O6">
        <f>-829.826844924694 -133.895696828647 -481.678053170019</f>
        <v>-1445.4005949233601</v>
      </c>
      <c r="P6">
        <f>-845.35029090775 -204.594138958284 -196.455384177763</f>
        <v>-1246.3998140437971</v>
      </c>
      <c r="Q6">
        <f>-672.170107960893 -135.801688102122 -43.7233888105666</f>
        <v>-851.69518487358164</v>
      </c>
      <c r="R6" t="s">
        <v>105</v>
      </c>
      <c r="S6" t="s">
        <v>106</v>
      </c>
      <c r="T6" t="s">
        <v>107</v>
      </c>
      <c r="U6" t="s">
        <v>108</v>
      </c>
      <c r="V6">
        <f>-734.979055479051 -60.2034862899184 -62.429214355048</f>
        <v>-857.61175612401735</v>
      </c>
      <c r="W6" t="s">
        <v>109</v>
      </c>
      <c r="X6" t="s">
        <v>110</v>
      </c>
      <c r="Y6" t="s">
        <v>111</v>
      </c>
    </row>
    <row r="7" spans="1:25" x14ac:dyDescent="0.3">
      <c r="A7">
        <v>300</v>
      </c>
      <c r="B7" t="s">
        <v>112</v>
      </c>
      <c r="C7" t="s">
        <v>113</v>
      </c>
      <c r="D7" t="s">
        <v>114</v>
      </c>
      <c r="E7" t="s">
        <v>115</v>
      </c>
      <c r="F7" t="s">
        <v>116</v>
      </c>
      <c r="G7" t="s">
        <v>117</v>
      </c>
      <c r="H7" t="s">
        <v>118</v>
      </c>
      <c r="I7" t="s">
        <v>119</v>
      </c>
      <c r="J7" t="s">
        <v>120</v>
      </c>
      <c r="K7" t="s">
        <v>121</v>
      </c>
      <c r="L7" t="s">
        <v>122</v>
      </c>
      <c r="M7" t="s">
        <v>123</v>
      </c>
      <c r="N7">
        <f>-803.600878823219 -4.31501902322543 -513.019107900208</f>
        <v>-1320.9350057466525</v>
      </c>
      <c r="O7">
        <f>-824.072267277428 -135.947525599676 -479.015577157205</f>
        <v>-1439.0353700343089</v>
      </c>
      <c r="P7">
        <f>-810.296522357219 -199.716811047202 -192.075006525674</f>
        <v>-1202.0883399300951</v>
      </c>
      <c r="Q7">
        <f>-652.934451481628 -99.0296962815285 -39.923231552423</f>
        <v>-791.88737931557944</v>
      </c>
      <c r="R7" t="s">
        <v>124</v>
      </c>
      <c r="S7" t="s">
        <v>125</v>
      </c>
      <c r="T7" t="s">
        <v>126</v>
      </c>
      <c r="U7" t="s">
        <v>127</v>
      </c>
      <c r="V7">
        <f>-736.291925172842 -61.1507793161816 -62.2473796249308</f>
        <v>-859.6900841139543</v>
      </c>
      <c r="W7" t="s">
        <v>128</v>
      </c>
      <c r="X7" t="s">
        <v>129</v>
      </c>
      <c r="Y7" t="s">
        <v>130</v>
      </c>
    </row>
    <row r="8" spans="1:25" x14ac:dyDescent="0.3">
      <c r="A8">
        <v>350</v>
      </c>
      <c r="B8" t="s">
        <v>131</v>
      </c>
      <c r="C8" t="s">
        <v>132</v>
      </c>
      <c r="D8" t="s">
        <v>133</v>
      </c>
      <c r="E8" t="s">
        <v>134</v>
      </c>
      <c r="F8" t="s">
        <v>135</v>
      </c>
      <c r="G8" t="s">
        <v>136</v>
      </c>
      <c r="H8" t="s">
        <v>137</v>
      </c>
      <c r="I8" t="s">
        <v>138</v>
      </c>
      <c r="J8" t="s">
        <v>139</v>
      </c>
      <c r="K8" t="s">
        <v>140</v>
      </c>
      <c r="L8" t="s">
        <v>141</v>
      </c>
      <c r="M8" t="s">
        <v>142</v>
      </c>
      <c r="N8">
        <f>-803.239615974385 -4.97739544060369 -513.195045373055</f>
        <v>-1321.4120567880436</v>
      </c>
      <c r="O8">
        <f>-821.442219177539 -136.846902498884 -478.696741332062</f>
        <v>-1436.985863008485</v>
      </c>
      <c r="P8">
        <f>-799.687891356128 -194.851250376444 -191.027682813784</f>
        <v>-1185.566824546356</v>
      </c>
      <c r="Q8">
        <f>-647.775928406524 -85.1312772323392 -39.5840849855922</f>
        <v>-772.49129062445547</v>
      </c>
      <c r="R8" t="s">
        <v>143</v>
      </c>
      <c r="S8" t="s">
        <v>144</v>
      </c>
      <c r="T8" t="s">
        <v>145</v>
      </c>
      <c r="U8" t="s">
        <v>146</v>
      </c>
      <c r="V8">
        <f>-735.521200332692 -61.3067076146394 -62.3228587330251</f>
        <v>-859.15076668035658</v>
      </c>
      <c r="W8" t="s">
        <v>147</v>
      </c>
      <c r="X8" t="s">
        <v>148</v>
      </c>
      <c r="Y8" t="s">
        <v>149</v>
      </c>
    </row>
    <row r="9" spans="1:25" x14ac:dyDescent="0.3">
      <c r="A9">
        <v>400</v>
      </c>
      <c r="B9" t="s">
        <v>150</v>
      </c>
      <c r="C9" t="s">
        <v>151</v>
      </c>
      <c r="D9" t="s">
        <v>152</v>
      </c>
      <c r="E9" t="s">
        <v>153</v>
      </c>
      <c r="F9" t="s">
        <v>154</v>
      </c>
      <c r="G9" t="s">
        <v>155</v>
      </c>
      <c r="H9" t="s">
        <v>156</v>
      </c>
      <c r="I9" t="s">
        <v>157</v>
      </c>
      <c r="J9" t="s">
        <v>158</v>
      </c>
      <c r="K9" t="s">
        <v>159</v>
      </c>
      <c r="L9" t="s">
        <v>160</v>
      </c>
      <c r="M9" t="s">
        <v>161</v>
      </c>
      <c r="N9">
        <f>-801.682260223255 -6.59591301434102 -513.651636548437</f>
        <v>-1321.9298097860328</v>
      </c>
      <c r="O9">
        <f>-817.314328881681 -138.798049268619 -479.148895422616</f>
        <v>-1435.261273572916</v>
      </c>
      <c r="P9">
        <f>-786.329899469751 -189.584602045138 -190.961648018856</f>
        <v>-1166.8761495337451</v>
      </c>
      <c r="Q9">
        <f>-636.822663998369 -75.896408126059 -40.052853983143</f>
        <v>-752.77192610757095</v>
      </c>
      <c r="R9" t="s">
        <v>162</v>
      </c>
      <c r="S9" t="s">
        <v>163</v>
      </c>
      <c r="T9" t="s">
        <v>164</v>
      </c>
      <c r="U9" t="s">
        <v>165</v>
      </c>
      <c r="V9">
        <f>-732.014091332129 -60.9327325978086 -62.6825254054936</f>
        <v>-855.62934933543124</v>
      </c>
      <c r="W9" t="s">
        <v>166</v>
      </c>
      <c r="X9" t="s">
        <v>167</v>
      </c>
      <c r="Y9" t="s">
        <v>168</v>
      </c>
    </row>
    <row r="10" spans="1:25" x14ac:dyDescent="0.3">
      <c r="A10">
        <v>450</v>
      </c>
      <c r="B10" t="s">
        <v>169</v>
      </c>
      <c r="C10" t="s">
        <v>170</v>
      </c>
      <c r="D10" t="s">
        <v>171</v>
      </c>
      <c r="E10" t="s">
        <v>172</v>
      </c>
      <c r="F10" t="s">
        <v>173</v>
      </c>
      <c r="G10" t="s">
        <v>174</v>
      </c>
      <c r="H10" t="s">
        <v>175</v>
      </c>
      <c r="I10" t="s">
        <v>176</v>
      </c>
      <c r="J10" t="s">
        <v>177</v>
      </c>
      <c r="K10" t="s">
        <v>178</v>
      </c>
      <c r="L10" t="s">
        <v>179</v>
      </c>
      <c r="M10" t="s">
        <v>180</v>
      </c>
      <c r="N10">
        <f>-800.541419119405 -6.78669962288313 -514.022474484331</f>
        <v>-1321.3505932266191</v>
      </c>
      <c r="O10">
        <f>-815.35485286186 -139.168457327465 -479.72514819335</f>
        <v>-1434.2484583826749</v>
      </c>
      <c r="P10">
        <f>-781.80286268492 -186.188551146238 -191.186488891387</f>
        <v>-1159.177902722545</v>
      </c>
      <c r="Q10">
        <f>-633.614771812212 -73.924013010856 -37.9292248810862</f>
        <v>-745.46800970415416</v>
      </c>
      <c r="R10" t="s">
        <v>181</v>
      </c>
      <c r="S10" t="s">
        <v>182</v>
      </c>
      <c r="T10" t="s">
        <v>183</v>
      </c>
      <c r="U10" t="s">
        <v>184</v>
      </c>
      <c r="V10">
        <f>-729.918306152903 -60.2275261690424 -62.9235612525624</f>
        <v>-853.0693935745079</v>
      </c>
      <c r="W10" t="s">
        <v>185</v>
      </c>
      <c r="X10" t="s">
        <v>186</v>
      </c>
      <c r="Y10" t="s">
        <v>187</v>
      </c>
    </row>
    <row r="11" spans="1:25" x14ac:dyDescent="0.3">
      <c r="A11">
        <v>500</v>
      </c>
      <c r="B11" t="s">
        <v>188</v>
      </c>
      <c r="C11" t="s">
        <v>189</v>
      </c>
      <c r="D11" t="s">
        <v>190</v>
      </c>
      <c r="E11" t="s">
        <v>191</v>
      </c>
      <c r="F11" t="s">
        <v>192</v>
      </c>
      <c r="G11" t="s">
        <v>193</v>
      </c>
      <c r="H11" t="s">
        <v>194</v>
      </c>
      <c r="I11" t="s">
        <v>195</v>
      </c>
      <c r="J11" t="s">
        <v>196</v>
      </c>
      <c r="K11" t="s">
        <v>197</v>
      </c>
      <c r="L11" t="s">
        <v>198</v>
      </c>
      <c r="M11" t="s">
        <v>199</v>
      </c>
      <c r="N11">
        <f>-798.78619342181 -5.86937003141838 -514.856148408647</f>
        <v>-1319.5117118618755</v>
      </c>
      <c r="O11">
        <f>-811.821917094158 -138.385319589503 -480.881330732846</f>
        <v>-1431.088567416507</v>
      </c>
      <c r="P11">
        <f>-772.818035483282 -177.896631683249 -191.902509053958</f>
        <v>-1142.617176220489</v>
      </c>
      <c r="Q11">
        <f>-629.802448061037 -73.1145534683869 -28.7519555873176</f>
        <v>-731.66895711674158</v>
      </c>
      <c r="R11" t="s">
        <v>200</v>
      </c>
      <c r="S11" t="s">
        <v>201</v>
      </c>
      <c r="T11" t="s">
        <v>202</v>
      </c>
      <c r="U11" t="s">
        <v>203</v>
      </c>
      <c r="V11">
        <f>-726.83041389983 -58.7413628443376 -63.20006257418</f>
        <v>-848.77183931834759</v>
      </c>
      <c r="W11" t="s">
        <v>204</v>
      </c>
      <c r="X11" t="s">
        <v>205</v>
      </c>
      <c r="Y11" t="s">
        <v>206</v>
      </c>
    </row>
    <row r="12" spans="1:25" x14ac:dyDescent="0.3">
      <c r="A12">
        <v>550</v>
      </c>
      <c r="B12" t="s">
        <v>207</v>
      </c>
      <c r="C12" t="s">
        <v>208</v>
      </c>
      <c r="D12" t="s">
        <v>209</v>
      </c>
      <c r="E12" t="s">
        <v>210</v>
      </c>
      <c r="F12" t="s">
        <v>211</v>
      </c>
      <c r="G12" t="s">
        <v>212</v>
      </c>
      <c r="H12" t="s">
        <v>213</v>
      </c>
      <c r="I12" t="s">
        <v>214</v>
      </c>
      <c r="J12" t="s">
        <v>215</v>
      </c>
      <c r="K12" t="s">
        <v>216</v>
      </c>
      <c r="L12" t="s">
        <v>217</v>
      </c>
      <c r="M12" t="s">
        <v>218</v>
      </c>
      <c r="N12">
        <f>-798.19121516114 -5.09887963941173 -515.129602529808</f>
        <v>-1318.4196973303597</v>
      </c>
      <c r="O12">
        <f>-810.017590210742 -137.75080177884 -481.028656354248</f>
        <v>-1428.7970483438301</v>
      </c>
      <c r="P12">
        <f>-768.45718948978 -173.912537062738 -191.967654796187</f>
        <v>-1134.3373813487051</v>
      </c>
      <c r="Q12">
        <f>-628.501011934994 -70.8187905889151 -25.1301269843352</f>
        <v>-724.4499295082444</v>
      </c>
      <c r="R12" t="s">
        <v>219</v>
      </c>
      <c r="S12" t="s">
        <v>220</v>
      </c>
      <c r="T12" t="s">
        <v>221</v>
      </c>
      <c r="U12" t="s">
        <v>222</v>
      </c>
      <c r="V12">
        <f>-725.968295503254 -57.8116087644046 -63.2315027700628</f>
        <v>-847.01140703772137</v>
      </c>
      <c r="W12" t="s">
        <v>223</v>
      </c>
      <c r="X12" t="s">
        <v>224</v>
      </c>
      <c r="Y12" t="s">
        <v>225</v>
      </c>
    </row>
    <row r="13" spans="1:25" x14ac:dyDescent="0.3">
      <c r="A13">
        <v>600</v>
      </c>
      <c r="B13" t="s">
        <v>226</v>
      </c>
      <c r="C13" t="s">
        <v>227</v>
      </c>
      <c r="D13" t="s">
        <v>228</v>
      </c>
      <c r="E13" t="s">
        <v>229</v>
      </c>
      <c r="F13" t="s">
        <v>230</v>
      </c>
      <c r="G13" t="s">
        <v>231</v>
      </c>
      <c r="H13" t="s">
        <v>232</v>
      </c>
      <c r="I13" t="s">
        <v>233</v>
      </c>
      <c r="J13" t="s">
        <v>234</v>
      </c>
      <c r="K13" t="s">
        <v>235</v>
      </c>
      <c r="L13" t="s">
        <v>236</v>
      </c>
      <c r="M13" t="s">
        <v>237</v>
      </c>
      <c r="N13">
        <f>-798.110830525151 -4.29239102491238 -515.319243358284</f>
        <v>-1317.7224649083473</v>
      </c>
      <c r="O13">
        <f>-808.409050708867 -136.990333002262 -481.022910044078</f>
        <v>-1426.422293755207</v>
      </c>
      <c r="P13">
        <f>-765.978485801321 -168.856860733771 -191.583153526472</f>
        <v>-1126.4185000615639</v>
      </c>
      <c r="Q13">
        <f>-627.474450714816 -68.6589788870119 -21.7954516296999</f>
        <v>-717.92888123152784</v>
      </c>
      <c r="R13" t="s">
        <v>238</v>
      </c>
      <c r="S13" t="s">
        <v>239</v>
      </c>
      <c r="T13" t="s">
        <v>240</v>
      </c>
      <c r="U13" t="s">
        <v>241</v>
      </c>
      <c r="V13">
        <f>-725.039664483432 -57.0269729059521 -63.2675280311374</f>
        <v>-845.33416542052157</v>
      </c>
      <c r="W13" t="s">
        <v>242</v>
      </c>
      <c r="X13" t="s">
        <v>243</v>
      </c>
      <c r="Y13" t="s">
        <v>244</v>
      </c>
    </row>
    <row r="14" spans="1:25" x14ac:dyDescent="0.3">
      <c r="A14">
        <v>650</v>
      </c>
      <c r="B14" t="s">
        <v>245</v>
      </c>
      <c r="C14" t="s">
        <v>246</v>
      </c>
      <c r="D14" t="s">
        <v>247</v>
      </c>
      <c r="E14" t="s">
        <v>248</v>
      </c>
      <c r="F14" t="s">
        <v>249</v>
      </c>
      <c r="G14" t="s">
        <v>250</v>
      </c>
      <c r="H14" t="s">
        <v>251</v>
      </c>
      <c r="I14" t="s">
        <v>252</v>
      </c>
      <c r="J14" t="s">
        <v>253</v>
      </c>
      <c r="K14" t="s">
        <v>254</v>
      </c>
      <c r="L14" t="s">
        <v>255</v>
      </c>
      <c r="M14" t="s">
        <v>256</v>
      </c>
      <c r="N14">
        <f>-798.528787415339 -4.50473036095445 -515.155892376303</f>
        <v>-1318.1894101525963</v>
      </c>
      <c r="O14">
        <f>-808.757880996842 -137.237353336943 -480.771324725369</f>
        <v>-1426.7665590591541</v>
      </c>
      <c r="P14">
        <f>-767.364181022363 -168.411292881734 -191.106125567897</f>
        <v>-1126.8815994719939</v>
      </c>
      <c r="Q14">
        <f>-626.303997948311 -77.6347929494771 -18.1538225208953</f>
        <v>-722.09261341868341</v>
      </c>
      <c r="R14" t="s">
        <v>257</v>
      </c>
      <c r="S14" t="s">
        <v>258</v>
      </c>
      <c r="T14" t="s">
        <v>259</v>
      </c>
      <c r="U14" t="s">
        <v>260</v>
      </c>
      <c r="V14">
        <f>-724.381477671984 -56.9092664726825 -63.2756839140717</f>
        <v>-844.56642805873821</v>
      </c>
      <c r="W14" t="s">
        <v>261</v>
      </c>
      <c r="X14" t="s">
        <v>262</v>
      </c>
      <c r="Y14" t="s">
        <v>263</v>
      </c>
    </row>
    <row r="15" spans="1:25" x14ac:dyDescent="0.3">
      <c r="A15">
        <v>700</v>
      </c>
      <c r="B15" t="s">
        <v>264</v>
      </c>
      <c r="C15" t="s">
        <v>265</v>
      </c>
      <c r="D15" t="s">
        <v>266</v>
      </c>
      <c r="E15" t="s">
        <v>267</v>
      </c>
      <c r="F15" t="s">
        <v>268</v>
      </c>
      <c r="G15" t="s">
        <v>269</v>
      </c>
      <c r="H15" t="s">
        <v>270</v>
      </c>
      <c r="I15" t="s">
        <v>271</v>
      </c>
      <c r="J15" t="s">
        <v>272</v>
      </c>
      <c r="K15" t="s">
        <v>273</v>
      </c>
      <c r="L15" t="s">
        <v>274</v>
      </c>
      <c r="M15" t="s">
        <v>275</v>
      </c>
      <c r="N15">
        <f>-798.54996063877 -6.21331167575454 -514.440590653206</f>
        <v>-1319.2038629677304</v>
      </c>
      <c r="O15">
        <f>-810.181823932765 -138.988603684586 -480.532321541435</f>
        <v>-1429.702749158786</v>
      </c>
      <c r="P15">
        <f>-773.903264021634 -171.750277216762 -190.357002758184</f>
        <v>-1136.0105439965801</v>
      </c>
      <c r="Q15">
        <f>-620.442521219079 -106.791621213416 -16.3425707182947</f>
        <v>-743.57671315078971</v>
      </c>
      <c r="R15" t="s">
        <v>276</v>
      </c>
      <c r="S15" t="s">
        <v>277</v>
      </c>
      <c r="T15" t="s">
        <v>278</v>
      </c>
      <c r="U15" t="s">
        <v>279</v>
      </c>
      <c r="V15">
        <f>-722.601912262342 -56.6612389126524 -63.244710135787</f>
        <v>-842.50786131078144</v>
      </c>
      <c r="W15" t="s">
        <v>280</v>
      </c>
      <c r="X15" t="s">
        <v>281</v>
      </c>
      <c r="Y15" t="s">
        <v>282</v>
      </c>
    </row>
    <row r="16" spans="1:25" x14ac:dyDescent="0.3">
      <c r="A16">
        <v>750</v>
      </c>
      <c r="B16" t="s">
        <v>283</v>
      </c>
      <c r="C16" t="s">
        <v>284</v>
      </c>
      <c r="D16" t="s">
        <v>285</v>
      </c>
      <c r="E16" t="s">
        <v>286</v>
      </c>
      <c r="F16" t="s">
        <v>287</v>
      </c>
      <c r="G16" t="s">
        <v>288</v>
      </c>
      <c r="H16" t="s">
        <v>289</v>
      </c>
      <c r="I16" t="s">
        <v>290</v>
      </c>
      <c r="J16" t="s">
        <v>291</v>
      </c>
      <c r="K16" t="s">
        <v>292</v>
      </c>
      <c r="L16" t="s">
        <v>293</v>
      </c>
      <c r="M16" t="s">
        <v>294</v>
      </c>
      <c r="N16">
        <f>-797.281773924021 -6.55171825032403 -514.284940749487</f>
        <v>-1318.118432923832</v>
      </c>
      <c r="O16">
        <f>-810.169229026498 -139.466388410256 -481.375266342405</f>
        <v>-1431.010883779159</v>
      </c>
      <c r="P16">
        <f>-779.368323558426 -176.851573367527 -191.12561958091</f>
        <v>-1147.3455165068631</v>
      </c>
      <c r="Q16">
        <f>-615.061279057394 -121.39484312839 -23.8577754445298</f>
        <v>-760.31389763031382</v>
      </c>
      <c r="R16" t="s">
        <v>295</v>
      </c>
      <c r="S16" t="s">
        <v>296</v>
      </c>
      <c r="T16" t="s">
        <v>297</v>
      </c>
      <c r="U16" t="s">
        <v>298</v>
      </c>
      <c r="V16">
        <f>-721.530641159789 -56.3456586840189 -63.2876477497324</f>
        <v>-841.16394759354023</v>
      </c>
      <c r="W16" t="s">
        <v>299</v>
      </c>
      <c r="X16" t="s">
        <v>300</v>
      </c>
      <c r="Y16" t="s">
        <v>301</v>
      </c>
    </row>
    <row r="17" spans="1:25" x14ac:dyDescent="0.3">
      <c r="A17">
        <v>800</v>
      </c>
      <c r="B17" t="s">
        <v>302</v>
      </c>
      <c r="C17" t="s">
        <v>303</v>
      </c>
      <c r="D17" t="s">
        <v>304</v>
      </c>
      <c r="E17" t="s">
        <v>305</v>
      </c>
      <c r="F17" t="s">
        <v>306</v>
      </c>
      <c r="G17" t="s">
        <v>307</v>
      </c>
      <c r="H17" t="s">
        <v>308</v>
      </c>
      <c r="I17" t="s">
        <v>309</v>
      </c>
      <c r="J17" t="s">
        <v>310</v>
      </c>
      <c r="K17" t="s">
        <v>311</v>
      </c>
      <c r="L17" t="s">
        <v>312</v>
      </c>
      <c r="M17" t="s">
        <v>313</v>
      </c>
      <c r="N17">
        <f>-795.310678999656 -4.60806764061363 -514.706961743741</f>
        <v>-1314.6257083840105</v>
      </c>
      <c r="O17">
        <f>-810.997338885904 -137.811097208956 -484.605479890368</f>
        <v>-1433.413915985228</v>
      </c>
      <c r="P17">
        <f>-792.144763687193 -186.536069146315 -195.016733092833</f>
        <v>-1173.697565926341</v>
      </c>
      <c r="Q17">
        <f>-600.110986050892 -147.749691506233 -54.7687330596079</f>
        <v>-802.62941061673303</v>
      </c>
      <c r="R17" t="s">
        <v>314</v>
      </c>
      <c r="S17" t="s">
        <v>315</v>
      </c>
      <c r="T17" t="s">
        <v>316</v>
      </c>
      <c r="U17" t="s">
        <v>317</v>
      </c>
      <c r="V17">
        <f>-720.403348843196 -55.0033905774621 -63.446126847467</f>
        <v>-838.85286626812513</v>
      </c>
      <c r="W17" t="s">
        <v>318</v>
      </c>
      <c r="X17" t="s">
        <v>319</v>
      </c>
      <c r="Y17" t="s">
        <v>320</v>
      </c>
    </row>
    <row r="18" spans="1:25" x14ac:dyDescent="0.3">
      <c r="A18">
        <v>850</v>
      </c>
      <c r="B18" t="s">
        <v>321</v>
      </c>
      <c r="C18" t="s">
        <v>322</v>
      </c>
      <c r="D18" t="s">
        <v>323</v>
      </c>
      <c r="E18" t="s">
        <v>324</v>
      </c>
      <c r="F18" t="s">
        <v>325</v>
      </c>
      <c r="G18" t="s">
        <v>326</v>
      </c>
      <c r="H18" t="s">
        <v>327</v>
      </c>
      <c r="I18" t="s">
        <v>328</v>
      </c>
      <c r="J18" t="s">
        <v>329</v>
      </c>
      <c r="K18" t="s">
        <v>330</v>
      </c>
      <c r="L18" t="s">
        <v>331</v>
      </c>
      <c r="M18" t="s">
        <v>332</v>
      </c>
      <c r="N18">
        <f>-795.419812914603 -2.9651430603767 -515.00814449739</f>
        <v>-1313.3931004723697</v>
      </c>
      <c r="O18">
        <f>-812.133663232092 -136.229272132096 -485.892912241977</f>
        <v>-1434.2558476061649</v>
      </c>
      <c r="P18">
        <f>-795.275605536694 -190.857136636226 -197.235939989698</f>
        <v>-1183.3686821626179</v>
      </c>
      <c r="Q18">
        <f>-590.286046809851 -156.279900572556 -75.4388480379863</f>
        <v>-822.00479542039329</v>
      </c>
      <c r="R18" t="s">
        <v>333</v>
      </c>
      <c r="S18" t="s">
        <v>334</v>
      </c>
      <c r="T18" t="s">
        <v>335</v>
      </c>
      <c r="U18" t="s">
        <v>336</v>
      </c>
      <c r="V18">
        <f>-720.002552569693 -54.2004204044511 -63.5815719298438</f>
        <v>-837.78454490398781</v>
      </c>
      <c r="W18" t="s">
        <v>337</v>
      </c>
      <c r="X18" t="s">
        <v>338</v>
      </c>
      <c r="Y18" t="s">
        <v>339</v>
      </c>
    </row>
    <row r="19" spans="1:25" x14ac:dyDescent="0.3">
      <c r="A19">
        <v>900</v>
      </c>
      <c r="B19" t="s">
        <v>340</v>
      </c>
      <c r="C19" t="s">
        <v>341</v>
      </c>
      <c r="D19" t="s">
        <v>342</v>
      </c>
      <c r="E19" t="s">
        <v>343</v>
      </c>
      <c r="F19" t="s">
        <v>344</v>
      </c>
      <c r="G19" t="s">
        <v>345</v>
      </c>
      <c r="H19" t="s">
        <v>346</v>
      </c>
      <c r="I19" t="s">
        <v>347</v>
      </c>
      <c r="J19" t="s">
        <v>348</v>
      </c>
      <c r="K19" t="s">
        <v>349</v>
      </c>
      <c r="L19" t="s">
        <v>350</v>
      </c>
      <c r="M19" t="s">
        <v>351</v>
      </c>
      <c r="N19">
        <f>-797.335363125092 -0.86864957118496 -515.618568895054</f>
        <v>-1313.8225815913311</v>
      </c>
      <c r="O19">
        <f>-814.503979970026 -134.197200839226 -487.102888135501</f>
        <v>-1435.804068944753</v>
      </c>
      <c r="P19">
        <f>-793.694160402443 -198.467669206024 -200.698513246088</f>
        <v>-1192.860342854555</v>
      </c>
      <c r="Q19">
        <f>-569.411472124879 -163.397225230678 -119.962802922579</f>
        <v>-852.77150027813605</v>
      </c>
      <c r="R19" t="s">
        <v>352</v>
      </c>
      <c r="S19" t="s">
        <v>353</v>
      </c>
      <c r="T19" t="s">
        <v>354</v>
      </c>
      <c r="U19" t="s">
        <v>355</v>
      </c>
      <c r="V19">
        <f>-719.590450581345 -53.866812358066 -63.843896426231</f>
        <v>-837.30115936564198</v>
      </c>
      <c r="W19" t="s">
        <v>356</v>
      </c>
      <c r="X19" t="s">
        <v>357</v>
      </c>
      <c r="Y19" t="s">
        <v>358</v>
      </c>
    </row>
    <row r="20" spans="1:25" x14ac:dyDescent="0.3">
      <c r="A20">
        <v>950</v>
      </c>
      <c r="B20" t="s">
        <v>359</v>
      </c>
      <c r="C20" t="s">
        <v>360</v>
      </c>
      <c r="D20" t="s">
        <v>361</v>
      </c>
      <c r="E20" t="s">
        <v>362</v>
      </c>
      <c r="F20" t="s">
        <v>363</v>
      </c>
      <c r="G20" t="s">
        <v>364</v>
      </c>
      <c r="H20" t="s">
        <v>365</v>
      </c>
      <c r="I20" t="s">
        <v>366</v>
      </c>
      <c r="J20" t="s">
        <v>367</v>
      </c>
      <c r="K20" t="s">
        <v>368</v>
      </c>
      <c r="L20" t="s">
        <v>369</v>
      </c>
      <c r="M20" t="s">
        <v>370</v>
      </c>
      <c r="N20">
        <f>-798.968299866517 -0.724332378500094 -515.819780857747</f>
        <v>-1315.5124131027642</v>
      </c>
      <c r="O20">
        <f>-815.721688059557 -134.112562568315 -487.238101111941</f>
        <v>-1437.072351739813</v>
      </c>
      <c r="P20">
        <f>-789.608640443093 -201.737049468748 -202.04301683037</f>
        <v>-1193.3887067422111</v>
      </c>
      <c r="Q20">
        <f>-559.958290210214 -161.078443441443 -141.557749383082</f>
        <v>-862.59448303473914</v>
      </c>
      <c r="R20" t="s">
        <v>371</v>
      </c>
      <c r="S20" t="s">
        <v>372</v>
      </c>
      <c r="T20" t="s">
        <v>373</v>
      </c>
      <c r="U20" t="s">
        <v>374</v>
      </c>
      <c r="V20">
        <f>-719.219619294435 -54.0839755752961 -63.9545514740894</f>
        <v>-837.2581463438205</v>
      </c>
      <c r="W20" t="s">
        <v>375</v>
      </c>
      <c r="X20" t="s">
        <v>376</v>
      </c>
      <c r="Y20" t="s">
        <v>377</v>
      </c>
    </row>
    <row r="21" spans="1:25" x14ac:dyDescent="0.3">
      <c r="A21">
        <v>1000</v>
      </c>
      <c r="B21" t="s">
        <v>378</v>
      </c>
      <c r="C21" t="s">
        <v>379</v>
      </c>
      <c r="D21" t="s">
        <v>380</v>
      </c>
      <c r="E21" t="s">
        <v>381</v>
      </c>
      <c r="F21" t="s">
        <v>382</v>
      </c>
      <c r="G21" t="s">
        <v>383</v>
      </c>
      <c r="H21" t="s">
        <v>384</v>
      </c>
      <c r="I21" t="s">
        <v>385</v>
      </c>
      <c r="J21" t="s">
        <v>386</v>
      </c>
      <c r="K21" t="s">
        <v>387</v>
      </c>
      <c r="L21" t="s">
        <v>388</v>
      </c>
      <c r="M21" t="s">
        <v>389</v>
      </c>
      <c r="N21">
        <f>-802.308651292618 -0.848852641689973 -515.728244738644</f>
        <v>-1318.8857486729521</v>
      </c>
      <c r="O21">
        <f>-817.153046789226 -134.423700068501 -486.894464247271</f>
        <v>-1438.471211104998</v>
      </c>
      <c r="P21">
        <f>-777.328878950764 -204.281968418653 -203.830819729266</f>
        <v>-1185.441667098683</v>
      </c>
      <c r="Q21">
        <f>-544.92535939804 -146.189211696811 -178.049617174343</f>
        <v>-869.16418826919391</v>
      </c>
      <c r="R21" t="s">
        <v>390</v>
      </c>
      <c r="S21" t="s">
        <v>391</v>
      </c>
      <c r="T21" t="s">
        <v>392</v>
      </c>
      <c r="U21" t="s">
        <v>393</v>
      </c>
      <c r="V21">
        <f>-718.255774824185 -54.2384341613672 -64.0632056696546</f>
        <v>-836.5574146552068</v>
      </c>
      <c r="W21" t="s">
        <v>394</v>
      </c>
      <c r="X21" t="s">
        <v>395</v>
      </c>
      <c r="Y21" t="s">
        <v>396</v>
      </c>
    </row>
    <row r="22" spans="1:25" x14ac:dyDescent="0.3">
      <c r="A22">
        <v>1050</v>
      </c>
      <c r="B22" t="s">
        <v>397</v>
      </c>
      <c r="C22" t="s">
        <v>398</v>
      </c>
      <c r="D22" t="s">
        <v>399</v>
      </c>
      <c r="E22" t="s">
        <v>400</v>
      </c>
      <c r="F22" t="s">
        <v>401</v>
      </c>
      <c r="G22" t="s">
        <v>402</v>
      </c>
      <c r="H22" t="s">
        <v>403</v>
      </c>
      <c r="I22" t="s">
        <v>404</v>
      </c>
      <c r="J22" t="s">
        <v>405</v>
      </c>
      <c r="K22" t="s">
        <v>406</v>
      </c>
      <c r="L22" t="s">
        <v>407</v>
      </c>
      <c r="M22" t="s">
        <v>408</v>
      </c>
      <c r="N22">
        <f>-803.58834285281 -1.08136646152207 -515.49103797894</f>
        <v>-1320.1607472932719</v>
      </c>
      <c r="O22">
        <f>-817.064779851073 -134.791467585675 -486.607920374927</f>
        <v>-1438.464167811675</v>
      </c>
      <c r="P22">
        <f>-770.50767369315 -204.941315496929 -204.645774223177</f>
        <v>-1180.0947634132558</v>
      </c>
      <c r="Q22">
        <f>-540.11738193294 -135.388231385892 -193.087930921935</f>
        <v>-868.59354424076707</v>
      </c>
      <c r="R22" t="s">
        <v>409</v>
      </c>
      <c r="S22" t="s">
        <v>410</v>
      </c>
      <c r="T22" t="s">
        <v>411</v>
      </c>
      <c r="U22" t="s">
        <v>412</v>
      </c>
      <c r="V22">
        <f>-717.630233200338 -54.3297745036537 -64.026630491231</f>
        <v>-835.98663819522267</v>
      </c>
      <c r="W22" t="s">
        <v>413</v>
      </c>
      <c r="X22" t="s">
        <v>414</v>
      </c>
      <c r="Y22" t="s">
        <v>415</v>
      </c>
    </row>
    <row r="23" spans="1:25" x14ac:dyDescent="0.3">
      <c r="A23">
        <v>1100</v>
      </c>
      <c r="B23" t="s">
        <v>416</v>
      </c>
      <c r="C23" t="s">
        <v>417</v>
      </c>
      <c r="D23" t="s">
        <v>418</v>
      </c>
      <c r="E23" t="s">
        <v>419</v>
      </c>
      <c r="F23" t="s">
        <v>420</v>
      </c>
      <c r="G23" t="s">
        <v>421</v>
      </c>
      <c r="H23" t="s">
        <v>422</v>
      </c>
      <c r="I23" t="s">
        <v>423</v>
      </c>
      <c r="J23" t="s">
        <v>424</v>
      </c>
      <c r="K23" t="s">
        <v>425</v>
      </c>
      <c r="L23" t="s">
        <v>426</v>
      </c>
      <c r="M23" t="s">
        <v>427</v>
      </c>
      <c r="N23">
        <f>-805.305412148757 -2.31088099401495 -515.03313669523</f>
        <v>-1322.6494298380021</v>
      </c>
      <c r="O23">
        <f>-815.49744307163 -136.3232257736 -486.170290774647</f>
        <v>-1437.990959619877</v>
      </c>
      <c r="P23">
        <f>-756.944015519195 -206.268874868454 -206.401860474675</f>
        <v>-1169.6147508623239</v>
      </c>
      <c r="Q23">
        <f>-535.525765541384 -111.941370520539 -217.677000751957</f>
        <v>-865.14413681387987</v>
      </c>
      <c r="R23" t="s">
        <v>428</v>
      </c>
      <c r="S23" t="s">
        <v>429</v>
      </c>
      <c r="T23" t="s">
        <v>430</v>
      </c>
      <c r="U23" t="s">
        <v>431</v>
      </c>
      <c r="V23">
        <f>-715.996976695964 -55.1660874764739 -63.8867935918214</f>
        <v>-835.04985776425929</v>
      </c>
      <c r="W23" t="s">
        <v>432</v>
      </c>
      <c r="X23" t="s">
        <v>433</v>
      </c>
      <c r="Y23" t="s">
        <v>434</v>
      </c>
    </row>
    <row r="24" spans="1:25" x14ac:dyDescent="0.3">
      <c r="A24">
        <v>1150</v>
      </c>
      <c r="B24" t="s">
        <v>435</v>
      </c>
      <c r="C24" t="s">
        <v>436</v>
      </c>
      <c r="D24" t="s">
        <v>437</v>
      </c>
      <c r="E24" t="s">
        <v>438</v>
      </c>
      <c r="F24" t="s">
        <v>439</v>
      </c>
      <c r="G24" t="s">
        <v>440</v>
      </c>
      <c r="H24" t="s">
        <v>441</v>
      </c>
      <c r="I24" t="s">
        <v>442</v>
      </c>
      <c r="J24" t="s">
        <v>443</v>
      </c>
      <c r="K24" t="s">
        <v>444</v>
      </c>
      <c r="L24" t="s">
        <v>445</v>
      </c>
      <c r="M24" t="s">
        <v>446</v>
      </c>
      <c r="N24">
        <f>-807.134397071633 -4.21186364764026 -514.689820784847</f>
        <v>-1326.0360815041204</v>
      </c>
      <c r="O24">
        <f>-812.595541373154 -138.511914099567 -485.978906811094</f>
        <v>-1437.0863622838151</v>
      </c>
      <c r="P24">
        <f>-747.340752249019 -207.371531507151 -207.426607773554</f>
        <v>-1162.1388915297239</v>
      </c>
      <c r="Q24">
        <f>-540.608947895003 -86.5050881274735 -233.962590919325</f>
        <v>-861.07662694180158</v>
      </c>
      <c r="R24" t="s">
        <v>447</v>
      </c>
      <c r="S24" t="s">
        <v>448</v>
      </c>
      <c r="T24" t="s">
        <v>449</v>
      </c>
      <c r="U24" t="s">
        <v>450</v>
      </c>
      <c r="V24">
        <f>-713.679137730331 -55.6023138087755 -63.9074076484543</f>
        <v>-833.18885918756087</v>
      </c>
      <c r="W24" t="s">
        <v>451</v>
      </c>
      <c r="X24" t="s">
        <v>452</v>
      </c>
      <c r="Y24" t="s">
        <v>453</v>
      </c>
    </row>
    <row r="25" spans="1:25" x14ac:dyDescent="0.3">
      <c r="A25">
        <v>1200</v>
      </c>
      <c r="B25" t="s">
        <v>454</v>
      </c>
      <c r="C25" t="s">
        <v>455</v>
      </c>
      <c r="D25" t="s">
        <v>456</v>
      </c>
      <c r="E25" t="s">
        <v>457</v>
      </c>
      <c r="F25" t="s">
        <v>458</v>
      </c>
      <c r="G25" t="s">
        <v>459</v>
      </c>
      <c r="H25" t="s">
        <v>460</v>
      </c>
      <c r="I25" t="s">
        <v>461</v>
      </c>
      <c r="J25" t="s">
        <v>462</v>
      </c>
      <c r="K25" t="s">
        <v>463</v>
      </c>
      <c r="L25" t="s">
        <v>464</v>
      </c>
      <c r="M25" t="s">
        <v>465</v>
      </c>
      <c r="N25">
        <f>-808.77242194001 -5.67424303798543 -514.491808437606</f>
        <v>-1328.9384734156015</v>
      </c>
      <c r="O25">
        <f>-811.651476952943 -140.079563173247 -485.793652143876</f>
        <v>-1437.524692270066</v>
      </c>
      <c r="P25">
        <f>-744.624576226447 -207.130182293954 -207.22085703016</f>
        <v>-1158.9756155505611</v>
      </c>
      <c r="Q25">
        <f>-545.507329591837 -75.4871295719179 -239.981178764762</f>
        <v>-860.9756379285169</v>
      </c>
      <c r="R25" t="s">
        <v>466</v>
      </c>
      <c r="S25" t="s">
        <v>467</v>
      </c>
      <c r="T25" t="s">
        <v>468</v>
      </c>
      <c r="U25" t="s">
        <v>469</v>
      </c>
      <c r="V25">
        <f>-712.021599993598 -56.2899788663665 -64.0013820540181</f>
        <v>-832.31296091398258</v>
      </c>
      <c r="W25" t="s">
        <v>470</v>
      </c>
      <c r="X25" t="s">
        <v>471</v>
      </c>
      <c r="Y25" t="s">
        <v>472</v>
      </c>
    </row>
    <row r="26" spans="1:25" x14ac:dyDescent="0.3">
      <c r="A26">
        <v>1250</v>
      </c>
      <c r="B26" t="s">
        <v>473</v>
      </c>
      <c r="C26" t="s">
        <v>474</v>
      </c>
      <c r="D26" t="s">
        <v>475</v>
      </c>
      <c r="E26" t="s">
        <v>476</v>
      </c>
      <c r="F26" t="s">
        <v>477</v>
      </c>
      <c r="G26" t="s">
        <v>478</v>
      </c>
      <c r="H26" t="s">
        <v>479</v>
      </c>
      <c r="I26" t="s">
        <v>480</v>
      </c>
      <c r="J26" t="s">
        <v>481</v>
      </c>
      <c r="K26" t="s">
        <v>482</v>
      </c>
      <c r="L26" t="s">
        <v>483</v>
      </c>
      <c r="M26" t="s">
        <v>484</v>
      </c>
      <c r="N26">
        <f>-810.581885968653 -7.43912367102075 -514.237290910239</f>
        <v>-1332.2583005499127</v>
      </c>
      <c r="O26">
        <f>-810.996014347119 -141.857673265668 -485.526708646581</f>
        <v>-1438.3803962593679</v>
      </c>
      <c r="P26">
        <f>-742.990092336347 -206.328138137212 -206.582301107227</f>
        <v>-1155.900531580786</v>
      </c>
      <c r="Q26">
        <f>-550.858874182032 -66.1499993391478 -245.137603233451</f>
        <v>-862.14647675463084</v>
      </c>
      <c r="R26" t="s">
        <v>485</v>
      </c>
      <c r="S26" t="s">
        <v>486</v>
      </c>
      <c r="T26" t="s">
        <v>487</v>
      </c>
      <c r="U26" t="s">
        <v>488</v>
      </c>
      <c r="V26">
        <f>-709.995601563943 -57.0737846246943 -64.125311186699</f>
        <v>-831.19469737533632</v>
      </c>
      <c r="W26" t="s">
        <v>489</v>
      </c>
      <c r="X26" t="s">
        <v>490</v>
      </c>
      <c r="Y26" t="s">
        <v>491</v>
      </c>
    </row>
    <row r="27" spans="1:25" x14ac:dyDescent="0.3">
      <c r="A27">
        <v>1300</v>
      </c>
      <c r="B27" t="s">
        <v>492</v>
      </c>
      <c r="C27" t="s">
        <v>493</v>
      </c>
      <c r="D27" t="s">
        <v>494</v>
      </c>
      <c r="E27" t="s">
        <v>495</v>
      </c>
      <c r="F27" t="s">
        <v>496</v>
      </c>
      <c r="G27" t="s">
        <v>497</v>
      </c>
      <c r="H27" t="s">
        <v>498</v>
      </c>
      <c r="I27" t="s">
        <v>499</v>
      </c>
      <c r="J27" t="s">
        <v>500</v>
      </c>
      <c r="K27" t="s">
        <v>501</v>
      </c>
      <c r="L27" t="s">
        <v>502</v>
      </c>
      <c r="M27" t="s">
        <v>503</v>
      </c>
      <c r="N27">
        <f>-812.091547969684 -9.40024987247307 -513.960112392543</f>
        <v>-1335.4519102347001</v>
      </c>
      <c r="O27">
        <f>-810.354399906752 -143.825564016477 -485.232044781488</f>
        <v>-1439.412008704717</v>
      </c>
      <c r="P27">
        <f>-741.634841482143 -204.909719474121 -205.701007398091</f>
        <v>-1152.2455683543549</v>
      </c>
      <c r="Q27">
        <f>-556.344614811031 -57.5986598418776 -250.622526138565</f>
        <v>-864.56580079147363</v>
      </c>
      <c r="R27" t="s">
        <v>504</v>
      </c>
      <c r="S27" t="s">
        <v>505</v>
      </c>
      <c r="T27" t="s">
        <v>506</v>
      </c>
      <c r="U27" t="s">
        <v>507</v>
      </c>
      <c r="V27">
        <f>-707.520886293947 -57.9451566817672 -64.2682189724343</f>
        <v>-829.73426194814851</v>
      </c>
      <c r="W27" t="s">
        <v>508</v>
      </c>
      <c r="X27" t="s">
        <v>509</v>
      </c>
      <c r="Y27" t="s">
        <v>510</v>
      </c>
    </row>
    <row r="28" spans="1:25" x14ac:dyDescent="0.3">
      <c r="A28">
        <v>1350</v>
      </c>
      <c r="B28" t="s">
        <v>511</v>
      </c>
      <c r="C28" t="s">
        <v>512</v>
      </c>
      <c r="D28" t="s">
        <v>513</v>
      </c>
      <c r="E28" t="s">
        <v>514</v>
      </c>
      <c r="F28" t="s">
        <v>515</v>
      </c>
      <c r="G28" t="s">
        <v>516</v>
      </c>
      <c r="H28" t="s">
        <v>517</v>
      </c>
      <c r="I28" t="s">
        <v>518</v>
      </c>
      <c r="J28" t="s">
        <v>519</v>
      </c>
      <c r="K28" t="s">
        <v>520</v>
      </c>
      <c r="L28" t="s">
        <v>521</v>
      </c>
      <c r="M28" t="s">
        <v>522</v>
      </c>
      <c r="N28">
        <f>-813.837321255409 -13.5928840442775 -513.255985498629</f>
        <v>-1340.6861907983157</v>
      </c>
      <c r="O28">
        <f>-808.24232674815 -147.96476277257 -484.657427291739</f>
        <v>-1440.864516812459</v>
      </c>
      <c r="P28">
        <f>-738.571082913328 -202.539358539796 -204.017571874282</f>
        <v>-1145.1280133274061</v>
      </c>
      <c r="Q28">
        <f>-563.584302111926 -46.9395458480876 -260.756018270408</f>
        <v>-871.2798662304217</v>
      </c>
      <c r="R28" t="s">
        <v>523</v>
      </c>
      <c r="S28" t="s">
        <v>524</v>
      </c>
      <c r="T28" t="s">
        <v>525</v>
      </c>
      <c r="U28" t="s">
        <v>526</v>
      </c>
      <c r="V28">
        <f>-701.786574674172 -59.9400643088231 -64.4878837465542</f>
        <v>-826.21452272954934</v>
      </c>
      <c r="W28" t="s">
        <v>527</v>
      </c>
      <c r="X28" t="s">
        <v>528</v>
      </c>
      <c r="Y28" t="s">
        <v>529</v>
      </c>
    </row>
    <row r="29" spans="1:25" x14ac:dyDescent="0.3">
      <c r="A29">
        <v>1400</v>
      </c>
      <c r="B29" t="s">
        <v>530</v>
      </c>
      <c r="C29" t="s">
        <v>531</v>
      </c>
      <c r="D29" t="s">
        <v>532</v>
      </c>
      <c r="E29" t="s">
        <v>533</v>
      </c>
      <c r="F29" t="s">
        <v>534</v>
      </c>
      <c r="G29" t="s">
        <v>535</v>
      </c>
      <c r="H29" t="s">
        <v>536</v>
      </c>
      <c r="I29" t="s">
        <v>537</v>
      </c>
      <c r="J29" t="s">
        <v>538</v>
      </c>
      <c r="K29" t="s">
        <v>539</v>
      </c>
      <c r="L29" t="s">
        <v>540</v>
      </c>
      <c r="M29" t="s">
        <v>541</v>
      </c>
      <c r="N29">
        <f>-814.676928053553 -16.3835949442332 -512.793565031257</f>
        <v>-1343.8540880290432</v>
      </c>
      <c r="O29">
        <f>-805.391174942612 -150.688817531216 -484.860873952404</f>
        <v>-1440.9408664262321</v>
      </c>
      <c r="P29">
        <f>-736.11454367329 -204.121118114561 -203.903760434796</f>
        <v>-1144.139422222647</v>
      </c>
      <c r="Q29">
        <f>-567.237563583543 -44.4445366851694 -267.424142781242</f>
        <v>-879.1062430499544</v>
      </c>
      <c r="R29" t="s">
        <v>542</v>
      </c>
      <c r="S29" t="s">
        <v>543</v>
      </c>
      <c r="T29" t="s">
        <v>544</v>
      </c>
      <c r="U29" t="s">
        <v>545</v>
      </c>
      <c r="V29">
        <f>-697.487326767339 -60.4440303280878 -64.670097866168</f>
        <v>-822.60145496159487</v>
      </c>
      <c r="W29" t="s">
        <v>546</v>
      </c>
      <c r="X29" t="s">
        <v>547</v>
      </c>
      <c r="Y29" t="s">
        <v>548</v>
      </c>
    </row>
    <row r="30" spans="1:25" x14ac:dyDescent="0.3">
      <c r="A30">
        <v>1450</v>
      </c>
      <c r="B30" t="s">
        <v>549</v>
      </c>
      <c r="C30" t="s">
        <v>550</v>
      </c>
      <c r="D30" t="s">
        <v>551</v>
      </c>
      <c r="E30" t="s">
        <v>552</v>
      </c>
      <c r="F30" t="s">
        <v>553</v>
      </c>
      <c r="G30" t="s">
        <v>554</v>
      </c>
      <c r="H30" t="s">
        <v>555</v>
      </c>
      <c r="I30" t="s">
        <v>556</v>
      </c>
      <c r="J30" t="s">
        <v>557</v>
      </c>
      <c r="K30" t="s">
        <v>558</v>
      </c>
      <c r="L30" t="s">
        <v>559</v>
      </c>
      <c r="M30" t="s">
        <v>560</v>
      </c>
      <c r="N30">
        <f>-814.741234769433 -17.1491535082068 -512.650203502054</f>
        <v>-1344.5405917796938</v>
      </c>
      <c r="O30">
        <f>-803.539858716253 -151.427543858535 -485.316347746762</f>
        <v>-1440.2837503215499</v>
      </c>
      <c r="P30">
        <f>-734.993983760954 -205.652609429434 -204.33169637727</f>
        <v>-1144.9782895676581</v>
      </c>
      <c r="Q30">
        <f>-568.592216057898 -44.3452750905474 -270.21969864542</f>
        <v>-883.15718979386543</v>
      </c>
      <c r="R30" t="s">
        <v>561</v>
      </c>
      <c r="S30" t="s">
        <v>562</v>
      </c>
      <c r="T30" t="s">
        <v>563</v>
      </c>
      <c r="U30" t="s">
        <v>564</v>
      </c>
      <c r="V30">
        <f>-696.081692819121 -60.7343374899783 -64.6966101530945</f>
        <v>-821.51264046219387</v>
      </c>
      <c r="W30" t="s">
        <v>565</v>
      </c>
      <c r="X30" t="s">
        <v>566</v>
      </c>
      <c r="Y30" t="s">
        <v>567</v>
      </c>
    </row>
    <row r="31" spans="1:25" x14ac:dyDescent="0.3">
      <c r="A31">
        <v>1500</v>
      </c>
      <c r="B31" t="s">
        <v>568</v>
      </c>
      <c r="C31" t="s">
        <v>569</v>
      </c>
      <c r="D31" t="s">
        <v>570</v>
      </c>
      <c r="E31" t="s">
        <v>571</v>
      </c>
      <c r="F31" t="s">
        <v>572</v>
      </c>
      <c r="G31" t="s">
        <v>573</v>
      </c>
      <c r="H31" t="s">
        <v>574</v>
      </c>
      <c r="I31" t="s">
        <v>575</v>
      </c>
      <c r="J31" t="s">
        <v>576</v>
      </c>
      <c r="K31" t="s">
        <v>577</v>
      </c>
      <c r="L31" t="s">
        <v>578</v>
      </c>
      <c r="M31" t="s">
        <v>579</v>
      </c>
      <c r="N31">
        <f>-813.359641275255 -18.2157846852469 -512.556735425235</f>
        <v>-1344.1321613857369</v>
      </c>
      <c r="O31">
        <f>-798.263477104949 -152.316749848112 -486.461468810303</f>
        <v>-1437.0416957633638</v>
      </c>
      <c r="P31">
        <f>-733.463034680272 -208.229326650782 -204.919509687992</f>
        <v>-1146.611871019046</v>
      </c>
      <c r="Q31">
        <f>-571.592006251244 -43.759213158098 -274.189143339284</f>
        <v>-889.54036274862597</v>
      </c>
      <c r="R31" t="s">
        <v>580</v>
      </c>
      <c r="S31" t="s">
        <v>581</v>
      </c>
      <c r="T31" t="s">
        <v>582</v>
      </c>
      <c r="U31" t="s">
        <v>583</v>
      </c>
      <c r="V31">
        <f>-694.631833785533 -61.1030600098163 -64.6853049571024</f>
        <v>-820.42019875245171</v>
      </c>
      <c r="W31" t="s">
        <v>584</v>
      </c>
      <c r="X31" t="s">
        <v>585</v>
      </c>
      <c r="Y31" t="s">
        <v>586</v>
      </c>
    </row>
    <row r="32" spans="1:25" x14ac:dyDescent="0.3">
      <c r="A32">
        <v>1550</v>
      </c>
      <c r="B32" t="s">
        <v>587</v>
      </c>
      <c r="C32" t="s">
        <v>588</v>
      </c>
      <c r="D32" t="s">
        <v>589</v>
      </c>
      <c r="E32" t="s">
        <v>590</v>
      </c>
      <c r="F32" t="s">
        <v>591</v>
      </c>
      <c r="G32" t="s">
        <v>592</v>
      </c>
      <c r="H32" t="s">
        <v>593</v>
      </c>
      <c r="I32" t="s">
        <v>594</v>
      </c>
      <c r="J32" t="s">
        <v>595</v>
      </c>
      <c r="K32" t="s">
        <v>596</v>
      </c>
      <c r="L32" t="s">
        <v>597</v>
      </c>
      <c r="M32" t="s">
        <v>598</v>
      </c>
      <c r="N32">
        <f>-812.018988876197 -18.9512966336843 -512.593689629373</f>
        <v>-1343.5639751392541</v>
      </c>
      <c r="O32">
        <f>-794.932951432929 -152.905509680423 -486.9253732943</f>
        <v>-1434.763834407652</v>
      </c>
      <c r="P32">
        <f>-733.041112370718 -209.039421730961 -204.773723796934</f>
        <v>-1146.854257898613</v>
      </c>
      <c r="Q32">
        <f>-572.594224543494 -43.8772457656601 -275.689991429102</f>
        <v>-892.16146173825609</v>
      </c>
      <c r="R32" t="s">
        <v>599</v>
      </c>
      <c r="S32" t="s">
        <v>600</v>
      </c>
      <c r="T32" t="s">
        <v>601</v>
      </c>
      <c r="U32" t="s">
        <v>602</v>
      </c>
      <c r="V32">
        <f>-694.238059067985 -61.3354482402485 -64.6929025875146</f>
        <v>-820.2664098957481</v>
      </c>
      <c r="W32" t="s">
        <v>603</v>
      </c>
      <c r="X32" t="s">
        <v>604</v>
      </c>
      <c r="Y32" t="s">
        <v>605</v>
      </c>
    </row>
    <row r="33" spans="1:25" x14ac:dyDescent="0.3">
      <c r="A33">
        <v>1600</v>
      </c>
      <c r="B33" t="s">
        <v>606</v>
      </c>
      <c r="C33" t="s">
        <v>607</v>
      </c>
      <c r="D33" t="s">
        <v>608</v>
      </c>
      <c r="E33" t="s">
        <v>609</v>
      </c>
      <c r="F33" t="s">
        <v>610</v>
      </c>
      <c r="G33" t="s">
        <v>611</v>
      </c>
      <c r="H33" t="s">
        <v>612</v>
      </c>
      <c r="I33" t="s">
        <v>613</v>
      </c>
      <c r="J33" t="s">
        <v>614</v>
      </c>
      <c r="K33" t="s">
        <v>615</v>
      </c>
      <c r="L33" t="s">
        <v>616</v>
      </c>
      <c r="M33" t="s">
        <v>617</v>
      </c>
      <c r="N33">
        <f>-808.633751920922 -20.0212999117589 -512.836017699418</f>
        <v>-1341.4910695320989</v>
      </c>
      <c r="O33">
        <f>-787.809927510644 -153.562982371512 -487.628983041259</f>
        <v>-1429.001892923415</v>
      </c>
      <c r="P33">
        <f>-733.159400736528 -209.605949341501 -203.967691845627</f>
        <v>-1146.7330419236562</v>
      </c>
      <c r="Q33">
        <f>-574.167720251543 -43.7784815458233 -276.588600966138</f>
        <v>-894.53480276350433</v>
      </c>
      <c r="R33" t="s">
        <v>618</v>
      </c>
      <c r="S33" t="s">
        <v>619</v>
      </c>
      <c r="T33" t="s">
        <v>620</v>
      </c>
      <c r="U33" t="s">
        <v>621</v>
      </c>
      <c r="V33">
        <f>-694.051515555004 -61.845304410602 -64.7797096665787</f>
        <v>-820.67652963218472</v>
      </c>
      <c r="W33" t="s">
        <v>622</v>
      </c>
      <c r="X33" t="s">
        <v>623</v>
      </c>
      <c r="Y33" t="s">
        <v>624</v>
      </c>
    </row>
    <row r="34" spans="1:25" x14ac:dyDescent="0.3">
      <c r="A34">
        <v>1650</v>
      </c>
      <c r="B34" t="s">
        <v>625</v>
      </c>
      <c r="C34" t="s">
        <v>626</v>
      </c>
      <c r="D34" t="s">
        <v>627</v>
      </c>
      <c r="E34" t="s">
        <v>628</v>
      </c>
      <c r="F34" t="s">
        <v>629</v>
      </c>
      <c r="G34" t="s">
        <v>630</v>
      </c>
      <c r="H34" t="s">
        <v>631</v>
      </c>
      <c r="I34" t="s">
        <v>632</v>
      </c>
      <c r="J34" t="s">
        <v>633</v>
      </c>
      <c r="K34" t="s">
        <v>634</v>
      </c>
      <c r="L34" t="s">
        <v>635</v>
      </c>
      <c r="M34" t="s">
        <v>636</v>
      </c>
      <c r="N34">
        <f>-806.432297609039 -20.0519350979762 -513.127355114418</f>
        <v>-1339.6115878214332</v>
      </c>
      <c r="O34">
        <f>-783.90418873607 -153.351029432473 -488.047618154094</f>
        <v>-1425.3028363226369</v>
      </c>
      <c r="P34">
        <f>-733.38004817308 -209.180314008886 -203.580492496198</f>
        <v>-1146.140854678164</v>
      </c>
      <c r="Q34">
        <f>-574.383618726889 -43.3747885560133 -276.240985135192</f>
        <v>-893.99939241809432</v>
      </c>
      <c r="R34" t="s">
        <v>637</v>
      </c>
      <c r="S34" t="s">
        <v>638</v>
      </c>
      <c r="T34" t="s">
        <v>639</v>
      </c>
      <c r="U34" t="s">
        <v>640</v>
      </c>
      <c r="V34">
        <f>-694.077801697328 -62.1982834412256 -64.879465214128</f>
        <v>-821.15555035268164</v>
      </c>
      <c r="W34" t="s">
        <v>641</v>
      </c>
      <c r="X34" t="s">
        <v>642</v>
      </c>
      <c r="Y34" t="s">
        <v>643</v>
      </c>
    </row>
    <row r="35" spans="1:25" x14ac:dyDescent="0.3">
      <c r="A35">
        <v>1700</v>
      </c>
      <c r="B35" t="s">
        <v>644</v>
      </c>
      <c r="C35" t="s">
        <v>645</v>
      </c>
      <c r="D35" t="s">
        <v>646</v>
      </c>
      <c r="E35" t="s">
        <v>647</v>
      </c>
      <c r="F35" t="s">
        <v>648</v>
      </c>
      <c r="G35" t="s">
        <v>649</v>
      </c>
      <c r="H35" t="s">
        <v>650</v>
      </c>
      <c r="I35" t="s">
        <v>651</v>
      </c>
      <c r="J35" t="s">
        <v>652</v>
      </c>
      <c r="K35" t="s">
        <v>653</v>
      </c>
      <c r="L35" t="s">
        <v>654</v>
      </c>
      <c r="M35" t="s">
        <v>655</v>
      </c>
      <c r="N35">
        <f>-801.938356475166 -18.0388596085509 -513.760673490517</f>
        <v>-1333.7378895742338</v>
      </c>
      <c r="O35">
        <f>-776.611935285698 -150.964465042391 -489.430995801729</f>
        <v>-1417.0073961298181</v>
      </c>
      <c r="P35">
        <f>-735.935764954751 -207.843476932741 -203.5964001696</f>
        <v>-1147.3756420570919</v>
      </c>
      <c r="Q35">
        <f>-574.830799160677 -44.4555665156681 -277.084300048481</f>
        <v>-896.37066572482604</v>
      </c>
      <c r="R35" t="s">
        <v>656</v>
      </c>
      <c r="S35" t="s">
        <v>657</v>
      </c>
      <c r="T35" t="s">
        <v>658</v>
      </c>
      <c r="U35" t="s">
        <v>659</v>
      </c>
      <c r="V35">
        <f>-694.117949190375 -62.1354809744839 -65.1064248294692</f>
        <v>-821.3598549943282</v>
      </c>
      <c r="W35" t="s">
        <v>660</v>
      </c>
      <c r="X35" t="s">
        <v>661</v>
      </c>
      <c r="Y35" t="s">
        <v>662</v>
      </c>
    </row>
    <row r="36" spans="1:25" x14ac:dyDescent="0.3">
      <c r="A36">
        <v>1750</v>
      </c>
      <c r="B36" t="s">
        <v>663</v>
      </c>
      <c r="C36" t="s">
        <v>664</v>
      </c>
      <c r="D36" t="s">
        <v>665</v>
      </c>
      <c r="E36" t="s">
        <v>666</v>
      </c>
      <c r="F36" t="s">
        <v>667</v>
      </c>
      <c r="G36" t="s">
        <v>668</v>
      </c>
      <c r="H36" t="s">
        <v>669</v>
      </c>
      <c r="I36" t="s">
        <v>670</v>
      </c>
      <c r="J36" t="s">
        <v>671</v>
      </c>
      <c r="K36" t="s">
        <v>672</v>
      </c>
      <c r="L36" t="s">
        <v>673</v>
      </c>
      <c r="M36" t="s">
        <v>674</v>
      </c>
      <c r="N36">
        <f>-800.11351348442 -16.3794389722234 -514.041744277124</f>
        <v>-1330.5346967337673</v>
      </c>
      <c r="O36">
        <f>-773.505160646765 -149.162556611205 -490.314063908811</f>
        <v>-1412.981781166781</v>
      </c>
      <c r="P36">
        <f>-737.882828798129 -207.03036553746 -204.003706138058</f>
        <v>-1148.916900473647</v>
      </c>
      <c r="Q36">
        <f>-574.946855873449 -45.8623832043329 -278.351895650902</f>
        <v>-899.16113472868392</v>
      </c>
      <c r="R36" t="s">
        <v>675</v>
      </c>
      <c r="S36" t="s">
        <v>676</v>
      </c>
      <c r="T36" t="s">
        <v>677</v>
      </c>
      <c r="U36" t="s">
        <v>678</v>
      </c>
      <c r="V36">
        <f>-694.104572155707 -62.0693697097913 -65.1922002717556</f>
        <v>-821.36614213725397</v>
      </c>
      <c r="W36" t="s">
        <v>679</v>
      </c>
      <c r="X36" t="s">
        <v>680</v>
      </c>
      <c r="Y36" t="s">
        <v>681</v>
      </c>
    </row>
    <row r="37" spans="1:25" x14ac:dyDescent="0.3">
      <c r="A37">
        <v>1800</v>
      </c>
      <c r="B37" t="s">
        <v>682</v>
      </c>
      <c r="C37" t="s">
        <v>683</v>
      </c>
      <c r="D37" t="s">
        <v>684</v>
      </c>
      <c r="E37" t="s">
        <v>685</v>
      </c>
      <c r="F37" t="s">
        <v>686</v>
      </c>
      <c r="G37" t="s">
        <v>687</v>
      </c>
      <c r="H37" t="s">
        <v>688</v>
      </c>
      <c r="I37" t="s">
        <v>689</v>
      </c>
      <c r="J37" t="s">
        <v>690</v>
      </c>
      <c r="K37" t="s">
        <v>691</v>
      </c>
      <c r="L37" t="s">
        <v>692</v>
      </c>
      <c r="M37" t="s">
        <v>693</v>
      </c>
      <c r="N37">
        <f>-797.258389674404 -13.2278352181293 -514.421512055715</f>
        <v>-1324.9077369482484</v>
      </c>
      <c r="O37">
        <f>-767.906989476885 -145.583444369404 -491.731381774406</f>
        <v>-1405.221815620695</v>
      </c>
      <c r="P37">
        <f>-742.678827567329 -205.868771404969 -204.816026000528</f>
        <v>-1153.3636249728261</v>
      </c>
      <c r="Q37">
        <f>-576.197651540718 -49.6615607361789 -281.84959984538</f>
        <v>-907.70881212227687</v>
      </c>
      <c r="R37" t="s">
        <v>694</v>
      </c>
      <c r="S37" t="s">
        <v>695</v>
      </c>
      <c r="T37" t="s">
        <v>696</v>
      </c>
      <c r="U37" t="s">
        <v>697</v>
      </c>
      <c r="V37">
        <f>-694.500234695844 -61.3263845033059 -65.3588915093875</f>
        <v>-821.18551070853744</v>
      </c>
      <c r="W37" t="s">
        <v>698</v>
      </c>
      <c r="X37" t="s">
        <v>699</v>
      </c>
      <c r="Y37" t="s">
        <v>700</v>
      </c>
    </row>
    <row r="38" spans="1:25" x14ac:dyDescent="0.3">
      <c r="A38">
        <v>1850</v>
      </c>
      <c r="B38" t="s">
        <v>701</v>
      </c>
      <c r="C38" t="s">
        <v>702</v>
      </c>
      <c r="D38" t="s">
        <v>703</v>
      </c>
      <c r="E38" t="s">
        <v>704</v>
      </c>
      <c r="F38" t="s">
        <v>705</v>
      </c>
      <c r="G38" t="s">
        <v>706</v>
      </c>
      <c r="H38" t="s">
        <v>707</v>
      </c>
      <c r="I38" t="s">
        <v>708</v>
      </c>
      <c r="J38" t="s">
        <v>709</v>
      </c>
      <c r="K38" t="s">
        <v>710</v>
      </c>
      <c r="L38" t="s">
        <v>711</v>
      </c>
      <c r="M38" t="s">
        <v>712</v>
      </c>
      <c r="N38">
        <f>-796.099632088285 -12.3541713125601 -514.515707984777</f>
        <v>-1322.9695113856221</v>
      </c>
      <c r="O38">
        <f>-765.130224267764 -144.371603631675 -492.007908814325</f>
        <v>-1401.5097367137639</v>
      </c>
      <c r="P38">
        <f>-745.610283625478 -205.309425296916 -204.785406767861</f>
        <v>-1155.7051156902548</v>
      </c>
      <c r="Q38">
        <f>-577.188670481127 -52.210342496237 -283.815412133</f>
        <v>-913.214425110364</v>
      </c>
      <c r="R38" t="s">
        <v>713</v>
      </c>
      <c r="S38" t="s">
        <v>714</v>
      </c>
      <c r="T38" t="s">
        <v>715</v>
      </c>
      <c r="U38" t="s">
        <v>716</v>
      </c>
      <c r="V38">
        <f>-694.511748755156 -60.7496240506755 -65.4167987531339</f>
        <v>-820.67817155896535</v>
      </c>
      <c r="W38" t="s">
        <v>717</v>
      </c>
      <c r="X38" t="s">
        <v>718</v>
      </c>
      <c r="Y38" t="s">
        <v>719</v>
      </c>
    </row>
    <row r="39" spans="1:25" x14ac:dyDescent="0.3">
      <c r="A39">
        <v>1900</v>
      </c>
      <c r="B39" t="s">
        <v>720</v>
      </c>
      <c r="C39" t="s">
        <v>721</v>
      </c>
      <c r="D39" t="s">
        <v>722</v>
      </c>
      <c r="E39" t="s">
        <v>723</v>
      </c>
      <c r="F39" t="s">
        <v>724</v>
      </c>
      <c r="G39" t="s">
        <v>725</v>
      </c>
      <c r="H39" t="s">
        <v>726</v>
      </c>
      <c r="I39" t="s">
        <v>727</v>
      </c>
      <c r="J39" t="s">
        <v>728</v>
      </c>
      <c r="K39" t="s">
        <v>729</v>
      </c>
      <c r="L39" t="s">
        <v>730</v>
      </c>
      <c r="M39" t="s">
        <v>731</v>
      </c>
      <c r="N39">
        <f>-794.919793880315 -11.8135639883139 -514.570987138692</f>
        <v>-1321.304345007321</v>
      </c>
      <c r="O39">
        <f>-762.325497678786 -143.450785919147 -492.064613533624</f>
        <v>-1397.8408971315569</v>
      </c>
      <c r="P39">
        <f>-748.947835619278 -204.510904277008 -204.516491383019</f>
        <v>-1157.9752312793048</v>
      </c>
      <c r="Q39">
        <f>-578.378967012542 -55.2592916728881 -286.254196687017</f>
        <v>-919.8924553724471</v>
      </c>
      <c r="R39" t="s">
        <v>732</v>
      </c>
      <c r="S39" t="s">
        <v>733</v>
      </c>
      <c r="T39" t="s">
        <v>734</v>
      </c>
      <c r="U39" t="s">
        <v>735</v>
      </c>
      <c r="V39">
        <f>-694.462998027985 -59.9532624141475 -65.4610964968311</f>
        <v>-819.87735693896366</v>
      </c>
      <c r="W39" t="s">
        <v>736</v>
      </c>
      <c r="X39" t="s">
        <v>737</v>
      </c>
      <c r="Y39" t="s">
        <v>738</v>
      </c>
    </row>
    <row r="40" spans="1:25" x14ac:dyDescent="0.3">
      <c r="A40">
        <v>1950</v>
      </c>
      <c r="B40" t="s">
        <v>739</v>
      </c>
      <c r="C40" t="s">
        <v>740</v>
      </c>
      <c r="D40" t="s">
        <v>741</v>
      </c>
      <c r="E40" t="s">
        <v>742</v>
      </c>
      <c r="F40" t="s">
        <v>743</v>
      </c>
      <c r="G40" t="s">
        <v>744</v>
      </c>
      <c r="H40" t="s">
        <v>745</v>
      </c>
      <c r="I40" t="s">
        <v>746</v>
      </c>
      <c r="J40" t="s">
        <v>747</v>
      </c>
      <c r="K40" t="s">
        <v>748</v>
      </c>
      <c r="L40" t="s">
        <v>749</v>
      </c>
      <c r="M40" t="s">
        <v>750</v>
      </c>
      <c r="N40">
        <f>-792.052350056274 -10.5805874732737 -514.758341004152</f>
        <v>-1317.3912785336997</v>
      </c>
      <c r="O40">
        <f>-756.813256149852 -141.536235670352 -492.288446290721</f>
        <v>-1390.637938110925</v>
      </c>
      <c r="P40">
        <f>-755.886760810171 -202.646556406101 -204.441477787072</f>
        <v>-1162.9747950033441</v>
      </c>
      <c r="Q40">
        <f>-580.40447186575 -62.1406449472399 -291.130057022601</f>
        <v>-933.67517383559095</v>
      </c>
      <c r="R40" t="s">
        <v>751</v>
      </c>
      <c r="S40" t="s">
        <v>752</v>
      </c>
      <c r="T40" t="s">
        <v>753</v>
      </c>
      <c r="U40" t="s">
        <v>754</v>
      </c>
      <c r="V40">
        <f>-693.813385055762 -58.14020610685 -65.5714305954324</f>
        <v>-817.52502175804432</v>
      </c>
      <c r="W40" t="s">
        <v>755</v>
      </c>
      <c r="X40" t="s">
        <v>756</v>
      </c>
      <c r="Y40" t="s">
        <v>757</v>
      </c>
    </row>
    <row r="41" spans="1:25" x14ac:dyDescent="0.3">
      <c r="A41">
        <v>2000</v>
      </c>
      <c r="B41" t="s">
        <v>758</v>
      </c>
      <c r="C41" t="s">
        <v>759</v>
      </c>
      <c r="D41" t="s">
        <v>760</v>
      </c>
      <c r="E41" t="s">
        <v>761</v>
      </c>
      <c r="F41" t="s">
        <v>762</v>
      </c>
      <c r="G41" t="s">
        <v>763</v>
      </c>
      <c r="H41" t="s">
        <v>764</v>
      </c>
      <c r="I41" t="s">
        <v>765</v>
      </c>
      <c r="J41" t="s">
        <v>766</v>
      </c>
      <c r="K41" t="s">
        <v>767</v>
      </c>
      <c r="L41" t="s">
        <v>768</v>
      </c>
      <c r="M41" t="s">
        <v>769</v>
      </c>
      <c r="N41">
        <f>-789.423776920444 -8.94837116936969 -515.226889313302</f>
        <v>-1313.5990374031157</v>
      </c>
      <c r="O41">
        <f>-753.091990678527 -139.729509567634 -493.501733446979</f>
        <v>-1386.3232336931401</v>
      </c>
      <c r="P41">
        <f>-763.865418379861 -203.011952890653 -206.324922789347</f>
        <v>-1173.2022940598611</v>
      </c>
      <c r="Q41">
        <f>-583.914315187922 -69.8543899595456 -295.417637163024</f>
        <v>-949.18634231049168</v>
      </c>
      <c r="R41" t="s">
        <v>770</v>
      </c>
      <c r="S41" t="s">
        <v>771</v>
      </c>
      <c r="T41" t="s">
        <v>772</v>
      </c>
      <c r="U41" t="s">
        <v>773</v>
      </c>
      <c r="V41">
        <f>-693.640218262345 -56.8158639205258 -65.8280882244786</f>
        <v>-816.28417040734939</v>
      </c>
      <c r="W41" t="s">
        <v>774</v>
      </c>
      <c r="X41" t="s">
        <v>775</v>
      </c>
      <c r="Y41" t="s">
        <v>776</v>
      </c>
    </row>
    <row r="42" spans="1:25" x14ac:dyDescent="0.3">
      <c r="A42">
        <v>2050</v>
      </c>
      <c r="B42" t="s">
        <v>777</v>
      </c>
      <c r="C42" t="s">
        <v>778</v>
      </c>
      <c r="D42" t="s">
        <v>779</v>
      </c>
      <c r="E42" t="s">
        <v>780</v>
      </c>
      <c r="F42" t="s">
        <v>781</v>
      </c>
      <c r="G42" t="s">
        <v>782</v>
      </c>
      <c r="H42" t="s">
        <v>783</v>
      </c>
      <c r="I42" t="s">
        <v>784</v>
      </c>
      <c r="J42" t="s">
        <v>785</v>
      </c>
      <c r="K42" t="s">
        <v>786</v>
      </c>
      <c r="L42" t="s">
        <v>787</v>
      </c>
      <c r="M42" t="s">
        <v>788</v>
      </c>
      <c r="N42">
        <f>-788.769630806972 -8.08871716470412 -515.569710143826</f>
        <v>-1312.4280581155022</v>
      </c>
      <c r="O42">
        <f>-752.290223189426 -138.914685794184 -494.172520381572</f>
        <v>-1385.377429365182</v>
      </c>
      <c r="P42">
        <f>-768.276809832921 -203.286181370559 -207.481196216739</f>
        <v>-1179.044187420219</v>
      </c>
      <c r="Q42">
        <f>-585.932985550431 -73.7673345742078 -297.07170894182</f>
        <v>-956.7720290664588</v>
      </c>
      <c r="R42" t="s">
        <v>789</v>
      </c>
      <c r="S42" t="s">
        <v>790</v>
      </c>
      <c r="T42" t="s">
        <v>791</v>
      </c>
      <c r="U42" t="s">
        <v>792</v>
      </c>
      <c r="V42">
        <f>-694.196478103734 -56.6144715168782 -66.011684309481</f>
        <v>-816.82263393009316</v>
      </c>
      <c r="W42" t="s">
        <v>793</v>
      </c>
      <c r="X42" t="s">
        <v>794</v>
      </c>
      <c r="Y42" t="s">
        <v>795</v>
      </c>
    </row>
    <row r="43" spans="1:25" x14ac:dyDescent="0.3">
      <c r="A43">
        <v>2100</v>
      </c>
      <c r="B43" t="s">
        <v>796</v>
      </c>
      <c r="C43" t="s">
        <v>797</v>
      </c>
      <c r="D43" t="s">
        <v>798</v>
      </c>
      <c r="E43" t="s">
        <v>799</v>
      </c>
      <c r="F43" t="s">
        <v>800</v>
      </c>
      <c r="G43" t="s">
        <v>801</v>
      </c>
      <c r="H43" t="s">
        <v>802</v>
      </c>
      <c r="I43" t="s">
        <v>803</v>
      </c>
      <c r="J43" t="s">
        <v>804</v>
      </c>
      <c r="K43" t="s">
        <v>805</v>
      </c>
      <c r="L43" t="s">
        <v>806</v>
      </c>
      <c r="M43" t="s">
        <v>807</v>
      </c>
      <c r="N43">
        <f>-789.048243820141 -6.13185766946344 -516.074111452324</f>
        <v>-1311.2542129419285</v>
      </c>
      <c r="O43">
        <f>-752.34129681785 -136.969770838743 -495.161942675157</f>
        <v>-1384.4730103317499</v>
      </c>
      <c r="P43">
        <f>-778.075489205959 -202.673775108641 -209.483995338374</f>
        <v>-1190.2332596529739</v>
      </c>
      <c r="Q43">
        <f>-590.613750327779 -80.5936030419859 -298.957262483566</f>
        <v>-970.16461585333104</v>
      </c>
      <c r="R43" t="s">
        <v>808</v>
      </c>
      <c r="S43" t="s">
        <v>809</v>
      </c>
      <c r="T43" t="s">
        <v>810</v>
      </c>
      <c r="U43" t="s">
        <v>811</v>
      </c>
      <c r="V43">
        <f>-696.261552282134 -56.2493804607866 -66.3001366459953</f>
        <v>-818.81106938891583</v>
      </c>
      <c r="W43" t="s">
        <v>812</v>
      </c>
      <c r="X43" t="s">
        <v>813</v>
      </c>
      <c r="Y43" t="s">
        <v>814</v>
      </c>
    </row>
    <row r="44" spans="1:25" x14ac:dyDescent="0.3">
      <c r="A44">
        <v>2150</v>
      </c>
      <c r="B44" t="s">
        <v>815</v>
      </c>
      <c r="C44" t="s">
        <v>816</v>
      </c>
      <c r="D44" t="s">
        <v>817</v>
      </c>
      <c r="E44" t="s">
        <v>818</v>
      </c>
      <c r="F44" t="s">
        <v>819</v>
      </c>
      <c r="G44" t="s">
        <v>820</v>
      </c>
      <c r="H44" t="s">
        <v>821</v>
      </c>
      <c r="I44" t="s">
        <v>822</v>
      </c>
      <c r="J44" t="s">
        <v>823</v>
      </c>
      <c r="K44" t="s">
        <v>824</v>
      </c>
      <c r="L44" t="s">
        <v>825</v>
      </c>
      <c r="M44" t="s">
        <v>826</v>
      </c>
      <c r="N44">
        <f>-789.787065264341 -5.57064156577189 -516.071525853581</f>
        <v>-1311.429232683694</v>
      </c>
      <c r="O44">
        <f>-753.055827218808 -136.398227174759 -495.349960961638</f>
        <v>-1384.8040153552049</v>
      </c>
      <c r="P44">
        <f>-782.902521620139 -202.127266745925 -210.07800539096</f>
        <v>-1195.107793757024</v>
      </c>
      <c r="Q44">
        <f>-592.913801069116 -83.8230438033447 -299.292644577434</f>
        <v>-976.02948944989464</v>
      </c>
      <c r="R44" t="s">
        <v>827</v>
      </c>
      <c r="S44" t="s">
        <v>828</v>
      </c>
      <c r="T44" t="s">
        <v>829</v>
      </c>
      <c r="U44" t="s">
        <v>830</v>
      </c>
      <c r="V44">
        <f>-697.422964718053 -56.4041427972468 -66.2838165049286</f>
        <v>-820.11092402022837</v>
      </c>
      <c r="W44" t="s">
        <v>831</v>
      </c>
      <c r="X44" t="s">
        <v>832</v>
      </c>
      <c r="Y44" t="s">
        <v>833</v>
      </c>
    </row>
    <row r="45" spans="1:25" x14ac:dyDescent="0.3">
      <c r="A45">
        <v>2200</v>
      </c>
      <c r="B45" t="s">
        <v>834</v>
      </c>
      <c r="C45" t="s">
        <v>835</v>
      </c>
      <c r="D45" t="s">
        <v>836</v>
      </c>
      <c r="E45" t="s">
        <v>837</v>
      </c>
      <c r="F45" t="s">
        <v>838</v>
      </c>
      <c r="G45" t="s">
        <v>839</v>
      </c>
      <c r="H45" t="s">
        <v>840</v>
      </c>
      <c r="I45" t="s">
        <v>841</v>
      </c>
      <c r="J45" t="s">
        <v>842</v>
      </c>
      <c r="K45" t="s">
        <v>843</v>
      </c>
      <c r="L45" t="s">
        <v>844</v>
      </c>
      <c r="M45" t="s">
        <v>845</v>
      </c>
      <c r="N45">
        <f>-790.289755148905 -5.68846091729802 -515.80672207595</f>
        <v>-1311.7849381421529</v>
      </c>
      <c r="O45">
        <f>-753.787611385867 -136.57042109619 -494.920288043902</f>
        <v>-1385.2783205259589</v>
      </c>
      <c r="P45">
        <f>-789.307835541582 -201.987700547111 -210.227192981192</f>
        <v>-1201.5227290698849</v>
      </c>
      <c r="Q45">
        <f>-595.444587917034 -90.1625961745019 -299.463399935496</f>
        <v>-985.07058402703194</v>
      </c>
      <c r="R45" t="s">
        <v>846</v>
      </c>
      <c r="S45" t="s">
        <v>847</v>
      </c>
      <c r="T45" t="s">
        <v>848</v>
      </c>
      <c r="U45" t="s">
        <v>849</v>
      </c>
      <c r="V45">
        <f>-698.642536957935 -56.8374371946752 -66.1073431693624</f>
        <v>-821.58731732197259</v>
      </c>
      <c r="W45" t="s">
        <v>850</v>
      </c>
      <c r="X45" t="s">
        <v>851</v>
      </c>
      <c r="Y45" t="s">
        <v>852</v>
      </c>
    </row>
    <row r="46" spans="1:25" x14ac:dyDescent="0.3">
      <c r="A46">
        <v>2250</v>
      </c>
      <c r="B46" t="s">
        <v>853</v>
      </c>
      <c r="C46" t="s">
        <v>854</v>
      </c>
      <c r="D46" t="s">
        <v>855</v>
      </c>
      <c r="E46" t="s">
        <v>856</v>
      </c>
      <c r="F46" t="s">
        <v>857</v>
      </c>
      <c r="G46" t="s">
        <v>858</v>
      </c>
      <c r="H46" t="s">
        <v>859</v>
      </c>
      <c r="I46" t="s">
        <v>860</v>
      </c>
      <c r="J46" t="s">
        <v>861</v>
      </c>
      <c r="K46" t="s">
        <v>862</v>
      </c>
      <c r="L46" t="s">
        <v>863</v>
      </c>
      <c r="M46" t="s">
        <v>864</v>
      </c>
      <c r="N46">
        <f>-790.22047373132 -5.78852203438373 -515.505645852266</f>
        <v>-1311.5146416179696</v>
      </c>
      <c r="O46">
        <f>-754.069870012375 -136.741855097887 -494.419592590484</f>
        <v>-1385.2313177007459</v>
      </c>
      <c r="P46">
        <f>-791.357009826704 -202.033992670483 -209.923903816299</f>
        <v>-1203.3149063134861</v>
      </c>
      <c r="Q46">
        <f>-595.960138966527 -93.1471180399981 -299.447912322549</f>
        <v>-988.55516932907403</v>
      </c>
      <c r="R46" t="s">
        <v>865</v>
      </c>
      <c r="S46" t="s">
        <v>866</v>
      </c>
      <c r="T46" t="s">
        <v>867</v>
      </c>
      <c r="U46" t="s">
        <v>868</v>
      </c>
      <c r="V46">
        <f>-698.698505493765 -57.0018394635088 -66.0712564126494</f>
        <v>-821.77160136992313</v>
      </c>
      <c r="W46" t="s">
        <v>869</v>
      </c>
      <c r="X46" t="s">
        <v>870</v>
      </c>
      <c r="Y46" t="s">
        <v>871</v>
      </c>
    </row>
    <row r="47" spans="1:25" x14ac:dyDescent="0.3">
      <c r="A47">
        <v>2300</v>
      </c>
      <c r="B47" t="s">
        <v>872</v>
      </c>
      <c r="C47" t="s">
        <v>873</v>
      </c>
      <c r="D47" t="s">
        <v>874</v>
      </c>
      <c r="E47" t="s">
        <v>875</v>
      </c>
      <c r="F47" t="s">
        <v>876</v>
      </c>
      <c r="G47" t="s">
        <v>877</v>
      </c>
      <c r="H47" t="s">
        <v>878</v>
      </c>
      <c r="I47" t="s">
        <v>879</v>
      </c>
      <c r="J47" t="s">
        <v>880</v>
      </c>
      <c r="K47" t="s">
        <v>881</v>
      </c>
      <c r="L47" t="s">
        <v>882</v>
      </c>
      <c r="M47" t="s">
        <v>883</v>
      </c>
      <c r="N47">
        <f>-789.492256517823 -5.38263223044896 -515.100537152328</f>
        <v>-1309.9754259005999</v>
      </c>
      <c r="O47">
        <f>-754.025286820689 -136.399832111533 -493.485528338765</f>
        <v>-1383.9106472709868</v>
      </c>
      <c r="P47">
        <f>-794.303321686895 -200.825455852447 -209.2000851207</f>
        <v>-1204.328862660042</v>
      </c>
      <c r="Q47">
        <f>-596.332057298806 -97.4608474599354 -299.609892509736</f>
        <v>-993.40279726847746</v>
      </c>
      <c r="R47" t="s">
        <v>884</v>
      </c>
      <c r="S47" t="s">
        <v>885</v>
      </c>
      <c r="T47" t="s">
        <v>886</v>
      </c>
      <c r="U47" t="s">
        <v>887</v>
      </c>
      <c r="V47">
        <f>-698.773823359096 -57.2143833031375 -66.1051608220263</f>
        <v>-822.09336748425983</v>
      </c>
      <c r="W47" t="s">
        <v>888</v>
      </c>
      <c r="X47" t="s">
        <v>889</v>
      </c>
      <c r="Y47" t="s">
        <v>890</v>
      </c>
    </row>
    <row r="48" spans="1:25" x14ac:dyDescent="0.3">
      <c r="A48">
        <v>2350</v>
      </c>
      <c r="B48" t="s">
        <v>891</v>
      </c>
      <c r="C48" t="s">
        <v>892</v>
      </c>
      <c r="D48" t="s">
        <v>893</v>
      </c>
      <c r="E48" t="s">
        <v>894</v>
      </c>
      <c r="F48" t="s">
        <v>895</v>
      </c>
      <c r="G48" t="s">
        <v>896</v>
      </c>
      <c r="H48" t="s">
        <v>897</v>
      </c>
      <c r="I48" t="s">
        <v>898</v>
      </c>
      <c r="J48" t="s">
        <v>899</v>
      </c>
      <c r="K48" t="s">
        <v>900</v>
      </c>
      <c r="L48" t="s">
        <v>901</v>
      </c>
      <c r="M48" t="s">
        <v>902</v>
      </c>
      <c r="N48">
        <f>-789.490633025823 -5.785110259872 -515.001698440445</f>
        <v>-1310.2774417261398</v>
      </c>
      <c r="O48">
        <f>-754.245907259335 -136.787669703866 -493.147259257998</f>
        <v>-1384.1808362211989</v>
      </c>
      <c r="P48">
        <f>-796.177178084639 -200.240865990702 -208.882157593875</f>
        <v>-1205.300201669216</v>
      </c>
      <c r="Q48">
        <f>-597.119887956544 -99.4973072022372 -299.864371130465</f>
        <v>-996.48156628924608</v>
      </c>
      <c r="R48" t="s">
        <v>903</v>
      </c>
      <c r="S48" t="s">
        <v>904</v>
      </c>
      <c r="T48" t="s">
        <v>905</v>
      </c>
      <c r="U48" t="s">
        <v>906</v>
      </c>
      <c r="V48">
        <f>-699.054467484627 -57.2963987959358 -66.0933522421772</f>
        <v>-822.44421852274002</v>
      </c>
      <c r="W48" t="s">
        <v>907</v>
      </c>
      <c r="X48" t="s">
        <v>908</v>
      </c>
      <c r="Y48" t="s">
        <v>909</v>
      </c>
    </row>
    <row r="49" spans="1:25" x14ac:dyDescent="0.3">
      <c r="A49">
        <v>2400</v>
      </c>
      <c r="B49" t="s">
        <v>910</v>
      </c>
      <c r="C49" t="s">
        <v>911</v>
      </c>
      <c r="D49" t="s">
        <v>912</v>
      </c>
      <c r="E49" t="s">
        <v>913</v>
      </c>
      <c r="F49" t="s">
        <v>914</v>
      </c>
      <c r="G49" t="s">
        <v>915</v>
      </c>
      <c r="H49" t="s">
        <v>916</v>
      </c>
      <c r="I49" t="s">
        <v>917</v>
      </c>
      <c r="J49" t="s">
        <v>918</v>
      </c>
      <c r="K49" t="s">
        <v>919</v>
      </c>
      <c r="L49" t="s">
        <v>920</v>
      </c>
      <c r="M49" t="s">
        <v>921</v>
      </c>
      <c r="N49">
        <f>-789.858453244535 -7.4104853429194 -514.995595742828</f>
        <v>-1312.2645343302825</v>
      </c>
      <c r="O49">
        <f>-754.99481090619 -138.460542613947 -492.964546636926</f>
        <v>-1386.419900157063</v>
      </c>
      <c r="P49">
        <f>-798.490677942375 -200.521927826216 -208.627313014074</f>
        <v>-1207.6399187826651</v>
      </c>
      <c r="Q49">
        <f>-598.409680982839 -102.412067287128 -300.240292557022</f>
        <v>-1001.062040826989</v>
      </c>
      <c r="R49" t="s">
        <v>922</v>
      </c>
      <c r="S49" t="s">
        <v>923</v>
      </c>
      <c r="T49" t="s">
        <v>924</v>
      </c>
      <c r="U49" t="s">
        <v>925</v>
      </c>
      <c r="V49">
        <f>-699.297752993976 -57.3148029837951 -66.0222728377671</f>
        <v>-822.63482881553819</v>
      </c>
      <c r="W49" t="s">
        <v>926</v>
      </c>
      <c r="X49" t="s">
        <v>927</v>
      </c>
      <c r="Y49" t="s">
        <v>928</v>
      </c>
    </row>
    <row r="50" spans="1:25" x14ac:dyDescent="0.3">
      <c r="A50">
        <v>2450</v>
      </c>
      <c r="B50" t="s">
        <v>910</v>
      </c>
      <c r="C50" t="s">
        <v>911</v>
      </c>
      <c r="D50" t="s">
        <v>912</v>
      </c>
      <c r="E50" t="s">
        <v>913</v>
      </c>
      <c r="F50" t="s">
        <v>914</v>
      </c>
      <c r="G50" t="s">
        <v>915</v>
      </c>
      <c r="H50" t="s">
        <v>916</v>
      </c>
      <c r="I50" t="s">
        <v>917</v>
      </c>
      <c r="J50" t="s">
        <v>918</v>
      </c>
      <c r="K50" t="s">
        <v>919</v>
      </c>
      <c r="L50" t="s">
        <v>920</v>
      </c>
      <c r="M50" t="s">
        <v>921</v>
      </c>
      <c r="N50">
        <f>-789.858453244535 -7.4104853429194 -514.995595742828</f>
        <v>-1312.2645343302825</v>
      </c>
      <c r="O50">
        <f>-754.99481090619 -138.460542613947 -492.964546636926</f>
        <v>-1386.419900157063</v>
      </c>
      <c r="P50">
        <f>-798.490677942375 -200.521927826216 -208.627313014074</f>
        <v>-1207.6399187826651</v>
      </c>
      <c r="Q50">
        <f>-598.409680982839 -102.412067287128 -300.240292557022</f>
        <v>-1001.062040826989</v>
      </c>
      <c r="R50" t="s">
        <v>922</v>
      </c>
      <c r="S50" t="s">
        <v>923</v>
      </c>
      <c r="T50" t="s">
        <v>924</v>
      </c>
      <c r="U50" t="s">
        <v>925</v>
      </c>
      <c r="V50">
        <f>-699.297752993976 -57.3148029837951 -66.0222728377671</f>
        <v>-822.63482881553819</v>
      </c>
      <c r="W50" t="s">
        <v>926</v>
      </c>
      <c r="X50" t="s">
        <v>927</v>
      </c>
      <c r="Y50" t="s">
        <v>928</v>
      </c>
    </row>
    <row r="51" spans="1:25" x14ac:dyDescent="0.3">
      <c r="A51">
        <v>2500</v>
      </c>
      <c r="B51" t="s">
        <v>929</v>
      </c>
      <c r="C51" t="s">
        <v>930</v>
      </c>
      <c r="D51" t="s">
        <v>931</v>
      </c>
      <c r="E51" t="s">
        <v>932</v>
      </c>
      <c r="F51" t="s">
        <v>933</v>
      </c>
      <c r="G51" t="s">
        <v>934</v>
      </c>
      <c r="H51" t="s">
        <v>935</v>
      </c>
      <c r="I51" t="s">
        <v>936</v>
      </c>
      <c r="J51" t="s">
        <v>937</v>
      </c>
      <c r="K51" t="s">
        <v>938</v>
      </c>
      <c r="L51" t="s">
        <v>939</v>
      </c>
      <c r="M51" t="s">
        <v>940</v>
      </c>
      <c r="N51">
        <f>-791.072661946574 -14.7832413033648 -513.588514541973</f>
        <v>-1319.4444177919117</v>
      </c>
      <c r="O51">
        <f>-756.962317145599 -145.704366583881 -489.500096753353</f>
        <v>-1392.166780482833</v>
      </c>
      <c r="P51">
        <f>-802.472248613111 -203.504600343306 -204.580473426788</f>
        <v>-1210.557322383205</v>
      </c>
      <c r="Q51">
        <f>-601.622359470366 -109.517512345882 -298.79666319388</f>
        <v>-1009.936535010128</v>
      </c>
      <c r="R51" t="s">
        <v>941</v>
      </c>
      <c r="S51" t="s">
        <v>942</v>
      </c>
      <c r="T51" t="s">
        <v>943</v>
      </c>
      <c r="U51" t="s">
        <v>944</v>
      </c>
      <c r="V51">
        <f>-702.35406230691 -59.507085500059 -64.6397812387619</f>
        <v>-826.50092904573091</v>
      </c>
      <c r="W51" t="s">
        <v>945</v>
      </c>
      <c r="X51" t="s">
        <v>946</v>
      </c>
      <c r="Y51" t="s">
        <v>947</v>
      </c>
    </row>
    <row r="52" spans="1:25" x14ac:dyDescent="0.3">
      <c r="A52">
        <v>2550</v>
      </c>
      <c r="B52" t="s">
        <v>948</v>
      </c>
      <c r="C52" t="s">
        <v>949</v>
      </c>
      <c r="D52" t="s">
        <v>950</v>
      </c>
      <c r="E52" t="s">
        <v>951</v>
      </c>
      <c r="F52" t="s">
        <v>952</v>
      </c>
      <c r="G52" t="s">
        <v>953</v>
      </c>
      <c r="H52" t="s">
        <v>954</v>
      </c>
      <c r="I52" t="s">
        <v>955</v>
      </c>
      <c r="J52" t="s">
        <v>956</v>
      </c>
      <c r="K52" t="s">
        <v>957</v>
      </c>
      <c r="L52" t="s">
        <v>958</v>
      </c>
      <c r="M52" t="s">
        <v>959</v>
      </c>
      <c r="N52">
        <f>-790.206802932142 -15.5122577438051 -513.631396010962</f>
        <v>-1319.3504566869092</v>
      </c>
      <c r="O52">
        <f>-756.246035011295 -146.376367342841 -489.018040871297</f>
        <v>-1391.640443225433</v>
      </c>
      <c r="P52">
        <f>-801.687278220217 -204.152640048903 -204.082708907437</f>
        <v>-1209.9226271765569</v>
      </c>
      <c r="Q52">
        <f>-601.036621898706 -110.193646587331 -298.749674845009</f>
        <v>-1009.9799433310461</v>
      </c>
      <c r="R52" t="s">
        <v>960</v>
      </c>
      <c r="S52" t="s">
        <v>961</v>
      </c>
      <c r="T52" t="s">
        <v>962</v>
      </c>
      <c r="U52" t="s">
        <v>963</v>
      </c>
      <c r="V52">
        <f>-702.565791055077 -59.9400882925606 -64.5653035732483</f>
        <v>-827.07118292088603</v>
      </c>
      <c r="W52" t="s">
        <v>964</v>
      </c>
      <c r="X52" t="s">
        <v>965</v>
      </c>
      <c r="Y52" t="s">
        <v>966</v>
      </c>
    </row>
    <row r="53" spans="1:25" x14ac:dyDescent="0.3">
      <c r="A53">
        <v>2600</v>
      </c>
      <c r="B53" t="s">
        <v>967</v>
      </c>
      <c r="C53" t="s">
        <v>968</v>
      </c>
      <c r="D53" t="s">
        <v>969</v>
      </c>
      <c r="E53" t="s">
        <v>970</v>
      </c>
      <c r="F53" t="s">
        <v>971</v>
      </c>
      <c r="G53" t="s">
        <v>972</v>
      </c>
      <c r="H53" t="s">
        <v>973</v>
      </c>
      <c r="I53" t="s">
        <v>974</v>
      </c>
      <c r="J53" t="s">
        <v>975</v>
      </c>
      <c r="K53" t="s">
        <v>976</v>
      </c>
      <c r="L53" t="s">
        <v>977</v>
      </c>
      <c r="M53" t="s">
        <v>978</v>
      </c>
      <c r="N53">
        <f>-788.596664946947 -17.844894731938 -513.475787700308</f>
        <v>-1319.917347379193</v>
      </c>
      <c r="O53">
        <f>-754.776023939952 -148.539874992534 -487.816771728</f>
        <v>-1391.1326706604859</v>
      </c>
      <c r="P53">
        <f>-800.736300814577 -205.988992523947 -202.898414238463</f>
        <v>-1209.623707576987</v>
      </c>
      <c r="Q53">
        <f>-600.318534789961 -112.386086532974 -298.407971804031</f>
        <v>-1011.112593126966</v>
      </c>
      <c r="R53" t="s">
        <v>979</v>
      </c>
      <c r="S53" t="s">
        <v>980</v>
      </c>
      <c r="T53" t="s">
        <v>981</v>
      </c>
      <c r="U53" t="s">
        <v>982</v>
      </c>
      <c r="V53">
        <f>-702.949005833178 -60.5908199132755 -64.4616800712598</f>
        <v>-828.00150581771334</v>
      </c>
      <c r="W53" t="s">
        <v>983</v>
      </c>
      <c r="X53" t="s">
        <v>984</v>
      </c>
      <c r="Y53" t="s">
        <v>985</v>
      </c>
    </row>
    <row r="54" spans="1:25" x14ac:dyDescent="0.3">
      <c r="A54">
        <v>2650</v>
      </c>
      <c r="B54" t="s">
        <v>967</v>
      </c>
      <c r="C54" t="s">
        <v>968</v>
      </c>
      <c r="D54" t="s">
        <v>969</v>
      </c>
      <c r="E54" t="s">
        <v>970</v>
      </c>
      <c r="F54" t="s">
        <v>971</v>
      </c>
      <c r="G54" t="s">
        <v>972</v>
      </c>
      <c r="H54" t="s">
        <v>973</v>
      </c>
      <c r="I54" t="s">
        <v>974</v>
      </c>
      <c r="J54" t="s">
        <v>975</v>
      </c>
      <c r="K54" t="s">
        <v>976</v>
      </c>
      <c r="L54" t="s">
        <v>977</v>
      </c>
      <c r="M54" t="s">
        <v>978</v>
      </c>
      <c r="N54">
        <f>-788.596664946947 -17.844894731938 -513.475787700308</f>
        <v>-1319.917347379193</v>
      </c>
      <c r="O54">
        <f>-754.776023939952 -148.539874992534 -487.816771728</f>
        <v>-1391.1326706604859</v>
      </c>
      <c r="P54">
        <f>-800.736300814577 -205.988992523947 -202.898414238463</f>
        <v>-1209.623707576987</v>
      </c>
      <c r="Q54">
        <f>-600.318534789961 -112.386086532974 -298.407971804031</f>
        <v>-1011.112593126966</v>
      </c>
      <c r="R54" t="s">
        <v>979</v>
      </c>
      <c r="S54" t="s">
        <v>980</v>
      </c>
      <c r="T54" t="s">
        <v>981</v>
      </c>
      <c r="U54" t="s">
        <v>982</v>
      </c>
      <c r="V54">
        <f>-702.949005833178 -60.5908199132755 -64.4616800712598</f>
        <v>-828.00150581771334</v>
      </c>
      <c r="W54" t="s">
        <v>983</v>
      </c>
      <c r="X54" t="s">
        <v>984</v>
      </c>
      <c r="Y54" t="s">
        <v>985</v>
      </c>
    </row>
    <row r="55" spans="1:25" x14ac:dyDescent="0.3">
      <c r="A55">
        <v>2700</v>
      </c>
      <c r="B55" t="s">
        <v>986</v>
      </c>
      <c r="C55" t="s">
        <v>987</v>
      </c>
      <c r="D55" t="s">
        <v>988</v>
      </c>
      <c r="E55" t="s">
        <v>989</v>
      </c>
      <c r="F55" t="s">
        <v>990</v>
      </c>
      <c r="G55">
        <f>-794.354126060931 -0.430845813942597 -443.725107175833</f>
        <v>-1238.5100790507065</v>
      </c>
      <c r="H55">
        <f>-777.311307765163 -0.512621130892057 -567.136474091116</f>
        <v>-1344.9604029871712</v>
      </c>
      <c r="I55" t="s">
        <v>991</v>
      </c>
      <c r="J55" t="s">
        <v>992</v>
      </c>
      <c r="K55" t="s">
        <v>993</v>
      </c>
      <c r="L55" t="s">
        <v>994</v>
      </c>
      <c r="M55" t="s">
        <v>995</v>
      </c>
      <c r="N55">
        <f>-776.557879957312 -26.9025483558744 -511.671930914218</f>
        <v>-1315.1323592274043</v>
      </c>
      <c r="O55">
        <f>-743.873157505575 -157.109185143918 -482.106625965606</f>
        <v>-1383.088968615099</v>
      </c>
      <c r="P55">
        <f>-799.729681666099 -205.973000219998 -197.354820152194</f>
        <v>-1203.057502038291</v>
      </c>
      <c r="Q55">
        <f>-597.711713546993 -117.70635751895 -294.558717249872</f>
        <v>-1009.9767883158149</v>
      </c>
      <c r="R55" t="s">
        <v>996</v>
      </c>
      <c r="S55" t="s">
        <v>997</v>
      </c>
      <c r="T55" t="s">
        <v>998</v>
      </c>
      <c r="U55" t="s">
        <v>999</v>
      </c>
      <c r="V55">
        <f>-704.833216590315 -60.1419228145894 -64.3028234817155</f>
        <v>-829.27796288661989</v>
      </c>
      <c r="W55" t="s">
        <v>1000</v>
      </c>
      <c r="X55" t="s">
        <v>1001</v>
      </c>
      <c r="Y55" t="s">
        <v>1002</v>
      </c>
    </row>
    <row r="56" spans="1:25" x14ac:dyDescent="0.3">
      <c r="A56">
        <v>2750</v>
      </c>
      <c r="B56" t="s">
        <v>986</v>
      </c>
      <c r="C56" t="s">
        <v>987</v>
      </c>
      <c r="D56" t="s">
        <v>988</v>
      </c>
      <c r="E56" t="s">
        <v>989</v>
      </c>
      <c r="F56" t="s">
        <v>990</v>
      </c>
      <c r="G56">
        <f>-794.354126060931 -0.430845813942597 -443.725107175833</f>
        <v>-1238.5100790507065</v>
      </c>
      <c r="H56">
        <f>-777.311307765163 -0.512621130892057 -567.136474091116</f>
        <v>-1344.9604029871712</v>
      </c>
      <c r="I56" t="s">
        <v>991</v>
      </c>
      <c r="J56" t="s">
        <v>992</v>
      </c>
      <c r="K56" t="s">
        <v>993</v>
      </c>
      <c r="L56" t="s">
        <v>994</v>
      </c>
      <c r="M56" t="s">
        <v>995</v>
      </c>
      <c r="N56">
        <f>-776.557879957312 -26.9025483558744 -511.671930914218</f>
        <v>-1315.1323592274043</v>
      </c>
      <c r="O56">
        <f>-743.873157505575 -157.109185143918 -482.106625965606</f>
        <v>-1383.088968615099</v>
      </c>
      <c r="P56">
        <f>-799.729681666099 -205.973000219998 -197.354820152194</f>
        <v>-1203.057502038291</v>
      </c>
      <c r="Q56">
        <f>-597.711713546993 -117.70635751895 -294.558717249872</f>
        <v>-1009.9767883158149</v>
      </c>
      <c r="R56" t="s">
        <v>996</v>
      </c>
      <c r="S56" t="s">
        <v>997</v>
      </c>
      <c r="T56" t="s">
        <v>998</v>
      </c>
      <c r="U56" t="s">
        <v>999</v>
      </c>
      <c r="V56">
        <f>-704.833216590315 -60.1419228145894 -64.3028234817155</f>
        <v>-829.27796288661989</v>
      </c>
      <c r="W56" t="s">
        <v>1000</v>
      </c>
      <c r="X56" t="s">
        <v>1001</v>
      </c>
      <c r="Y56" t="s">
        <v>1002</v>
      </c>
    </row>
    <row r="57" spans="1:25" x14ac:dyDescent="0.3">
      <c r="A57">
        <v>2800</v>
      </c>
      <c r="B57" t="s">
        <v>986</v>
      </c>
      <c r="C57" t="s">
        <v>987</v>
      </c>
      <c r="D57" t="s">
        <v>988</v>
      </c>
      <c r="E57" t="s">
        <v>989</v>
      </c>
      <c r="F57" t="s">
        <v>990</v>
      </c>
      <c r="G57">
        <f>-794.354126060931 -0.430845813942597 -443.725107175833</f>
        <v>-1238.5100790507065</v>
      </c>
      <c r="H57">
        <f>-777.311307765163 -0.512621130892057 -567.136474091116</f>
        <v>-1344.9604029871712</v>
      </c>
      <c r="I57" t="s">
        <v>991</v>
      </c>
      <c r="J57" t="s">
        <v>992</v>
      </c>
      <c r="K57" t="s">
        <v>993</v>
      </c>
      <c r="L57" t="s">
        <v>994</v>
      </c>
      <c r="M57" t="s">
        <v>995</v>
      </c>
      <c r="N57">
        <f>-776.557879957312 -26.9025483558744 -511.671930914218</f>
        <v>-1315.1323592274043</v>
      </c>
      <c r="O57">
        <f>-743.873157505575 -157.109185143918 -482.106625965606</f>
        <v>-1383.088968615099</v>
      </c>
      <c r="P57">
        <f>-799.729681666099 -205.973000219998 -197.354820152194</f>
        <v>-1203.057502038291</v>
      </c>
      <c r="Q57">
        <f>-597.711713546993 -117.70635751895 -294.558717249872</f>
        <v>-1009.9767883158149</v>
      </c>
      <c r="R57" t="s">
        <v>996</v>
      </c>
      <c r="S57" t="s">
        <v>997</v>
      </c>
      <c r="T57" t="s">
        <v>998</v>
      </c>
      <c r="U57" t="s">
        <v>999</v>
      </c>
      <c r="V57">
        <f>-704.833216590315 -60.1419228145894 -64.3028234817155</f>
        <v>-829.27796288661989</v>
      </c>
      <c r="W57" t="s">
        <v>1000</v>
      </c>
      <c r="X57" t="s">
        <v>1001</v>
      </c>
      <c r="Y57" t="s">
        <v>1002</v>
      </c>
    </row>
    <row r="58" spans="1:25" x14ac:dyDescent="0.3">
      <c r="A58">
        <v>2850</v>
      </c>
      <c r="B58" t="s">
        <v>1003</v>
      </c>
      <c r="C58" t="s">
        <v>1004</v>
      </c>
      <c r="D58" t="s">
        <v>1005</v>
      </c>
      <c r="E58" t="s">
        <v>1006</v>
      </c>
      <c r="F58" t="s">
        <v>1007</v>
      </c>
      <c r="G58" t="s">
        <v>1008</v>
      </c>
      <c r="H58" t="s">
        <v>1009</v>
      </c>
      <c r="I58" t="s">
        <v>1010</v>
      </c>
      <c r="J58" t="s">
        <v>1011</v>
      </c>
      <c r="K58" t="s">
        <v>1012</v>
      </c>
      <c r="L58" t="s">
        <v>1013</v>
      </c>
      <c r="M58" t="s">
        <v>1014</v>
      </c>
      <c r="N58">
        <f>-775.824161753636 -26.0624360568809 -512.85228553698</f>
        <v>-1314.738883347497</v>
      </c>
      <c r="O58">
        <f>-743.075442145066 -156.284144478886 -483.156160137146</f>
        <v>-1382.5157467610979</v>
      </c>
      <c r="P58">
        <f>-801.589285366895 -205.576292486322 -199.012505351105</f>
        <v>-1206.1780832043219</v>
      </c>
      <c r="Q58">
        <f>-599.174839450648 -116.596284133501 -294.729814655719</f>
        <v>-1010.5009382398681</v>
      </c>
      <c r="R58" t="s">
        <v>1015</v>
      </c>
      <c r="S58" t="s">
        <v>1016</v>
      </c>
      <c r="T58" t="s">
        <v>1017</v>
      </c>
      <c r="U58" t="s">
        <v>1018</v>
      </c>
      <c r="V58">
        <f>-704.945660343742 -58.4547845821078 -65.2001143592485</f>
        <v>-828.60055928509826</v>
      </c>
      <c r="W58" t="s">
        <v>1019</v>
      </c>
      <c r="X58" t="s">
        <v>1020</v>
      </c>
      <c r="Y58" t="s">
        <v>1021</v>
      </c>
    </row>
    <row r="59" spans="1:25" x14ac:dyDescent="0.3">
      <c r="A59">
        <v>2900</v>
      </c>
      <c r="B59" t="s">
        <v>1022</v>
      </c>
      <c r="C59" t="s">
        <v>1023</v>
      </c>
      <c r="D59" t="s">
        <v>1024</v>
      </c>
      <c r="E59" t="s">
        <v>1025</v>
      </c>
      <c r="F59" t="s">
        <v>1026</v>
      </c>
      <c r="G59" t="s">
        <v>1027</v>
      </c>
      <c r="H59" t="s">
        <v>1028</v>
      </c>
      <c r="I59" t="s">
        <v>1029</v>
      </c>
      <c r="J59" t="s">
        <v>1030</v>
      </c>
      <c r="K59" t="s">
        <v>1031</v>
      </c>
      <c r="L59" t="s">
        <v>1032</v>
      </c>
      <c r="M59" t="s">
        <v>1033</v>
      </c>
      <c r="N59">
        <f>-775.414109177445 -25.3191597276705 -514.207614210924</f>
        <v>-1314.9408831160395</v>
      </c>
      <c r="O59">
        <f>-740.824471707536 -155.066022088258 -484.882230216553</f>
        <v>-1380.772724012347</v>
      </c>
      <c r="P59">
        <f>-802.491592511235 -206.955625507244 -201.870243810083</f>
        <v>-1211.317461828562</v>
      </c>
      <c r="Q59">
        <f>-600.653195949648 -115.101609200281 -296.077087630756</f>
        <v>-1011.8318927806849</v>
      </c>
      <c r="R59" t="s">
        <v>1034</v>
      </c>
      <c r="S59" t="s">
        <v>1035</v>
      </c>
      <c r="T59" t="s">
        <v>1036</v>
      </c>
      <c r="U59" t="s">
        <v>1037</v>
      </c>
      <c r="V59">
        <f>-704.652071554216 -56.816661108254 -65.9807622516361</f>
        <v>-827.44949491410614</v>
      </c>
      <c r="W59" t="s">
        <v>1038</v>
      </c>
      <c r="X59" t="s">
        <v>1039</v>
      </c>
      <c r="Y59" t="s">
        <v>1040</v>
      </c>
    </row>
    <row r="60" spans="1:25" x14ac:dyDescent="0.3">
      <c r="A60">
        <v>2950</v>
      </c>
      <c r="B60" t="s">
        <v>1041</v>
      </c>
      <c r="C60" t="s">
        <v>1042</v>
      </c>
      <c r="D60" t="s">
        <v>1043</v>
      </c>
      <c r="E60" t="s">
        <v>1044</v>
      </c>
      <c r="F60" t="s">
        <v>1045</v>
      </c>
      <c r="G60" t="s">
        <v>1046</v>
      </c>
      <c r="H60" t="s">
        <v>1047</v>
      </c>
      <c r="I60" t="s">
        <v>1048</v>
      </c>
      <c r="J60" t="s">
        <v>1049</v>
      </c>
      <c r="K60" t="s">
        <v>1050</v>
      </c>
      <c r="L60" t="s">
        <v>1051</v>
      </c>
      <c r="M60" t="s">
        <v>1052</v>
      </c>
      <c r="N60">
        <f>-774.318907159432 -24.2926127111232 -514.558558005739</f>
        <v>-1313.1700778762943</v>
      </c>
      <c r="O60">
        <f>-738.851964860263 -153.814233513094 -485.238049481392</f>
        <v>-1377.904247854749</v>
      </c>
      <c r="P60">
        <f>-800.874934570508 -207.554160526527 -202.649363396742</f>
        <v>-1211.0784584937769</v>
      </c>
      <c r="Q60">
        <f>-599.978474345554 -113.430599297001 -296.629326477495</f>
        <v>-1010.03840012005</v>
      </c>
      <c r="R60" t="s">
        <v>1053</v>
      </c>
      <c r="S60" t="s">
        <v>1054</v>
      </c>
      <c r="T60" t="s">
        <v>1055</v>
      </c>
      <c r="U60" t="s">
        <v>1056</v>
      </c>
      <c r="V60">
        <f>-704.279902515965 -56.0658265193276 -66.327201495884</f>
        <v>-826.67293053117658</v>
      </c>
      <c r="W60" t="s">
        <v>1057</v>
      </c>
      <c r="X60" t="s">
        <v>1058</v>
      </c>
      <c r="Y60" t="s">
        <v>1059</v>
      </c>
    </row>
    <row r="61" spans="1:25" x14ac:dyDescent="0.3">
      <c r="A61">
        <v>3000</v>
      </c>
      <c r="B61" t="s">
        <v>1060</v>
      </c>
      <c r="C61" t="s">
        <v>1061</v>
      </c>
      <c r="D61" t="s">
        <v>1062</v>
      </c>
      <c r="E61" t="s">
        <v>1063</v>
      </c>
      <c r="F61" t="s">
        <v>1064</v>
      </c>
      <c r="G61" t="s">
        <v>1065</v>
      </c>
      <c r="H61" t="s">
        <v>1066</v>
      </c>
      <c r="I61" t="s">
        <v>1067</v>
      </c>
      <c r="J61" t="s">
        <v>1068</v>
      </c>
      <c r="K61" t="s">
        <v>1069</v>
      </c>
      <c r="L61" t="s">
        <v>1070</v>
      </c>
      <c r="M61" t="s">
        <v>1071</v>
      </c>
      <c r="N61">
        <f>-770.444726524691 -18.6544687371952 -514.226041171865</f>
        <v>-1303.3252364337511</v>
      </c>
      <c r="O61">
        <f>-734.221529479274 -148.023059047265 -484.980534358508</f>
        <v>-1367.2251228850471</v>
      </c>
      <c r="P61">
        <f>-793.629868501045 -204.519421424806 -202.367657725568</f>
        <v>-1200.5169476514191</v>
      </c>
      <c r="Q61">
        <f>-595.203881205903 -106.240675618253 -297.337494863376</f>
        <v>-998.78205168753198</v>
      </c>
      <c r="R61" t="s">
        <v>1072</v>
      </c>
      <c r="S61" t="s">
        <v>1073</v>
      </c>
      <c r="T61" t="s">
        <v>1074</v>
      </c>
      <c r="U61" t="s">
        <v>1075</v>
      </c>
      <c r="V61">
        <f>-703.136555445625 -55.2247007422811 -67.0448379720839</f>
        <v>-825.40609415999006</v>
      </c>
      <c r="W61" t="s">
        <v>1076</v>
      </c>
      <c r="X61" t="s">
        <v>1077</v>
      </c>
      <c r="Y61" t="s">
        <v>1078</v>
      </c>
    </row>
    <row r="62" spans="1:25" x14ac:dyDescent="0.3">
      <c r="A62">
        <v>3050</v>
      </c>
      <c r="B62" t="s">
        <v>1079</v>
      </c>
      <c r="C62" t="s">
        <v>1080</v>
      </c>
      <c r="D62" t="s">
        <v>1081</v>
      </c>
      <c r="E62" t="s">
        <v>1082</v>
      </c>
      <c r="F62" t="s">
        <v>1083</v>
      </c>
      <c r="G62" t="s">
        <v>1084</v>
      </c>
      <c r="H62" t="s">
        <v>1085</v>
      </c>
      <c r="I62" t="s">
        <v>1086</v>
      </c>
      <c r="J62" t="s">
        <v>1087</v>
      </c>
      <c r="K62" t="s">
        <v>1088</v>
      </c>
      <c r="L62" t="s">
        <v>1089</v>
      </c>
      <c r="M62" t="s">
        <v>1090</v>
      </c>
      <c r="N62">
        <f>-769.211515432896 -15.5114288840055 -514.542694999879</f>
        <v>-1299.2656393167804</v>
      </c>
      <c r="O62">
        <f>-733.064118605193 -144.840792653411 -485.193109334303</f>
        <v>-1363.098020592907</v>
      </c>
      <c r="P62">
        <f>-790.829625238547 -201.984700461083 -202.369891773231</f>
        <v>-1195.1842174728611</v>
      </c>
      <c r="Q62">
        <f>-593.507306500689 -102.364374603926 -298.237444594373</f>
        <v>-994.10912569898801</v>
      </c>
      <c r="R62" t="s">
        <v>1091</v>
      </c>
      <c r="S62" t="s">
        <v>1092</v>
      </c>
      <c r="T62" t="s">
        <v>1093</v>
      </c>
      <c r="U62" t="s">
        <v>1094</v>
      </c>
      <c r="V62">
        <f>-702.482472158241 -55.1703945858662 -67.5020290224951</f>
        <v>-825.15489576660229</v>
      </c>
      <c r="W62" t="s">
        <v>1095</v>
      </c>
      <c r="X62" t="s">
        <v>1096</v>
      </c>
      <c r="Y62" t="s">
        <v>1097</v>
      </c>
    </row>
    <row r="63" spans="1:25" x14ac:dyDescent="0.3">
      <c r="A63">
        <v>3100</v>
      </c>
      <c r="B63" t="s">
        <v>1098</v>
      </c>
      <c r="C63" t="s">
        <v>1099</v>
      </c>
      <c r="D63" t="s">
        <v>1100</v>
      </c>
      <c r="E63" t="s">
        <v>1101</v>
      </c>
      <c r="F63" t="s">
        <v>1102</v>
      </c>
      <c r="G63" t="s">
        <v>1103</v>
      </c>
      <c r="H63" t="s">
        <v>1104</v>
      </c>
      <c r="I63" t="s">
        <v>1105</v>
      </c>
      <c r="J63" t="s">
        <v>1106</v>
      </c>
      <c r="K63" t="s">
        <v>1107</v>
      </c>
      <c r="L63" t="s">
        <v>1108</v>
      </c>
      <c r="M63" t="s">
        <v>1109</v>
      </c>
      <c r="N63">
        <f>-767.978031446489 -10.9478720322181 -514.382585983337</f>
        <v>-1293.3084894620442</v>
      </c>
      <c r="O63">
        <f>-731.365066467439 -140.112537152806 -484.971305521572</f>
        <v>-1356.448909141817</v>
      </c>
      <c r="P63">
        <f>-787.768803349312 -197.093556590216 -201.840557606734</f>
        <v>-1186.7029175462619</v>
      </c>
      <c r="Q63">
        <f>-592.181107662627 -95.8387935921262 -299.532700658457</f>
        <v>-987.5526019132102</v>
      </c>
      <c r="R63" t="s">
        <v>1110</v>
      </c>
      <c r="S63" t="s">
        <v>1111</v>
      </c>
      <c r="T63" t="s">
        <v>1112</v>
      </c>
      <c r="U63" t="s">
        <v>1113</v>
      </c>
      <c r="V63">
        <f>-702.379689510099 -55.2900223851038 -68.2511819041238</f>
        <v>-825.92089379932656</v>
      </c>
      <c r="W63" t="s">
        <v>1114</v>
      </c>
      <c r="X63" t="s">
        <v>1115</v>
      </c>
      <c r="Y63" t="s">
        <v>1116</v>
      </c>
    </row>
    <row r="64" spans="1:25" x14ac:dyDescent="0.3">
      <c r="A64">
        <v>3150</v>
      </c>
      <c r="B64" t="s">
        <v>1117</v>
      </c>
      <c r="C64" t="s">
        <v>1118</v>
      </c>
      <c r="D64" t="s">
        <v>1119</v>
      </c>
      <c r="E64" t="s">
        <v>1120</v>
      </c>
      <c r="F64" t="s">
        <v>1121</v>
      </c>
      <c r="G64" t="s">
        <v>1122</v>
      </c>
      <c r="H64" t="s">
        <v>1123</v>
      </c>
      <c r="I64" t="s">
        <v>1124</v>
      </c>
      <c r="J64" t="s">
        <v>1125</v>
      </c>
      <c r="K64" t="s">
        <v>1126</v>
      </c>
      <c r="L64" t="s">
        <v>1127</v>
      </c>
      <c r="M64" t="s">
        <v>1128</v>
      </c>
      <c r="N64">
        <f>-768.56439799785 -10.6300841824327 -514.410785473765</f>
        <v>-1293.6052676540478</v>
      </c>
      <c r="O64">
        <f>-731.884303748266 -139.773379007679 -484.963396581306</f>
        <v>-1356.6210793372509</v>
      </c>
      <c r="P64">
        <f>-788.101440337792 -195.993377116762 -201.643563579382</f>
        <v>-1185.7383810339361</v>
      </c>
      <c r="Q64">
        <f>-593.153870560712 -94.2726190687529 -300.128056132537</f>
        <v>-987.55454576200191</v>
      </c>
      <c r="R64" t="s">
        <v>1129</v>
      </c>
      <c r="S64" t="s">
        <v>1130</v>
      </c>
      <c r="T64" t="s">
        <v>1131</v>
      </c>
      <c r="U64" t="s">
        <v>1132</v>
      </c>
      <c r="V64">
        <f>-702.664075119171 -54.6195761383372 -68.3629930868156</f>
        <v>-825.6466443443237</v>
      </c>
      <c r="W64" t="s">
        <v>1133</v>
      </c>
      <c r="X64" t="s">
        <v>1134</v>
      </c>
      <c r="Y64" t="s">
        <v>1135</v>
      </c>
    </row>
    <row r="65" spans="1:25" x14ac:dyDescent="0.3">
      <c r="A65">
        <v>3200</v>
      </c>
      <c r="B65" t="s">
        <v>1136</v>
      </c>
      <c r="C65" t="s">
        <v>1137</v>
      </c>
      <c r="D65" t="s">
        <v>1138</v>
      </c>
      <c r="E65" t="s">
        <v>1139</v>
      </c>
      <c r="F65" t="s">
        <v>1140</v>
      </c>
      <c r="G65" t="s">
        <v>1141</v>
      </c>
      <c r="H65" t="s">
        <v>1142</v>
      </c>
      <c r="I65" t="s">
        <v>1143</v>
      </c>
      <c r="J65" t="s">
        <v>1144</v>
      </c>
      <c r="K65" t="s">
        <v>1145</v>
      </c>
      <c r="L65" t="s">
        <v>1146</v>
      </c>
      <c r="M65" t="s">
        <v>1147</v>
      </c>
      <c r="N65">
        <f>-770.342214225627 -13.7751074170951 -513.533302115946</f>
        <v>-1297.6506237586682</v>
      </c>
      <c r="O65">
        <f>-733.240786375462 -142.685434552351 -483.615887746014</f>
        <v>-1359.542108673827</v>
      </c>
      <c r="P65">
        <f>-789.955378657741 -198.257383298778 -200.26724632497</f>
        <v>-1188.4800082814891</v>
      </c>
      <c r="Q65">
        <f>-596.195040492448 -95.2213532976439 -299.722866552828</f>
        <v>-991.1392603429199</v>
      </c>
      <c r="R65" t="s">
        <v>1148</v>
      </c>
      <c r="S65" t="s">
        <v>1149</v>
      </c>
      <c r="T65" t="s">
        <v>1150</v>
      </c>
      <c r="U65" t="s">
        <v>1151</v>
      </c>
      <c r="V65">
        <f>-703.324588605251 -53.815395049917 -67.4971903228261</f>
        <v>-824.63717397799417</v>
      </c>
      <c r="W65" t="s">
        <v>1152</v>
      </c>
      <c r="X65" t="s">
        <v>1153</v>
      </c>
      <c r="Y65" t="s">
        <v>1154</v>
      </c>
    </row>
    <row r="66" spans="1:25" x14ac:dyDescent="0.3">
      <c r="A66">
        <v>3250</v>
      </c>
      <c r="B66" t="s">
        <v>1155</v>
      </c>
      <c r="C66" t="s">
        <v>1156</v>
      </c>
      <c r="D66" t="s">
        <v>1157</v>
      </c>
      <c r="E66" t="s">
        <v>1158</v>
      </c>
      <c r="F66" t="s">
        <v>1159</v>
      </c>
      <c r="G66" t="s">
        <v>1160</v>
      </c>
      <c r="H66" t="s">
        <v>1161</v>
      </c>
      <c r="I66" t="s">
        <v>1162</v>
      </c>
      <c r="J66" t="s">
        <v>1163</v>
      </c>
      <c r="K66" t="s">
        <v>1164</v>
      </c>
      <c r="L66" t="s">
        <v>1165</v>
      </c>
      <c r="M66" t="s">
        <v>1166</v>
      </c>
      <c r="N66">
        <f>-770.888791244968 -17.7242809625404 -512.910499158011</f>
        <v>-1301.5235713655195</v>
      </c>
      <c r="O66">
        <f>-733.962790066449 -146.630371433883 -482.569076627266</f>
        <v>-1363.1622381275979</v>
      </c>
      <c r="P66">
        <f>-790.872395643203 -202.315080636226 -199.281733299572</f>
        <v>-1192.469209579001</v>
      </c>
      <c r="Q66">
        <f>-597.544548702988 -98.6196232711195 -298.893387178934</f>
        <v>-995.05755915304144</v>
      </c>
      <c r="R66" t="s">
        <v>1167</v>
      </c>
      <c r="S66" t="s">
        <v>1168</v>
      </c>
      <c r="T66" t="s">
        <v>1169</v>
      </c>
      <c r="U66" t="s">
        <v>1170</v>
      </c>
      <c r="V66">
        <f>-703.149092906406 -54.1974287925577 -66.6734887187162</f>
        <v>-824.02001041767994</v>
      </c>
      <c r="W66" t="s">
        <v>1171</v>
      </c>
      <c r="X66" t="s">
        <v>1172</v>
      </c>
      <c r="Y66" t="s">
        <v>1173</v>
      </c>
    </row>
    <row r="67" spans="1:25" x14ac:dyDescent="0.3">
      <c r="A67">
        <v>3300</v>
      </c>
      <c r="B67" t="s">
        <v>1174</v>
      </c>
      <c r="C67" t="s">
        <v>1175</v>
      </c>
      <c r="D67" t="s">
        <v>1176</v>
      </c>
      <c r="E67" t="s">
        <v>1177</v>
      </c>
      <c r="F67" t="s">
        <v>1178</v>
      </c>
      <c r="G67" t="s">
        <v>1179</v>
      </c>
      <c r="H67" t="s">
        <v>1180</v>
      </c>
      <c r="I67" t="s">
        <v>1181</v>
      </c>
      <c r="J67" t="s">
        <v>1182</v>
      </c>
      <c r="K67" t="s">
        <v>1183</v>
      </c>
      <c r="L67" t="s">
        <v>1184</v>
      </c>
      <c r="M67" t="s">
        <v>1185</v>
      </c>
      <c r="N67">
        <f>-768.645685028298 -22.7460363326632 -510.453697563389</f>
        <v>-1301.8454189243503</v>
      </c>
      <c r="O67">
        <f>-732.09398431872 -151.50585847167 -479.079133030052</f>
        <v>-1362.678975820442</v>
      </c>
      <c r="P67">
        <f>-790.855478728345 -207.368357143213 -196.205233283263</f>
        <v>-1194.429069154821</v>
      </c>
      <c r="Q67">
        <f>-597.507840532374 -103.301957847408 -295.39056967209</f>
        <v>-996.20036805187203</v>
      </c>
      <c r="R67" t="s">
        <v>1186</v>
      </c>
      <c r="S67" t="s">
        <v>1187</v>
      </c>
      <c r="T67" t="s">
        <v>1188</v>
      </c>
      <c r="U67" t="s">
        <v>1189</v>
      </c>
      <c r="V67">
        <f>-702.644650448848 -55.1511914538007 -65.1155201146206</f>
        <v>-822.91136201726931</v>
      </c>
      <c r="W67" t="s">
        <v>1190</v>
      </c>
      <c r="X67" t="s">
        <v>1191</v>
      </c>
      <c r="Y67" t="s">
        <v>1192</v>
      </c>
    </row>
    <row r="68" spans="1:25" x14ac:dyDescent="0.3">
      <c r="A68">
        <v>3350</v>
      </c>
      <c r="B68" t="s">
        <v>1193</v>
      </c>
      <c r="C68" t="s">
        <v>1194</v>
      </c>
      <c r="D68" t="s">
        <v>1195</v>
      </c>
      <c r="E68" t="s">
        <v>1196</v>
      </c>
      <c r="F68" t="s">
        <v>1197</v>
      </c>
      <c r="G68" t="s">
        <v>1198</v>
      </c>
      <c r="H68" t="s">
        <v>1199</v>
      </c>
      <c r="I68" t="s">
        <v>1200</v>
      </c>
      <c r="J68" t="s">
        <v>1201</v>
      </c>
      <c r="K68" t="s">
        <v>1202</v>
      </c>
      <c r="L68" t="s">
        <v>1203</v>
      </c>
      <c r="M68" t="s">
        <v>1204</v>
      </c>
      <c r="N68">
        <f>-767.005013708853 -23.8120895806105 -509.77757306335</f>
        <v>-1300.5946763528136</v>
      </c>
      <c r="O68">
        <f>-731.091312997776 -152.595570838447 -477.828245363659</f>
        <v>-1361.5151291998818</v>
      </c>
      <c r="P68">
        <f>-791.255152961053 -208.143777202818 -195.187191278308</f>
        <v>-1194.5861214421791</v>
      </c>
      <c r="Q68">
        <f>-597.386394553912 -104.549136103531 -293.847854380486</f>
        <v>-995.78338503792907</v>
      </c>
      <c r="R68" t="s">
        <v>1205</v>
      </c>
      <c r="S68" t="s">
        <v>1206</v>
      </c>
      <c r="T68" t="s">
        <v>1207</v>
      </c>
      <c r="U68" t="s">
        <v>1208</v>
      </c>
      <c r="V68">
        <f>-702.42718018005 -55.0240519567544 -64.7624284191415</f>
        <v>-822.21366055594592</v>
      </c>
      <c r="W68" t="s">
        <v>1209</v>
      </c>
      <c r="X68" t="s">
        <v>1210</v>
      </c>
      <c r="Y68" t="s">
        <v>1211</v>
      </c>
    </row>
    <row r="69" spans="1:25" x14ac:dyDescent="0.3">
      <c r="A69">
        <v>3400</v>
      </c>
      <c r="B69" t="s">
        <v>1212</v>
      </c>
      <c r="C69" t="s">
        <v>1213</v>
      </c>
      <c r="D69" t="s">
        <v>1214</v>
      </c>
      <c r="E69" t="s">
        <v>1215</v>
      </c>
      <c r="F69" t="s">
        <v>1216</v>
      </c>
      <c r="G69" t="s">
        <v>1217</v>
      </c>
      <c r="H69" t="s">
        <v>1218</v>
      </c>
      <c r="I69" t="s">
        <v>1219</v>
      </c>
      <c r="J69" t="s">
        <v>1220</v>
      </c>
      <c r="K69" t="s">
        <v>1221</v>
      </c>
      <c r="L69" t="s">
        <v>1222</v>
      </c>
      <c r="M69" t="s">
        <v>1223</v>
      </c>
      <c r="N69">
        <f>-763.233922725242 -23.5222771975291 -509.781897826238</f>
        <v>-1296.538097749009</v>
      </c>
      <c r="O69">
        <f>-729.496507844131 -152.660974751822 -476.863506468005</f>
        <v>-1359.020989063958</v>
      </c>
      <c r="P69">
        <f>-794.363047449131 -207.259528036245 -195.07892069639</f>
        <v>-1196.7014961817661</v>
      </c>
      <c r="Q69">
        <f>-597.833025711226 -106.901592709024 -291.800860526832</f>
        <v>-996.53547894708208</v>
      </c>
      <c r="R69" t="s">
        <v>1224</v>
      </c>
      <c r="S69" t="s">
        <v>1225</v>
      </c>
      <c r="T69" t="s">
        <v>1226</v>
      </c>
      <c r="U69" t="s">
        <v>1227</v>
      </c>
      <c r="V69">
        <f>-704.903897555593 -52.4310502111939 -64.7549480370394</f>
        <v>-822.08989580382627</v>
      </c>
      <c r="W69" t="s">
        <v>1228</v>
      </c>
      <c r="X69" t="s">
        <v>1229</v>
      </c>
      <c r="Y69" t="s">
        <v>1230</v>
      </c>
    </row>
    <row r="70" spans="1:25" x14ac:dyDescent="0.3">
      <c r="A70">
        <v>3450</v>
      </c>
      <c r="B70" t="s">
        <v>1231</v>
      </c>
      <c r="C70" t="s">
        <v>1232</v>
      </c>
      <c r="D70" t="s">
        <v>1233</v>
      </c>
      <c r="E70" t="s">
        <v>1234</v>
      </c>
      <c r="F70" t="s">
        <v>1235</v>
      </c>
      <c r="G70" t="s">
        <v>1236</v>
      </c>
      <c r="H70" t="s">
        <v>1237</v>
      </c>
      <c r="I70" t="s">
        <v>1238</v>
      </c>
      <c r="J70" t="s">
        <v>1239</v>
      </c>
      <c r="K70" t="s">
        <v>1240</v>
      </c>
      <c r="L70" t="s">
        <v>1241</v>
      </c>
      <c r="M70" t="s">
        <v>1242</v>
      </c>
      <c r="N70">
        <f>-760.899872067111 -22.4442008673464 -510.051907955019</f>
        <v>-1293.3959808894763</v>
      </c>
      <c r="O70">
        <f>-728.003756242912 -151.661811943746 -476.571804659962</f>
        <v>-1356.23737284662</v>
      </c>
      <c r="P70">
        <f>-796.58096322263 -205.792422547129 -195.576788502254</f>
        <v>-1197.9501742720131</v>
      </c>
      <c r="Q70">
        <f>-598.19998858675 -107.469339598187 -290.594763254881</f>
        <v>-996.264091439818</v>
      </c>
      <c r="R70" t="s">
        <v>1243</v>
      </c>
      <c r="S70" t="s">
        <v>1244</v>
      </c>
      <c r="T70" t="s">
        <v>1245</v>
      </c>
      <c r="U70" t="s">
        <v>1246</v>
      </c>
      <c r="V70">
        <f>-708.127500889676 -50.7091205116492 -64.8966332149831</f>
        <v>-823.73325461630827</v>
      </c>
      <c r="W70" t="s">
        <v>1247</v>
      </c>
      <c r="X70" t="s">
        <v>1248</v>
      </c>
      <c r="Y70" t="s">
        <v>1249</v>
      </c>
    </row>
    <row r="71" spans="1:25" x14ac:dyDescent="0.3">
      <c r="A71">
        <v>3500</v>
      </c>
      <c r="B71" t="s">
        <v>1250</v>
      </c>
      <c r="C71" t="s">
        <v>1251</v>
      </c>
      <c r="D71" t="s">
        <v>1252</v>
      </c>
      <c r="E71" t="s">
        <v>1253</v>
      </c>
      <c r="F71" t="s">
        <v>1254</v>
      </c>
      <c r="G71" t="s">
        <v>1255</v>
      </c>
      <c r="H71" t="s">
        <v>1256</v>
      </c>
      <c r="I71" t="s">
        <v>1257</v>
      </c>
      <c r="J71" t="s">
        <v>1258</v>
      </c>
      <c r="K71" t="s">
        <v>1259</v>
      </c>
      <c r="L71" t="s">
        <v>1260</v>
      </c>
      <c r="M71" t="s">
        <v>1261</v>
      </c>
      <c r="N71">
        <f>-756.467677142639 -19.9382554084054 -510.532111141972</f>
        <v>-1286.9380436930164</v>
      </c>
      <c r="O71">
        <f>-724.626095514524 -148.913541902621 -475.203752929394</f>
        <v>-1348.7433903465389</v>
      </c>
      <c r="P71">
        <f>-802.358131751934 -202.501482582851 -196.497342127104</f>
        <v>-1201.356956461889</v>
      </c>
      <c r="Q71">
        <f>-600.09542008231 -107.63324828565 -286.722986232343</f>
        <v>-994.45165460030307</v>
      </c>
      <c r="R71" t="s">
        <v>1262</v>
      </c>
      <c r="S71" t="s">
        <v>1263</v>
      </c>
      <c r="T71" t="s">
        <v>1264</v>
      </c>
      <c r="U71" t="s">
        <v>1265</v>
      </c>
      <c r="V71">
        <f>-717.173319910079 -48.0531956339826 -65.4014438843474</f>
        <v>-830.62795942840899</v>
      </c>
      <c r="W71" t="s">
        <v>1266</v>
      </c>
      <c r="X71" t="s">
        <v>1267</v>
      </c>
      <c r="Y71" t="s">
        <v>1268</v>
      </c>
    </row>
    <row r="72" spans="1:25" x14ac:dyDescent="0.3">
      <c r="A72">
        <v>3550</v>
      </c>
      <c r="B72" t="s">
        <v>1269</v>
      </c>
      <c r="C72" t="s">
        <v>1270</v>
      </c>
      <c r="D72" t="s">
        <v>1271</v>
      </c>
      <c r="E72" t="s">
        <v>1272</v>
      </c>
      <c r="F72" t="s">
        <v>1273</v>
      </c>
      <c r="G72" t="s">
        <v>1274</v>
      </c>
      <c r="H72" t="s">
        <v>1275</v>
      </c>
      <c r="I72" t="s">
        <v>1276</v>
      </c>
      <c r="J72" t="s">
        <v>1277</v>
      </c>
      <c r="K72" t="s">
        <v>1278</v>
      </c>
      <c r="L72" t="s">
        <v>1279</v>
      </c>
      <c r="M72" t="s">
        <v>1280</v>
      </c>
      <c r="N72">
        <f>-754.294000697219 -18.4479548530362 -510.634060904095</f>
        <v>-1283.3760164543501</v>
      </c>
      <c r="O72">
        <f>-723.160901190845 -147.28990321122 -474.186403936164</f>
        <v>-1344.6372083382291</v>
      </c>
      <c r="P72">
        <f>-805.266049249122 -200.659269805416 -196.694597209806</f>
        <v>-1202.6199162643441</v>
      </c>
      <c r="Q72">
        <f>-601.001951304958 -107.494914182215 -284.144888220742</f>
        <v>-992.64175370791497</v>
      </c>
      <c r="R72" t="s">
        <v>1281</v>
      </c>
      <c r="S72" t="s">
        <v>1282</v>
      </c>
      <c r="T72" t="s">
        <v>1283</v>
      </c>
      <c r="U72" t="s">
        <v>1284</v>
      </c>
      <c r="V72">
        <f>-722.38488301182 -46.8825750630692 -65.7382904705968</f>
        <v>-835.00574854548597</v>
      </c>
      <c r="W72" t="s">
        <v>1285</v>
      </c>
      <c r="X72" t="s">
        <v>1286</v>
      </c>
      <c r="Y72" t="s">
        <v>1287</v>
      </c>
    </row>
    <row r="73" spans="1:25" x14ac:dyDescent="0.3">
      <c r="A73">
        <v>3600</v>
      </c>
      <c r="B73" t="s">
        <v>1288</v>
      </c>
      <c r="C73" t="s">
        <v>1289</v>
      </c>
      <c r="D73" t="s">
        <v>1290</v>
      </c>
      <c r="E73" t="s">
        <v>1291</v>
      </c>
      <c r="F73" t="s">
        <v>1292</v>
      </c>
      <c r="G73" t="s">
        <v>1293</v>
      </c>
      <c r="H73" t="s">
        <v>1294</v>
      </c>
      <c r="I73" t="s">
        <v>1295</v>
      </c>
      <c r="J73" t="s">
        <v>1296</v>
      </c>
      <c r="K73" t="s">
        <v>1297</v>
      </c>
      <c r="L73" t="s">
        <v>1298</v>
      </c>
      <c r="M73" t="s">
        <v>1299</v>
      </c>
      <c r="N73">
        <f>-750.985785080846 -15.8334575340214 -510.93529841001</f>
        <v>-1277.7545410248772</v>
      </c>
      <c r="O73">
        <f>-721.641944064778 -144.509815123184 -472.528757008253</f>
        <v>-1338.6805161962152</v>
      </c>
      <c r="P73">
        <f>-811.431179960671 -197.904221165444 -197.43212030316</f>
        <v>-1206.7675214292749</v>
      </c>
      <c r="Q73">
        <f>-603.707021896383 -106.702038310138 -278.572669680418</f>
        <v>-988.98172988693898</v>
      </c>
      <c r="R73" t="s">
        <v>1300</v>
      </c>
      <c r="S73" t="s">
        <v>1301</v>
      </c>
      <c r="T73" t="s">
        <v>1302</v>
      </c>
      <c r="U73" t="s">
        <v>1303</v>
      </c>
      <c r="V73">
        <f>-732.374547621105 -45.0291507551617 -66.6203022559368</f>
        <v>-844.02400063220352</v>
      </c>
      <c r="W73" t="s">
        <v>1304</v>
      </c>
      <c r="X73" t="s">
        <v>1305</v>
      </c>
      <c r="Y73" t="s">
        <v>1306</v>
      </c>
    </row>
    <row r="74" spans="1:25" x14ac:dyDescent="0.3">
      <c r="A74">
        <v>3650</v>
      </c>
      <c r="B74" t="s">
        <v>1307</v>
      </c>
      <c r="C74" t="s">
        <v>1308</v>
      </c>
      <c r="D74" t="s">
        <v>1309</v>
      </c>
      <c r="E74" t="s">
        <v>1310</v>
      </c>
      <c r="F74" t="s">
        <v>1311</v>
      </c>
      <c r="G74" t="s">
        <v>1312</v>
      </c>
      <c r="H74" t="s">
        <v>1313</v>
      </c>
      <c r="I74" t="s">
        <v>1314</v>
      </c>
      <c r="J74" t="s">
        <v>1315</v>
      </c>
      <c r="K74" t="s">
        <v>1316</v>
      </c>
      <c r="L74" t="s">
        <v>1317</v>
      </c>
      <c r="M74" t="s">
        <v>1318</v>
      </c>
      <c r="N74">
        <f>-749.11898435075 -14.9891487561954 -510.986074497209</f>
        <v>-1275.0942076041545</v>
      </c>
      <c r="O74">
        <f>-720.734806027405 -143.680414757998 -471.849203550836</f>
        <v>-1336.2644243362392</v>
      </c>
      <c r="P74">
        <f>-813.51176544966 -197.20659265769 -197.771584010247</f>
        <v>-1208.4899421175969</v>
      </c>
      <c r="Q74">
        <f>-604.466733622641 -106.349959822569 -275.849016718456</f>
        <v>-986.66571016366595</v>
      </c>
      <c r="R74" t="s">
        <v>1319</v>
      </c>
      <c r="S74" t="s">
        <v>1320</v>
      </c>
      <c r="T74" t="s">
        <v>1321</v>
      </c>
      <c r="U74" t="s">
        <v>1322</v>
      </c>
      <c r="V74">
        <f>-736.607066987827 -44.5610279173757 -67.0166063993402</f>
        <v>-848.18470130454284</v>
      </c>
      <c r="W74" t="s">
        <v>1323</v>
      </c>
      <c r="X74" t="s">
        <v>1324</v>
      </c>
      <c r="Y74" t="s">
        <v>1325</v>
      </c>
    </row>
    <row r="75" spans="1:25" x14ac:dyDescent="0.3">
      <c r="A75">
        <v>3700</v>
      </c>
      <c r="B75" t="s">
        <v>1326</v>
      </c>
      <c r="C75" t="s">
        <v>1327</v>
      </c>
      <c r="D75" t="s">
        <v>1328</v>
      </c>
      <c r="E75" t="s">
        <v>1329</v>
      </c>
      <c r="F75" t="s">
        <v>1330</v>
      </c>
      <c r="G75" t="s">
        <v>1331</v>
      </c>
      <c r="H75" t="s">
        <v>1332</v>
      </c>
      <c r="I75" t="s">
        <v>1333</v>
      </c>
      <c r="J75" t="s">
        <v>1334</v>
      </c>
      <c r="K75" t="s">
        <v>1335</v>
      </c>
      <c r="L75" t="s">
        <v>1336</v>
      </c>
      <c r="M75" t="s">
        <v>1337</v>
      </c>
      <c r="N75">
        <f>-745.408718854695 -11.8917569928121 -510.772497511331</f>
        <v>-1268.0729733588382</v>
      </c>
      <c r="O75">
        <f>-719.665574513294 -141.084846434831 -471.44568704951</f>
        <v>-1332.196107997635</v>
      </c>
      <c r="P75">
        <f>-817.818736591961 -194.571667041977 -199.239312091888</f>
        <v>-1211.6297157258259</v>
      </c>
      <c r="Q75">
        <f>-606.290979691006 -104.783834612919 -271.661648794232</f>
        <v>-982.73646309815695</v>
      </c>
      <c r="R75" t="s">
        <v>1338</v>
      </c>
      <c r="S75" t="s">
        <v>1339</v>
      </c>
      <c r="T75" t="s">
        <v>1340</v>
      </c>
      <c r="U75" t="s">
        <v>1341</v>
      </c>
      <c r="V75">
        <f>-744.135460775824 -43.7608012355263 -67.7312867089934</f>
        <v>-855.62754872034361</v>
      </c>
      <c r="W75" t="s">
        <v>1342</v>
      </c>
      <c r="X75" t="s">
        <v>1343</v>
      </c>
      <c r="Y75" t="s">
        <v>1344</v>
      </c>
    </row>
    <row r="76" spans="1:25" x14ac:dyDescent="0.3">
      <c r="A76">
        <v>3750</v>
      </c>
      <c r="B76" t="s">
        <v>1345</v>
      </c>
      <c r="C76" t="s">
        <v>1346</v>
      </c>
      <c r="D76" t="s">
        <v>1347</v>
      </c>
      <c r="E76" t="s">
        <v>1348</v>
      </c>
      <c r="F76" t="s">
        <v>1349</v>
      </c>
      <c r="G76" t="s">
        <v>1350</v>
      </c>
      <c r="H76" t="s">
        <v>1351</v>
      </c>
      <c r="I76" t="s">
        <v>1352</v>
      </c>
      <c r="J76" t="s">
        <v>1353</v>
      </c>
      <c r="K76" t="s">
        <v>1354</v>
      </c>
      <c r="L76" t="s">
        <v>1355</v>
      </c>
      <c r="M76" t="s">
        <v>1356</v>
      </c>
      <c r="N76">
        <f>-743.464430807305 -10.4362996612203 -510.529338725383</f>
        <v>-1264.4300691939084</v>
      </c>
      <c r="O76">
        <f>-718.82792186002 -139.837060293926 -471.230510310577</f>
        <v>-1329.8954924645229</v>
      </c>
      <c r="P76">
        <f>-820.385142244636 -193.483975491986 -200.307463820288</f>
        <v>-1214.1765815569099</v>
      </c>
      <c r="Q76">
        <f>-607.585691122571 -104.730699925822 -270.236691865365</f>
        <v>-982.55308291375809</v>
      </c>
      <c r="R76" t="s">
        <v>1357</v>
      </c>
      <c r="S76" t="s">
        <v>1358</v>
      </c>
      <c r="T76" t="s">
        <v>1359</v>
      </c>
      <c r="U76" t="s">
        <v>1360</v>
      </c>
      <c r="V76">
        <f>-746.989797061559 -43.6450858343021 -68.0227268107717</f>
        <v>-858.6576097066328</v>
      </c>
      <c r="W76" t="s">
        <v>1361</v>
      </c>
      <c r="X76" t="s">
        <v>1362</v>
      </c>
      <c r="Y76" t="s">
        <v>1363</v>
      </c>
    </row>
    <row r="77" spans="1:25" x14ac:dyDescent="0.3">
      <c r="A77">
        <v>3800</v>
      </c>
      <c r="B77" t="s">
        <v>1364</v>
      </c>
      <c r="C77" t="s">
        <v>1365</v>
      </c>
      <c r="D77" t="s">
        <v>1366</v>
      </c>
      <c r="E77" t="s">
        <v>1367</v>
      </c>
      <c r="F77" t="s">
        <v>1368</v>
      </c>
      <c r="G77" t="s">
        <v>1369</v>
      </c>
      <c r="H77" t="s">
        <v>1370</v>
      </c>
      <c r="I77" t="s">
        <v>1371</v>
      </c>
      <c r="J77" t="s">
        <v>1372</v>
      </c>
      <c r="K77" t="s">
        <v>1373</v>
      </c>
      <c r="L77" t="s">
        <v>1374</v>
      </c>
      <c r="M77" t="s">
        <v>1375</v>
      </c>
      <c r="N77">
        <f>-739.171092529692 -7.23794858089786 -508.799973051841</f>
        <v>-1255.2090141624308</v>
      </c>
      <c r="O77">
        <f>-715.790997320163 -136.806465066937 -469.301520320579</f>
        <v>-1321.8989827076789</v>
      </c>
      <c r="P77">
        <f>-824.532160921838 -190.593845524978 -201.209338618598</f>
        <v>-1216.335345065414</v>
      </c>
      <c r="Q77">
        <f>-609.336002551931 -104.6150330689 -267.15693745243</f>
        <v>-981.10797307326084</v>
      </c>
      <c r="R77" t="s">
        <v>1376</v>
      </c>
      <c r="S77" t="s">
        <v>1377</v>
      </c>
      <c r="T77" t="s">
        <v>1378</v>
      </c>
      <c r="U77" t="s">
        <v>1379</v>
      </c>
      <c r="V77">
        <f>-751.395389798238 -43.2703105336973 -68.0537522669879</f>
        <v>-862.71945259892323</v>
      </c>
      <c r="W77" t="s">
        <v>1380</v>
      </c>
      <c r="X77" t="s">
        <v>1381</v>
      </c>
      <c r="Y77" t="s">
        <v>1382</v>
      </c>
    </row>
    <row r="78" spans="1:25" x14ac:dyDescent="0.3">
      <c r="A78">
        <v>3850</v>
      </c>
      <c r="B78" t="s">
        <v>1383</v>
      </c>
      <c r="C78" t="s">
        <v>1384</v>
      </c>
      <c r="D78" t="s">
        <v>1385</v>
      </c>
      <c r="E78" t="s">
        <v>1386</v>
      </c>
      <c r="F78" t="s">
        <v>1387</v>
      </c>
      <c r="G78" t="s">
        <v>1388</v>
      </c>
      <c r="H78" t="s">
        <v>1389</v>
      </c>
      <c r="I78" t="s">
        <v>1390</v>
      </c>
      <c r="J78" t="s">
        <v>1391</v>
      </c>
      <c r="K78" t="s">
        <v>1392</v>
      </c>
      <c r="L78" t="s">
        <v>1393</v>
      </c>
      <c r="M78" t="s">
        <v>1394</v>
      </c>
      <c r="N78">
        <f>-734.343052563044 -4.4151112214322 -506.751823288061</f>
        <v>-1245.5099870725371</v>
      </c>
      <c r="O78">
        <f>-711.274348320672 -134.018884366764 -467.341573280341</f>
        <v>-1312.6348059677771</v>
      </c>
      <c r="P78">
        <f>-822.592724181988 -187.90987507111 -200.329991531893</f>
        <v>-1210.832590784991</v>
      </c>
      <c r="Q78">
        <f>-606.482786974699 -102.88713459927 -264.504901121155</f>
        <v>-973.87482269512407</v>
      </c>
      <c r="R78" t="s">
        <v>1395</v>
      </c>
      <c r="S78" t="s">
        <v>1396</v>
      </c>
      <c r="T78" t="s">
        <v>1397</v>
      </c>
      <c r="U78" t="s">
        <v>1398</v>
      </c>
      <c r="V78">
        <f>-752.418523923598 -42.7828164391369 -67.5697679872794</f>
        <v>-862.77110835001429</v>
      </c>
      <c r="W78" t="s">
        <v>1399</v>
      </c>
      <c r="X78" t="s">
        <v>1400</v>
      </c>
      <c r="Y78" t="s">
        <v>1401</v>
      </c>
    </row>
    <row r="79" spans="1:25" x14ac:dyDescent="0.3">
      <c r="A79">
        <v>3900</v>
      </c>
      <c r="B79" t="s">
        <v>1402</v>
      </c>
      <c r="C79" t="s">
        <v>1403</v>
      </c>
      <c r="D79" t="s">
        <v>1404</v>
      </c>
      <c r="E79" t="s">
        <v>1405</v>
      </c>
      <c r="F79" t="s">
        <v>1406</v>
      </c>
      <c r="G79" t="s">
        <v>1407</v>
      </c>
      <c r="H79" t="s">
        <v>1408</v>
      </c>
      <c r="I79" t="s">
        <v>1409</v>
      </c>
      <c r="J79" t="s">
        <v>1410</v>
      </c>
      <c r="K79" t="s">
        <v>1411</v>
      </c>
      <c r="L79" t="s">
        <v>1412</v>
      </c>
      <c r="M79" t="s">
        <v>1413</v>
      </c>
      <c r="N79">
        <f>-737.034829861846 -8.43198376005785 -507.313196416117</f>
        <v>-1252.7800100380209</v>
      </c>
      <c r="O79">
        <f>-715.212795587907 -137.985893713842 -467.164902423247</f>
        <v>-1320.3635917249958</v>
      </c>
      <c r="P79">
        <f>-829.077097948022 -191.807087900651 -201.214933021019</f>
        <v>-1222.0991188696921</v>
      </c>
      <c r="Q79">
        <f>-611.914418184602 -107.354874287097 -262.526048163802</f>
        <v>-981.79534063550102</v>
      </c>
      <c r="R79" t="s">
        <v>1414</v>
      </c>
      <c r="S79" t="s">
        <v>1415</v>
      </c>
      <c r="T79" t="s">
        <v>1416</v>
      </c>
      <c r="U79" t="s">
        <v>1417</v>
      </c>
      <c r="V79">
        <f>-751.620469080816 -41.0467168847322 -67.2160063050794</f>
        <v>-859.88319227062755</v>
      </c>
      <c r="W79" t="s">
        <v>1418</v>
      </c>
      <c r="X79" t="s">
        <v>1419</v>
      </c>
      <c r="Y79" t="s">
        <v>1420</v>
      </c>
    </row>
    <row r="80" spans="1:25" x14ac:dyDescent="0.3">
      <c r="A80">
        <v>3950</v>
      </c>
      <c r="B80" t="s">
        <v>1421</v>
      </c>
      <c r="C80" t="s">
        <v>1422</v>
      </c>
      <c r="D80" t="s">
        <v>1423</v>
      </c>
      <c r="E80" t="s">
        <v>1424</v>
      </c>
      <c r="F80" t="s">
        <v>1425</v>
      </c>
      <c r="G80" t="s">
        <v>1426</v>
      </c>
      <c r="H80" t="s">
        <v>1427</v>
      </c>
      <c r="I80" t="s">
        <v>1428</v>
      </c>
      <c r="J80" t="s">
        <v>1429</v>
      </c>
      <c r="K80" t="s">
        <v>1430</v>
      </c>
      <c r="L80" t="s">
        <v>1431</v>
      </c>
      <c r="M80" t="s">
        <v>1432</v>
      </c>
      <c r="N80">
        <f>-738.94511390614 -10.7560899464606 -507.157331797913</f>
        <v>-1256.8585356505137</v>
      </c>
      <c r="O80">
        <f>-717.308407442982 -140.32947521719 -466.59033605129</f>
        <v>-1324.228218711462</v>
      </c>
      <c r="P80">
        <f>-831.052412636294 -193.970017924151 -200.552212752993</f>
        <v>-1225.5746433134379</v>
      </c>
      <c r="Q80">
        <f>-613.688422463228 -109.412753419813 -260.999453598762</f>
        <v>-984.10062948180303</v>
      </c>
      <c r="R80" t="s">
        <v>1433</v>
      </c>
      <c r="S80" t="s">
        <v>1434</v>
      </c>
      <c r="T80" t="s">
        <v>1435</v>
      </c>
      <c r="U80" t="s">
        <v>1436</v>
      </c>
      <c r="V80">
        <f>-751.182865323903 -40.771443682574 -67.1870066560506</f>
        <v>-859.14131566252763</v>
      </c>
      <c r="W80" t="s">
        <v>1437</v>
      </c>
      <c r="X80" t="s">
        <v>1438</v>
      </c>
      <c r="Y80" t="s">
        <v>1439</v>
      </c>
    </row>
    <row r="81" spans="1:25" x14ac:dyDescent="0.3">
      <c r="A81">
        <v>4000</v>
      </c>
      <c r="B81" t="s">
        <v>1440</v>
      </c>
      <c r="C81" t="s">
        <v>1441</v>
      </c>
      <c r="D81" t="s">
        <v>1442</v>
      </c>
      <c r="E81" t="s">
        <v>1443</v>
      </c>
      <c r="F81" t="s">
        <v>1444</v>
      </c>
      <c r="G81" t="s">
        <v>1445</v>
      </c>
      <c r="H81" t="s">
        <v>1446</v>
      </c>
      <c r="I81" t="s">
        <v>1447</v>
      </c>
      <c r="J81" t="s">
        <v>1448</v>
      </c>
      <c r="K81" t="s">
        <v>1449</v>
      </c>
      <c r="L81" t="s">
        <v>1450</v>
      </c>
      <c r="M81" t="s">
        <v>1451</v>
      </c>
      <c r="N81">
        <f>-743.134486220097 -12.2845738790752 -506.192649122591</f>
        <v>-1261.6117092217632</v>
      </c>
      <c r="O81">
        <f>-721.745134329814 -141.977998385257 -465.794663525067</f>
        <v>-1329.5177962401381</v>
      </c>
      <c r="P81">
        <f>-832.790713154186 -193.929237787022 -198.285387305402</f>
        <v>-1225.0053382466101</v>
      </c>
      <c r="Q81">
        <f>-616.067956563081 -107.880217986869 -258.929544091383</f>
        <v>-982.87771864133288</v>
      </c>
      <c r="R81" t="s">
        <v>1452</v>
      </c>
      <c r="S81" t="s">
        <v>1453</v>
      </c>
      <c r="T81" t="s">
        <v>1454</v>
      </c>
      <c r="U81" t="s">
        <v>1455</v>
      </c>
      <c r="V81">
        <f>-749.447607832776 -40.2824882423463 -66.9812486509771</f>
        <v>-856.71134472609947</v>
      </c>
      <c r="W81" t="s">
        <v>1456</v>
      </c>
      <c r="X81" t="s">
        <v>1457</v>
      </c>
      <c r="Y81" t="s">
        <v>1458</v>
      </c>
    </row>
    <row r="82" spans="1:25" x14ac:dyDescent="0.3">
      <c r="A82">
        <v>4050</v>
      </c>
      <c r="B82" t="s">
        <v>1459</v>
      </c>
      <c r="C82" t="s">
        <v>1460</v>
      </c>
      <c r="D82" t="s">
        <v>1461</v>
      </c>
      <c r="E82" t="s">
        <v>1462</v>
      </c>
      <c r="F82" t="s">
        <v>1463</v>
      </c>
      <c r="G82" t="s">
        <v>1464</v>
      </c>
      <c r="H82" t="s">
        <v>1465</v>
      </c>
      <c r="I82" t="s">
        <v>1466</v>
      </c>
      <c r="J82" t="s">
        <v>1467</v>
      </c>
      <c r="K82" t="s">
        <v>1468</v>
      </c>
      <c r="L82" t="s">
        <v>1469</v>
      </c>
      <c r="M82" t="s">
        <v>1470</v>
      </c>
      <c r="N82">
        <f>-745.058606092166 -11.737921066926 -506.432361933307</f>
        <v>-1263.228889092399</v>
      </c>
      <c r="O82">
        <f>-723.69135656139 -141.538519036574 -466.347803429212</f>
        <v>-1331.5776790271759</v>
      </c>
      <c r="P82">
        <f>-833.260556675144 -192.590209333826 -198.057784851866</f>
        <v>-1223.9085508608359</v>
      </c>
      <c r="Q82">
        <f>-617.250311686595 -105.587465700236 -259.871677989234</f>
        <v>-982.70945537606485</v>
      </c>
      <c r="R82" t="s">
        <v>1471</v>
      </c>
      <c r="S82" t="s">
        <v>1472</v>
      </c>
      <c r="T82" t="s">
        <v>1473</v>
      </c>
      <c r="U82" t="s">
        <v>1474</v>
      </c>
      <c r="V82">
        <f>-747.875075939647 -40.3498406593126 -67.0241671909412</f>
        <v>-855.24908378990074</v>
      </c>
      <c r="W82" t="s">
        <v>1475</v>
      </c>
      <c r="X82" t="s">
        <v>1476</v>
      </c>
      <c r="Y82" t="s">
        <v>1477</v>
      </c>
    </row>
    <row r="83" spans="1:25" x14ac:dyDescent="0.3">
      <c r="A83">
        <v>4100</v>
      </c>
      <c r="B83" t="s">
        <v>1478</v>
      </c>
      <c r="C83" t="s">
        <v>1479</v>
      </c>
      <c r="D83" t="s">
        <v>1480</v>
      </c>
      <c r="E83" t="s">
        <v>1481</v>
      </c>
      <c r="F83" t="s">
        <v>1482</v>
      </c>
      <c r="G83" t="s">
        <v>1483</v>
      </c>
      <c r="H83" t="s">
        <v>1484</v>
      </c>
      <c r="I83" t="s">
        <v>1485</v>
      </c>
      <c r="J83" t="s">
        <v>1486</v>
      </c>
      <c r="K83" t="s">
        <v>1487</v>
      </c>
      <c r="L83" t="s">
        <v>1488</v>
      </c>
      <c r="M83" t="s">
        <v>1489</v>
      </c>
      <c r="N83">
        <f>-745.165314817544 -10.2101365828075 -507.166638799434</f>
        <v>-1262.5420901997854</v>
      </c>
      <c r="O83">
        <f>-723.839989018988 -140.104975591908 -467.43325101147</f>
        <v>-1331.378215622366</v>
      </c>
      <c r="P83">
        <f>-831.598065906213 -190.679124479205 -198.320632610684</f>
        <v>-1220.597822996102</v>
      </c>
      <c r="Q83">
        <f>-616.450546482363 -102.800673551484 -261.879912823917</f>
        <v>-981.13113285776399</v>
      </c>
      <c r="R83" t="s">
        <v>1490</v>
      </c>
      <c r="S83" t="s">
        <v>1491</v>
      </c>
      <c r="T83" t="s">
        <v>1492</v>
      </c>
      <c r="U83" t="s">
        <v>1493</v>
      </c>
      <c r="V83">
        <f>-746.17404457848 -41.1253787111705 -66.9907532456049</f>
        <v>-854.29017653525534</v>
      </c>
      <c r="W83" t="s">
        <v>1494</v>
      </c>
      <c r="X83" t="s">
        <v>1495</v>
      </c>
      <c r="Y83" t="s">
        <v>1496</v>
      </c>
    </row>
    <row r="84" spans="1:25" x14ac:dyDescent="0.3">
      <c r="A84">
        <v>4150</v>
      </c>
      <c r="B84" t="s">
        <v>1497</v>
      </c>
      <c r="C84" t="s">
        <v>1498</v>
      </c>
      <c r="D84" t="s">
        <v>1499</v>
      </c>
      <c r="E84" t="s">
        <v>1500</v>
      </c>
      <c r="F84" t="s">
        <v>1501</v>
      </c>
      <c r="G84" t="s">
        <v>1502</v>
      </c>
      <c r="H84" t="s">
        <v>1503</v>
      </c>
      <c r="I84" t="s">
        <v>1504</v>
      </c>
      <c r="J84" t="s">
        <v>1505</v>
      </c>
      <c r="K84" t="s">
        <v>1506</v>
      </c>
      <c r="L84" t="s">
        <v>1507</v>
      </c>
      <c r="M84" t="s">
        <v>1508</v>
      </c>
      <c r="N84">
        <f>-741.631021556431 -6.18105161990616 -508.895843562942</f>
        <v>-1256.7079167392792</v>
      </c>
      <c r="O84">
        <f>-719.194187556743 -136.445848836442 -470.637421877139</f>
        <v>-1326.2774582703241</v>
      </c>
      <c r="P84">
        <f>-822.447431011524 -186.82612665274 -199.728260176172</f>
        <v>-1209.0018178404359</v>
      </c>
      <c r="Q84">
        <f>-609.449176287565 -96.7023233463428 -267.258545676672</f>
        <v>-973.41004531057979</v>
      </c>
      <c r="R84" t="s">
        <v>1509</v>
      </c>
      <c r="S84" t="s">
        <v>1510</v>
      </c>
      <c r="T84" t="s">
        <v>1511</v>
      </c>
      <c r="U84" t="s">
        <v>1512</v>
      </c>
      <c r="V84">
        <f>-741.775125930756 -42.6874648346229 -65.9247144056034</f>
        <v>-850.38730517098224</v>
      </c>
      <c r="W84" t="s">
        <v>1513</v>
      </c>
      <c r="X84" t="s">
        <v>1514</v>
      </c>
      <c r="Y84" t="s">
        <v>1515</v>
      </c>
    </row>
    <row r="85" spans="1:25" x14ac:dyDescent="0.3">
      <c r="A85">
        <v>4200</v>
      </c>
      <c r="B85" t="s">
        <v>1516</v>
      </c>
      <c r="C85" t="s">
        <v>1517</v>
      </c>
      <c r="D85" t="s">
        <v>1518</v>
      </c>
      <c r="E85" t="s">
        <v>1519</v>
      </c>
      <c r="F85" t="s">
        <v>1520</v>
      </c>
      <c r="G85" t="s">
        <v>1521</v>
      </c>
      <c r="H85" t="s">
        <v>1522</v>
      </c>
      <c r="I85" t="s">
        <v>1523</v>
      </c>
      <c r="J85" t="s">
        <v>1524</v>
      </c>
      <c r="K85" t="s">
        <v>1525</v>
      </c>
      <c r="L85" t="s">
        <v>1526</v>
      </c>
      <c r="M85" t="s">
        <v>1527</v>
      </c>
      <c r="N85">
        <f>-746.112988531775 -1.98135463793915 -509.928924347805</f>
        <v>-1258.0232675175191</v>
      </c>
      <c r="O85">
        <f>-722.355290135193 -132.607118661289 -474.427719719194</f>
        <v>-1329.3901285156758</v>
      </c>
      <c r="P85">
        <f>-819.783979083847 -184.161308904801 -201.588731946214</f>
        <v>-1205.534019934862</v>
      </c>
      <c r="Q85">
        <f>-609.449210391283 -90.5224119919983 -272.595389033802</f>
        <v>-972.56701141708334</v>
      </c>
      <c r="R85" t="s">
        <v>1528</v>
      </c>
      <c r="S85" t="s">
        <v>1529</v>
      </c>
      <c r="T85" t="s">
        <v>1530</v>
      </c>
      <c r="U85" t="s">
        <v>1531</v>
      </c>
      <c r="V85">
        <f>-733.740354904041 -42.9095163094203 -65.5387429183754</f>
        <v>-842.18861413183674</v>
      </c>
      <c r="W85" t="s">
        <v>1532</v>
      </c>
      <c r="X85" t="s">
        <v>1533</v>
      </c>
      <c r="Y85" t="s">
        <v>1534</v>
      </c>
    </row>
    <row r="86" spans="1:25" x14ac:dyDescent="0.3">
      <c r="A86">
        <v>4250</v>
      </c>
      <c r="B86" t="s">
        <v>1535</v>
      </c>
      <c r="C86" t="s">
        <v>1536</v>
      </c>
      <c r="D86" t="s">
        <v>1537</v>
      </c>
      <c r="E86" t="s">
        <v>1538</v>
      </c>
      <c r="F86" t="s">
        <v>1539</v>
      </c>
      <c r="G86" t="s">
        <v>1540</v>
      </c>
      <c r="H86" t="s">
        <v>1541</v>
      </c>
      <c r="I86" t="s">
        <v>1542</v>
      </c>
      <c r="J86" t="s">
        <v>1543</v>
      </c>
      <c r="K86" t="s">
        <v>1544</v>
      </c>
      <c r="L86" t="s">
        <v>1545</v>
      </c>
      <c r="M86" t="s">
        <v>1546</v>
      </c>
      <c r="N86">
        <f>-747.625732614341 -1.65363432136746 -510.317930993215</f>
        <v>-1259.5972979289236</v>
      </c>
      <c r="O86">
        <f>-722.965814373545 -132.355471678659 -475.955189060207</f>
        <v>-1331.2764751124109</v>
      </c>
      <c r="P86">
        <f>-816.612265584306 -185.567651291298 -202.112044052693</f>
        <v>-1204.2919609282969</v>
      </c>
      <c r="Q86">
        <f>-608.061917248225 -89.4913022322207 -275.098241956303</f>
        <v>-972.65146143674872</v>
      </c>
      <c r="R86" t="s">
        <v>1547</v>
      </c>
      <c r="S86" t="s">
        <v>1548</v>
      </c>
      <c r="T86" t="s">
        <v>1549</v>
      </c>
      <c r="U86" t="s">
        <v>1550</v>
      </c>
      <c r="V86">
        <f>-729.295766807645 -43.8467995907445 -65.5014570548516</f>
        <v>-838.64402345324106</v>
      </c>
      <c r="W86" t="s">
        <v>1551</v>
      </c>
      <c r="X86" t="s">
        <v>1552</v>
      </c>
      <c r="Y86" t="s">
        <v>1553</v>
      </c>
    </row>
    <row r="87" spans="1:25" x14ac:dyDescent="0.3">
      <c r="A87">
        <v>4300</v>
      </c>
      <c r="B87" t="s">
        <v>1554</v>
      </c>
      <c r="C87" t="s">
        <v>1555</v>
      </c>
      <c r="D87" t="s">
        <v>1556</v>
      </c>
      <c r="E87" t="s">
        <v>1557</v>
      </c>
      <c r="F87" t="s">
        <v>1558</v>
      </c>
      <c r="G87" t="s">
        <v>1559</v>
      </c>
      <c r="H87" t="s">
        <v>1560</v>
      </c>
      <c r="I87" t="s">
        <v>1561</v>
      </c>
      <c r="J87" t="s">
        <v>1562</v>
      </c>
      <c r="K87" t="s">
        <v>1563</v>
      </c>
      <c r="L87" t="s">
        <v>1564</v>
      </c>
      <c r="M87" t="s">
        <v>1565</v>
      </c>
      <c r="N87">
        <f>-750.596805404574 -4.7281469282043 -510.207357988861</f>
        <v>-1265.5323103216392</v>
      </c>
      <c r="O87">
        <f>-725.928909207966 -135.855116216964 -477.104345202573</f>
        <v>-1338.8883706275028</v>
      </c>
      <c r="P87">
        <f>-809.007629662028 -192.343016739569 -200.52125784231</f>
        <v>-1201.871904243907</v>
      </c>
      <c r="Q87">
        <f>-604.474026859288 -91.8188164477688 -278.698560561048</f>
        <v>-974.99140386810473</v>
      </c>
      <c r="R87" t="s">
        <v>1566</v>
      </c>
      <c r="S87" t="s">
        <v>1567</v>
      </c>
      <c r="T87" t="s">
        <v>1568</v>
      </c>
      <c r="U87" t="s">
        <v>1569</v>
      </c>
      <c r="V87">
        <f>-720.874884116902 -46.6577071958488 -65.248316232379</f>
        <v>-832.78090754512982</v>
      </c>
      <c r="W87" t="s">
        <v>1570</v>
      </c>
      <c r="X87" t="s">
        <v>1571</v>
      </c>
      <c r="Y87" t="s">
        <v>1572</v>
      </c>
    </row>
    <row r="88" spans="1:25" x14ac:dyDescent="0.3">
      <c r="A88">
        <v>4350</v>
      </c>
      <c r="B88" t="s">
        <v>1573</v>
      </c>
      <c r="C88" t="s">
        <v>1574</v>
      </c>
      <c r="D88" t="s">
        <v>1575</v>
      </c>
      <c r="E88" t="s">
        <v>1576</v>
      </c>
      <c r="F88" t="s">
        <v>1577</v>
      </c>
      <c r="G88" t="s">
        <v>1578</v>
      </c>
      <c r="H88" t="s">
        <v>1579</v>
      </c>
      <c r="I88" t="s">
        <v>1580</v>
      </c>
      <c r="J88" t="s">
        <v>1581</v>
      </c>
      <c r="K88" t="s">
        <v>1582</v>
      </c>
      <c r="L88" t="s">
        <v>1583</v>
      </c>
      <c r="M88" t="s">
        <v>1584</v>
      </c>
      <c r="N88">
        <f>-752.205705073213 -5.36727074348028 -510.082876548661</f>
        <v>-1267.6558523653543</v>
      </c>
      <c r="O88">
        <f>-728.350623926124 -136.77823840849 -477.423723470183</f>
        <v>-1342.552585804797</v>
      </c>
      <c r="P88">
        <f>-806.277414514806 -193.413549506874 -199.375066088605</f>
        <v>-1199.0660301102851</v>
      </c>
      <c r="Q88">
        <f>-603.364473810654 -91.6187253838798 -280.090484845547</f>
        <v>-975.07368404008071</v>
      </c>
      <c r="R88" t="s">
        <v>1585</v>
      </c>
      <c r="S88" t="s">
        <v>1586</v>
      </c>
      <c r="T88" t="s">
        <v>1587</v>
      </c>
      <c r="U88" t="s">
        <v>1588</v>
      </c>
      <c r="V88">
        <f>-717.559571541085 -47.392461536193 -65.1660683737884</f>
        <v>-830.11810145106642</v>
      </c>
      <c r="W88" t="s">
        <v>1589</v>
      </c>
      <c r="X88" t="s">
        <v>1590</v>
      </c>
      <c r="Y88" t="s">
        <v>1591</v>
      </c>
    </row>
    <row r="89" spans="1:25" x14ac:dyDescent="0.3">
      <c r="A89">
        <v>4400</v>
      </c>
      <c r="B89" t="s">
        <v>1592</v>
      </c>
      <c r="C89" t="s">
        <v>1593</v>
      </c>
      <c r="D89" t="s">
        <v>1594</v>
      </c>
      <c r="E89" t="s">
        <v>1595</v>
      </c>
      <c r="F89" t="s">
        <v>1596</v>
      </c>
      <c r="G89" t="s">
        <v>1597</v>
      </c>
      <c r="H89" t="s">
        <v>1598</v>
      </c>
      <c r="I89" t="s">
        <v>1599</v>
      </c>
      <c r="J89" t="s">
        <v>1600</v>
      </c>
      <c r="K89" t="s">
        <v>1601</v>
      </c>
      <c r="L89" t="s">
        <v>1602</v>
      </c>
      <c r="M89" t="s">
        <v>1603</v>
      </c>
      <c r="N89">
        <f>-755.748164237192 -4.21816216667094 -510.932462150855</f>
        <v>-1270.8987885547178</v>
      </c>
      <c r="O89">
        <f>-734.775196743159 -136.389643523116 -479.348233714266</f>
        <v>-1350.5130739805409</v>
      </c>
      <c r="P89">
        <f>-805.951741911777 -189.554158895079 -198.815507898694</f>
        <v>-1194.3214087055501</v>
      </c>
      <c r="Q89">
        <f>-605.090464778669 -87.1263178584441 -283.751274711515</f>
        <v>-975.96805734862801</v>
      </c>
      <c r="R89" t="s">
        <v>1604</v>
      </c>
      <c r="S89" t="s">
        <v>1605</v>
      </c>
      <c r="T89" t="s">
        <v>1606</v>
      </c>
      <c r="U89" t="s">
        <v>1607</v>
      </c>
      <c r="V89">
        <f>-712.980720760983 -46.9150329767244 -65.2396083745248</f>
        <v>-825.1353621122322</v>
      </c>
      <c r="W89" t="s">
        <v>1608</v>
      </c>
      <c r="X89" t="s">
        <v>1609</v>
      </c>
      <c r="Y89" t="s">
        <v>1610</v>
      </c>
    </row>
    <row r="90" spans="1:25" x14ac:dyDescent="0.3">
      <c r="A90">
        <v>4450</v>
      </c>
      <c r="B90" t="s">
        <v>1611</v>
      </c>
      <c r="C90" t="s">
        <v>1612</v>
      </c>
      <c r="D90" t="s">
        <v>1613</v>
      </c>
      <c r="E90" t="s">
        <v>1614</v>
      </c>
      <c r="F90" t="s">
        <v>1615</v>
      </c>
      <c r="G90" t="s">
        <v>1616</v>
      </c>
      <c r="H90" t="s">
        <v>1617</v>
      </c>
      <c r="I90" t="s">
        <v>1618</v>
      </c>
      <c r="J90" t="s">
        <v>1619</v>
      </c>
      <c r="K90" t="s">
        <v>1620</v>
      </c>
      <c r="L90" t="s">
        <v>1621</v>
      </c>
      <c r="M90" t="s">
        <v>1622</v>
      </c>
      <c r="N90">
        <f>-757.612220044966 -2.76088196141882 -511.585162437206</f>
        <v>-1271.9582644435909</v>
      </c>
      <c r="O90">
        <f>-738.463089811833 -135.330909628363 -480.565871770622</f>
        <v>-1354.359871210818</v>
      </c>
      <c r="P90">
        <f>-807.90992380943 -186.176034920294 -199.170925783329</f>
        <v>-1193.2568845130529</v>
      </c>
      <c r="Q90">
        <f>-607.950216853851 -82.897143313917 -285.196817763255</f>
        <v>-976.044177931023</v>
      </c>
      <c r="R90" t="s">
        <v>1623</v>
      </c>
      <c r="S90" t="s">
        <v>1624</v>
      </c>
      <c r="T90" t="s">
        <v>1625</v>
      </c>
      <c r="U90" t="s">
        <v>1626</v>
      </c>
      <c r="V90">
        <f>-711.759654511157 -45.9351045138078 -65.3288011819951</f>
        <v>-823.02356020695993</v>
      </c>
      <c r="W90" t="s">
        <v>1627</v>
      </c>
      <c r="X90" t="s">
        <v>1628</v>
      </c>
      <c r="Y90" t="s">
        <v>1629</v>
      </c>
    </row>
    <row r="91" spans="1:25" x14ac:dyDescent="0.3">
      <c r="A91">
        <v>4500</v>
      </c>
      <c r="B91" t="s">
        <v>1630</v>
      </c>
      <c r="C91" t="s">
        <v>1631</v>
      </c>
      <c r="D91" t="s">
        <v>1632</v>
      </c>
      <c r="E91" t="s">
        <v>1633</v>
      </c>
      <c r="F91" t="s">
        <v>1634</v>
      </c>
      <c r="G91" t="s">
        <v>1635</v>
      </c>
      <c r="H91" t="s">
        <v>1636</v>
      </c>
      <c r="I91" t="s">
        <v>1637</v>
      </c>
      <c r="J91" t="s">
        <v>1638</v>
      </c>
      <c r="K91" t="s">
        <v>1639</v>
      </c>
      <c r="L91" t="s">
        <v>1640</v>
      </c>
      <c r="M91" t="s">
        <v>1641</v>
      </c>
      <c r="N91" t="s">
        <v>1642</v>
      </c>
      <c r="O91">
        <f>-746.641174927551 -132.531262452818 -482.709483493697</f>
        <v>-1361.8819208740661</v>
      </c>
      <c r="P91">
        <f>-814.442817601112 -179.041198982995 -200.165874795247</f>
        <v>-1193.6498913793539</v>
      </c>
      <c r="Q91">
        <f>-615.543221761091 -74.2612612975483 -286.831474802022</f>
        <v>-976.63595786066139</v>
      </c>
      <c r="R91" t="s">
        <v>1643</v>
      </c>
      <c r="S91" t="s">
        <v>1644</v>
      </c>
      <c r="T91" t="s">
        <v>1645</v>
      </c>
      <c r="U91" t="s">
        <v>1646</v>
      </c>
      <c r="V91">
        <f>-710.756404314468 -42.7826370853738 -65.4839458566947</f>
        <v>-819.02298725653657</v>
      </c>
      <c r="W91" t="s">
        <v>1647</v>
      </c>
      <c r="X91" t="s">
        <v>1648</v>
      </c>
      <c r="Y91" t="s">
        <v>1649</v>
      </c>
    </row>
    <row r="92" spans="1:25" x14ac:dyDescent="0.3">
      <c r="A92">
        <v>4550</v>
      </c>
      <c r="B92" t="s">
        <v>1650</v>
      </c>
      <c r="C92" t="s">
        <v>1651</v>
      </c>
      <c r="D92" t="s">
        <v>1652</v>
      </c>
      <c r="E92" t="s">
        <v>1653</v>
      </c>
      <c r="F92" t="s">
        <v>1654</v>
      </c>
      <c r="G92" t="s">
        <v>1655</v>
      </c>
      <c r="H92" t="s">
        <v>1656</v>
      </c>
      <c r="I92" t="s">
        <v>1657</v>
      </c>
      <c r="J92" t="s">
        <v>1658</v>
      </c>
      <c r="K92" t="s">
        <v>1659</v>
      </c>
      <c r="L92" t="s">
        <v>1660</v>
      </c>
      <c r="M92" t="s">
        <v>1661</v>
      </c>
      <c r="N92" t="s">
        <v>1662</v>
      </c>
      <c r="O92">
        <f>-750.654627193426 -130.647466307589 -483.427491491186</f>
        <v>-1364.7295849922009</v>
      </c>
      <c r="P92">
        <f>-818.180674148171 -175.224224842168 -200.506474087025</f>
        <v>-1193.911373077364</v>
      </c>
      <c r="Q92">
        <f>-619.180208886094 -70.7335176266456 -287.289986039924</f>
        <v>-977.20371255266355</v>
      </c>
      <c r="R92" t="s">
        <v>1663</v>
      </c>
      <c r="S92" t="s">
        <v>1664</v>
      </c>
      <c r="T92" t="s">
        <v>1665</v>
      </c>
      <c r="U92" t="s">
        <v>1666</v>
      </c>
      <c r="V92">
        <f>-710.612486870926 -40.6849355822374 -65.5878348581597</f>
        <v>-816.88525731132302</v>
      </c>
      <c r="W92" t="s">
        <v>1667</v>
      </c>
      <c r="X92" t="s">
        <v>1668</v>
      </c>
      <c r="Y92" t="s">
        <v>1669</v>
      </c>
    </row>
    <row r="93" spans="1:25" x14ac:dyDescent="0.3">
      <c r="A93">
        <v>4600</v>
      </c>
      <c r="B93" t="s">
        <v>1670</v>
      </c>
      <c r="C93" t="s">
        <v>1671</v>
      </c>
      <c r="D93" t="s">
        <v>1672</v>
      </c>
      <c r="E93" t="s">
        <v>1673</v>
      </c>
      <c r="F93" t="s">
        <v>1674</v>
      </c>
      <c r="G93" t="s">
        <v>1675</v>
      </c>
      <c r="H93" t="s">
        <v>1676</v>
      </c>
      <c r="I93" t="s">
        <v>1677</v>
      </c>
      <c r="J93" t="s">
        <v>1678</v>
      </c>
      <c r="K93" t="s">
        <v>1679</v>
      </c>
      <c r="L93" t="s">
        <v>1680</v>
      </c>
      <c r="M93" t="s">
        <v>1681</v>
      </c>
      <c r="N93" t="s">
        <v>1682</v>
      </c>
      <c r="O93">
        <f>-758.351119651771 -126.821345237513 -483.846250186877</f>
        <v>-1369.018715076161</v>
      </c>
      <c r="P93">
        <f>-826.785117653817 -166.434768256473 -200.405355244927</f>
        <v>-1193.6252411552171</v>
      </c>
      <c r="Q93">
        <f>-625.314608391298 -67.4660503426499 -287.959108668702</f>
        <v>-980.73976740264982</v>
      </c>
      <c r="R93" t="s">
        <v>1683</v>
      </c>
      <c r="S93" t="s">
        <v>1684</v>
      </c>
      <c r="T93" t="s">
        <v>1685</v>
      </c>
      <c r="U93" t="s">
        <v>1686</v>
      </c>
      <c r="V93">
        <f>-710.787056167386 -36.5503866113661 -65.7349008739009</f>
        <v>-813.07234365265299</v>
      </c>
      <c r="W93" t="s">
        <v>1687</v>
      </c>
      <c r="X93" t="s">
        <v>1688</v>
      </c>
      <c r="Y93" t="s">
        <v>1689</v>
      </c>
    </row>
    <row r="94" spans="1:25" x14ac:dyDescent="0.3">
      <c r="A94">
        <v>4650</v>
      </c>
      <c r="B94" t="s">
        <v>1690</v>
      </c>
      <c r="C94" t="s">
        <v>1691</v>
      </c>
      <c r="D94" t="s">
        <v>1692</v>
      </c>
      <c r="E94" t="s">
        <v>1693</v>
      </c>
      <c r="F94" t="s">
        <v>1694</v>
      </c>
      <c r="G94" t="s">
        <v>1695</v>
      </c>
      <c r="H94" t="s">
        <v>1696</v>
      </c>
      <c r="I94" t="s">
        <v>1697</v>
      </c>
      <c r="J94" t="s">
        <v>1698</v>
      </c>
      <c r="K94" t="s">
        <v>1699</v>
      </c>
      <c r="L94" t="s">
        <v>1700</v>
      </c>
      <c r="M94" t="s">
        <v>1701</v>
      </c>
      <c r="N94" t="s">
        <v>1702</v>
      </c>
      <c r="O94">
        <f>-761.4489965698 -125.005636852239 -483.413463219212</f>
        <v>-1369.868096641251</v>
      </c>
      <c r="P94">
        <f>-830.844419951876 -161.262273386377 -199.757008947057</f>
        <v>-1191.86370228531</v>
      </c>
      <c r="Q94">
        <f>-627.411894352131 -66.9673311196304 -287.930377145001</f>
        <v>-982.30960261676239</v>
      </c>
      <c r="R94" t="s">
        <v>1703</v>
      </c>
      <c r="S94" t="s">
        <v>1704</v>
      </c>
      <c r="T94" t="s">
        <v>1705</v>
      </c>
      <c r="U94" t="s">
        <v>1706</v>
      </c>
      <c r="V94">
        <f>-710.894503650276 -34.3300229373999 -65.7541941686767</f>
        <v>-810.97872075635257</v>
      </c>
      <c r="W94" t="s">
        <v>1707</v>
      </c>
      <c r="X94" t="s">
        <v>1708</v>
      </c>
      <c r="Y94" t="s">
        <v>1709</v>
      </c>
    </row>
    <row r="95" spans="1:25" x14ac:dyDescent="0.3">
      <c r="A95">
        <v>4700</v>
      </c>
      <c r="B95" t="s">
        <v>1710</v>
      </c>
      <c r="C95" t="s">
        <v>1711</v>
      </c>
      <c r="D95" t="s">
        <v>1712</v>
      </c>
      <c r="E95" t="s">
        <v>1713</v>
      </c>
      <c r="F95" t="s">
        <v>1714</v>
      </c>
      <c r="G95" t="s">
        <v>1715</v>
      </c>
      <c r="H95" t="s">
        <v>1716</v>
      </c>
      <c r="I95" t="s">
        <v>1717</v>
      </c>
      <c r="J95" t="s">
        <v>1718</v>
      </c>
      <c r="K95" t="s">
        <v>1719</v>
      </c>
      <c r="L95" t="s">
        <v>1720</v>
      </c>
      <c r="M95" t="s">
        <v>1721</v>
      </c>
      <c r="N95" t="s">
        <v>1722</v>
      </c>
      <c r="O95">
        <f>-768.291635522031 -120.524278079557 -481.576893520765</f>
        <v>-1370.3928071223531</v>
      </c>
      <c r="P95">
        <f>-838.603011573936 -149.079292838375 -197.266996979428</f>
        <v>-1184.949301391739</v>
      </c>
      <c r="Q95">
        <f>-630.503453944761 -66.6336628467345 -286.42003667457</f>
        <v>-983.55715346606553</v>
      </c>
      <c r="R95" t="s">
        <v>1723</v>
      </c>
      <c r="S95" t="s">
        <v>1724</v>
      </c>
      <c r="T95" t="s">
        <v>1725</v>
      </c>
      <c r="U95" t="s">
        <v>1726</v>
      </c>
      <c r="V95">
        <f>-711.592877219951 -28.7083098784788 -65.6924327975831</f>
        <v>-805.99361989601289</v>
      </c>
      <c r="W95" t="s">
        <v>1727</v>
      </c>
      <c r="X95" t="s">
        <v>1728</v>
      </c>
      <c r="Y95" t="s">
        <v>1729</v>
      </c>
    </row>
    <row r="96" spans="1:25" x14ac:dyDescent="0.3">
      <c r="A96">
        <v>4750</v>
      </c>
      <c r="B96" t="s">
        <v>1730</v>
      </c>
      <c r="C96" t="s">
        <v>1731</v>
      </c>
      <c r="D96" t="s">
        <v>1732</v>
      </c>
      <c r="E96" t="s">
        <v>1733</v>
      </c>
      <c r="F96" t="s">
        <v>1734</v>
      </c>
      <c r="G96" t="s">
        <v>1735</v>
      </c>
      <c r="H96" t="s">
        <v>1736</v>
      </c>
      <c r="I96" t="s">
        <v>1737</v>
      </c>
      <c r="J96" t="s">
        <v>1738</v>
      </c>
      <c r="K96" t="s">
        <v>1739</v>
      </c>
      <c r="L96" t="s">
        <v>1740</v>
      </c>
      <c r="M96" t="s">
        <v>1741</v>
      </c>
      <c r="N96" t="s">
        <v>1742</v>
      </c>
      <c r="O96">
        <f>-772.626592388203 -116.966658753956 -480.535919078986</f>
        <v>-1370.1291702211452</v>
      </c>
      <c r="P96">
        <f>-842.307210347688 -141.864448089497 -195.727415376381</f>
        <v>-1179.899073813566</v>
      </c>
      <c r="Q96">
        <f>-631.946657271623 -66.1632066755292 -285.553192914837</f>
        <v>-983.66305686198916</v>
      </c>
      <c r="R96" t="s">
        <v>1743</v>
      </c>
      <c r="S96" t="s">
        <v>1744</v>
      </c>
      <c r="T96" t="s">
        <v>1745</v>
      </c>
      <c r="U96" t="s">
        <v>1746</v>
      </c>
      <c r="V96">
        <f>-712.061088398149 -25.3035828636062 -65.6715853395996</f>
        <v>-803.03625660135469</v>
      </c>
      <c r="W96" t="s">
        <v>1747</v>
      </c>
      <c r="X96" t="s">
        <v>1748</v>
      </c>
      <c r="Y96" t="s">
        <v>1749</v>
      </c>
    </row>
    <row r="97" spans="1:25" x14ac:dyDescent="0.3">
      <c r="A97">
        <v>4800</v>
      </c>
      <c r="B97" t="s">
        <v>1750</v>
      </c>
      <c r="C97" t="s">
        <v>1751</v>
      </c>
      <c r="D97" t="s">
        <v>1752</v>
      </c>
      <c r="E97" t="s">
        <v>1753</v>
      </c>
      <c r="F97" t="s">
        <v>1754</v>
      </c>
      <c r="G97" t="s">
        <v>1755</v>
      </c>
      <c r="H97" t="s">
        <v>1756</v>
      </c>
      <c r="I97" t="s">
        <v>1757</v>
      </c>
      <c r="J97" t="s">
        <v>1758</v>
      </c>
      <c r="K97" t="s">
        <v>1759</v>
      </c>
      <c r="L97" t="s">
        <v>1760</v>
      </c>
      <c r="M97" t="s">
        <v>1761</v>
      </c>
      <c r="N97" t="s">
        <v>1762</v>
      </c>
      <c r="O97">
        <f>-781.417217182738 -108.227728476115 -479.2486238651</f>
        <v>-1368.8935695239529</v>
      </c>
      <c r="P97">
        <f>-848.038047180655 -127.877702042355 -193.299754177162</f>
        <v>-1169.2155034001719</v>
      </c>
      <c r="Q97">
        <f>-634.30632616002 -64.6122009852263 -284.771362593817</f>
        <v>-983.68988973906335</v>
      </c>
      <c r="R97" t="s">
        <v>1763</v>
      </c>
      <c r="S97" t="s">
        <v>1764</v>
      </c>
      <c r="T97" t="s">
        <v>1765</v>
      </c>
      <c r="U97" t="s">
        <v>1766</v>
      </c>
      <c r="V97">
        <f>-710.657686817616 -17.9736314925522 -65.9490473062883</f>
        <v>-794.58036561645645</v>
      </c>
      <c r="W97" t="s">
        <v>1767</v>
      </c>
      <c r="X97" t="s">
        <v>1768</v>
      </c>
      <c r="Y97" t="s">
        <v>1769</v>
      </c>
    </row>
    <row r="98" spans="1:25" x14ac:dyDescent="0.3">
      <c r="A98">
        <v>4850</v>
      </c>
      <c r="B98" t="s">
        <v>1770</v>
      </c>
      <c r="C98" t="s">
        <v>1771</v>
      </c>
      <c r="D98" t="s">
        <v>1772</v>
      </c>
      <c r="E98" t="s">
        <v>1773</v>
      </c>
      <c r="F98" t="s">
        <v>1774</v>
      </c>
      <c r="G98" t="s">
        <v>1775</v>
      </c>
      <c r="H98" t="s">
        <v>1776</v>
      </c>
      <c r="I98" t="s">
        <v>1777</v>
      </c>
      <c r="J98" t="s">
        <v>1778</v>
      </c>
      <c r="K98" t="s">
        <v>1779</v>
      </c>
      <c r="L98" t="s">
        <v>1780</v>
      </c>
      <c r="M98" t="s">
        <v>1781</v>
      </c>
      <c r="N98" t="s">
        <v>1782</v>
      </c>
      <c r="O98">
        <f>-784.505285250784 -103.765274802914 -479.552666722426</f>
        <v>-1367.8232267761241</v>
      </c>
      <c r="P98">
        <f>-849.995336893676 -121.687392031956 -193.229265565467</f>
        <v>-1164.911994491099</v>
      </c>
      <c r="Q98">
        <f>-634.975692299095 -63.9037651580929 -285.307629927507</f>
        <v>-984.18708738469491</v>
      </c>
      <c r="R98" t="s">
        <v>1783</v>
      </c>
      <c r="S98" t="s">
        <v>1784</v>
      </c>
      <c r="T98" t="s">
        <v>1785</v>
      </c>
      <c r="U98" t="s">
        <v>1786</v>
      </c>
      <c r="V98">
        <f>-708.624753252823 -13.834968256559 -66.2815407943901</f>
        <v>-788.74126230377215</v>
      </c>
      <c r="W98" t="s">
        <v>1787</v>
      </c>
      <c r="X98" t="s">
        <v>1788</v>
      </c>
      <c r="Y98" t="s">
        <v>1789</v>
      </c>
    </row>
    <row r="99" spans="1:25" x14ac:dyDescent="0.3">
      <c r="A99">
        <v>4900</v>
      </c>
      <c r="B99" t="s">
        <v>1790</v>
      </c>
      <c r="C99" t="s">
        <v>1791</v>
      </c>
      <c r="D99" t="s">
        <v>1792</v>
      </c>
      <c r="E99" t="s">
        <v>1793</v>
      </c>
      <c r="F99" t="s">
        <v>1794</v>
      </c>
      <c r="G99" t="s">
        <v>1795</v>
      </c>
      <c r="H99" t="s">
        <v>1796</v>
      </c>
      <c r="I99" t="s">
        <v>1797</v>
      </c>
      <c r="J99" t="s">
        <v>1798</v>
      </c>
      <c r="K99" t="s">
        <v>1799</v>
      </c>
      <c r="L99" t="s">
        <v>1800</v>
      </c>
      <c r="M99" t="s">
        <v>1801</v>
      </c>
      <c r="N99" t="s">
        <v>1802</v>
      </c>
      <c r="O99">
        <f>-787.840783579649 -94.1735236881075 -482.13210010739</f>
        <v>-1364.1464073751465</v>
      </c>
      <c r="P99">
        <f>-852.950780953261 -108.702255007131 -195.529967222291</f>
        <v>-1157.183003182683</v>
      </c>
      <c r="Q99">
        <f>-635.937947541619 -59.869408569258 -288.113261639934</f>
        <v>-983.92061775081106</v>
      </c>
      <c r="R99" t="s">
        <v>1803</v>
      </c>
      <c r="S99" t="s">
        <v>1804</v>
      </c>
      <c r="T99" t="s">
        <v>1805</v>
      </c>
      <c r="U99" t="s">
        <v>1806</v>
      </c>
      <c r="V99">
        <f>-703.41641080993 -3.42259523564462 -67.5026139219143</f>
        <v>-774.3416199674889</v>
      </c>
      <c r="W99" t="s">
        <v>1807</v>
      </c>
      <c r="X99" t="s">
        <v>1808</v>
      </c>
      <c r="Y99" t="s">
        <v>1809</v>
      </c>
    </row>
    <row r="100" spans="1:25" x14ac:dyDescent="0.3">
      <c r="A100">
        <v>4950</v>
      </c>
      <c r="B100" t="s">
        <v>1810</v>
      </c>
      <c r="C100" t="s">
        <v>1811</v>
      </c>
      <c r="D100" t="s">
        <v>1812</v>
      </c>
      <c r="E100" t="s">
        <v>1813</v>
      </c>
      <c r="F100" t="s">
        <v>1814</v>
      </c>
      <c r="G100" t="s">
        <v>1815</v>
      </c>
      <c r="H100" t="s">
        <v>1816</v>
      </c>
      <c r="I100" t="s">
        <v>1817</v>
      </c>
      <c r="J100" t="s">
        <v>1818</v>
      </c>
      <c r="K100" t="s">
        <v>1819</v>
      </c>
      <c r="L100" t="s">
        <v>1820</v>
      </c>
      <c r="M100" t="s">
        <v>1821</v>
      </c>
      <c r="N100" t="s">
        <v>1822</v>
      </c>
      <c r="O100">
        <f>-789.174022195179 -90.1558181217258 -484.292074756252</f>
        <v>-1363.6219150731567</v>
      </c>
      <c r="P100">
        <f>-854.61119999375 -103.361093326958 -197.700310277979</f>
        <v>-1155.6726035986869</v>
      </c>
      <c r="Q100">
        <f>-636.787003109608 -57.4596925840117 -289.876659383913</f>
        <v>-984.12335507753278</v>
      </c>
      <c r="R100" t="s">
        <v>1823</v>
      </c>
      <c r="S100" t="s">
        <v>1824</v>
      </c>
      <c r="T100" t="s">
        <v>1825</v>
      </c>
      <c r="U100" t="s">
        <v>1826</v>
      </c>
      <c r="V100" t="s">
        <v>1827</v>
      </c>
      <c r="W100" t="s">
        <v>1828</v>
      </c>
      <c r="X100" t="s">
        <v>1829</v>
      </c>
      <c r="Y100" t="s">
        <v>1830</v>
      </c>
    </row>
    <row r="101" spans="1:25" x14ac:dyDescent="0.3">
      <c r="A101">
        <v>5000</v>
      </c>
      <c r="B101" t="s">
        <v>1831</v>
      </c>
      <c r="C101" t="s">
        <v>1832</v>
      </c>
      <c r="D101" t="s">
        <v>1833</v>
      </c>
      <c r="E101" t="s">
        <v>1834</v>
      </c>
      <c r="F101" t="s">
        <v>1835</v>
      </c>
      <c r="G101" t="s">
        <v>1836</v>
      </c>
      <c r="H101" t="s">
        <v>1837</v>
      </c>
      <c r="I101" t="s">
        <v>1838</v>
      </c>
      <c r="J101" t="s">
        <v>1839</v>
      </c>
      <c r="K101" t="s">
        <v>1840</v>
      </c>
      <c r="L101" t="s">
        <v>1841</v>
      </c>
      <c r="M101" t="s">
        <v>1842</v>
      </c>
      <c r="N101" t="s">
        <v>1843</v>
      </c>
      <c r="O101">
        <f>-791.56250402662 -89.60357763347 -488.144478437508</f>
        <v>-1369.310560097598</v>
      </c>
      <c r="P101">
        <f>-857.820293873703 -101.767476888638 -201.695224146627</f>
        <v>-1161.282994908968</v>
      </c>
      <c r="Q101">
        <f>-638.673316962979 -59.0778731083758 -292.266182817385</f>
        <v>-990.01737288873983</v>
      </c>
      <c r="R101" t="s">
        <v>1844</v>
      </c>
      <c r="S101" t="s">
        <v>1845</v>
      </c>
      <c r="T101" t="s">
        <v>1846</v>
      </c>
      <c r="U101" t="s">
        <v>1847</v>
      </c>
      <c r="V101">
        <f>-696.987561805506 -0.80896739830132 -69.4443525986645</f>
        <v>-767.24088180247179</v>
      </c>
      <c r="W101" t="s">
        <v>1848</v>
      </c>
      <c r="X101" t="s">
        <v>1849</v>
      </c>
      <c r="Y101" t="s">
        <v>1850</v>
      </c>
    </row>
    <row r="102" spans="1:25" x14ac:dyDescent="0.3">
      <c r="A102">
        <v>5050</v>
      </c>
      <c r="B102" t="s">
        <v>1851</v>
      </c>
      <c r="C102" t="s">
        <v>1852</v>
      </c>
      <c r="D102" t="s">
        <v>1853</v>
      </c>
      <c r="E102" t="s">
        <v>1854</v>
      </c>
      <c r="F102" t="s">
        <v>1855</v>
      </c>
      <c r="G102" t="s">
        <v>1856</v>
      </c>
      <c r="H102" t="s">
        <v>1857</v>
      </c>
      <c r="I102" t="s">
        <v>1858</v>
      </c>
      <c r="J102" t="s">
        <v>1859</v>
      </c>
      <c r="K102" t="s">
        <v>1860</v>
      </c>
      <c r="L102" t="s">
        <v>1861</v>
      </c>
      <c r="M102" t="s">
        <v>1862</v>
      </c>
      <c r="N102" t="s">
        <v>1863</v>
      </c>
      <c r="O102">
        <f>-791.949209478029 -89.9848185057454 -489.726142040167</f>
        <v>-1371.6601700239414</v>
      </c>
      <c r="P102">
        <f>-858.563024826887 -102.649755307078 -203.381239209313</f>
        <v>-1164.594019343278</v>
      </c>
      <c r="Q102">
        <f>-639.018184863212 -60.617372873103 -293.29369879314</f>
        <v>-992.92925652945496</v>
      </c>
      <c r="R102" t="s">
        <v>1864</v>
      </c>
      <c r="S102" t="s">
        <v>1865</v>
      </c>
      <c r="T102" t="s">
        <v>1866</v>
      </c>
      <c r="U102" t="s">
        <v>1867</v>
      </c>
      <c r="V102">
        <f>-695.787210367392 -1.13314466048178 -69.8597093666</f>
        <v>-766.78006439447381</v>
      </c>
      <c r="W102" t="s">
        <v>1868</v>
      </c>
      <c r="X102" t="s">
        <v>1869</v>
      </c>
      <c r="Y102" t="s">
        <v>1870</v>
      </c>
    </row>
    <row r="103" spans="1:25" x14ac:dyDescent="0.3">
      <c r="A103">
        <v>5100</v>
      </c>
      <c r="B103" t="s">
        <v>1871</v>
      </c>
      <c r="C103" t="s">
        <v>1872</v>
      </c>
      <c r="D103" t="s">
        <v>1873</v>
      </c>
      <c r="E103" t="s">
        <v>1874</v>
      </c>
      <c r="F103" t="s">
        <v>1875</v>
      </c>
      <c r="G103" t="s">
        <v>1876</v>
      </c>
      <c r="H103" t="s">
        <v>1877</v>
      </c>
      <c r="I103" t="s">
        <v>1878</v>
      </c>
      <c r="J103" t="s">
        <v>1879</v>
      </c>
      <c r="K103" t="s">
        <v>1880</v>
      </c>
      <c r="L103" t="s">
        <v>1881</v>
      </c>
      <c r="M103" t="s">
        <v>1882</v>
      </c>
      <c r="N103" t="s">
        <v>1883</v>
      </c>
      <c r="O103">
        <f>-793.649030888837 -87.089305067399 -492.652796568277</f>
        <v>-1373.3911325245131</v>
      </c>
      <c r="P103">
        <f>-861.081894039894 -102.792749801064 -206.650447826529</f>
        <v>-1170.525091667487</v>
      </c>
      <c r="Q103">
        <f>-640.756448065281 -61.1191432303442 -294.802345353124</f>
        <v>-996.67793664874921</v>
      </c>
      <c r="R103" t="s">
        <v>1884</v>
      </c>
      <c r="S103" t="s">
        <v>1885</v>
      </c>
      <c r="T103" t="s">
        <v>1886</v>
      </c>
      <c r="U103" t="s">
        <v>1887</v>
      </c>
      <c r="V103" t="s">
        <v>1888</v>
      </c>
      <c r="W103" t="s">
        <v>1889</v>
      </c>
      <c r="X103" t="s">
        <v>1890</v>
      </c>
      <c r="Y103" t="s">
        <v>1891</v>
      </c>
    </row>
    <row r="104" spans="1:25" x14ac:dyDescent="0.3">
      <c r="A104">
        <v>5150</v>
      </c>
      <c r="B104" t="s">
        <v>1892</v>
      </c>
      <c r="C104" t="s">
        <v>1893</v>
      </c>
      <c r="D104" t="s">
        <v>1894</v>
      </c>
      <c r="E104" t="s">
        <v>1895</v>
      </c>
      <c r="F104" t="s">
        <v>1896</v>
      </c>
      <c r="G104" t="s">
        <v>1897</v>
      </c>
      <c r="H104" t="s">
        <v>1898</v>
      </c>
      <c r="I104" t="s">
        <v>1899</v>
      </c>
      <c r="J104" t="s">
        <v>1900</v>
      </c>
      <c r="K104" t="s">
        <v>1901</v>
      </c>
      <c r="L104" t="s">
        <v>1902</v>
      </c>
      <c r="M104" t="s">
        <v>1903</v>
      </c>
      <c r="N104" t="s">
        <v>1904</v>
      </c>
      <c r="O104">
        <f>-794.307277562777 -84.770411922877 -493.546438269782</f>
        <v>-1372.6241277554359</v>
      </c>
      <c r="P104">
        <f>-862.421797216771 -102.704591914257 -207.836877776333</f>
        <v>-1172.963266907361</v>
      </c>
      <c r="Q104">
        <f>-641.593949748591 -61.0639599882654 -294.738995578345</f>
        <v>-997.39690531520137</v>
      </c>
      <c r="R104" t="s">
        <v>1905</v>
      </c>
      <c r="S104" t="s">
        <v>1906</v>
      </c>
      <c r="T104" t="s">
        <v>1907</v>
      </c>
      <c r="U104" t="s">
        <v>1908</v>
      </c>
      <c r="V104" t="s">
        <v>1909</v>
      </c>
      <c r="W104" t="s">
        <v>1910</v>
      </c>
      <c r="X104" t="s">
        <v>1911</v>
      </c>
      <c r="Y104" t="s">
        <v>1912</v>
      </c>
    </row>
    <row r="105" spans="1:25" x14ac:dyDescent="0.3">
      <c r="A105">
        <v>5200</v>
      </c>
      <c r="B105" t="s">
        <v>1913</v>
      </c>
      <c r="C105" t="s">
        <v>1914</v>
      </c>
      <c r="D105" t="s">
        <v>1915</v>
      </c>
      <c r="E105" t="s">
        <v>1916</v>
      </c>
      <c r="F105" t="s">
        <v>1917</v>
      </c>
      <c r="G105" t="s">
        <v>1918</v>
      </c>
      <c r="H105" t="s">
        <v>1919</v>
      </c>
      <c r="I105" t="s">
        <v>1920</v>
      </c>
      <c r="J105" t="s">
        <v>1921</v>
      </c>
      <c r="K105" t="s">
        <v>1922</v>
      </c>
      <c r="L105" t="s">
        <v>1923</v>
      </c>
      <c r="M105" t="s">
        <v>1924</v>
      </c>
      <c r="N105" t="s">
        <v>1925</v>
      </c>
      <c r="O105">
        <f>-796.674994490265 -81.3600122256164 -493.957854987034</f>
        <v>-1371.9928617029154</v>
      </c>
      <c r="P105">
        <f>-865.978047797705 -104.055528555745 -208.873221972717</f>
        <v>-1178.9067983261671</v>
      </c>
      <c r="Q105">
        <f>-643.930396421195 -62.4120684441948 -292.608210560771</f>
        <v>-998.95067542616084</v>
      </c>
      <c r="R105" t="s">
        <v>1926</v>
      </c>
      <c r="S105" t="s">
        <v>1927</v>
      </c>
      <c r="T105" t="s">
        <v>1928</v>
      </c>
      <c r="U105" t="s">
        <v>1929</v>
      </c>
      <c r="V105" t="s">
        <v>1930</v>
      </c>
      <c r="W105" t="s">
        <v>1931</v>
      </c>
      <c r="X105" t="s">
        <v>1932</v>
      </c>
      <c r="Y105" t="s">
        <v>1933</v>
      </c>
    </row>
    <row r="106" spans="1:25" x14ac:dyDescent="0.3">
      <c r="A106">
        <v>5250</v>
      </c>
      <c r="B106" t="s">
        <v>1934</v>
      </c>
      <c r="C106" t="s">
        <v>1935</v>
      </c>
      <c r="D106" t="s">
        <v>1936</v>
      </c>
      <c r="E106" t="s">
        <v>1937</v>
      </c>
      <c r="F106" t="s">
        <v>1938</v>
      </c>
      <c r="G106" t="s">
        <v>1939</v>
      </c>
      <c r="H106" t="s">
        <v>1940</v>
      </c>
      <c r="I106" t="s">
        <v>1941</v>
      </c>
      <c r="J106" t="s">
        <v>1942</v>
      </c>
      <c r="K106" t="s">
        <v>1943</v>
      </c>
      <c r="L106" t="s">
        <v>1944</v>
      </c>
      <c r="M106" t="s">
        <v>1945</v>
      </c>
      <c r="N106" t="s">
        <v>1946</v>
      </c>
      <c r="O106">
        <f>-799.42623646401 -82.1914153690825 -493.096484868459</f>
        <v>-1374.7141367015515</v>
      </c>
      <c r="P106">
        <f>-868.627288574759 -106.942894869988 -208.158393848033</f>
        <v>-1183.7285772927798</v>
      </c>
      <c r="Q106">
        <f>-645.899905846001 -65.404466699903 -290.121439183587</f>
        <v>-1001.425811729491</v>
      </c>
      <c r="R106" t="s">
        <v>1947</v>
      </c>
      <c r="S106" t="s">
        <v>1948</v>
      </c>
      <c r="T106" t="s">
        <v>1949</v>
      </c>
      <c r="U106" t="s">
        <v>1950</v>
      </c>
      <c r="V106">
        <f>-706.048353064491 -2.1224507871475 -68.4670590214997</f>
        <v>-776.63786287313826</v>
      </c>
      <c r="W106" t="s">
        <v>1951</v>
      </c>
      <c r="X106" t="s">
        <v>1952</v>
      </c>
      <c r="Y106" t="s">
        <v>1953</v>
      </c>
    </row>
    <row r="107" spans="1:25" x14ac:dyDescent="0.3">
      <c r="A107">
        <v>5300</v>
      </c>
      <c r="B107" t="s">
        <v>1954</v>
      </c>
      <c r="C107" t="s">
        <v>1955</v>
      </c>
      <c r="D107" t="s">
        <v>1956</v>
      </c>
      <c r="E107" t="s">
        <v>1957</v>
      </c>
      <c r="F107" t="s">
        <v>1958</v>
      </c>
      <c r="G107" t="s">
        <v>1959</v>
      </c>
      <c r="H107" t="s">
        <v>1960</v>
      </c>
      <c r="I107" t="s">
        <v>1961</v>
      </c>
      <c r="J107" t="s">
        <v>1962</v>
      </c>
      <c r="K107" t="s">
        <v>1963</v>
      </c>
      <c r="L107" t="s">
        <v>1964</v>
      </c>
      <c r="M107" t="s">
        <v>1965</v>
      </c>
      <c r="N107" t="s">
        <v>1966</v>
      </c>
      <c r="O107">
        <f>-804.689295345188 -89.2739550521001 -489.337301416902</f>
        <v>-1383.3005518141902</v>
      </c>
      <c r="P107">
        <f>-874.82506638261 -115.946947017455 -204.801400956839</f>
        <v>-1195.5734143569041</v>
      </c>
      <c r="Q107">
        <f>-650.64465898334 -75.8918533791693 -283.47498420822</f>
        <v>-1010.0114965707294</v>
      </c>
      <c r="R107" t="s">
        <v>1967</v>
      </c>
      <c r="S107" t="s">
        <v>1968</v>
      </c>
      <c r="T107" t="s">
        <v>1969</v>
      </c>
      <c r="U107" t="s">
        <v>1970</v>
      </c>
      <c r="V107">
        <f>-712.788704855874 -14.4143117092985 -65.9546329542075</f>
        <v>-793.15764951938002</v>
      </c>
      <c r="W107" t="s">
        <v>1971</v>
      </c>
      <c r="X107" t="s">
        <v>1972</v>
      </c>
      <c r="Y107" t="s">
        <v>1973</v>
      </c>
    </row>
    <row r="108" spans="1:25" x14ac:dyDescent="0.3">
      <c r="A108">
        <v>5350</v>
      </c>
      <c r="B108" t="s">
        <v>1974</v>
      </c>
      <c r="C108" t="s">
        <v>1975</v>
      </c>
      <c r="D108" t="s">
        <v>1976</v>
      </c>
      <c r="E108" t="s">
        <v>1977</v>
      </c>
      <c r="F108" t="s">
        <v>1978</v>
      </c>
      <c r="G108" t="s">
        <v>1979</v>
      </c>
      <c r="H108" t="s">
        <v>1980</v>
      </c>
      <c r="I108" t="s">
        <v>1981</v>
      </c>
      <c r="J108" t="s">
        <v>1982</v>
      </c>
      <c r="K108" t="s">
        <v>1983</v>
      </c>
      <c r="L108" t="s">
        <v>1984</v>
      </c>
      <c r="M108" t="s">
        <v>1985</v>
      </c>
      <c r="N108" t="s">
        <v>1986</v>
      </c>
      <c r="O108">
        <f>-805.412932169385 -92.8376368627303 -487.512771664449</f>
        <v>-1385.7633406965642</v>
      </c>
      <c r="P108">
        <f>-877.402626186217 -119.479319977796 -203.437256395567</f>
        <v>-1200.3192025595799</v>
      </c>
      <c r="Q108">
        <f>-652.479059497049 -80.0337110676217 -280.276382202059</f>
        <v>-1012.7891527667296</v>
      </c>
      <c r="R108" t="s">
        <v>1987</v>
      </c>
      <c r="S108" t="s">
        <v>1988</v>
      </c>
      <c r="T108" t="s">
        <v>1989</v>
      </c>
      <c r="U108" t="s">
        <v>1990</v>
      </c>
      <c r="V108">
        <f>-715.465176387985 -20.915772713955 -64.926300693978</f>
        <v>-801.30724979591798</v>
      </c>
      <c r="W108" t="s">
        <v>1991</v>
      </c>
      <c r="X108" t="s">
        <v>1992</v>
      </c>
      <c r="Y108" t="s">
        <v>1993</v>
      </c>
    </row>
    <row r="109" spans="1:25" x14ac:dyDescent="0.3">
      <c r="A109">
        <v>5400</v>
      </c>
      <c r="B109" t="s">
        <v>1994</v>
      </c>
      <c r="C109" t="s">
        <v>1995</v>
      </c>
      <c r="D109" t="s">
        <v>1996</v>
      </c>
      <c r="E109" t="s">
        <v>1997</v>
      </c>
      <c r="F109" t="s">
        <v>1998</v>
      </c>
      <c r="G109" t="s">
        <v>1999</v>
      </c>
      <c r="H109" t="s">
        <v>2000</v>
      </c>
      <c r="I109" t="s">
        <v>2001</v>
      </c>
      <c r="J109" t="s">
        <v>2002</v>
      </c>
      <c r="K109" t="s">
        <v>2003</v>
      </c>
      <c r="L109" t="s">
        <v>2004</v>
      </c>
      <c r="M109" t="s">
        <v>2005</v>
      </c>
      <c r="N109" t="s">
        <v>2006</v>
      </c>
      <c r="O109">
        <f>-805.565908020629 -99.5486007558004 -486.209144827455</f>
        <v>-1391.3236536038844</v>
      </c>
      <c r="P109">
        <f>-882.402767946296 -127.30076616737 -203.512918661566</f>
        <v>-1213.216452775232</v>
      </c>
      <c r="Q109">
        <f>-656.121703921576 -86.4295734657692 -275.466761051628</f>
        <v>-1018.0180384389732</v>
      </c>
      <c r="R109" t="s">
        <v>2007</v>
      </c>
      <c r="S109" t="s">
        <v>2008</v>
      </c>
      <c r="T109" t="s">
        <v>2009</v>
      </c>
      <c r="U109" t="s">
        <v>2010</v>
      </c>
      <c r="V109">
        <f>-719.900350677921 -31.5709197766369 -63.8016420118047</f>
        <v>-815.27291246636253</v>
      </c>
      <c r="W109" t="s">
        <v>2011</v>
      </c>
      <c r="X109" t="s">
        <v>2012</v>
      </c>
      <c r="Y109" t="s">
        <v>2013</v>
      </c>
    </row>
    <row r="110" spans="1:25" x14ac:dyDescent="0.3">
      <c r="A110">
        <v>5450</v>
      </c>
      <c r="B110" t="s">
        <v>2014</v>
      </c>
      <c r="C110" t="s">
        <v>2015</v>
      </c>
      <c r="D110" t="s">
        <v>2016</v>
      </c>
      <c r="E110" t="s">
        <v>2017</v>
      </c>
      <c r="F110" t="s">
        <v>2018</v>
      </c>
      <c r="G110" t="s">
        <v>2019</v>
      </c>
      <c r="H110" t="s">
        <v>2020</v>
      </c>
      <c r="I110" t="s">
        <v>2021</v>
      </c>
      <c r="J110" t="s">
        <v>2022</v>
      </c>
      <c r="K110" t="s">
        <v>2023</v>
      </c>
      <c r="L110" t="s">
        <v>2024</v>
      </c>
      <c r="M110" t="s">
        <v>2025</v>
      </c>
      <c r="N110" t="s">
        <v>2026</v>
      </c>
      <c r="O110">
        <f>-803.701228056954 -95.8415194867678 -487.089944567411</f>
        <v>-1386.6326921111329</v>
      </c>
      <c r="P110">
        <f>-882.952007574007 -125.43367800618 -205.248010113644</f>
        <v>-1213.633695693831</v>
      </c>
      <c r="Q110">
        <f>-656.173808318157 -82.1475900133566 -274.160235562488</f>
        <v>-1012.4816338940016</v>
      </c>
      <c r="R110" t="s">
        <v>2027</v>
      </c>
      <c r="S110" t="s">
        <v>2028</v>
      </c>
      <c r="T110" t="s">
        <v>2029</v>
      </c>
      <c r="U110" t="s">
        <v>2030</v>
      </c>
      <c r="V110">
        <f>-720.112422715766 -32.0404363263201 -63.7880846360184</f>
        <v>-815.94094367810453</v>
      </c>
      <c r="W110" t="s">
        <v>2031</v>
      </c>
      <c r="X110" t="s">
        <v>2032</v>
      </c>
      <c r="Y110" t="s">
        <v>2033</v>
      </c>
    </row>
    <row r="111" spans="1:25" x14ac:dyDescent="0.3">
      <c r="A111">
        <v>5500</v>
      </c>
      <c r="B111" t="s">
        <v>2034</v>
      </c>
      <c r="C111" t="s">
        <v>2035</v>
      </c>
      <c r="D111" t="s">
        <v>2036</v>
      </c>
      <c r="E111" t="s">
        <v>2037</v>
      </c>
      <c r="F111" t="s">
        <v>2038</v>
      </c>
      <c r="G111" t="s">
        <v>2039</v>
      </c>
      <c r="H111" t="s">
        <v>2040</v>
      </c>
      <c r="I111" t="s">
        <v>2041</v>
      </c>
      <c r="J111" t="s">
        <v>2042</v>
      </c>
      <c r="K111" t="s">
        <v>2043</v>
      </c>
      <c r="L111" t="s">
        <v>2044</v>
      </c>
      <c r="M111" t="s">
        <v>2045</v>
      </c>
      <c r="N111" t="s">
        <v>2046</v>
      </c>
      <c r="O111">
        <f>-798.801693044445 -89.6086789883491 -488.929205470705</f>
        <v>-1377.3395775034992</v>
      </c>
      <c r="P111">
        <f>-882.113045021852 -126.475439654468 -209.123448228058</f>
        <v>-1217.711932904378</v>
      </c>
      <c r="Q111">
        <f>-655.198296639079 -75.3018475234212 -271.907311262496</f>
        <v>-1002.4074554249962</v>
      </c>
      <c r="R111" t="s">
        <v>2047</v>
      </c>
      <c r="S111" t="s">
        <v>2048</v>
      </c>
      <c r="T111" t="s">
        <v>2049</v>
      </c>
      <c r="U111" t="s">
        <v>2050</v>
      </c>
      <c r="V111">
        <f>-718.313672431602 -32.9984053123576 -63.6136731731216</f>
        <v>-814.92575091708113</v>
      </c>
      <c r="W111" t="s">
        <v>2051</v>
      </c>
      <c r="X111" t="s">
        <v>2052</v>
      </c>
      <c r="Y111" t="s">
        <v>2053</v>
      </c>
    </row>
    <row r="112" spans="1:25" x14ac:dyDescent="0.3">
      <c r="A112">
        <v>5550</v>
      </c>
      <c r="B112" t="s">
        <v>2054</v>
      </c>
      <c r="C112" t="s">
        <v>2055</v>
      </c>
      <c r="D112" t="s">
        <v>2056</v>
      </c>
      <c r="E112" t="s">
        <v>2057</v>
      </c>
      <c r="F112" t="s">
        <v>2058</v>
      </c>
      <c r="G112" t="s">
        <v>2059</v>
      </c>
      <c r="H112" t="s">
        <v>2060</v>
      </c>
      <c r="I112" t="s">
        <v>2061</v>
      </c>
      <c r="J112" t="s">
        <v>2062</v>
      </c>
      <c r="K112" t="s">
        <v>2063</v>
      </c>
      <c r="L112" t="s">
        <v>2064</v>
      </c>
      <c r="M112" t="s">
        <v>2065</v>
      </c>
      <c r="N112" t="s">
        <v>2066</v>
      </c>
      <c r="O112">
        <f>-797.303980355405 -91.2353909310311 -489.239583121941</f>
        <v>-1377.7789544083771</v>
      </c>
      <c r="P112">
        <f>-881.954122439723 -132.485254269704 -210.449317730117</f>
        <v>-1224.888694439544</v>
      </c>
      <c r="Q112">
        <f>-655.456220568391 -77.0191809349942 -271.055233008469</f>
        <v>-1003.5306345118543</v>
      </c>
      <c r="R112" t="s">
        <v>2067</v>
      </c>
      <c r="S112" t="s">
        <v>2068</v>
      </c>
      <c r="T112" t="s">
        <v>2069</v>
      </c>
      <c r="U112" t="s">
        <v>2070</v>
      </c>
      <c r="V112">
        <f>-717.528269512206 -35.4847449111462 -63.3505362159144</f>
        <v>-816.36355063926658</v>
      </c>
      <c r="W112" t="s">
        <v>2071</v>
      </c>
      <c r="X112" t="s">
        <v>2072</v>
      </c>
      <c r="Y112" t="s">
        <v>2073</v>
      </c>
    </row>
    <row r="113" spans="1:25" x14ac:dyDescent="0.3">
      <c r="A113">
        <v>5600</v>
      </c>
      <c r="B113" t="s">
        <v>2074</v>
      </c>
      <c r="C113" t="s">
        <v>2075</v>
      </c>
      <c r="D113" t="s">
        <v>2076</v>
      </c>
      <c r="E113" t="s">
        <v>2077</v>
      </c>
      <c r="F113" t="s">
        <v>2078</v>
      </c>
      <c r="G113" t="s">
        <v>2079</v>
      </c>
      <c r="H113" t="s">
        <v>2080</v>
      </c>
      <c r="I113" t="s">
        <v>2081</v>
      </c>
      <c r="J113" t="s">
        <v>2082</v>
      </c>
      <c r="K113" t="s">
        <v>2083</v>
      </c>
      <c r="L113" t="s">
        <v>2084</v>
      </c>
      <c r="M113" t="s">
        <v>2085</v>
      </c>
      <c r="N113" t="s">
        <v>2086</v>
      </c>
      <c r="O113">
        <f>-795.786951868939 -98.8248066427388 -488.949092887637</f>
        <v>-1383.5608513993147</v>
      </c>
      <c r="P113">
        <f>-880.435720565575 -148.029800925635 -211.451984451623</f>
        <v>-1239.917505942833</v>
      </c>
      <c r="Q113">
        <f>-655.56976883133 -83.5947346333771 -269.195722373245</f>
        <v>-1008.3602258379522</v>
      </c>
      <c r="R113" t="s">
        <v>2087</v>
      </c>
      <c r="S113" t="s">
        <v>2088</v>
      </c>
      <c r="T113" t="s">
        <v>2089</v>
      </c>
      <c r="U113" t="s">
        <v>2090</v>
      </c>
      <c r="V113">
        <f>-715.642422249965 -40.2063223219752 -63.0403725945927</f>
        <v>-818.88911716653286</v>
      </c>
      <c r="W113" t="s">
        <v>2091</v>
      </c>
      <c r="X113" t="s">
        <v>2092</v>
      </c>
      <c r="Y113" t="s">
        <v>2093</v>
      </c>
    </row>
    <row r="114" spans="1:25" x14ac:dyDescent="0.3">
      <c r="A114">
        <v>5650</v>
      </c>
      <c r="B114" t="s">
        <v>2094</v>
      </c>
      <c r="C114" t="s">
        <v>2095</v>
      </c>
      <c r="D114" t="s">
        <v>2096</v>
      </c>
      <c r="E114" t="s">
        <v>2097</v>
      </c>
      <c r="F114" t="s">
        <v>2098</v>
      </c>
      <c r="G114" t="s">
        <v>2099</v>
      </c>
      <c r="H114" t="s">
        <v>2100</v>
      </c>
      <c r="I114" t="s">
        <v>2101</v>
      </c>
      <c r="J114" t="s">
        <v>2102</v>
      </c>
      <c r="K114" t="s">
        <v>2103</v>
      </c>
      <c r="L114" t="s">
        <v>2104</v>
      </c>
      <c r="M114" t="s">
        <v>2105</v>
      </c>
      <c r="N114" t="s">
        <v>2106</v>
      </c>
      <c r="O114">
        <f>-794.836815653964 -102.683155565311 -488.241641686623</f>
        <v>-1385.7616129058979</v>
      </c>
      <c r="P114">
        <f>-878.457449704728 -154.426178892779 -210.894440807226</f>
        <v>-1243.7780694047328</v>
      </c>
      <c r="Q114">
        <f>-654.769640490623 -85.6225162094988 -268.171926174685</f>
        <v>-1008.5640828748069</v>
      </c>
      <c r="R114" t="s">
        <v>2107</v>
      </c>
      <c r="S114" t="s">
        <v>2108</v>
      </c>
      <c r="T114" t="s">
        <v>2109</v>
      </c>
      <c r="U114" t="s">
        <v>2110</v>
      </c>
      <c r="V114">
        <f>-714.652682693285 -41.7540857520125 -63.0364391423172</f>
        <v>-819.44320758761478</v>
      </c>
      <c r="W114" t="s">
        <v>2111</v>
      </c>
      <c r="X114" t="s">
        <v>2112</v>
      </c>
      <c r="Y114" t="s">
        <v>2113</v>
      </c>
    </row>
    <row r="115" spans="1:25" x14ac:dyDescent="0.3">
      <c r="A115">
        <v>5700</v>
      </c>
      <c r="B115" t="s">
        <v>2114</v>
      </c>
      <c r="C115" t="s">
        <v>2115</v>
      </c>
      <c r="D115" t="s">
        <v>2116</v>
      </c>
      <c r="E115" t="s">
        <v>2117</v>
      </c>
      <c r="F115" t="s">
        <v>2118</v>
      </c>
      <c r="G115" t="s">
        <v>2119</v>
      </c>
      <c r="H115" t="s">
        <v>2120</v>
      </c>
      <c r="I115" t="s">
        <v>2121</v>
      </c>
      <c r="J115" t="s">
        <v>2122</v>
      </c>
      <c r="K115" t="s">
        <v>2123</v>
      </c>
      <c r="L115" t="s">
        <v>2124</v>
      </c>
      <c r="M115" t="s">
        <v>2125</v>
      </c>
      <c r="N115" t="s">
        <v>2126</v>
      </c>
      <c r="O115">
        <f>-792.761024113537 -110.723315298563 -486.921987779577</f>
        <v>-1390.4063271916771</v>
      </c>
      <c r="P115">
        <f>-872.985779735393 -163.301441553339 -208.730188597257</f>
        <v>-1245.0174098859889</v>
      </c>
      <c r="Q115">
        <f>-652.15642630822 -86.1525436199261 -266.464377213601</f>
        <v>-1004.7733471417471</v>
      </c>
      <c r="R115" t="s">
        <v>2127</v>
      </c>
      <c r="S115" t="s">
        <v>2128</v>
      </c>
      <c r="T115" t="s">
        <v>2129</v>
      </c>
      <c r="U115" t="s">
        <v>2130</v>
      </c>
      <c r="V115">
        <f>-713.234134603097 -45.0569995978071 -62.947827993018</f>
        <v>-821.23896219392213</v>
      </c>
      <c r="W115" t="s">
        <v>2131</v>
      </c>
      <c r="X115" t="s">
        <v>2132</v>
      </c>
      <c r="Y115" t="s">
        <v>2133</v>
      </c>
    </row>
    <row r="116" spans="1:25" x14ac:dyDescent="0.3">
      <c r="A116">
        <v>5750</v>
      </c>
      <c r="B116" t="s">
        <v>2134</v>
      </c>
      <c r="C116" t="s">
        <v>2135</v>
      </c>
      <c r="D116" t="s">
        <v>2136</v>
      </c>
      <c r="E116" t="s">
        <v>2137</v>
      </c>
      <c r="F116" t="s">
        <v>2138</v>
      </c>
      <c r="G116" t="s">
        <v>2139</v>
      </c>
      <c r="H116" t="s">
        <v>2140</v>
      </c>
      <c r="I116" t="s">
        <v>2141</v>
      </c>
      <c r="J116" t="s">
        <v>2142</v>
      </c>
      <c r="K116" t="s">
        <v>2143</v>
      </c>
      <c r="L116" t="s">
        <v>2144</v>
      </c>
      <c r="M116" t="s">
        <v>2145</v>
      </c>
      <c r="N116" t="s">
        <v>2146</v>
      </c>
      <c r="O116">
        <f>-792.861433540682 -113.505676473915 -485.705596015902</f>
        <v>-1392.0727060304991</v>
      </c>
      <c r="P116">
        <f>-870.940354441751 -165.434978671107 -206.78233763969</f>
        <v>-1243.157670752548</v>
      </c>
      <c r="Q116">
        <f>-651.956128846815 -83.896525176043 -265.504527272792</f>
        <v>-1001.35718129565</v>
      </c>
      <c r="R116" t="s">
        <v>2147</v>
      </c>
      <c r="S116" t="s">
        <v>2148</v>
      </c>
      <c r="T116" t="s">
        <v>2149</v>
      </c>
      <c r="U116" t="s">
        <v>2150</v>
      </c>
      <c r="V116">
        <f>-713.29339717928 -46.6543131300798 -62.7826883007403</f>
        <v>-822.73039861010011</v>
      </c>
      <c r="W116" t="s">
        <v>2151</v>
      </c>
      <c r="X116" t="s">
        <v>2152</v>
      </c>
      <c r="Y116" t="s">
        <v>2153</v>
      </c>
    </row>
    <row r="117" spans="1:25" x14ac:dyDescent="0.3">
      <c r="A117">
        <v>5800</v>
      </c>
      <c r="B117" t="s">
        <v>2154</v>
      </c>
      <c r="C117" t="s">
        <v>2155</v>
      </c>
      <c r="D117" t="s">
        <v>2156</v>
      </c>
      <c r="E117" t="s">
        <v>2157</v>
      </c>
      <c r="F117" t="s">
        <v>2158</v>
      </c>
      <c r="G117" t="s">
        <v>2159</v>
      </c>
      <c r="H117" t="s">
        <v>2160</v>
      </c>
      <c r="I117" t="s">
        <v>2161</v>
      </c>
      <c r="J117" t="s">
        <v>2162</v>
      </c>
      <c r="K117" t="s">
        <v>2163</v>
      </c>
      <c r="L117" t="s">
        <v>2164</v>
      </c>
      <c r="M117" t="s">
        <v>2165</v>
      </c>
      <c r="N117" t="s">
        <v>2166</v>
      </c>
      <c r="O117">
        <f>-791.650825518822 -114.749337139427 -484.552173266792</f>
        <v>-1390.9523359250411</v>
      </c>
      <c r="P117">
        <f>-867.235716138911 -166.790177148101 -204.963391648867</f>
        <v>-1238.9892849358789</v>
      </c>
      <c r="Q117">
        <f>-650.321460455309 -80.742268704329 -264.919979411795</f>
        <v>-995.983708571433</v>
      </c>
      <c r="R117" t="s">
        <v>2167</v>
      </c>
      <c r="S117" t="s">
        <v>2168</v>
      </c>
      <c r="T117" t="s">
        <v>2169</v>
      </c>
      <c r="U117" t="s">
        <v>2170</v>
      </c>
      <c r="V117">
        <f>-712.803196179067 -47.3053776459083 -62.6591762546944</f>
        <v>-822.76775007966967</v>
      </c>
      <c r="W117" t="s">
        <v>2171</v>
      </c>
      <c r="X117" t="s">
        <v>2172</v>
      </c>
      <c r="Y117" t="s">
        <v>2173</v>
      </c>
    </row>
    <row r="118" spans="1:25" x14ac:dyDescent="0.3">
      <c r="A118">
        <v>5850</v>
      </c>
      <c r="B118" t="s">
        <v>2174</v>
      </c>
      <c r="C118" t="s">
        <v>2175</v>
      </c>
      <c r="D118" t="s">
        <v>2176</v>
      </c>
      <c r="E118" t="s">
        <v>2177</v>
      </c>
      <c r="F118" t="s">
        <v>2178</v>
      </c>
      <c r="G118" t="s">
        <v>2179</v>
      </c>
      <c r="H118" t="s">
        <v>2180</v>
      </c>
      <c r="I118" t="s">
        <v>2181</v>
      </c>
      <c r="J118" t="s">
        <v>2182</v>
      </c>
      <c r="K118" t="s">
        <v>2183</v>
      </c>
      <c r="L118" t="s">
        <v>2184</v>
      </c>
      <c r="M118" t="s">
        <v>2185</v>
      </c>
      <c r="N118" t="s">
        <v>2186</v>
      </c>
      <c r="O118">
        <f>-787.750021436046 -115.532274045378 -483.528558326998</f>
        <v>-1386.8108538084221</v>
      </c>
      <c r="P118">
        <f>-858.20856968321 -170.495825235357 -203.161251860142</f>
        <v>-1231.8656467787091</v>
      </c>
      <c r="Q118">
        <f>-645.263840364031 -75.9668220714486 -264.558515533121</f>
        <v>-985.7891779686006</v>
      </c>
      <c r="R118" t="s">
        <v>2187</v>
      </c>
      <c r="S118" t="s">
        <v>2188</v>
      </c>
      <c r="T118" t="s">
        <v>2189</v>
      </c>
      <c r="U118" t="s">
        <v>2190</v>
      </c>
      <c r="V118">
        <f>-710.781334558727 -46.4890078965875 -62.6871977394489</f>
        <v>-819.95754019476351</v>
      </c>
      <c r="W118" t="s">
        <v>2191</v>
      </c>
      <c r="X118" t="s">
        <v>2192</v>
      </c>
      <c r="Y118" t="s">
        <v>2193</v>
      </c>
    </row>
    <row r="119" spans="1:25" x14ac:dyDescent="0.3">
      <c r="A119">
        <v>5900</v>
      </c>
      <c r="B119" t="s">
        <v>2194</v>
      </c>
      <c r="C119" t="s">
        <v>2195</v>
      </c>
      <c r="D119" t="s">
        <v>2196</v>
      </c>
      <c r="E119" t="s">
        <v>2197</v>
      </c>
      <c r="F119" t="s">
        <v>2198</v>
      </c>
      <c r="G119" t="s">
        <v>2199</v>
      </c>
      <c r="H119" t="s">
        <v>2200</v>
      </c>
      <c r="I119" t="s">
        <v>2201</v>
      </c>
      <c r="J119" t="s">
        <v>2202</v>
      </c>
      <c r="K119" t="s">
        <v>2203</v>
      </c>
      <c r="L119" t="s">
        <v>2204</v>
      </c>
      <c r="M119" t="s">
        <v>2205</v>
      </c>
      <c r="N119" t="s">
        <v>2206</v>
      </c>
      <c r="O119">
        <f>-784.893001976917 -115.715694989711 -483.9134813007</f>
        <v>-1384.5221782673279</v>
      </c>
      <c r="P119">
        <f>-850.821516197702 -174.618769227048 -203.244559692037</f>
        <v>-1228.6848451167871</v>
      </c>
      <c r="Q119">
        <f>-641.562158944855 -72.9608060341104 -265.910725271426</f>
        <v>-980.43369025039146</v>
      </c>
      <c r="R119" t="s">
        <v>2207</v>
      </c>
      <c r="S119" t="s">
        <v>2208</v>
      </c>
      <c r="T119" t="s">
        <v>2209</v>
      </c>
      <c r="U119" t="s">
        <v>2210</v>
      </c>
      <c r="V119">
        <f>-708.450816773606 -45.1176400415129 -63.2291941566355</f>
        <v>-816.79765097175436</v>
      </c>
      <c r="W119" t="s">
        <v>2211</v>
      </c>
      <c r="X119" t="s">
        <v>2212</v>
      </c>
      <c r="Y119" t="s">
        <v>2213</v>
      </c>
    </row>
    <row r="120" spans="1:25" x14ac:dyDescent="0.3">
      <c r="A120">
        <v>5950</v>
      </c>
      <c r="B120" t="s">
        <v>2214</v>
      </c>
      <c r="C120" t="s">
        <v>2215</v>
      </c>
      <c r="D120" t="s">
        <v>2216</v>
      </c>
      <c r="E120" t="s">
        <v>2217</v>
      </c>
      <c r="F120" t="s">
        <v>2218</v>
      </c>
      <c r="G120" t="s">
        <v>2219</v>
      </c>
      <c r="H120" t="s">
        <v>2220</v>
      </c>
      <c r="I120" t="s">
        <v>2221</v>
      </c>
      <c r="J120" t="s">
        <v>2222</v>
      </c>
      <c r="K120" t="s">
        <v>2223</v>
      </c>
      <c r="L120" t="s">
        <v>2224</v>
      </c>
      <c r="M120" t="s">
        <v>2225</v>
      </c>
      <c r="N120" t="s">
        <v>2226</v>
      </c>
      <c r="O120">
        <f>-783.971926964893 -116.192315387542 -484.074050196712</f>
        <v>-1384.238292549147</v>
      </c>
      <c r="P120">
        <f>-848.037715353091 -176.180157707963 -203.203404922916</f>
        <v>-1227.42127798397</v>
      </c>
      <c r="Q120">
        <f>-640.255871922975 -72.057715234225 -266.733373993641</f>
        <v>-979.04696115084107</v>
      </c>
      <c r="R120" t="s">
        <v>2227</v>
      </c>
      <c r="S120" t="s">
        <v>2228</v>
      </c>
      <c r="T120" t="s">
        <v>2229</v>
      </c>
      <c r="U120" t="s">
        <v>2230</v>
      </c>
      <c r="V120">
        <f>-707.240133353058 -44.7928668906497 -63.4783988799563</f>
        <v>-815.51139912366409</v>
      </c>
      <c r="W120" t="s">
        <v>2231</v>
      </c>
      <c r="X120" t="s">
        <v>2232</v>
      </c>
      <c r="Y120" t="s">
        <v>2233</v>
      </c>
    </row>
    <row r="121" spans="1:25" x14ac:dyDescent="0.3">
      <c r="A121">
        <v>6000</v>
      </c>
      <c r="B121" t="s">
        <v>2234</v>
      </c>
      <c r="C121" t="s">
        <v>2235</v>
      </c>
      <c r="D121" t="s">
        <v>2236</v>
      </c>
      <c r="E121" t="s">
        <v>2237</v>
      </c>
      <c r="F121" t="s">
        <v>2238</v>
      </c>
      <c r="G121" t="s">
        <v>2239</v>
      </c>
      <c r="H121" t="s">
        <v>2240</v>
      </c>
      <c r="I121" t="s">
        <v>2241</v>
      </c>
      <c r="J121" t="s">
        <v>2242</v>
      </c>
      <c r="K121" t="s">
        <v>2243</v>
      </c>
      <c r="L121" t="s">
        <v>2244</v>
      </c>
      <c r="M121" t="s">
        <v>2245</v>
      </c>
      <c r="N121" t="s">
        <v>2246</v>
      </c>
      <c r="O121">
        <f>-783.019959541267 -118.480820830464 -483.836041451006</f>
        <v>-1385.336821822737</v>
      </c>
      <c r="P121">
        <f>-844.427694243983 -178.587232361424 -202.397801623727</f>
        <v>-1225.4127282291338</v>
      </c>
      <c r="Q121">
        <f>-638.182411447665 -72.138682542774 -267.069715449861</f>
        <v>-977.39080944030002</v>
      </c>
      <c r="R121" t="s">
        <v>2247</v>
      </c>
      <c r="S121" t="s">
        <v>2248</v>
      </c>
      <c r="T121" t="s">
        <v>2249</v>
      </c>
      <c r="U121" t="s">
        <v>2250</v>
      </c>
      <c r="V121">
        <f>-704.947300030461 -45.7533724692751 -63.5852234628659</f>
        <v>-814.2858959626019</v>
      </c>
      <c r="W121" t="s">
        <v>2251</v>
      </c>
      <c r="X121" t="s">
        <v>2252</v>
      </c>
      <c r="Y121" t="s">
        <v>2253</v>
      </c>
    </row>
    <row r="122" spans="1:25" x14ac:dyDescent="0.3">
      <c r="A122">
        <v>6050</v>
      </c>
      <c r="B122" t="s">
        <v>2254</v>
      </c>
      <c r="C122" t="s">
        <v>2255</v>
      </c>
      <c r="D122" t="s">
        <v>2256</v>
      </c>
      <c r="E122" t="s">
        <v>2257</v>
      </c>
      <c r="F122" t="s">
        <v>2258</v>
      </c>
      <c r="G122" t="s">
        <v>2259</v>
      </c>
      <c r="H122" t="s">
        <v>2260</v>
      </c>
      <c r="I122" t="s">
        <v>2261</v>
      </c>
      <c r="J122" t="s">
        <v>2262</v>
      </c>
      <c r="K122" t="s">
        <v>2263</v>
      </c>
      <c r="L122" t="s">
        <v>2264</v>
      </c>
      <c r="M122" t="s">
        <v>2265</v>
      </c>
      <c r="N122" t="s">
        <v>2266</v>
      </c>
      <c r="O122">
        <f>-782.804963763321 -120.107896730707 -483.475899196272</f>
        <v>-1386.3887596903</v>
      </c>
      <c r="P122">
        <f>-843.541111742757 -179.38869076889 -201.716937199532</f>
        <v>-1224.646739711179</v>
      </c>
      <c r="Q122">
        <f>-637.517161711643 -72.6932879352307 -266.68636499505</f>
        <v>-976.8968146419237</v>
      </c>
      <c r="R122" t="s">
        <v>2267</v>
      </c>
      <c r="S122" t="s">
        <v>2268</v>
      </c>
      <c r="T122" t="s">
        <v>2269</v>
      </c>
      <c r="U122" t="s">
        <v>2270</v>
      </c>
      <c r="V122">
        <f>-703.879274160891 -46.629173895886 -63.528587080495</f>
        <v>-814.03703513727191</v>
      </c>
      <c r="W122" t="s">
        <v>2271</v>
      </c>
      <c r="X122" t="s">
        <v>2272</v>
      </c>
      <c r="Y122" t="s">
        <v>2273</v>
      </c>
    </row>
    <row r="123" spans="1:25" x14ac:dyDescent="0.3">
      <c r="A123">
        <v>6100</v>
      </c>
      <c r="B123" t="s">
        <v>2274</v>
      </c>
      <c r="C123" t="s">
        <v>2275</v>
      </c>
      <c r="D123" t="s">
        <v>2276</v>
      </c>
      <c r="E123" t="s">
        <v>2277</v>
      </c>
      <c r="F123" t="s">
        <v>2278</v>
      </c>
      <c r="G123" t="s">
        <v>2279</v>
      </c>
      <c r="H123" t="s">
        <v>2280</v>
      </c>
      <c r="I123" t="s">
        <v>2281</v>
      </c>
      <c r="J123" t="s">
        <v>2282</v>
      </c>
      <c r="K123" t="s">
        <v>2283</v>
      </c>
      <c r="L123" t="s">
        <v>2284</v>
      </c>
      <c r="M123" t="s">
        <v>2285</v>
      </c>
      <c r="N123" t="s">
        <v>2286</v>
      </c>
      <c r="O123">
        <f>-782.890804208281 -123.167654047595 -482.183845759388</f>
        <v>-1388.2423040152639</v>
      </c>
      <c r="P123">
        <f>-843.746618788043 -180.039969842136 -199.954730500427</f>
        <v>-1223.7413191306059</v>
      </c>
      <c r="Q123">
        <f>-637.377250226246 -74.0436722438651 -264.97267672281</f>
        <v>-976.3935991929211</v>
      </c>
      <c r="R123" t="s">
        <v>2287</v>
      </c>
      <c r="S123" t="s">
        <v>2288</v>
      </c>
      <c r="T123" t="s">
        <v>2289</v>
      </c>
      <c r="U123" t="s">
        <v>2290</v>
      </c>
      <c r="V123">
        <f>-702.537923500056 -48.1213549091417 -63.1677212254095</f>
        <v>-813.8269996346072</v>
      </c>
      <c r="W123" t="s">
        <v>2291</v>
      </c>
      <c r="X123" t="s">
        <v>2292</v>
      </c>
      <c r="Y123" t="s">
        <v>2293</v>
      </c>
    </row>
    <row r="124" spans="1:25" x14ac:dyDescent="0.3">
      <c r="A124">
        <v>6150</v>
      </c>
      <c r="B124" t="s">
        <v>2294</v>
      </c>
      <c r="C124" t="s">
        <v>2295</v>
      </c>
      <c r="D124" t="s">
        <v>2296</v>
      </c>
      <c r="E124" t="s">
        <v>2297</v>
      </c>
      <c r="F124" t="s">
        <v>2298</v>
      </c>
      <c r="G124" t="s">
        <v>2299</v>
      </c>
      <c r="H124" t="s">
        <v>2300</v>
      </c>
      <c r="I124" t="s">
        <v>2301</v>
      </c>
      <c r="J124" t="s">
        <v>2302</v>
      </c>
      <c r="K124" t="s">
        <v>2303</v>
      </c>
      <c r="L124" t="s">
        <v>2304</v>
      </c>
      <c r="M124" t="s">
        <v>2305</v>
      </c>
      <c r="N124" t="s">
        <v>2306</v>
      </c>
      <c r="O124">
        <f>-782.944419981268 -124.315739287613 -481.39165674957</f>
        <v>-1388.651816018451</v>
      </c>
      <c r="P124">
        <f>-844.354868393276 -180.09347863205 -199.064195532094</f>
        <v>-1223.5125425574201</v>
      </c>
      <c r="Q124">
        <f>-637.669983118829 -74.718186157113 -264.089369433812</f>
        <v>-976.47753870975407</v>
      </c>
      <c r="R124" t="s">
        <v>2307</v>
      </c>
      <c r="S124" t="s">
        <v>2308</v>
      </c>
      <c r="T124" t="s">
        <v>2309</v>
      </c>
      <c r="U124" t="s">
        <v>2310</v>
      </c>
      <c r="V124">
        <f>-702.040315008173 -48.8284220989472 -62.9050972477479</f>
        <v>-813.77383435486809</v>
      </c>
      <c r="W124" t="s">
        <v>2311</v>
      </c>
      <c r="X124" t="s">
        <v>2312</v>
      </c>
      <c r="Y124" t="s">
        <v>2313</v>
      </c>
    </row>
    <row r="125" spans="1:25" x14ac:dyDescent="0.3">
      <c r="A125">
        <v>6200</v>
      </c>
      <c r="B125" t="s">
        <v>2314</v>
      </c>
      <c r="C125" t="s">
        <v>2315</v>
      </c>
      <c r="D125" t="s">
        <v>2316</v>
      </c>
      <c r="E125" t="s">
        <v>2317</v>
      </c>
      <c r="F125" t="s">
        <v>2318</v>
      </c>
      <c r="G125" t="s">
        <v>2319</v>
      </c>
      <c r="H125" t="s">
        <v>2320</v>
      </c>
      <c r="I125" t="s">
        <v>2321</v>
      </c>
      <c r="J125" t="s">
        <v>2322</v>
      </c>
      <c r="K125" t="s">
        <v>2323</v>
      </c>
      <c r="L125" t="s">
        <v>2324</v>
      </c>
      <c r="M125" t="s">
        <v>2325</v>
      </c>
      <c r="N125" t="s">
        <v>2326</v>
      </c>
      <c r="O125">
        <f>-782.604122421989 -125.499790161551 -480.189607237</f>
        <v>-1388.29351982054</v>
      </c>
      <c r="P125">
        <f>-844.551525507595 -179.591695942881 -197.651538936403</f>
        <v>-1221.794760386879</v>
      </c>
      <c r="Q125">
        <f>-637.16750758336 -75.6278929640819 -262.723254571342</f>
        <v>-975.51865511878395</v>
      </c>
      <c r="R125" t="s">
        <v>2327</v>
      </c>
      <c r="S125" t="s">
        <v>2328</v>
      </c>
      <c r="T125" t="s">
        <v>2329</v>
      </c>
      <c r="U125" t="s">
        <v>2330</v>
      </c>
      <c r="V125">
        <f>-701.248684264088 -49.6079894708218 -62.4446743597581</f>
        <v>-813.3013480946679</v>
      </c>
      <c r="W125" t="s">
        <v>2331</v>
      </c>
      <c r="X125" t="s">
        <v>2332</v>
      </c>
      <c r="Y125" t="s">
        <v>2333</v>
      </c>
    </row>
    <row r="126" spans="1:25" x14ac:dyDescent="0.3">
      <c r="A126">
        <v>6250</v>
      </c>
      <c r="B126" t="s">
        <v>2334</v>
      </c>
      <c r="C126" t="s">
        <v>2335</v>
      </c>
      <c r="D126" t="s">
        <v>2336</v>
      </c>
      <c r="E126" t="s">
        <v>2337</v>
      </c>
      <c r="F126" t="s">
        <v>2338</v>
      </c>
      <c r="G126" t="s">
        <v>2339</v>
      </c>
      <c r="H126" t="s">
        <v>2340</v>
      </c>
      <c r="I126" t="s">
        <v>2341</v>
      </c>
      <c r="J126" t="s">
        <v>2342</v>
      </c>
      <c r="K126" t="s">
        <v>2343</v>
      </c>
      <c r="L126" t="s">
        <v>2344</v>
      </c>
      <c r="M126" t="s">
        <v>2345</v>
      </c>
      <c r="N126" t="s">
        <v>2346</v>
      </c>
      <c r="O126">
        <f>-782.510091065355 -125.743034000315 -479.918889344555</f>
        <v>-1388.1720144102251</v>
      </c>
      <c r="P126">
        <f>-844.131304872529 -179.365949831746 -197.220029701879</f>
        <v>-1220.717284406154</v>
      </c>
      <c r="Q126">
        <f>-636.537116002957 -76.0296621856976 -262.619890565972</f>
        <v>-975.18666875462657</v>
      </c>
      <c r="R126" t="s">
        <v>2347</v>
      </c>
      <c r="S126" t="s">
        <v>2348</v>
      </c>
      <c r="T126" t="s">
        <v>2349</v>
      </c>
      <c r="U126" t="s">
        <v>2350</v>
      </c>
      <c r="V126">
        <f>-701.027513825937 -49.7517561371883 -62.2795498552014</f>
        <v>-813.0588198183267</v>
      </c>
      <c r="W126" t="s">
        <v>2351</v>
      </c>
      <c r="X126" t="s">
        <v>2352</v>
      </c>
      <c r="Y126" t="s">
        <v>2353</v>
      </c>
    </row>
    <row r="127" spans="1:25" x14ac:dyDescent="0.3">
      <c r="A127">
        <v>6300</v>
      </c>
      <c r="B127" t="s">
        <v>2354</v>
      </c>
      <c r="C127" t="s">
        <v>2355</v>
      </c>
      <c r="D127" t="s">
        <v>2356</v>
      </c>
      <c r="E127" t="s">
        <v>2357</v>
      </c>
      <c r="F127" t="s">
        <v>2358</v>
      </c>
      <c r="G127" t="s">
        <v>2359</v>
      </c>
      <c r="H127" t="s">
        <v>2360</v>
      </c>
      <c r="I127" t="s">
        <v>2361</v>
      </c>
      <c r="J127" t="s">
        <v>2362</v>
      </c>
      <c r="K127" t="s">
        <v>2363</v>
      </c>
      <c r="L127" t="s">
        <v>2364</v>
      </c>
      <c r="M127" t="s">
        <v>2365</v>
      </c>
      <c r="N127" t="s">
        <v>2366</v>
      </c>
      <c r="O127">
        <f>-783.064557386933 -126.6927275178 -479.661902871862</f>
        <v>-1389.419187776595</v>
      </c>
      <c r="P127">
        <f>-843.064933357501 -180.010435440446 -196.556977016191</f>
        <v>-1219.632345814138</v>
      </c>
      <c r="Q127">
        <f>-635.391468265242 -77.5366697301615 -263.053455001413</f>
        <v>-975.98159299681652</v>
      </c>
      <c r="R127" t="s">
        <v>2367</v>
      </c>
      <c r="S127" t="s">
        <v>2368</v>
      </c>
      <c r="T127" t="s">
        <v>2369</v>
      </c>
      <c r="U127" t="s">
        <v>2370</v>
      </c>
      <c r="V127">
        <f>-700.727169028782 -50.5912437033805 -62.0342910829179</f>
        <v>-813.35270381508042</v>
      </c>
      <c r="W127" t="s">
        <v>2371</v>
      </c>
      <c r="X127" t="s">
        <v>2372</v>
      </c>
      <c r="Y127" t="s">
        <v>2373</v>
      </c>
    </row>
    <row r="128" spans="1:25" x14ac:dyDescent="0.3">
      <c r="A128">
        <v>6350</v>
      </c>
      <c r="B128" t="s">
        <v>2374</v>
      </c>
      <c r="C128" t="s">
        <v>2375</v>
      </c>
      <c r="D128" t="s">
        <v>2376</v>
      </c>
      <c r="E128" t="s">
        <v>2377</v>
      </c>
      <c r="F128" t="s">
        <v>2378</v>
      </c>
      <c r="G128" t="s">
        <v>2379</v>
      </c>
      <c r="H128" t="s">
        <v>2380</v>
      </c>
      <c r="I128" t="s">
        <v>2381</v>
      </c>
      <c r="J128" t="s">
        <v>2382</v>
      </c>
      <c r="K128" t="s">
        <v>2383</v>
      </c>
      <c r="L128" t="s">
        <v>2384</v>
      </c>
      <c r="M128" t="s">
        <v>2385</v>
      </c>
      <c r="N128" t="s">
        <v>2386</v>
      </c>
      <c r="O128">
        <f>-783.731368313674 -127.329294555831 -479.615121066548</f>
        <v>-1390.675783936053</v>
      </c>
      <c r="P128">
        <f>-842.79506186903 -180.754505545015 -196.333570306862</f>
        <v>-1219.8831377209069</v>
      </c>
      <c r="Q128">
        <f>-635.188950790185 -78.6087719030584 -263.540922171315</f>
        <v>-977.33864486455832</v>
      </c>
      <c r="R128" t="s">
        <v>2387</v>
      </c>
      <c r="S128" t="s">
        <v>2388</v>
      </c>
      <c r="T128" t="s">
        <v>2389</v>
      </c>
      <c r="U128" t="s">
        <v>2390</v>
      </c>
      <c r="V128">
        <f>-700.703710846364 -51.17868642656 -61.9386642593802</f>
        <v>-813.82106153230416</v>
      </c>
      <c r="W128" t="s">
        <v>2391</v>
      </c>
      <c r="X128" t="s">
        <v>2392</v>
      </c>
      <c r="Y128" t="s">
        <v>2393</v>
      </c>
    </row>
    <row r="129" spans="1:25" x14ac:dyDescent="0.3">
      <c r="A129">
        <v>6400</v>
      </c>
      <c r="B129" t="s">
        <v>2394</v>
      </c>
      <c r="C129" t="s">
        <v>2395</v>
      </c>
      <c r="D129" t="s">
        <v>2396</v>
      </c>
      <c r="E129" t="s">
        <v>2397</v>
      </c>
      <c r="F129" t="s">
        <v>2398</v>
      </c>
      <c r="G129" t="s">
        <v>2399</v>
      </c>
      <c r="H129" t="s">
        <v>2400</v>
      </c>
      <c r="I129" t="s">
        <v>2401</v>
      </c>
      <c r="J129" t="s">
        <v>2402</v>
      </c>
      <c r="K129" t="s">
        <v>2403</v>
      </c>
      <c r="L129" t="s">
        <v>2404</v>
      </c>
      <c r="M129" t="s">
        <v>2405</v>
      </c>
      <c r="N129" t="s">
        <v>2406</v>
      </c>
      <c r="O129">
        <f>-785.186798002928 -128.153238854481 -479.541584647338</f>
        <v>-1392.8816215047468</v>
      </c>
      <c r="P129">
        <f>-842.632838185984 -181.089462864139 -195.835983701712</f>
        <v>-1219.5582847518351</v>
      </c>
      <c r="Q129">
        <f>-634.849900371682 -80.3844379872623 -264.651693164442</f>
        <v>-979.88603152338635</v>
      </c>
      <c r="R129" t="s">
        <v>2407</v>
      </c>
      <c r="S129" t="s">
        <v>2408</v>
      </c>
      <c r="T129" t="s">
        <v>2409</v>
      </c>
      <c r="U129" t="s">
        <v>2410</v>
      </c>
      <c r="V129">
        <f>-700.937395589109 -52.3448896727357 -61.7745941950514</f>
        <v>-815.05687945689601</v>
      </c>
      <c r="W129" t="s">
        <v>2411</v>
      </c>
      <c r="X129" t="s">
        <v>2412</v>
      </c>
      <c r="Y129" t="s">
        <v>2413</v>
      </c>
    </row>
    <row r="130" spans="1:25" x14ac:dyDescent="0.3">
      <c r="A130">
        <v>6450</v>
      </c>
      <c r="B130" t="s">
        <v>2414</v>
      </c>
      <c r="C130" t="s">
        <v>2415</v>
      </c>
      <c r="D130" t="s">
        <v>2416</v>
      </c>
      <c r="E130" t="s">
        <v>2417</v>
      </c>
      <c r="F130" t="s">
        <v>2418</v>
      </c>
      <c r="G130" t="s">
        <v>2419</v>
      </c>
      <c r="H130" t="s">
        <v>2420</v>
      </c>
      <c r="I130" t="s">
        <v>2421</v>
      </c>
      <c r="J130" t="s">
        <v>2422</v>
      </c>
      <c r="K130" t="s">
        <v>2423</v>
      </c>
      <c r="L130" t="s">
        <v>2424</v>
      </c>
      <c r="M130" t="s">
        <v>2425</v>
      </c>
      <c r="N130" t="s">
        <v>2426</v>
      </c>
      <c r="O130">
        <f>-785.371737196268 -128.288338367884 -479.281108598806</f>
        <v>-1392.9411841629581</v>
      </c>
      <c r="P130">
        <f>-842.271121866235 -180.411219648191 -195.314754256827</f>
        <v>-1217.997095771253</v>
      </c>
      <c r="Q130">
        <f>-634.279982086049 -80.8611216810764 -265.17447548155</f>
        <v>-980.31557924867548</v>
      </c>
      <c r="R130" t="s">
        <v>2427</v>
      </c>
      <c r="S130" t="s">
        <v>2428</v>
      </c>
      <c r="T130" t="s">
        <v>2429</v>
      </c>
      <c r="U130" t="s">
        <v>2430</v>
      </c>
      <c r="V130">
        <f>-700.819039502029 -52.7703098161089 -61.605171468722</f>
        <v>-815.19452078685993</v>
      </c>
      <c r="W130" t="s">
        <v>2431</v>
      </c>
      <c r="X130" t="s">
        <v>2432</v>
      </c>
      <c r="Y130" t="s">
        <v>2433</v>
      </c>
    </row>
    <row r="131" spans="1:25" x14ac:dyDescent="0.3">
      <c r="A131">
        <v>6500</v>
      </c>
      <c r="B131" t="s">
        <v>2434</v>
      </c>
      <c r="C131" t="s">
        <v>2435</v>
      </c>
      <c r="D131" t="s">
        <v>2436</v>
      </c>
      <c r="E131" t="s">
        <v>2437</v>
      </c>
      <c r="F131" t="s">
        <v>2438</v>
      </c>
      <c r="G131" t="s">
        <v>2439</v>
      </c>
      <c r="H131" t="s">
        <v>2440</v>
      </c>
      <c r="I131" t="s">
        <v>2441</v>
      </c>
      <c r="J131" t="s">
        <v>2442</v>
      </c>
      <c r="K131" t="s">
        <v>2443</v>
      </c>
      <c r="L131" t="s">
        <v>2444</v>
      </c>
      <c r="M131" t="s">
        <v>2445</v>
      </c>
      <c r="N131" t="s">
        <v>2446</v>
      </c>
      <c r="O131">
        <f>-784.930233889682 -128.490568144842 -478.754979293297</f>
        <v>-1392.1757813278209</v>
      </c>
      <c r="P131">
        <f>-841.070845793826 -179.327892937905 -194.40483672921</f>
        <v>-1214.8035754609411</v>
      </c>
      <c r="Q131">
        <f>-632.895041523935 -81.162655195651 -265.659636150176</f>
        <v>-979.717332869762</v>
      </c>
      <c r="R131" t="s">
        <v>2447</v>
      </c>
      <c r="S131" t="s">
        <v>2448</v>
      </c>
      <c r="T131" t="s">
        <v>2449</v>
      </c>
      <c r="U131" t="s">
        <v>2450</v>
      </c>
      <c r="V131">
        <f>-700.28203537271 -53.3618893070175 -61.2815597332192</f>
        <v>-814.92548441294662</v>
      </c>
      <c r="W131" t="s">
        <v>2451</v>
      </c>
      <c r="X131" t="s">
        <v>2452</v>
      </c>
      <c r="Y131" t="s">
        <v>2453</v>
      </c>
    </row>
    <row r="132" spans="1:25" x14ac:dyDescent="0.3">
      <c r="A132">
        <v>6550</v>
      </c>
      <c r="B132" t="s">
        <v>2454</v>
      </c>
      <c r="C132" t="s">
        <v>2455</v>
      </c>
      <c r="D132" t="s">
        <v>2456</v>
      </c>
      <c r="E132" t="s">
        <v>2457</v>
      </c>
      <c r="F132" t="s">
        <v>2458</v>
      </c>
      <c r="G132" t="s">
        <v>2459</v>
      </c>
      <c r="H132" t="s">
        <v>2460</v>
      </c>
      <c r="I132" t="s">
        <v>2461</v>
      </c>
      <c r="J132" t="s">
        <v>2462</v>
      </c>
      <c r="K132" t="s">
        <v>2463</v>
      </c>
      <c r="L132" t="s">
        <v>2464</v>
      </c>
      <c r="M132" t="s">
        <v>2465</v>
      </c>
      <c r="N132" t="s">
        <v>2466</v>
      </c>
      <c r="O132">
        <f>-784.597744967534 -128.834804390142 -478.647253221964</f>
        <v>-1392.07980257964</v>
      </c>
      <c r="P132">
        <f>-840.442957518167 -179.191246225761 -194.153372223288</f>
        <v>-1213.7875759672161</v>
      </c>
      <c r="Q132">
        <f>-632.277854903339 -81.3099630618303 -265.829232887953</f>
        <v>-979.4170508531223</v>
      </c>
      <c r="R132" t="s">
        <v>2467</v>
      </c>
      <c r="S132" t="s">
        <v>2468</v>
      </c>
      <c r="T132" t="s">
        <v>2469</v>
      </c>
      <c r="U132" t="s">
        <v>2470</v>
      </c>
      <c r="V132">
        <f>-699.97156551961 -53.6871051478247 -61.2034629750093</f>
        <v>-814.86213364244395</v>
      </c>
      <c r="W132" t="s">
        <v>2471</v>
      </c>
      <c r="X132" t="s">
        <v>2472</v>
      </c>
      <c r="Y132" t="s">
        <v>2473</v>
      </c>
    </row>
    <row r="133" spans="1:25" x14ac:dyDescent="0.3">
      <c r="A133">
        <v>6600</v>
      </c>
      <c r="B133" t="s">
        <v>2474</v>
      </c>
      <c r="C133" t="s">
        <v>2475</v>
      </c>
      <c r="D133" t="s">
        <v>2476</v>
      </c>
      <c r="E133" t="s">
        <v>2477</v>
      </c>
      <c r="F133" t="s">
        <v>2478</v>
      </c>
      <c r="G133" t="s">
        <v>2479</v>
      </c>
      <c r="H133" t="s">
        <v>2480</v>
      </c>
      <c r="I133" t="s">
        <v>2481</v>
      </c>
      <c r="J133" t="s">
        <v>2482</v>
      </c>
      <c r="K133" t="s">
        <v>2483</v>
      </c>
      <c r="L133" t="s">
        <v>2484</v>
      </c>
      <c r="M133" t="s">
        <v>2485</v>
      </c>
      <c r="N133" t="s">
        <v>2486</v>
      </c>
      <c r="O133">
        <f>-784.492057782303 -129.717278887361 -478.798501770289</f>
        <v>-1393.007838439953</v>
      </c>
      <c r="P133">
        <f>-840.081033900656 -179.733357250134 -194.194570562256</f>
        <v>-1214.0089617130461</v>
      </c>
      <c r="Q133">
        <f>-631.938572739665 -82.0654089223708 -266.225966154113</f>
        <v>-980.22994781614875</v>
      </c>
      <c r="R133" t="s">
        <v>2487</v>
      </c>
      <c r="S133" t="s">
        <v>2488</v>
      </c>
      <c r="T133" t="s">
        <v>2489</v>
      </c>
      <c r="U133" t="s">
        <v>2490</v>
      </c>
      <c r="V133">
        <f>-699.581681567452 -54.2330400715725 -61.2299057791714</f>
        <v>-815.044627418196</v>
      </c>
      <c r="W133" t="s">
        <v>2491</v>
      </c>
      <c r="X133" t="s">
        <v>2492</v>
      </c>
      <c r="Y133" t="s">
        <v>2493</v>
      </c>
    </row>
    <row r="134" spans="1:25" x14ac:dyDescent="0.3">
      <c r="A134">
        <v>6650</v>
      </c>
      <c r="B134" t="s">
        <v>2494</v>
      </c>
      <c r="C134" t="s">
        <v>2495</v>
      </c>
      <c r="D134" t="s">
        <v>2496</v>
      </c>
      <c r="E134" t="s">
        <v>2497</v>
      </c>
      <c r="F134" t="s">
        <v>2498</v>
      </c>
      <c r="G134" t="s">
        <v>2499</v>
      </c>
      <c r="H134" t="s">
        <v>2500</v>
      </c>
      <c r="I134" t="s">
        <v>2501</v>
      </c>
      <c r="J134" t="s">
        <v>2502</v>
      </c>
      <c r="K134" t="s">
        <v>2503</v>
      </c>
      <c r="L134" t="s">
        <v>2504</v>
      </c>
      <c r="M134" t="s">
        <v>2505</v>
      </c>
      <c r="N134" t="s">
        <v>2506</v>
      </c>
      <c r="O134">
        <f>-784.757492155608 -130.243173979944 -478.932047373881</f>
        <v>-1393.9327135094331</v>
      </c>
      <c r="P134">
        <f>-840.31366576552 -180.406484584662 -194.34753853063</f>
        <v>-1215.0676888808121</v>
      </c>
      <c r="Q134">
        <f>-632.235197863521 -82.6397704760138 -266.430303035515</f>
        <v>-981.30527137504987</v>
      </c>
      <c r="R134" t="s">
        <v>2507</v>
      </c>
      <c r="S134" t="s">
        <v>2508</v>
      </c>
      <c r="T134" t="s">
        <v>2509</v>
      </c>
      <c r="U134" t="s">
        <v>2510</v>
      </c>
      <c r="V134">
        <f>-699.579425997931 -54.6718518079144 -61.2833562504836</f>
        <v>-815.53463405632908</v>
      </c>
      <c r="W134" t="s">
        <v>2511</v>
      </c>
      <c r="X134" t="s">
        <v>2512</v>
      </c>
      <c r="Y134" t="s">
        <v>2513</v>
      </c>
    </row>
    <row r="135" spans="1:25" x14ac:dyDescent="0.3">
      <c r="A135">
        <v>6700</v>
      </c>
      <c r="B135" t="s">
        <v>2514</v>
      </c>
      <c r="C135" t="s">
        <v>2515</v>
      </c>
      <c r="D135" t="s">
        <v>2516</v>
      </c>
      <c r="E135" t="s">
        <v>2517</v>
      </c>
      <c r="F135" t="s">
        <v>2518</v>
      </c>
      <c r="G135" t="s">
        <v>2519</v>
      </c>
      <c r="H135" t="s">
        <v>2520</v>
      </c>
      <c r="I135" t="s">
        <v>2521</v>
      </c>
      <c r="J135" t="s">
        <v>2522</v>
      </c>
      <c r="K135" t="s">
        <v>2523</v>
      </c>
      <c r="L135" t="s">
        <v>2524</v>
      </c>
      <c r="M135" t="s">
        <v>2525</v>
      </c>
      <c r="N135" t="s">
        <v>2526</v>
      </c>
      <c r="O135">
        <f>-785.051582106711 -130.662965618425 -478.966138081366</f>
        <v>-1394.680685806502</v>
      </c>
      <c r="P135">
        <f>-840.547259607738 -181.226944499503 -194.440672838984</f>
        <v>-1216.2148769462251</v>
      </c>
      <c r="Q135">
        <f>-632.648984527477 -83.0886917409161 -266.538184791328</f>
        <v>-982.27586105972114</v>
      </c>
      <c r="R135" t="s">
        <v>2527</v>
      </c>
      <c r="S135" t="s">
        <v>2528</v>
      </c>
      <c r="T135" t="s">
        <v>2529</v>
      </c>
      <c r="U135" t="s">
        <v>2530</v>
      </c>
      <c r="V135">
        <f>-699.716164888607 -54.9841937132067 -61.3072411047641</f>
        <v>-816.00759970657771</v>
      </c>
      <c r="W135" t="s">
        <v>2531</v>
      </c>
      <c r="X135" t="s">
        <v>2532</v>
      </c>
      <c r="Y135" t="s">
        <v>2533</v>
      </c>
    </row>
    <row r="136" spans="1:25" x14ac:dyDescent="0.3">
      <c r="A136">
        <v>6750</v>
      </c>
      <c r="B136" t="s">
        <v>2534</v>
      </c>
      <c r="C136" t="s">
        <v>2535</v>
      </c>
      <c r="D136" t="s">
        <v>2536</v>
      </c>
      <c r="E136" t="s">
        <v>2537</v>
      </c>
      <c r="F136" t="s">
        <v>2538</v>
      </c>
      <c r="G136" t="s">
        <v>2539</v>
      </c>
      <c r="H136" t="s">
        <v>2540</v>
      </c>
      <c r="I136" t="s">
        <v>2541</v>
      </c>
      <c r="J136" t="s">
        <v>2542</v>
      </c>
      <c r="K136" t="s">
        <v>2543</v>
      </c>
      <c r="L136" t="s">
        <v>2544</v>
      </c>
      <c r="M136" t="s">
        <v>2545</v>
      </c>
      <c r="N136" t="s">
        <v>2546</v>
      </c>
      <c r="O136">
        <f>-785.472849972216 -131.001845533277 -478.758162858376</f>
        <v>-1395.2328583638689</v>
      </c>
      <c r="P136">
        <f>-840.776458976423 -182.160276746309 -194.301626841084</f>
        <v>-1217.2383625638161</v>
      </c>
      <c r="Q136">
        <f>-633.198168731995 -83.2894881647389 -266.320191552394</f>
        <v>-982.80784844912796</v>
      </c>
      <c r="R136" t="s">
        <v>2547</v>
      </c>
      <c r="S136" t="s">
        <v>2548</v>
      </c>
      <c r="T136" t="s">
        <v>2549</v>
      </c>
      <c r="U136" t="s">
        <v>2550</v>
      </c>
      <c r="V136">
        <f>-699.990170967656 -54.9791093584906 -61.3168510347606</f>
        <v>-816.28613136090723</v>
      </c>
      <c r="W136" t="s">
        <v>2551</v>
      </c>
      <c r="X136" t="s">
        <v>2552</v>
      </c>
      <c r="Y136" t="s">
        <v>2553</v>
      </c>
    </row>
    <row r="137" spans="1:25" x14ac:dyDescent="0.3">
      <c r="A137">
        <v>6800</v>
      </c>
      <c r="B137" t="s">
        <v>2554</v>
      </c>
      <c r="C137" t="s">
        <v>2555</v>
      </c>
      <c r="D137" t="s">
        <v>2556</v>
      </c>
      <c r="E137" t="s">
        <v>2557</v>
      </c>
      <c r="F137" t="s">
        <v>2558</v>
      </c>
      <c r="G137" t="s">
        <v>2559</v>
      </c>
      <c r="H137" t="s">
        <v>2560</v>
      </c>
      <c r="I137" t="s">
        <v>2561</v>
      </c>
      <c r="J137" t="s">
        <v>2562</v>
      </c>
      <c r="K137" t="s">
        <v>2563</v>
      </c>
      <c r="L137" t="s">
        <v>2564</v>
      </c>
      <c r="M137" t="s">
        <v>2565</v>
      </c>
      <c r="N137" t="s">
        <v>2566</v>
      </c>
      <c r="O137">
        <f>-785.318257613937 -130.990623551935 -478.613189282636</f>
        <v>-1394.9220704485078</v>
      </c>
      <c r="P137">
        <f>-840.615616630655 -182.143720322656 -194.154436076546</f>
        <v>-1216.9137730298571</v>
      </c>
      <c r="Q137">
        <f>-633.136329173977 -83.0511661325907 -266.153206926266</f>
        <v>-982.34070223283356</v>
      </c>
      <c r="R137" t="s">
        <v>2567</v>
      </c>
      <c r="S137" t="s">
        <v>2568</v>
      </c>
      <c r="T137" t="s">
        <v>2569</v>
      </c>
      <c r="U137" t="s">
        <v>2570</v>
      </c>
      <c r="V137">
        <f>-700.032958285259 -54.7717627617942 -61.2981196658643</f>
        <v>-816.10284071291755</v>
      </c>
      <c r="W137" t="s">
        <v>2571</v>
      </c>
      <c r="X137" t="s">
        <v>2572</v>
      </c>
      <c r="Y137" t="s">
        <v>2573</v>
      </c>
    </row>
    <row r="138" spans="1:25" x14ac:dyDescent="0.3">
      <c r="A138">
        <v>6850</v>
      </c>
      <c r="B138" t="s">
        <v>2574</v>
      </c>
      <c r="C138" t="s">
        <v>2575</v>
      </c>
      <c r="D138" t="s">
        <v>2576</v>
      </c>
      <c r="E138" t="s">
        <v>2577</v>
      </c>
      <c r="F138" t="s">
        <v>2578</v>
      </c>
      <c r="G138" t="s">
        <v>2579</v>
      </c>
      <c r="H138" t="s">
        <v>2580</v>
      </c>
      <c r="I138" t="s">
        <v>2581</v>
      </c>
      <c r="J138" t="s">
        <v>2582</v>
      </c>
      <c r="K138" t="s">
        <v>2583</v>
      </c>
      <c r="L138" t="s">
        <v>2584</v>
      </c>
      <c r="M138" t="s">
        <v>2585</v>
      </c>
      <c r="N138" t="s">
        <v>2586</v>
      </c>
      <c r="O138">
        <f>-784.667341400518 -131.080907096142 -478.475138742814</f>
        <v>-1394.2233872394741</v>
      </c>
      <c r="P138">
        <f>-840.095164689662 -181.601432602195 -193.928791236707</f>
        <v>-1215.6253885285641</v>
      </c>
      <c r="Q138">
        <f>-632.650162727401 -82.4511859620252 -265.947199270473</f>
        <v>-981.04854795989922</v>
      </c>
      <c r="R138" t="s">
        <v>2587</v>
      </c>
      <c r="S138" t="s">
        <v>2588</v>
      </c>
      <c r="T138" t="s">
        <v>2589</v>
      </c>
      <c r="U138" t="s">
        <v>2590</v>
      </c>
      <c r="V138">
        <f>-699.791338679746 -54.338295984968 -61.3380373110248</f>
        <v>-815.46767197573877</v>
      </c>
      <c r="W138" t="s">
        <v>2591</v>
      </c>
      <c r="X138" t="s">
        <v>2592</v>
      </c>
      <c r="Y138" t="s">
        <v>2593</v>
      </c>
    </row>
    <row r="139" spans="1:25" x14ac:dyDescent="0.3">
      <c r="A139">
        <v>6900</v>
      </c>
      <c r="B139" t="s">
        <v>2594</v>
      </c>
      <c r="C139" t="s">
        <v>2595</v>
      </c>
      <c r="D139" t="s">
        <v>2596</v>
      </c>
      <c r="E139" t="s">
        <v>2597</v>
      </c>
      <c r="F139" t="s">
        <v>2598</v>
      </c>
      <c r="G139" t="s">
        <v>2599</v>
      </c>
      <c r="H139" t="s">
        <v>2600</v>
      </c>
      <c r="I139" t="s">
        <v>2601</v>
      </c>
      <c r="J139" t="s">
        <v>2602</v>
      </c>
      <c r="K139" t="s">
        <v>2603</v>
      </c>
      <c r="L139" t="s">
        <v>2604</v>
      </c>
      <c r="M139" t="s">
        <v>2605</v>
      </c>
      <c r="N139" t="s">
        <v>2606</v>
      </c>
      <c r="O139">
        <f>-784.673234853094 -131.276065479456 -478.458072629937</f>
        <v>-1394.407372962487</v>
      </c>
      <c r="P139">
        <f>-840.130888224432 -181.418900712947 -193.850748502991</f>
        <v>-1215.40053744037</v>
      </c>
      <c r="Q139">
        <f>-632.697940422671 -82.3119426120029 -265.963712956787</f>
        <v>-980.9735959914608</v>
      </c>
      <c r="R139" t="s">
        <v>2607</v>
      </c>
      <c r="S139" t="s">
        <v>2608</v>
      </c>
      <c r="T139" t="s">
        <v>2609</v>
      </c>
      <c r="U139" t="s">
        <v>2610</v>
      </c>
      <c r="V139">
        <f>-699.744804543247 -54.200881250456 -61.3852315159904</f>
        <v>-815.3309173096934</v>
      </c>
      <c r="W139" t="s">
        <v>2611</v>
      </c>
      <c r="X139" t="s">
        <v>2612</v>
      </c>
      <c r="Y139" t="s">
        <v>2613</v>
      </c>
    </row>
    <row r="140" spans="1:25" x14ac:dyDescent="0.3">
      <c r="A140">
        <v>6950</v>
      </c>
      <c r="B140" t="s">
        <v>2614</v>
      </c>
      <c r="C140" t="s">
        <v>2615</v>
      </c>
      <c r="D140" t="s">
        <v>2616</v>
      </c>
      <c r="E140" t="s">
        <v>2617</v>
      </c>
      <c r="F140" t="s">
        <v>2618</v>
      </c>
      <c r="G140" t="s">
        <v>2619</v>
      </c>
      <c r="H140" t="s">
        <v>2620</v>
      </c>
      <c r="I140" t="s">
        <v>2621</v>
      </c>
      <c r="J140" t="s">
        <v>2622</v>
      </c>
      <c r="K140" t="s">
        <v>2623</v>
      </c>
      <c r="L140" t="s">
        <v>2624</v>
      </c>
      <c r="M140" t="s">
        <v>2625</v>
      </c>
      <c r="N140" t="s">
        <v>2626</v>
      </c>
      <c r="O140">
        <f>-785.98161853428 -131.745471188769 -478.399551242518</f>
        <v>-1396.1266409655668</v>
      </c>
      <c r="P140">
        <f>-841.226374244117 -181.527856992285 -193.687506304968</f>
        <v>-1216.44173754137</v>
      </c>
      <c r="Q140">
        <f>-633.970217895315 -82.2866409160295 -266.123061367987</f>
        <v>-982.37992017933152</v>
      </c>
      <c r="R140" t="s">
        <v>2627</v>
      </c>
      <c r="S140" t="s">
        <v>2628</v>
      </c>
      <c r="T140" t="s">
        <v>2629</v>
      </c>
      <c r="U140" t="s">
        <v>2630</v>
      </c>
      <c r="V140">
        <f>-700.284598016966 -54.0990367357801 -61.4894488479295</f>
        <v>-815.87308360067561</v>
      </c>
      <c r="W140" t="s">
        <v>2631</v>
      </c>
      <c r="X140" t="s">
        <v>2632</v>
      </c>
      <c r="Y140" t="s">
        <v>2633</v>
      </c>
    </row>
    <row r="141" spans="1:25" x14ac:dyDescent="0.3">
      <c r="A141">
        <v>7000</v>
      </c>
      <c r="B141" t="s">
        <v>2634</v>
      </c>
      <c r="C141" t="s">
        <v>2635</v>
      </c>
      <c r="D141" t="s">
        <v>2636</v>
      </c>
      <c r="E141" t="s">
        <v>2637</v>
      </c>
      <c r="F141" t="s">
        <v>2638</v>
      </c>
      <c r="G141" t="s">
        <v>2639</v>
      </c>
      <c r="H141" t="s">
        <v>2640</v>
      </c>
      <c r="I141" t="s">
        <v>2641</v>
      </c>
      <c r="J141" t="s">
        <v>2642</v>
      </c>
      <c r="K141" t="s">
        <v>2643</v>
      </c>
      <c r="L141" t="s">
        <v>2644</v>
      </c>
      <c r="M141" t="s">
        <v>2645</v>
      </c>
      <c r="N141" t="s">
        <v>2646</v>
      </c>
      <c r="O141">
        <f>-788.407663287173 -131.80427878278 -478.331548599339</f>
        <v>-1398.5434906692919</v>
      </c>
      <c r="P141">
        <f>-843.236357734214 -181.942395126239 -193.601532380289</f>
        <v>-1218.7802852407419</v>
      </c>
      <c r="Q141">
        <f>-636.247130114546 -82.2204509635437 -266.140051018369</f>
        <v>-984.6076320964587</v>
      </c>
      <c r="R141" t="s">
        <v>2647</v>
      </c>
      <c r="S141" t="s">
        <v>2648</v>
      </c>
      <c r="T141" t="s">
        <v>2649</v>
      </c>
      <c r="U141" t="s">
        <v>2650</v>
      </c>
      <c r="V141">
        <f>-701.434209938726 -53.7713355072231 -61.5516023238621</f>
        <v>-816.75714776981113</v>
      </c>
      <c r="W141" t="s">
        <v>2651</v>
      </c>
      <c r="X141" t="s">
        <v>2652</v>
      </c>
      <c r="Y141" t="s">
        <v>2653</v>
      </c>
    </row>
    <row r="142" spans="1:25" x14ac:dyDescent="0.3">
      <c r="A142">
        <v>7050</v>
      </c>
      <c r="B142" t="s">
        <v>2654</v>
      </c>
      <c r="C142" t="s">
        <v>2655</v>
      </c>
      <c r="D142" t="s">
        <v>2656</v>
      </c>
      <c r="E142" t="s">
        <v>2657</v>
      </c>
      <c r="F142" t="s">
        <v>2658</v>
      </c>
      <c r="G142" t="s">
        <v>2659</v>
      </c>
      <c r="H142" t="s">
        <v>2660</v>
      </c>
      <c r="I142" t="s">
        <v>2661</v>
      </c>
      <c r="J142" t="s">
        <v>2662</v>
      </c>
      <c r="K142" t="s">
        <v>2663</v>
      </c>
      <c r="L142" t="s">
        <v>2664</v>
      </c>
      <c r="M142" t="s">
        <v>2665</v>
      </c>
      <c r="N142" t="s">
        <v>2666</v>
      </c>
      <c r="O142">
        <f>-789.554594573333 -131.574255292109 -478.313703997355</f>
        <v>-1399.442553862797</v>
      </c>
      <c r="P142">
        <f>-844.167247995694 -181.953151616606 -193.584625729803</f>
        <v>-1219.705025342103</v>
      </c>
      <c r="Q142">
        <f>-637.27713762646 -82.0286277639791 -266.127314367906</f>
        <v>-985.43307975834512</v>
      </c>
      <c r="R142" t="s">
        <v>2667</v>
      </c>
      <c r="S142" t="s">
        <v>2668</v>
      </c>
      <c r="T142" t="s">
        <v>2669</v>
      </c>
      <c r="U142" t="s">
        <v>2670</v>
      </c>
      <c r="V142">
        <f>-702.100690733784 -53.5691963562074 -61.5751566337932</f>
        <v>-817.24504372378453</v>
      </c>
      <c r="W142" t="s">
        <v>2671</v>
      </c>
      <c r="X142" t="s">
        <v>2672</v>
      </c>
      <c r="Y142" t="s">
        <v>2673</v>
      </c>
    </row>
    <row r="143" spans="1:25" x14ac:dyDescent="0.3">
      <c r="A143">
        <v>7100</v>
      </c>
      <c r="B143" t="s">
        <v>2674</v>
      </c>
      <c r="C143" t="s">
        <v>2675</v>
      </c>
      <c r="D143" t="s">
        <v>2676</v>
      </c>
      <c r="E143" t="s">
        <v>2677</v>
      </c>
      <c r="F143" t="s">
        <v>2678</v>
      </c>
      <c r="G143" t="s">
        <v>2679</v>
      </c>
      <c r="H143" t="s">
        <v>2680</v>
      </c>
      <c r="I143" t="s">
        <v>2681</v>
      </c>
      <c r="J143" t="s">
        <v>2682</v>
      </c>
      <c r="K143" t="s">
        <v>2683</v>
      </c>
      <c r="L143" t="s">
        <v>2684</v>
      </c>
      <c r="M143" t="s">
        <v>2685</v>
      </c>
      <c r="N143" t="s">
        <v>2686</v>
      </c>
      <c r="O143">
        <f>-790.46729405337 -131.179514462885 -478.331523930683</f>
        <v>-1399.9783324469379</v>
      </c>
      <c r="P143">
        <f>-844.954229232895 -181.744720137471 -193.611453934946</f>
        <v>-1220.3104033053121</v>
      </c>
      <c r="Q143">
        <f>-638.095365708656 -81.7438755946866 -266.137441981438</f>
        <v>-985.97668328478062</v>
      </c>
      <c r="R143" t="s">
        <v>2687</v>
      </c>
      <c r="S143" t="s">
        <v>2688</v>
      </c>
      <c r="T143" t="s">
        <v>2689</v>
      </c>
      <c r="U143" t="s">
        <v>2690</v>
      </c>
      <c r="V143">
        <f>-702.646840504968 -53.1774193356093 -61.6239173614525</f>
        <v>-817.44817720202991</v>
      </c>
      <c r="W143" t="s">
        <v>2691</v>
      </c>
      <c r="X143" t="s">
        <v>2692</v>
      </c>
      <c r="Y143" t="s">
        <v>2693</v>
      </c>
    </row>
    <row r="144" spans="1:25" x14ac:dyDescent="0.3">
      <c r="A144">
        <v>7150</v>
      </c>
      <c r="B144" t="s">
        <v>2694</v>
      </c>
      <c r="C144" t="s">
        <v>2695</v>
      </c>
      <c r="D144" t="s">
        <v>2696</v>
      </c>
      <c r="E144" t="s">
        <v>2697</v>
      </c>
      <c r="F144" t="s">
        <v>2698</v>
      </c>
      <c r="G144" t="s">
        <v>2699</v>
      </c>
      <c r="H144" t="s">
        <v>2700</v>
      </c>
      <c r="I144" t="s">
        <v>2701</v>
      </c>
      <c r="J144" t="s">
        <v>2702</v>
      </c>
      <c r="K144" t="s">
        <v>2703</v>
      </c>
      <c r="L144" t="s">
        <v>2704</v>
      </c>
      <c r="M144" t="s">
        <v>2705</v>
      </c>
      <c r="N144" t="s">
        <v>2706</v>
      </c>
      <c r="O144">
        <f>-792.281778935811 -130.165818441265 -478.477483619953</f>
        <v>-1400.925080997029</v>
      </c>
      <c r="P144">
        <f>-846.680111253172 -180.610722013045 -193.7190947065</f>
        <v>-1221.0099279727169</v>
      </c>
      <c r="Q144">
        <f>-639.743348271985 -80.7763390604214 -266.253026826712</f>
        <v>-986.77271415911844</v>
      </c>
      <c r="R144" t="s">
        <v>2707</v>
      </c>
      <c r="S144" t="s">
        <v>2708</v>
      </c>
      <c r="T144" t="s">
        <v>2709</v>
      </c>
      <c r="U144" t="s">
        <v>2710</v>
      </c>
      <c r="V144">
        <f>-703.580437407531 -52.2123431905641 -61.760922384659</f>
        <v>-817.55370298275409</v>
      </c>
      <c r="W144" t="s">
        <v>2711</v>
      </c>
      <c r="X144" t="s">
        <v>2712</v>
      </c>
      <c r="Y144" t="s">
        <v>2713</v>
      </c>
    </row>
    <row r="145" spans="1:25" x14ac:dyDescent="0.3">
      <c r="A145">
        <v>7200</v>
      </c>
      <c r="B145" t="s">
        <v>2714</v>
      </c>
      <c r="C145" t="s">
        <v>2715</v>
      </c>
      <c r="D145" t="s">
        <v>2716</v>
      </c>
      <c r="E145" t="s">
        <v>2717</v>
      </c>
      <c r="F145" t="s">
        <v>2718</v>
      </c>
      <c r="G145" t="s">
        <v>2719</v>
      </c>
      <c r="H145" t="s">
        <v>2720</v>
      </c>
      <c r="I145" t="s">
        <v>2721</v>
      </c>
      <c r="J145" t="s">
        <v>2722</v>
      </c>
      <c r="K145" t="s">
        <v>2723</v>
      </c>
      <c r="L145" t="s">
        <v>2724</v>
      </c>
      <c r="M145" t="s">
        <v>2725</v>
      </c>
      <c r="N145" t="s">
        <v>2726</v>
      </c>
      <c r="O145">
        <f>-794.317959799275 -128.889775822372 -478.802196189489</f>
        <v>-1402.0099318111361</v>
      </c>
      <c r="P145">
        <f>-848.566181675023 -179.172433633035 -193.986424551724</f>
        <v>-1221.7250398597821</v>
      </c>
      <c r="Q145">
        <f>-641.511323026218 -79.6773956750039 -266.649376530994</f>
        <v>-987.83809523221589</v>
      </c>
      <c r="R145" t="s">
        <v>2727</v>
      </c>
      <c r="S145" t="s">
        <v>2728</v>
      </c>
      <c r="T145" t="s">
        <v>2729</v>
      </c>
      <c r="U145" t="s">
        <v>2730</v>
      </c>
      <c r="V145">
        <f>-704.566497711703 -51.039928835276 -62.0106911983767</f>
        <v>-817.6171177453557</v>
      </c>
      <c r="W145" t="s">
        <v>2731</v>
      </c>
      <c r="X145" t="s">
        <v>2732</v>
      </c>
      <c r="Y145" t="s">
        <v>2733</v>
      </c>
    </row>
    <row r="146" spans="1:25" x14ac:dyDescent="0.3">
      <c r="A146">
        <v>7250</v>
      </c>
      <c r="B146" t="s">
        <v>2734</v>
      </c>
      <c r="C146" t="s">
        <v>2735</v>
      </c>
      <c r="D146" t="s">
        <v>2736</v>
      </c>
      <c r="E146" t="s">
        <v>2737</v>
      </c>
      <c r="F146" t="s">
        <v>2738</v>
      </c>
      <c r="G146" t="s">
        <v>2739</v>
      </c>
      <c r="H146" t="s">
        <v>2740</v>
      </c>
      <c r="I146" t="s">
        <v>2741</v>
      </c>
      <c r="J146" t="s">
        <v>2742</v>
      </c>
      <c r="K146" t="s">
        <v>2743</v>
      </c>
      <c r="L146" t="s">
        <v>2744</v>
      </c>
      <c r="M146" t="s">
        <v>2745</v>
      </c>
      <c r="N146" t="s">
        <v>2746</v>
      </c>
      <c r="O146">
        <f>-795.40760697753 -128.210574218017 -478.988898721173</f>
        <v>-1402.6070799167201</v>
      </c>
      <c r="P146">
        <f>-849.46020307344 -178.472278358359 -194.132334881374</f>
        <v>-1222.064816313173</v>
      </c>
      <c r="Q146">
        <f>-642.386363351282 -79.0757272800613 -266.875895925655</f>
        <v>-988.3379865569982</v>
      </c>
      <c r="R146" t="s">
        <v>2747</v>
      </c>
      <c r="S146" t="s">
        <v>2748</v>
      </c>
      <c r="T146" t="s">
        <v>2749</v>
      </c>
      <c r="U146" t="s">
        <v>2750</v>
      </c>
      <c r="V146">
        <f>-705.276960547594 -50.6868998679481 -62.1169706941852</f>
        <v>-818.08083110972723</v>
      </c>
      <c r="W146" t="s">
        <v>2751</v>
      </c>
      <c r="X146" t="s">
        <v>2752</v>
      </c>
      <c r="Y146" t="s">
        <v>2753</v>
      </c>
    </row>
    <row r="147" spans="1:25" x14ac:dyDescent="0.3">
      <c r="A147">
        <v>7300</v>
      </c>
      <c r="B147" t="s">
        <v>2754</v>
      </c>
      <c r="C147" t="s">
        <v>2755</v>
      </c>
      <c r="D147" t="s">
        <v>2756</v>
      </c>
      <c r="E147" t="s">
        <v>2757</v>
      </c>
      <c r="F147" t="s">
        <v>2758</v>
      </c>
      <c r="G147" t="s">
        <v>2759</v>
      </c>
      <c r="H147" t="s">
        <v>2760</v>
      </c>
      <c r="I147" t="s">
        <v>2761</v>
      </c>
      <c r="J147" t="s">
        <v>2762</v>
      </c>
      <c r="K147" t="s">
        <v>2763</v>
      </c>
      <c r="L147" t="s">
        <v>2764</v>
      </c>
      <c r="M147" t="s">
        <v>2765</v>
      </c>
      <c r="N147" t="s">
        <v>2766</v>
      </c>
      <c r="O147">
        <f>-797.518528087714 -127.129923866506 -479.306840631216</f>
        <v>-1403.9552925854359</v>
      </c>
      <c r="P147">
        <f>-850.958141167197 -177.869286125315 -194.419348922873</f>
        <v>-1223.2467762153851</v>
      </c>
      <c r="Q147">
        <f>-643.969839762285 -78.3402438862013 -267.225345657647</f>
        <v>-989.53542930613321</v>
      </c>
      <c r="R147" t="s">
        <v>2767</v>
      </c>
      <c r="S147" t="s">
        <v>2768</v>
      </c>
      <c r="T147" t="s">
        <v>2769</v>
      </c>
      <c r="U147" t="s">
        <v>2770</v>
      </c>
      <c r="V147">
        <f>-706.576968352132 -50.330262730288 -62.2728700971293</f>
        <v>-819.1801011795493</v>
      </c>
      <c r="W147" t="s">
        <v>2771</v>
      </c>
      <c r="X147" t="s">
        <v>2772</v>
      </c>
      <c r="Y147" t="s">
        <v>2773</v>
      </c>
    </row>
    <row r="148" spans="1:25" x14ac:dyDescent="0.3">
      <c r="A148">
        <v>7350</v>
      </c>
      <c r="B148" t="s">
        <v>2774</v>
      </c>
      <c r="C148" t="s">
        <v>2775</v>
      </c>
      <c r="D148" t="s">
        <v>2776</v>
      </c>
      <c r="E148" t="s">
        <v>2777</v>
      </c>
      <c r="F148" t="s">
        <v>2778</v>
      </c>
      <c r="G148" t="s">
        <v>2779</v>
      </c>
      <c r="H148" t="s">
        <v>2780</v>
      </c>
      <c r="I148" t="s">
        <v>2781</v>
      </c>
      <c r="J148" t="s">
        <v>2782</v>
      </c>
      <c r="K148" t="s">
        <v>2783</v>
      </c>
      <c r="L148" t="s">
        <v>2784</v>
      </c>
      <c r="M148" t="s">
        <v>2785</v>
      </c>
      <c r="N148" t="s">
        <v>2786</v>
      </c>
      <c r="O148">
        <f>-798.492336242703 -126.660986314765 -479.446029015912</f>
        <v>-1404.5993515733799</v>
      </c>
      <c r="P148">
        <f>-851.578654159757 -177.862259595039 -194.575000875468</f>
        <v>-1224.015914630264</v>
      </c>
      <c r="Q148">
        <f>-644.646901256248 -78.2338220346701 -267.405395631567</f>
        <v>-990.28611892248512</v>
      </c>
      <c r="R148" t="s">
        <v>2787</v>
      </c>
      <c r="S148" t="s">
        <v>2788</v>
      </c>
      <c r="T148" t="s">
        <v>2789</v>
      </c>
      <c r="U148" t="s">
        <v>2790</v>
      </c>
      <c r="V148">
        <f>-706.955812481255 -50.2864020377895 -62.3151347873641</f>
        <v>-819.55734930640847</v>
      </c>
      <c r="W148" t="s">
        <v>2791</v>
      </c>
      <c r="X148" t="s">
        <v>2792</v>
      </c>
      <c r="Y148" t="s">
        <v>2793</v>
      </c>
    </row>
    <row r="149" spans="1:25" x14ac:dyDescent="0.3">
      <c r="A149">
        <v>7400</v>
      </c>
      <c r="B149" t="s">
        <v>2794</v>
      </c>
      <c r="C149" t="s">
        <v>2795</v>
      </c>
      <c r="D149" t="s">
        <v>2796</v>
      </c>
      <c r="E149" t="s">
        <v>2797</v>
      </c>
      <c r="F149" t="s">
        <v>2798</v>
      </c>
      <c r="G149" t="s">
        <v>2799</v>
      </c>
      <c r="H149" t="s">
        <v>2800</v>
      </c>
      <c r="I149" t="s">
        <v>2801</v>
      </c>
      <c r="J149" t="s">
        <v>2802</v>
      </c>
      <c r="K149" t="s">
        <v>2803</v>
      </c>
      <c r="L149" t="s">
        <v>2804</v>
      </c>
      <c r="M149" t="s">
        <v>2805</v>
      </c>
      <c r="N149" t="s">
        <v>2806</v>
      </c>
      <c r="O149">
        <f>-799.931786048586 -125.98593957663 -479.740633408284</f>
        <v>-1405.6583590334999</v>
      </c>
      <c r="P149">
        <f>-852.523207064557 -177.861678693901 -194.899878652934</f>
        <v>-1225.284764411392</v>
      </c>
      <c r="Q149">
        <f>-645.624947596861 -78.1775795050849 -267.749522149259</f>
        <v>-991.55204925120506</v>
      </c>
      <c r="R149" t="s">
        <v>2807</v>
      </c>
      <c r="S149" t="s">
        <v>2808</v>
      </c>
      <c r="T149" t="s">
        <v>2809</v>
      </c>
      <c r="U149" t="s">
        <v>2810</v>
      </c>
      <c r="V149">
        <f>-707.198623116855 -50.3605332707702 -62.405884493958</f>
        <v>-819.96504088158315</v>
      </c>
      <c r="W149" t="s">
        <v>2811</v>
      </c>
      <c r="X149" t="s">
        <v>2812</v>
      </c>
      <c r="Y149" t="s">
        <v>2813</v>
      </c>
    </row>
    <row r="150" spans="1:25" x14ac:dyDescent="0.3">
      <c r="A150">
        <v>7450</v>
      </c>
      <c r="B150" t="s">
        <v>2814</v>
      </c>
      <c r="C150" t="s">
        <v>2815</v>
      </c>
      <c r="D150" t="s">
        <v>2816</v>
      </c>
      <c r="E150" t="s">
        <v>2817</v>
      </c>
      <c r="F150" t="s">
        <v>2818</v>
      </c>
      <c r="G150" t="s">
        <v>2819</v>
      </c>
      <c r="H150" t="s">
        <v>2820</v>
      </c>
      <c r="I150" t="s">
        <v>2821</v>
      </c>
      <c r="J150" t="s">
        <v>2822</v>
      </c>
      <c r="K150" t="s">
        <v>2823</v>
      </c>
      <c r="L150" t="s">
        <v>2824</v>
      </c>
      <c r="M150" t="s">
        <v>2825</v>
      </c>
      <c r="N150" t="s">
        <v>2826</v>
      </c>
      <c r="O150">
        <f>-800.617922450799 -125.737402084243 -479.846617146041</f>
        <v>-1406.2019416810831</v>
      </c>
      <c r="P150">
        <f>-853.032803447828 -177.732007771155 -194.994956326823</f>
        <v>-1225.759767545806</v>
      </c>
      <c r="Q150">
        <f>-646.096761641914 -78.1896603458717 -267.931529623485</f>
        <v>-992.21795161127079</v>
      </c>
      <c r="R150" t="s">
        <v>2827</v>
      </c>
      <c r="S150" t="s">
        <v>2828</v>
      </c>
      <c r="T150" t="s">
        <v>2829</v>
      </c>
      <c r="U150" t="s">
        <v>2830</v>
      </c>
      <c r="V150">
        <f>-707.256050501753 -50.3624652647468 -62.4410348375461</f>
        <v>-820.05955060404585</v>
      </c>
      <c r="W150" t="s">
        <v>2831</v>
      </c>
      <c r="X150" t="s">
        <v>2832</v>
      </c>
      <c r="Y150" t="s">
        <v>2833</v>
      </c>
    </row>
    <row r="151" spans="1:25" x14ac:dyDescent="0.3">
      <c r="A151">
        <v>7500</v>
      </c>
      <c r="B151" t="s">
        <v>2834</v>
      </c>
      <c r="C151" t="s">
        <v>2835</v>
      </c>
      <c r="D151" t="s">
        <v>2836</v>
      </c>
      <c r="E151" t="s">
        <v>2837</v>
      </c>
      <c r="F151" t="s">
        <v>2838</v>
      </c>
      <c r="G151" t="s">
        <v>2839</v>
      </c>
      <c r="H151" t="s">
        <v>2840</v>
      </c>
      <c r="I151" t="s">
        <v>2841</v>
      </c>
      <c r="J151" t="s">
        <v>2842</v>
      </c>
      <c r="K151" t="s">
        <v>2843</v>
      </c>
      <c r="L151" t="s">
        <v>2844</v>
      </c>
      <c r="M151" t="s">
        <v>2845</v>
      </c>
      <c r="N151" t="s">
        <v>2846</v>
      </c>
      <c r="O151">
        <f>-802.129390589347 -125.224949760039 -479.947432034807</f>
        <v>-1407.3017723841931</v>
      </c>
      <c r="P151">
        <f>-854.155569273872 -177.061531242589 -194.99567288145</f>
        <v>-1226.212773397911</v>
      </c>
      <c r="Q151">
        <f>-647.124566431237 -77.8616869906705 -268.128924187915</f>
        <v>-993.11517760982247</v>
      </c>
      <c r="R151" t="s">
        <v>2847</v>
      </c>
      <c r="S151" t="s">
        <v>2848</v>
      </c>
      <c r="T151" t="s">
        <v>2849</v>
      </c>
      <c r="U151" t="s">
        <v>2850</v>
      </c>
      <c r="V151">
        <f>-707.394379183929 -50.2905871432654 -62.4614147766533</f>
        <v>-820.14638110384772</v>
      </c>
      <c r="W151" t="s">
        <v>2851</v>
      </c>
      <c r="X151" t="s">
        <v>2852</v>
      </c>
      <c r="Y151" t="s">
        <v>2853</v>
      </c>
    </row>
    <row r="152" spans="1:25" x14ac:dyDescent="0.3">
      <c r="A152">
        <v>7550</v>
      </c>
      <c r="B152" t="s">
        <v>2854</v>
      </c>
      <c r="C152" t="s">
        <v>2855</v>
      </c>
      <c r="D152" t="s">
        <v>2856</v>
      </c>
      <c r="E152" t="s">
        <v>2857</v>
      </c>
      <c r="F152" t="s">
        <v>2858</v>
      </c>
      <c r="G152" t="s">
        <v>2859</v>
      </c>
      <c r="H152" t="s">
        <v>2860</v>
      </c>
      <c r="I152" t="s">
        <v>2861</v>
      </c>
      <c r="J152" t="s">
        <v>2862</v>
      </c>
      <c r="K152" t="s">
        <v>2863</v>
      </c>
      <c r="L152" t="s">
        <v>2864</v>
      </c>
      <c r="M152" t="s">
        <v>2865</v>
      </c>
      <c r="N152" t="s">
        <v>2866</v>
      </c>
      <c r="O152">
        <f>-802.777814258003 -125.039834113329 -479.967414108271</f>
        <v>-1407.7850624796029</v>
      </c>
      <c r="P152">
        <f>-854.635098061854 -176.830042219393 -194.976504158653</f>
        <v>-1226.4416444398998</v>
      </c>
      <c r="Q152">
        <f>-647.579484764205 -77.7336032187382 -268.179567043234</f>
        <v>-993.49265502617709</v>
      </c>
      <c r="R152" t="s">
        <v>2867</v>
      </c>
      <c r="S152" t="s">
        <v>2868</v>
      </c>
      <c r="T152" t="s">
        <v>2869</v>
      </c>
      <c r="U152" t="s">
        <v>2870</v>
      </c>
      <c r="V152">
        <f>-707.505796705794 -50.2573589922586 -62.4566832992268</f>
        <v>-820.21983899727934</v>
      </c>
      <c r="W152" t="s">
        <v>2871</v>
      </c>
      <c r="X152" t="s">
        <v>2872</v>
      </c>
      <c r="Y152" t="s">
        <v>2873</v>
      </c>
    </row>
    <row r="153" spans="1:25" x14ac:dyDescent="0.3">
      <c r="A153">
        <v>7600</v>
      </c>
      <c r="B153" t="s">
        <v>2874</v>
      </c>
      <c r="C153" t="s">
        <v>2875</v>
      </c>
      <c r="D153" t="s">
        <v>2876</v>
      </c>
      <c r="E153" t="s">
        <v>2877</v>
      </c>
      <c r="F153" t="s">
        <v>2878</v>
      </c>
      <c r="G153" t="s">
        <v>2879</v>
      </c>
      <c r="H153" t="s">
        <v>2880</v>
      </c>
      <c r="I153" t="s">
        <v>2881</v>
      </c>
      <c r="J153" t="s">
        <v>2882</v>
      </c>
      <c r="K153" t="s">
        <v>2883</v>
      </c>
      <c r="L153" t="s">
        <v>2884</v>
      </c>
      <c r="M153" t="s">
        <v>2885</v>
      </c>
      <c r="N153" t="s">
        <v>2886</v>
      </c>
      <c r="O153">
        <f>-803.633014983613 -124.818101048612 -480.102268500729</f>
        <v>-1408.5533845329539</v>
      </c>
      <c r="P153">
        <f>-855.19327301973 -176.666761178803 -195.068139069542</f>
        <v>-1226.9281732680749</v>
      </c>
      <c r="Q153">
        <f>-648.149510527458 -77.6245478771032 -268.37881622603</f>
        <v>-994.15287463059121</v>
      </c>
      <c r="R153" t="s">
        <v>2887</v>
      </c>
      <c r="S153" t="s">
        <v>2888</v>
      </c>
      <c r="T153" t="s">
        <v>2889</v>
      </c>
      <c r="U153" t="s">
        <v>2890</v>
      </c>
      <c r="V153">
        <f>-707.473536444518 -50.3247835190286 -62.4543929445402</f>
        <v>-820.25271290808689</v>
      </c>
      <c r="W153" t="s">
        <v>2891</v>
      </c>
      <c r="X153" t="s">
        <v>2892</v>
      </c>
      <c r="Y153" t="s">
        <v>2893</v>
      </c>
    </row>
    <row r="154" spans="1:25" x14ac:dyDescent="0.3">
      <c r="A154">
        <v>7650</v>
      </c>
      <c r="B154" t="s">
        <v>2894</v>
      </c>
      <c r="C154" t="s">
        <v>2895</v>
      </c>
      <c r="D154" t="s">
        <v>2896</v>
      </c>
      <c r="E154" t="s">
        <v>2897</v>
      </c>
      <c r="F154" t="s">
        <v>2898</v>
      </c>
      <c r="G154" t="s">
        <v>2899</v>
      </c>
      <c r="H154" t="s">
        <v>2900</v>
      </c>
      <c r="I154" t="s">
        <v>2901</v>
      </c>
      <c r="J154" t="s">
        <v>2902</v>
      </c>
      <c r="K154" t="s">
        <v>2903</v>
      </c>
      <c r="L154" t="s">
        <v>2904</v>
      </c>
      <c r="M154" t="s">
        <v>2905</v>
      </c>
      <c r="N154" t="s">
        <v>2906</v>
      </c>
      <c r="O154">
        <f>-803.829006498261 -124.802212868694 -480.13893788634</f>
        <v>-1408.7701572532951</v>
      </c>
      <c r="P154">
        <f>-855.154480861522 -176.697791146409 -195.07093631459</f>
        <v>-1226.9232083225208</v>
      </c>
      <c r="Q154">
        <f>-648.164062998176 -77.6340508830904 -268.502822700598</f>
        <v>-994.30093658186433</v>
      </c>
      <c r="R154" t="s">
        <v>2907</v>
      </c>
      <c r="S154" t="s">
        <v>2908</v>
      </c>
      <c r="T154" t="s">
        <v>2909</v>
      </c>
      <c r="U154" t="s">
        <v>2910</v>
      </c>
      <c r="V154">
        <f>-707.287580748854 -50.354933180078 -62.4674855470024</f>
        <v>-820.10999947593439</v>
      </c>
      <c r="W154" t="s">
        <v>2911</v>
      </c>
      <c r="X154" t="s">
        <v>2912</v>
      </c>
      <c r="Y154" t="s">
        <v>2913</v>
      </c>
    </row>
    <row r="155" spans="1:25" x14ac:dyDescent="0.3">
      <c r="A155">
        <v>7700</v>
      </c>
      <c r="B155" t="s">
        <v>2914</v>
      </c>
      <c r="C155" t="s">
        <v>2915</v>
      </c>
      <c r="D155" t="s">
        <v>2916</v>
      </c>
      <c r="E155" t="s">
        <v>2917</v>
      </c>
      <c r="F155" t="s">
        <v>2918</v>
      </c>
      <c r="G155" t="s">
        <v>2919</v>
      </c>
      <c r="H155" t="s">
        <v>2920</v>
      </c>
      <c r="I155" t="s">
        <v>2921</v>
      </c>
      <c r="J155" t="s">
        <v>2922</v>
      </c>
      <c r="K155" t="s">
        <v>2923</v>
      </c>
      <c r="L155" t="s">
        <v>2924</v>
      </c>
      <c r="M155" t="s">
        <v>2925</v>
      </c>
      <c r="N155" t="s">
        <v>2926</v>
      </c>
      <c r="O155">
        <f>-804.31310746959 -124.71269708564 -480.127017643541</f>
        <v>-1409.152822198771</v>
      </c>
      <c r="P155">
        <f>-855.144905429049 -176.718961836936 -194.99084760276</f>
        <v>-1226.8547148687448</v>
      </c>
      <c r="Q155">
        <f>-648.323361899963 -77.5219583138737 -268.717719654294</f>
        <v>-994.56303986813066</v>
      </c>
      <c r="R155" t="s">
        <v>2927</v>
      </c>
      <c r="S155" t="s">
        <v>2928</v>
      </c>
      <c r="T155" t="s">
        <v>2929</v>
      </c>
      <c r="U155" t="s">
        <v>2930</v>
      </c>
      <c r="V155">
        <f>-707.108892813246 -50.3100696426413 -62.4698151363967</f>
        <v>-819.8887775922841</v>
      </c>
      <c r="W155" t="s">
        <v>2931</v>
      </c>
      <c r="X155" t="s">
        <v>2932</v>
      </c>
      <c r="Y155" t="s">
        <v>2933</v>
      </c>
    </row>
    <row r="156" spans="1:25" x14ac:dyDescent="0.3">
      <c r="A156">
        <v>7750</v>
      </c>
      <c r="B156" t="s">
        <v>2934</v>
      </c>
      <c r="C156" t="s">
        <v>2935</v>
      </c>
      <c r="D156" t="s">
        <v>2936</v>
      </c>
      <c r="E156" t="s">
        <v>2937</v>
      </c>
      <c r="F156" t="s">
        <v>2938</v>
      </c>
      <c r="G156" t="s">
        <v>2939</v>
      </c>
      <c r="H156" t="s">
        <v>2940</v>
      </c>
      <c r="I156" t="s">
        <v>2941</v>
      </c>
      <c r="J156" t="s">
        <v>2942</v>
      </c>
      <c r="K156" t="s">
        <v>2943</v>
      </c>
      <c r="L156" t="s">
        <v>2944</v>
      </c>
      <c r="M156" t="s">
        <v>2945</v>
      </c>
      <c r="N156" t="s">
        <v>2946</v>
      </c>
      <c r="O156">
        <f>-804.415700644715 -124.703780803271 -480.078321240028</f>
        <v>-1409.197802688014</v>
      </c>
      <c r="P156">
        <f>-855.04390335811 -176.713338992446 -194.906543696897</f>
        <v>-1226.663786047453</v>
      </c>
      <c r="Q156">
        <f>-648.309434157668 -77.4433333656245 -268.779627956801</f>
        <v>-994.53239548009356</v>
      </c>
      <c r="R156" t="s">
        <v>2947</v>
      </c>
      <c r="S156" t="s">
        <v>2948</v>
      </c>
      <c r="T156" t="s">
        <v>2949</v>
      </c>
      <c r="U156" t="s">
        <v>2950</v>
      </c>
      <c r="V156">
        <f>-707.033455101299 -50.2804576142662 -62.4563741024401</f>
        <v>-819.77028681800527</v>
      </c>
      <c r="W156" t="s">
        <v>2951</v>
      </c>
      <c r="X156" t="s">
        <v>2952</v>
      </c>
      <c r="Y156" t="s">
        <v>2953</v>
      </c>
    </row>
    <row r="157" spans="1:25" x14ac:dyDescent="0.3">
      <c r="A157">
        <v>7800</v>
      </c>
      <c r="B157" t="s">
        <v>2954</v>
      </c>
      <c r="C157" t="s">
        <v>2955</v>
      </c>
      <c r="D157" t="s">
        <v>2956</v>
      </c>
      <c r="E157" t="s">
        <v>2957</v>
      </c>
      <c r="F157" t="s">
        <v>2958</v>
      </c>
      <c r="G157" t="s">
        <v>2959</v>
      </c>
      <c r="H157" t="s">
        <v>2960</v>
      </c>
      <c r="I157" t="s">
        <v>2961</v>
      </c>
      <c r="J157" t="s">
        <v>2962</v>
      </c>
      <c r="K157" t="s">
        <v>2963</v>
      </c>
      <c r="L157" t="s">
        <v>2964</v>
      </c>
      <c r="M157" t="s">
        <v>2965</v>
      </c>
      <c r="N157" t="s">
        <v>2966</v>
      </c>
      <c r="O157">
        <f>-804.468152550591 -124.586794506764 -480.011778152994</f>
        <v>-1409.066725210349</v>
      </c>
      <c r="P157">
        <f>-854.857893097034 -176.587518480568 -194.796010832966</f>
        <v>-1226.241422410568</v>
      </c>
      <c r="Q157">
        <f>-648.223675577387 -77.2366762637903 -268.840696152367</f>
        <v>-994.30104799354422</v>
      </c>
      <c r="R157" t="s">
        <v>2967</v>
      </c>
      <c r="S157" t="s">
        <v>2968</v>
      </c>
      <c r="T157" t="s">
        <v>2969</v>
      </c>
      <c r="U157" t="s">
        <v>2970</v>
      </c>
      <c r="V157">
        <f>-706.952638149181 -50.0341789166976 -62.4738240244961</f>
        <v>-819.46064109037468</v>
      </c>
      <c r="W157" t="s">
        <v>2971</v>
      </c>
      <c r="X157" t="s">
        <v>2972</v>
      </c>
      <c r="Y157" t="s">
        <v>2973</v>
      </c>
    </row>
    <row r="158" spans="1:25" x14ac:dyDescent="0.3">
      <c r="A158">
        <v>7850</v>
      </c>
      <c r="B158" t="s">
        <v>2974</v>
      </c>
      <c r="C158" t="s">
        <v>2975</v>
      </c>
      <c r="D158" t="s">
        <v>2976</v>
      </c>
      <c r="E158" t="s">
        <v>2977</v>
      </c>
      <c r="F158" t="s">
        <v>2978</v>
      </c>
      <c r="G158" t="s">
        <v>2979</v>
      </c>
      <c r="H158" t="s">
        <v>2980</v>
      </c>
      <c r="I158" t="s">
        <v>2981</v>
      </c>
      <c r="J158" t="s">
        <v>2982</v>
      </c>
      <c r="K158" t="s">
        <v>2983</v>
      </c>
      <c r="L158" t="s">
        <v>2984</v>
      </c>
      <c r="M158" t="s">
        <v>2985</v>
      </c>
      <c r="N158" t="s">
        <v>2986</v>
      </c>
      <c r="O158">
        <f>-804.377872995904 -124.423540674556 -480.015863601174</f>
        <v>-1408.8172772716339</v>
      </c>
      <c r="P158">
        <f>-854.716112564199 -176.383366969273 -194.783589632273</f>
        <v>-1225.8830691657449</v>
      </c>
      <c r="Q158">
        <f>-648.106046885707 -77.0504766387378 -268.919606099874</f>
        <v>-994.07612962431881</v>
      </c>
      <c r="R158" t="s">
        <v>2987</v>
      </c>
      <c r="S158" t="s">
        <v>2988</v>
      </c>
      <c r="T158" t="s">
        <v>2989</v>
      </c>
      <c r="U158" t="s">
        <v>2990</v>
      </c>
      <c r="V158">
        <f>-706.902789859363 -49.7876149756037 -62.5159790127403</f>
        <v>-819.206383847707</v>
      </c>
      <c r="W158" t="s">
        <v>2991</v>
      </c>
      <c r="X158" t="s">
        <v>2992</v>
      </c>
      <c r="Y158" t="s">
        <v>2993</v>
      </c>
    </row>
    <row r="159" spans="1:25" x14ac:dyDescent="0.3">
      <c r="A159">
        <v>7900</v>
      </c>
      <c r="B159" t="s">
        <v>2994</v>
      </c>
      <c r="C159" t="s">
        <v>2995</v>
      </c>
      <c r="D159" t="s">
        <v>2996</v>
      </c>
      <c r="E159" t="s">
        <v>2997</v>
      </c>
      <c r="F159" t="s">
        <v>2998</v>
      </c>
      <c r="G159" t="s">
        <v>2999</v>
      </c>
      <c r="H159" t="s">
        <v>3000</v>
      </c>
      <c r="I159" t="s">
        <v>3001</v>
      </c>
      <c r="J159" t="s">
        <v>3002</v>
      </c>
      <c r="K159" t="s">
        <v>3003</v>
      </c>
      <c r="L159" t="s">
        <v>3004</v>
      </c>
      <c r="M159" t="s">
        <v>3005</v>
      </c>
      <c r="N159" t="s">
        <v>3006</v>
      </c>
      <c r="O159">
        <f>-804.037541253556 -124.215546641759 -479.993857438349</f>
        <v>-1408.2469453336639</v>
      </c>
      <c r="P159">
        <f>-854.19518586831 -175.934888621649 -194.686038584551</f>
        <v>-1224.81611307451</v>
      </c>
      <c r="Q159">
        <f>-647.606864448233 -76.7831322728059 -269.124158988847</f>
        <v>-993.51415570988593</v>
      </c>
      <c r="R159" t="s">
        <v>3007</v>
      </c>
      <c r="S159" t="s">
        <v>3008</v>
      </c>
      <c r="T159" t="s">
        <v>3009</v>
      </c>
      <c r="U159" t="s">
        <v>3010</v>
      </c>
      <c r="V159">
        <f>-706.882981850254 -49.4980131998993 -62.5381583480922</f>
        <v>-818.91915339824561</v>
      </c>
      <c r="W159" t="s">
        <v>3011</v>
      </c>
      <c r="X159" t="s">
        <v>3012</v>
      </c>
      <c r="Y159" t="s">
        <v>3013</v>
      </c>
    </row>
    <row r="160" spans="1:25" x14ac:dyDescent="0.3">
      <c r="A160">
        <v>7950</v>
      </c>
      <c r="B160" t="s">
        <v>3014</v>
      </c>
      <c r="C160" t="s">
        <v>3015</v>
      </c>
      <c r="D160" t="s">
        <v>3016</v>
      </c>
      <c r="E160" t="s">
        <v>3017</v>
      </c>
      <c r="F160" t="s">
        <v>3018</v>
      </c>
      <c r="G160" t="s">
        <v>3019</v>
      </c>
      <c r="H160" t="s">
        <v>3020</v>
      </c>
      <c r="I160" t="s">
        <v>3021</v>
      </c>
      <c r="J160" t="s">
        <v>3022</v>
      </c>
      <c r="K160" t="s">
        <v>3023</v>
      </c>
      <c r="L160" t="s">
        <v>3024</v>
      </c>
      <c r="M160" t="s">
        <v>3025</v>
      </c>
      <c r="N160" t="s">
        <v>3026</v>
      </c>
      <c r="O160">
        <f>-803.839878258691 -124.145413677534 -479.973275076255</f>
        <v>-1407.95856701248</v>
      </c>
      <c r="P160">
        <f>-853.954502036134 -175.636332379591 -194.616576821996</f>
        <v>-1224.2074112377211</v>
      </c>
      <c r="Q160">
        <f>-647.370278749105 -76.6436618100031 -269.2780495296</f>
        <v>-993.29199008870808</v>
      </c>
      <c r="R160" t="s">
        <v>3027</v>
      </c>
      <c r="S160" t="s">
        <v>3028</v>
      </c>
      <c r="T160" t="s">
        <v>3029</v>
      </c>
      <c r="U160" t="s">
        <v>3030</v>
      </c>
      <c r="V160">
        <f>-706.869904846288 -49.3217559431125 -62.5518984343345</f>
        <v>-818.74355922373502</v>
      </c>
      <c r="W160" t="s">
        <v>3031</v>
      </c>
      <c r="X160" t="s">
        <v>3032</v>
      </c>
      <c r="Y160" t="s">
        <v>3033</v>
      </c>
    </row>
    <row r="161" spans="1:25" x14ac:dyDescent="0.3">
      <c r="A161">
        <v>8000</v>
      </c>
      <c r="B161" t="s">
        <v>3034</v>
      </c>
      <c r="C161" t="s">
        <v>3035</v>
      </c>
      <c r="D161" t="s">
        <v>3036</v>
      </c>
      <c r="E161" t="s">
        <v>3037</v>
      </c>
      <c r="F161" t="s">
        <v>3038</v>
      </c>
      <c r="G161" t="s">
        <v>3039</v>
      </c>
      <c r="H161" t="s">
        <v>3040</v>
      </c>
      <c r="I161" t="s">
        <v>3041</v>
      </c>
      <c r="J161" t="s">
        <v>3042</v>
      </c>
      <c r="K161" t="s">
        <v>3043</v>
      </c>
      <c r="L161" t="s">
        <v>3044</v>
      </c>
      <c r="M161" t="s">
        <v>3045</v>
      </c>
      <c r="N161" t="s">
        <v>3046</v>
      </c>
      <c r="O161">
        <f>-803.571918138914 -123.906717146806 -480.044057802335</f>
        <v>-1407.5226930880551</v>
      </c>
      <c r="P161">
        <f>-853.683462292821 -174.875508646372 -194.593182738438</f>
        <v>-1223.1521536776308</v>
      </c>
      <c r="Q161">
        <f>-647.079569359558 -76.3186951524135 -269.774480025357</f>
        <v>-993.17274453732853</v>
      </c>
      <c r="R161" t="s">
        <v>3047</v>
      </c>
      <c r="S161" t="s">
        <v>3048</v>
      </c>
      <c r="T161" t="s">
        <v>3049</v>
      </c>
      <c r="U161" t="s">
        <v>3050</v>
      </c>
      <c r="V161">
        <f>-706.824135073161 -48.7633197630914 -62.641538727445</f>
        <v>-818.22899356369737</v>
      </c>
      <c r="W161" t="s">
        <v>3051</v>
      </c>
      <c r="X161" t="s">
        <v>3052</v>
      </c>
      <c r="Y161" t="s">
        <v>3053</v>
      </c>
    </row>
    <row r="162" spans="1:25" x14ac:dyDescent="0.3">
      <c r="A162">
        <v>8050</v>
      </c>
      <c r="B162" t="s">
        <v>3054</v>
      </c>
      <c r="C162" t="s">
        <v>3055</v>
      </c>
      <c r="D162" t="s">
        <v>3056</v>
      </c>
      <c r="E162" t="s">
        <v>3057</v>
      </c>
      <c r="F162" t="s">
        <v>3058</v>
      </c>
      <c r="G162" t="s">
        <v>3059</v>
      </c>
      <c r="H162" t="s">
        <v>3060</v>
      </c>
      <c r="I162" t="s">
        <v>3061</v>
      </c>
      <c r="J162" t="s">
        <v>3062</v>
      </c>
      <c r="K162" t="s">
        <v>3063</v>
      </c>
      <c r="L162" t="s">
        <v>3064</v>
      </c>
      <c r="M162" t="s">
        <v>3065</v>
      </c>
      <c r="N162" t="s">
        <v>3066</v>
      </c>
      <c r="O162">
        <f>-803.47374175373 -123.708699822584 -480.115734389256</f>
        <v>-1407.29817596557</v>
      </c>
      <c r="P162">
        <f>-853.646911980987 -174.353131246097 -194.617964222638</f>
        <v>-1222.618007449722</v>
      </c>
      <c r="Q162">
        <f>-646.978022813922 -76.130857811539 -270.058621074731</f>
        <v>-993.16750170019213</v>
      </c>
      <c r="R162" t="s">
        <v>3067</v>
      </c>
      <c r="S162" t="s">
        <v>3068</v>
      </c>
      <c r="T162" t="s">
        <v>3069</v>
      </c>
      <c r="U162" t="s">
        <v>3070</v>
      </c>
      <c r="V162">
        <f>-706.827227481834 -48.4813635584594 -62.6802031259604</f>
        <v>-817.9887941662538</v>
      </c>
      <c r="W162" t="s">
        <v>3071</v>
      </c>
      <c r="X162" t="s">
        <v>3072</v>
      </c>
      <c r="Y162" t="s">
        <v>3073</v>
      </c>
    </row>
    <row r="163" spans="1:25" x14ac:dyDescent="0.3">
      <c r="A163">
        <v>8100</v>
      </c>
      <c r="B163" t="s">
        <v>3074</v>
      </c>
      <c r="C163" t="s">
        <v>3075</v>
      </c>
      <c r="D163" t="s">
        <v>3076</v>
      </c>
      <c r="E163" t="s">
        <v>3077</v>
      </c>
      <c r="F163" t="s">
        <v>3078</v>
      </c>
      <c r="G163" t="s">
        <v>3079</v>
      </c>
      <c r="H163" t="s">
        <v>3080</v>
      </c>
      <c r="I163" t="s">
        <v>3081</v>
      </c>
      <c r="J163" t="s">
        <v>3082</v>
      </c>
      <c r="K163" t="s">
        <v>3083</v>
      </c>
      <c r="L163" t="s">
        <v>3084</v>
      </c>
      <c r="M163" t="s">
        <v>3085</v>
      </c>
      <c r="N163" t="s">
        <v>3086</v>
      </c>
      <c r="O163">
        <f>-803.457263590076 -123.38234036202 -480.186956265446</f>
        <v>-1407.0265602175421</v>
      </c>
      <c r="P163">
        <f>-853.550099672202 -173.574250929917 -194.595154241061</f>
        <v>-1221.7195048431799</v>
      </c>
      <c r="Q163">
        <f>-646.76846337123 -75.8452735861047 -270.366883209544</f>
        <v>-992.98062016687868</v>
      </c>
      <c r="R163" t="s">
        <v>3087</v>
      </c>
      <c r="S163" t="s">
        <v>3088</v>
      </c>
      <c r="T163" t="s">
        <v>3089</v>
      </c>
      <c r="U163" t="s">
        <v>3090</v>
      </c>
      <c r="V163">
        <f>-706.85691217505 -47.9750645339682 -62.7637958999493</f>
        <v>-817.59577260896742</v>
      </c>
      <c r="W163" t="s">
        <v>3091</v>
      </c>
      <c r="X163" t="s">
        <v>3092</v>
      </c>
      <c r="Y163" t="s">
        <v>3093</v>
      </c>
    </row>
    <row r="164" spans="1:25" x14ac:dyDescent="0.3">
      <c r="A164">
        <v>8150</v>
      </c>
      <c r="B164" t="s">
        <v>3094</v>
      </c>
      <c r="C164" t="s">
        <v>3095</v>
      </c>
      <c r="D164" t="s">
        <v>3096</v>
      </c>
      <c r="E164" t="s">
        <v>3097</v>
      </c>
      <c r="F164" t="s">
        <v>3098</v>
      </c>
      <c r="G164" t="s">
        <v>3099</v>
      </c>
      <c r="H164" t="s">
        <v>3100</v>
      </c>
      <c r="I164" t="s">
        <v>3101</v>
      </c>
      <c r="J164" t="s">
        <v>3102</v>
      </c>
      <c r="K164" t="s">
        <v>3103</v>
      </c>
      <c r="L164" t="s">
        <v>3104</v>
      </c>
      <c r="M164" t="s">
        <v>3105</v>
      </c>
      <c r="N164" t="s">
        <v>3106</v>
      </c>
      <c r="O164">
        <f>-803.498164587372 -123.271078810185 -480.170404773815</f>
        <v>-1406.939648171372</v>
      </c>
      <c r="P164">
        <f>-853.529580891751 -173.354099313398 -194.548585524803</f>
        <v>-1221.432265729952</v>
      </c>
      <c r="Q164">
        <f>-646.718189273216 -75.771802151648 -270.427614293096</f>
        <v>-992.91760571795999</v>
      </c>
      <c r="R164" t="s">
        <v>3107</v>
      </c>
      <c r="S164" t="s">
        <v>3108</v>
      </c>
      <c r="T164" t="s">
        <v>3109</v>
      </c>
      <c r="U164" t="s">
        <v>3110</v>
      </c>
      <c r="V164">
        <f>-706.906512215462 -47.8177782637576 -62.7822136409496</f>
        <v>-817.50650412016932</v>
      </c>
      <c r="W164" t="s">
        <v>3111</v>
      </c>
      <c r="X164" t="s">
        <v>3112</v>
      </c>
      <c r="Y164" t="s">
        <v>3113</v>
      </c>
    </row>
    <row r="165" spans="1:25" x14ac:dyDescent="0.3">
      <c r="A165">
        <v>8200</v>
      </c>
      <c r="B165" t="s">
        <v>3114</v>
      </c>
      <c r="C165" t="s">
        <v>3115</v>
      </c>
      <c r="D165" t="s">
        <v>3116</v>
      </c>
      <c r="E165" t="s">
        <v>3117</v>
      </c>
      <c r="F165" t="s">
        <v>3118</v>
      </c>
      <c r="G165" t="s">
        <v>3119</v>
      </c>
      <c r="H165" t="s">
        <v>3120</v>
      </c>
      <c r="I165" t="s">
        <v>3121</v>
      </c>
      <c r="J165" t="s">
        <v>3122</v>
      </c>
      <c r="K165" t="s">
        <v>3123</v>
      </c>
      <c r="L165" t="s">
        <v>3124</v>
      </c>
      <c r="M165" t="s">
        <v>3125</v>
      </c>
      <c r="N165" t="s">
        <v>3126</v>
      </c>
      <c r="O165">
        <f>-803.492099133906 -123.021050786301 -480.199446146528</f>
        <v>-1406.7125960667349</v>
      </c>
      <c r="P165">
        <f>-853.419170583341 -173.193339025705 -194.575183945912</f>
        <v>-1221.1876935549581</v>
      </c>
      <c r="Q165">
        <f>-646.513210095574 -75.8545905502933 -270.509607674955</f>
        <v>-992.87740832082227</v>
      </c>
      <c r="R165" t="s">
        <v>3127</v>
      </c>
      <c r="S165" t="s">
        <v>3128</v>
      </c>
      <c r="T165" t="s">
        <v>3129</v>
      </c>
      <c r="U165" t="s">
        <v>3130</v>
      </c>
      <c r="V165">
        <f>-707.139791693392 -47.7433390494759 -62.8051418910341</f>
        <v>-817.68827263390199</v>
      </c>
      <c r="W165" t="s">
        <v>3131</v>
      </c>
      <c r="X165" t="s">
        <v>3132</v>
      </c>
      <c r="Y165" t="s">
        <v>3133</v>
      </c>
    </row>
    <row r="166" spans="1:25" x14ac:dyDescent="0.3">
      <c r="A166">
        <v>8250</v>
      </c>
      <c r="B166" t="s">
        <v>3134</v>
      </c>
      <c r="C166" t="s">
        <v>3135</v>
      </c>
      <c r="D166" t="s">
        <v>3136</v>
      </c>
      <c r="E166" t="s">
        <v>3137</v>
      </c>
      <c r="F166" t="s">
        <v>3138</v>
      </c>
      <c r="G166" t="s">
        <v>3139</v>
      </c>
      <c r="H166" t="s">
        <v>3140</v>
      </c>
      <c r="I166" t="s">
        <v>3141</v>
      </c>
      <c r="J166" t="s">
        <v>3142</v>
      </c>
      <c r="K166" t="s">
        <v>3143</v>
      </c>
      <c r="L166" t="s">
        <v>3144</v>
      </c>
      <c r="M166" t="s">
        <v>3145</v>
      </c>
      <c r="N166" t="s">
        <v>3146</v>
      </c>
      <c r="O166">
        <f>-803.451766390307 -122.949160965284 -480.228879410654</f>
        <v>-1406.6298067662449</v>
      </c>
      <c r="P166">
        <f>-853.360956376058 -173.204278834997 -194.616049000506</f>
        <v>-1221.181284211561</v>
      </c>
      <c r="Q166">
        <f>-646.393102650059 -75.9893910944288 -270.539592864011</f>
        <v>-992.92208660849883</v>
      </c>
      <c r="R166" t="s">
        <v>3147</v>
      </c>
      <c r="S166" t="s">
        <v>3148</v>
      </c>
      <c r="T166" t="s">
        <v>3149</v>
      </c>
      <c r="U166" t="s">
        <v>3150</v>
      </c>
      <c r="V166">
        <f>-707.156403936419 -47.7801366809172 -62.8106274328794</f>
        <v>-817.74716805021558</v>
      </c>
      <c r="W166" t="s">
        <v>3151</v>
      </c>
      <c r="X166" t="s">
        <v>3152</v>
      </c>
      <c r="Y166" t="s">
        <v>3153</v>
      </c>
    </row>
    <row r="167" spans="1:25" x14ac:dyDescent="0.3">
      <c r="A167">
        <v>8300</v>
      </c>
      <c r="B167" t="s">
        <v>3154</v>
      </c>
      <c r="C167" t="s">
        <v>3155</v>
      </c>
      <c r="D167" t="s">
        <v>3156</v>
      </c>
      <c r="E167" t="s">
        <v>3157</v>
      </c>
      <c r="F167" t="s">
        <v>3158</v>
      </c>
      <c r="G167" t="s">
        <v>3159</v>
      </c>
      <c r="H167" t="s">
        <v>3160</v>
      </c>
      <c r="I167" t="s">
        <v>3161</v>
      </c>
      <c r="J167" t="s">
        <v>3162</v>
      </c>
      <c r="K167" t="s">
        <v>3163</v>
      </c>
      <c r="L167" t="s">
        <v>3164</v>
      </c>
      <c r="M167" t="s">
        <v>3165</v>
      </c>
      <c r="N167" t="s">
        <v>3166</v>
      </c>
      <c r="O167">
        <f>-803.614636334622 -122.990486466056 -480.294510730898</f>
        <v>-1406.899633531576</v>
      </c>
      <c r="P167">
        <f>-853.487005106532 -173.147467767609 -194.657994095511</f>
        <v>-1221.292466969652</v>
      </c>
      <c r="Q167">
        <f>-646.345951650751 -76.3852172001991 -270.687969332405</f>
        <v>-993.41913818335502</v>
      </c>
      <c r="R167" t="s">
        <v>3167</v>
      </c>
      <c r="S167" t="s">
        <v>3168</v>
      </c>
      <c r="T167" t="s">
        <v>3169</v>
      </c>
      <c r="U167" t="s">
        <v>3170</v>
      </c>
      <c r="V167">
        <f>-707.130819372866 -48.1181389740138 -62.8143274347718</f>
        <v>-818.06328578165164</v>
      </c>
      <c r="W167" t="s">
        <v>3171</v>
      </c>
      <c r="X167" t="s">
        <v>3172</v>
      </c>
      <c r="Y167" t="s">
        <v>3173</v>
      </c>
    </row>
    <row r="168" spans="1:25" x14ac:dyDescent="0.3">
      <c r="A168">
        <v>8350</v>
      </c>
      <c r="B168" t="s">
        <v>3174</v>
      </c>
      <c r="C168" t="s">
        <v>3175</v>
      </c>
      <c r="D168" t="s">
        <v>3176</v>
      </c>
      <c r="E168" t="s">
        <v>3177</v>
      </c>
      <c r="F168" t="s">
        <v>3178</v>
      </c>
      <c r="G168" t="s">
        <v>3179</v>
      </c>
      <c r="H168" t="s">
        <v>3180</v>
      </c>
      <c r="I168" t="s">
        <v>3181</v>
      </c>
      <c r="J168" t="s">
        <v>3182</v>
      </c>
      <c r="K168" t="s">
        <v>3183</v>
      </c>
      <c r="L168" t="s">
        <v>3184</v>
      </c>
      <c r="M168" t="s">
        <v>3185</v>
      </c>
      <c r="N168" t="s">
        <v>3186</v>
      </c>
      <c r="O168">
        <f>-803.720870214315 -122.880703197016 -480.342473352321</f>
        <v>-1406.9440467636521</v>
      </c>
      <c r="P168">
        <f>-853.540249036972 -172.796306341581 -194.654443027803</f>
        <v>-1220.9909984063559</v>
      </c>
      <c r="Q168">
        <f>-646.307851397597 -76.3542457746412 -270.841805729776</f>
        <v>-993.50390290201426</v>
      </c>
      <c r="R168" t="s">
        <v>3187</v>
      </c>
      <c r="S168" t="s">
        <v>3188</v>
      </c>
      <c r="T168" t="s">
        <v>3189</v>
      </c>
      <c r="U168" t="s">
        <v>3190</v>
      </c>
      <c r="V168">
        <f>-707.026421475162 -48.0723531513706 -62.8355875452149</f>
        <v>-817.93436217174758</v>
      </c>
      <c r="W168" t="s">
        <v>3191</v>
      </c>
      <c r="X168" t="s">
        <v>3192</v>
      </c>
      <c r="Y168" t="s">
        <v>3193</v>
      </c>
    </row>
    <row r="169" spans="1:25" x14ac:dyDescent="0.3">
      <c r="A169">
        <v>8400</v>
      </c>
      <c r="B169" t="s">
        <v>3194</v>
      </c>
      <c r="C169" t="s">
        <v>3195</v>
      </c>
      <c r="D169" t="s">
        <v>3196</v>
      </c>
      <c r="E169" t="s">
        <v>3197</v>
      </c>
      <c r="F169" t="s">
        <v>3198</v>
      </c>
      <c r="G169" t="s">
        <v>3199</v>
      </c>
      <c r="H169" t="s">
        <v>3200</v>
      </c>
      <c r="I169" t="s">
        <v>3201</v>
      </c>
      <c r="J169" t="s">
        <v>3202</v>
      </c>
      <c r="K169" t="s">
        <v>3203</v>
      </c>
      <c r="L169" t="s">
        <v>3204</v>
      </c>
      <c r="M169" t="s">
        <v>3205</v>
      </c>
      <c r="N169" t="s">
        <v>3206</v>
      </c>
      <c r="O169">
        <f>-803.959978636986 -122.747316778289 -480.366820227571</f>
        <v>-1407.074115642846</v>
      </c>
      <c r="P169">
        <f>-853.660208546832 -172.332969470855 -194.60059402141</f>
        <v>-1220.5937720390971</v>
      </c>
      <c r="Q169">
        <f>-646.309888349134 -76.3813328448462 -271.085679978724</f>
        <v>-993.77690117270413</v>
      </c>
      <c r="R169" t="s">
        <v>3207</v>
      </c>
      <c r="S169" t="s">
        <v>3208</v>
      </c>
      <c r="T169" t="s">
        <v>3209</v>
      </c>
      <c r="U169" t="s">
        <v>3210</v>
      </c>
      <c r="V169">
        <f>-706.968395892015 -48.2802644923502 -62.8293628185647</f>
        <v>-818.0780232029299</v>
      </c>
      <c r="W169" t="s">
        <v>3211</v>
      </c>
      <c r="X169" t="s">
        <v>3212</v>
      </c>
      <c r="Y169" t="s">
        <v>3213</v>
      </c>
    </row>
    <row r="170" spans="1:25" x14ac:dyDescent="0.3">
      <c r="A170">
        <v>8450</v>
      </c>
      <c r="B170" t="s">
        <v>3214</v>
      </c>
      <c r="C170" t="s">
        <v>3215</v>
      </c>
      <c r="D170" t="s">
        <v>3216</v>
      </c>
      <c r="E170" t="s">
        <v>3217</v>
      </c>
      <c r="F170" t="s">
        <v>3218</v>
      </c>
      <c r="G170" t="s">
        <v>3219</v>
      </c>
      <c r="H170" t="s">
        <v>3220</v>
      </c>
      <c r="I170" t="s">
        <v>3221</v>
      </c>
      <c r="J170" t="s">
        <v>3222</v>
      </c>
      <c r="K170" t="s">
        <v>3223</v>
      </c>
      <c r="L170" t="s">
        <v>3224</v>
      </c>
      <c r="M170" t="s">
        <v>3225</v>
      </c>
      <c r="N170" t="s">
        <v>3226</v>
      </c>
      <c r="O170">
        <f>-804.020458640265 -122.608967194809 -480.363563621859</f>
        <v>-1406.9929894569329</v>
      </c>
      <c r="P170">
        <f>-853.621633587565 -172.19410431128 -194.579918249616</f>
        <v>-1220.3956561484611</v>
      </c>
      <c r="Q170">
        <f>-646.244951585032 -76.3360575641534 -271.111046908113</f>
        <v>-993.69205605729849</v>
      </c>
      <c r="R170" t="s">
        <v>3227</v>
      </c>
      <c r="S170" t="s">
        <v>3228</v>
      </c>
      <c r="T170" t="s">
        <v>3229</v>
      </c>
      <c r="U170" t="s">
        <v>3230</v>
      </c>
      <c r="V170">
        <f>-706.932785724237 -48.2527594692367 -62.8301789538431</f>
        <v>-818.01572414731675</v>
      </c>
      <c r="W170" t="s">
        <v>3231</v>
      </c>
      <c r="X170" t="s">
        <v>3232</v>
      </c>
      <c r="Y170" t="s">
        <v>3233</v>
      </c>
    </row>
    <row r="171" spans="1:25" x14ac:dyDescent="0.3">
      <c r="A171">
        <v>8500</v>
      </c>
      <c r="B171" t="s">
        <v>3234</v>
      </c>
      <c r="C171" t="s">
        <v>3235</v>
      </c>
      <c r="D171" t="s">
        <v>3236</v>
      </c>
      <c r="E171" t="s">
        <v>3237</v>
      </c>
      <c r="F171" t="s">
        <v>3238</v>
      </c>
      <c r="G171" t="s">
        <v>3239</v>
      </c>
      <c r="H171" t="s">
        <v>3240</v>
      </c>
      <c r="I171" t="s">
        <v>3241</v>
      </c>
      <c r="J171" t="s">
        <v>3242</v>
      </c>
      <c r="K171" t="s">
        <v>3243</v>
      </c>
      <c r="L171" t="s">
        <v>3244</v>
      </c>
      <c r="M171" t="s">
        <v>3245</v>
      </c>
      <c r="N171" t="s">
        <v>3246</v>
      </c>
      <c r="O171">
        <f>-804.04250465119 -122.281962937599 -480.398511297421</f>
        <v>-1406.7229788862101</v>
      </c>
      <c r="P171">
        <f>-853.392713520685 -172.201173485165 -194.629652847172</f>
        <v>-1220.223539853022</v>
      </c>
      <c r="Q171">
        <f>-646.056950378792 -76.2556833403396 -271.162341653521</f>
        <v>-993.47497537265258</v>
      </c>
      <c r="R171" t="s">
        <v>3247</v>
      </c>
      <c r="S171" t="s">
        <v>3248</v>
      </c>
      <c r="T171" t="s">
        <v>3249</v>
      </c>
      <c r="U171" t="s">
        <v>3250</v>
      </c>
      <c r="V171">
        <f>-706.874153459967 -48.1636142836962 -62.8404519082293</f>
        <v>-817.87821965189255</v>
      </c>
      <c r="W171" t="s">
        <v>3251</v>
      </c>
      <c r="X171" t="s">
        <v>3252</v>
      </c>
      <c r="Y171" t="s">
        <v>3253</v>
      </c>
    </row>
    <row r="172" spans="1:25" x14ac:dyDescent="0.3">
      <c r="A172">
        <v>8550</v>
      </c>
      <c r="B172" t="s">
        <v>3254</v>
      </c>
      <c r="C172" t="s">
        <v>3255</v>
      </c>
      <c r="D172" t="s">
        <v>3256</v>
      </c>
      <c r="E172" t="s">
        <v>3257</v>
      </c>
      <c r="F172" t="s">
        <v>3258</v>
      </c>
      <c r="G172" t="s">
        <v>3259</v>
      </c>
      <c r="H172" t="s">
        <v>3260</v>
      </c>
      <c r="I172" t="s">
        <v>3261</v>
      </c>
      <c r="J172" t="s">
        <v>3262</v>
      </c>
      <c r="K172" t="s">
        <v>3263</v>
      </c>
      <c r="L172" t="s">
        <v>3264</v>
      </c>
      <c r="M172" t="s">
        <v>3265</v>
      </c>
      <c r="N172" t="s">
        <v>3266</v>
      </c>
      <c r="O172">
        <f>-803.951550847808 -122.185229828925 -480.427020974883</f>
        <v>-1406.5638016516159</v>
      </c>
      <c r="P172">
        <f>-853.2097986535 -172.287243962003 -194.674262958089</f>
        <v>-1220.171305573592</v>
      </c>
      <c r="Q172">
        <f>-645.930200414751 -76.2390381454629 -271.229733710485</f>
        <v>-993.39897227069889</v>
      </c>
      <c r="R172" t="s">
        <v>3267</v>
      </c>
      <c r="S172" t="s">
        <v>3268</v>
      </c>
      <c r="T172" t="s">
        <v>3269</v>
      </c>
      <c r="U172" t="s">
        <v>3270</v>
      </c>
      <c r="V172">
        <f>-706.830235611303 -48.2221695887122 -62.8352421621653</f>
        <v>-817.88764736218047</v>
      </c>
      <c r="W172" t="s">
        <v>3271</v>
      </c>
      <c r="X172" t="s">
        <v>3272</v>
      </c>
      <c r="Y172" t="s">
        <v>3273</v>
      </c>
    </row>
    <row r="173" spans="1:25" x14ac:dyDescent="0.3">
      <c r="A173">
        <v>8600</v>
      </c>
      <c r="B173" t="s">
        <v>3274</v>
      </c>
      <c r="C173" t="s">
        <v>3275</v>
      </c>
      <c r="D173" t="s">
        <v>3276</v>
      </c>
      <c r="E173" t="s">
        <v>3277</v>
      </c>
      <c r="F173" t="s">
        <v>3278</v>
      </c>
      <c r="G173" t="s">
        <v>3279</v>
      </c>
      <c r="H173" t="s">
        <v>3280</v>
      </c>
      <c r="I173" t="s">
        <v>3281</v>
      </c>
      <c r="J173" t="s">
        <v>3282</v>
      </c>
      <c r="K173" t="s">
        <v>3283</v>
      </c>
      <c r="L173" t="s">
        <v>3284</v>
      </c>
      <c r="M173" t="s">
        <v>3285</v>
      </c>
      <c r="N173" t="s">
        <v>3286</v>
      </c>
      <c r="O173">
        <f>-803.75529882475 -122.101935072914 -480.467556835433</f>
        <v>-1406.324790733097</v>
      </c>
      <c r="P173">
        <f>-852.838416973631 -172.289061509482 -194.699780242907</f>
        <v>-1219.8272587260201</v>
      </c>
      <c r="Q173">
        <f>-645.669786179591 -76.1093623500637 -271.39081555247</f>
        <v>-993.16996408212481</v>
      </c>
      <c r="R173" t="s">
        <v>3287</v>
      </c>
      <c r="S173" t="s">
        <v>3288</v>
      </c>
      <c r="T173" t="s">
        <v>3289</v>
      </c>
      <c r="U173" t="s">
        <v>3290</v>
      </c>
      <c r="V173">
        <f>-706.690871972061 -48.2327775227132 -62.8539037431426</f>
        <v>-817.77755323791678</v>
      </c>
      <c r="W173" t="s">
        <v>3291</v>
      </c>
      <c r="X173" t="s">
        <v>3292</v>
      </c>
      <c r="Y173" t="s">
        <v>3293</v>
      </c>
    </row>
    <row r="174" spans="1:25" x14ac:dyDescent="0.3">
      <c r="A174">
        <v>8650</v>
      </c>
      <c r="B174" t="s">
        <v>3294</v>
      </c>
      <c r="C174" t="s">
        <v>3295</v>
      </c>
      <c r="D174" t="s">
        <v>3296</v>
      </c>
      <c r="E174" t="s">
        <v>3297</v>
      </c>
      <c r="F174" t="s">
        <v>3298</v>
      </c>
      <c r="G174" t="s">
        <v>3299</v>
      </c>
      <c r="H174" t="s">
        <v>3300</v>
      </c>
      <c r="I174" t="s">
        <v>3301</v>
      </c>
      <c r="J174" t="s">
        <v>3302</v>
      </c>
      <c r="K174" t="s">
        <v>3303</v>
      </c>
      <c r="L174" t="s">
        <v>3304</v>
      </c>
      <c r="M174" t="s">
        <v>3305</v>
      </c>
      <c r="N174" t="s">
        <v>3306</v>
      </c>
      <c r="O174">
        <f>-803.689607381722 -122.039836878683 -480.47222347908</f>
        <v>-1406.2016677394849</v>
      </c>
      <c r="P174">
        <f>-852.76123465903 -172.134939409283 -194.686079753121</f>
        <v>-1219.5822538214341</v>
      </c>
      <c r="Q174">
        <f>-645.620094028626 -75.9353739025125 -271.426611563605</f>
        <v>-992.98207949474352</v>
      </c>
      <c r="R174" t="s">
        <v>3307</v>
      </c>
      <c r="S174" t="s">
        <v>3308</v>
      </c>
      <c r="T174" t="s">
        <v>3309</v>
      </c>
      <c r="U174" t="s">
        <v>3310</v>
      </c>
      <c r="V174">
        <f>-706.605613201683 -48.2249243155586 -62.8642832982351</f>
        <v>-817.69482081547676</v>
      </c>
      <c r="W174" t="s">
        <v>3311</v>
      </c>
      <c r="X174" t="s">
        <v>3312</v>
      </c>
      <c r="Y174" t="s">
        <v>3313</v>
      </c>
    </row>
    <row r="175" spans="1:25" x14ac:dyDescent="0.3">
      <c r="A175">
        <v>8700</v>
      </c>
      <c r="B175" t="s">
        <v>3314</v>
      </c>
      <c r="C175" t="s">
        <v>3315</v>
      </c>
      <c r="D175" t="s">
        <v>3316</v>
      </c>
      <c r="E175" t="s">
        <v>3317</v>
      </c>
      <c r="F175" t="s">
        <v>3318</v>
      </c>
      <c r="G175" t="s">
        <v>3319</v>
      </c>
      <c r="H175" t="s">
        <v>3320</v>
      </c>
      <c r="I175" t="s">
        <v>3321</v>
      </c>
      <c r="J175" t="s">
        <v>3322</v>
      </c>
      <c r="K175" t="s">
        <v>3323</v>
      </c>
      <c r="L175" t="s">
        <v>3324</v>
      </c>
      <c r="M175" t="s">
        <v>3325</v>
      </c>
      <c r="N175" t="s">
        <v>3326</v>
      </c>
      <c r="O175">
        <f>-803.416659069419 -122.17507228848 -480.420667886575</f>
        <v>-1406.012399244474</v>
      </c>
      <c r="P175">
        <f>-852.473900272073 -172.090144326219 -194.60069035948</f>
        <v>-1219.164734957772</v>
      </c>
      <c r="Q175">
        <f>-645.35511627067 -75.8375068470477 -271.334650070582</f>
        <v>-992.52727318829966</v>
      </c>
      <c r="R175" t="s">
        <v>3327</v>
      </c>
      <c r="S175" t="s">
        <v>3328</v>
      </c>
      <c r="T175" t="s">
        <v>3329</v>
      </c>
      <c r="U175" t="s">
        <v>3330</v>
      </c>
      <c r="V175">
        <f>-706.349874372792 -48.3955659702112 -62.8672820806397</f>
        <v>-817.61272242364294</v>
      </c>
      <c r="W175" t="s">
        <v>3331</v>
      </c>
      <c r="X175" t="s">
        <v>3332</v>
      </c>
      <c r="Y175" t="s">
        <v>3333</v>
      </c>
    </row>
    <row r="176" spans="1:25" x14ac:dyDescent="0.3">
      <c r="A176">
        <v>8750</v>
      </c>
      <c r="B176" t="s">
        <v>3334</v>
      </c>
      <c r="C176" t="s">
        <v>3335</v>
      </c>
      <c r="D176" t="s">
        <v>3336</v>
      </c>
      <c r="E176" t="s">
        <v>3337</v>
      </c>
      <c r="F176" t="s">
        <v>3338</v>
      </c>
      <c r="G176" t="s">
        <v>3339</v>
      </c>
      <c r="H176" t="s">
        <v>3340</v>
      </c>
      <c r="I176" t="s">
        <v>3341</v>
      </c>
      <c r="J176" t="s">
        <v>3342</v>
      </c>
      <c r="K176" t="s">
        <v>3343</v>
      </c>
      <c r="L176" t="s">
        <v>3344</v>
      </c>
      <c r="M176" t="s">
        <v>3345</v>
      </c>
      <c r="N176" t="s">
        <v>3346</v>
      </c>
      <c r="O176">
        <f>-803.078484684678 -122.203846617946 -480.373135136127</f>
        <v>-1405.6554664387511</v>
      </c>
      <c r="P176">
        <f>-852.15988128211 -172.11158109292 -194.556035939397</f>
        <v>-1218.8274983144267</v>
      </c>
      <c r="Q176">
        <f>-645.073755722333 -75.7748554008863 -271.272580088442</f>
        <v>-992.1211912116612</v>
      </c>
      <c r="R176" t="s">
        <v>3347</v>
      </c>
      <c r="S176" t="s">
        <v>3348</v>
      </c>
      <c r="T176" t="s">
        <v>3349</v>
      </c>
      <c r="U176" t="s">
        <v>3350</v>
      </c>
      <c r="V176">
        <f>-706.197813204602 -48.3911839862144 -62.8622559593047</f>
        <v>-817.45125315012103</v>
      </c>
      <c r="W176" t="s">
        <v>3351</v>
      </c>
      <c r="X176" t="s">
        <v>3352</v>
      </c>
      <c r="Y176" t="s">
        <v>3353</v>
      </c>
    </row>
    <row r="177" spans="1:25" x14ac:dyDescent="0.3">
      <c r="A177">
        <v>8800</v>
      </c>
      <c r="B177" t="s">
        <v>3354</v>
      </c>
      <c r="C177" t="s">
        <v>3355</v>
      </c>
      <c r="D177" t="s">
        <v>3356</v>
      </c>
      <c r="E177" t="s">
        <v>3357</v>
      </c>
      <c r="F177" t="s">
        <v>3358</v>
      </c>
      <c r="G177" t="s">
        <v>3359</v>
      </c>
      <c r="H177" t="s">
        <v>3360</v>
      </c>
      <c r="I177" t="s">
        <v>3361</v>
      </c>
      <c r="J177" t="s">
        <v>3362</v>
      </c>
      <c r="K177" t="s">
        <v>3363</v>
      </c>
      <c r="L177" t="s">
        <v>3364</v>
      </c>
      <c r="M177" t="s">
        <v>3365</v>
      </c>
      <c r="N177" t="s">
        <v>3366</v>
      </c>
      <c r="O177">
        <f>-802.317761961289 -122.244809491089 -480.3613292437</f>
        <v>-1404.9239006960779</v>
      </c>
      <c r="P177">
        <f>-851.506798374942 -172.252856933443 -194.580050303194</f>
        <v>-1218.3397056115791</v>
      </c>
      <c r="Q177">
        <f>-644.566346106444 -75.5370353195763 -271.21278839926</f>
        <v>-991.31616982528021</v>
      </c>
      <c r="R177" t="s">
        <v>3367</v>
      </c>
      <c r="S177" t="s">
        <v>3368</v>
      </c>
      <c r="T177" t="s">
        <v>3369</v>
      </c>
      <c r="U177" t="s">
        <v>3370</v>
      </c>
      <c r="V177">
        <f>-705.938556957221 -48.3505612946813 -62.8500086426918</f>
        <v>-817.13912689459403</v>
      </c>
      <c r="W177" t="s">
        <v>3371</v>
      </c>
      <c r="X177" t="s">
        <v>3372</v>
      </c>
      <c r="Y177" t="s">
        <v>3373</v>
      </c>
    </row>
    <row r="178" spans="1:25" x14ac:dyDescent="0.3">
      <c r="A178">
        <v>8850</v>
      </c>
      <c r="B178" t="s">
        <v>3374</v>
      </c>
      <c r="C178" t="s">
        <v>3375</v>
      </c>
      <c r="D178" t="s">
        <v>3376</v>
      </c>
      <c r="E178" t="s">
        <v>3377</v>
      </c>
      <c r="F178" t="s">
        <v>3378</v>
      </c>
      <c r="G178" t="s">
        <v>3379</v>
      </c>
      <c r="H178" t="s">
        <v>3380</v>
      </c>
      <c r="I178" t="s">
        <v>3381</v>
      </c>
      <c r="J178" t="s">
        <v>3382</v>
      </c>
      <c r="K178" t="s">
        <v>3383</v>
      </c>
      <c r="L178" t="s">
        <v>3384</v>
      </c>
      <c r="M178" t="s">
        <v>3385</v>
      </c>
      <c r="N178" t="s">
        <v>3386</v>
      </c>
      <c r="O178">
        <f>-801.989258695122 -122.20659663832 -480.348571502734</f>
        <v>-1404.5444268361759</v>
      </c>
      <c r="P178">
        <f>-851.19235365348 -172.34489658007 -194.592700687061</f>
        <v>-1218.129950920611</v>
      </c>
      <c r="Q178">
        <f>-644.342786664825 -75.4237332153677 -271.21139232043</f>
        <v>-990.97791220062277</v>
      </c>
      <c r="R178" t="s">
        <v>3387</v>
      </c>
      <c r="S178" t="s">
        <v>3388</v>
      </c>
      <c r="T178" t="s">
        <v>3389</v>
      </c>
      <c r="U178" t="s">
        <v>3390</v>
      </c>
      <c r="V178">
        <f>-705.823521351866 -48.129220602021 -62.8748265119011</f>
        <v>-816.82756846578809</v>
      </c>
      <c r="W178" t="s">
        <v>3391</v>
      </c>
      <c r="X178" t="s">
        <v>3392</v>
      </c>
      <c r="Y178" t="s">
        <v>3393</v>
      </c>
    </row>
    <row r="179" spans="1:25" x14ac:dyDescent="0.3">
      <c r="A179">
        <v>8900</v>
      </c>
      <c r="B179" t="s">
        <v>3394</v>
      </c>
      <c r="C179" t="s">
        <v>3395</v>
      </c>
      <c r="D179" t="s">
        <v>3396</v>
      </c>
      <c r="E179" t="s">
        <v>3397</v>
      </c>
      <c r="F179" t="s">
        <v>3398</v>
      </c>
      <c r="G179" t="s">
        <v>3399</v>
      </c>
      <c r="H179" t="s">
        <v>3400</v>
      </c>
      <c r="I179" t="s">
        <v>3401</v>
      </c>
      <c r="J179" t="s">
        <v>3402</v>
      </c>
      <c r="K179" t="s">
        <v>3403</v>
      </c>
      <c r="L179" t="s">
        <v>3404</v>
      </c>
      <c r="M179" t="s">
        <v>3405</v>
      </c>
      <c r="N179" t="s">
        <v>3406</v>
      </c>
      <c r="O179">
        <f>-801.413203159518 -122.039163538199 -480.373887351477</f>
        <v>-1403.8262540491939</v>
      </c>
      <c r="P179">
        <f>-850.528107176261 -172.197876260354 -194.606304629189</f>
        <v>-1217.3322880658041</v>
      </c>
      <c r="Q179">
        <f>-643.847198273279 -74.9330844010542 -271.244841384848</f>
        <v>-990.02512405918117</v>
      </c>
      <c r="R179" t="s">
        <v>3407</v>
      </c>
      <c r="S179" t="s">
        <v>3408</v>
      </c>
      <c r="T179" t="s">
        <v>3409</v>
      </c>
      <c r="U179" t="s">
        <v>3410</v>
      </c>
      <c r="V179">
        <f>-705.607025598578 -47.6783044023348 -62.9368957607104</f>
        <v>-816.22222576162324</v>
      </c>
      <c r="W179" t="s">
        <v>3411</v>
      </c>
      <c r="X179" t="s">
        <v>3412</v>
      </c>
      <c r="Y179" t="s">
        <v>3413</v>
      </c>
    </row>
    <row r="180" spans="1:25" x14ac:dyDescent="0.3">
      <c r="A180">
        <v>8950</v>
      </c>
      <c r="B180" t="s">
        <v>3414</v>
      </c>
      <c r="C180" t="s">
        <v>3415</v>
      </c>
      <c r="D180" t="s">
        <v>3416</v>
      </c>
      <c r="E180" t="s">
        <v>3417</v>
      </c>
      <c r="F180" t="s">
        <v>3418</v>
      </c>
      <c r="G180" t="s">
        <v>3419</v>
      </c>
      <c r="H180" t="s">
        <v>3420</v>
      </c>
      <c r="I180" t="s">
        <v>3421</v>
      </c>
      <c r="J180" t="s">
        <v>3422</v>
      </c>
      <c r="K180" t="s">
        <v>3423</v>
      </c>
      <c r="L180" t="s">
        <v>3424</v>
      </c>
      <c r="M180" t="s">
        <v>3425</v>
      </c>
      <c r="N180" t="s">
        <v>3426</v>
      </c>
      <c r="O180">
        <f>-801.178892086873 -121.783609972266 -480.421424480647</f>
        <v>-1403.383926539786</v>
      </c>
      <c r="P180">
        <f>-850.239206348095 -172.088678727411 -194.670259197786</f>
        <v>-1216.9981442732919</v>
      </c>
      <c r="Q180">
        <f>-643.695038751713 -74.5075628578461 -271.274963510998</f>
        <v>-989.47756512055707</v>
      </c>
      <c r="R180" t="s">
        <v>3427</v>
      </c>
      <c r="S180" t="s">
        <v>3428</v>
      </c>
      <c r="T180" t="s">
        <v>3429</v>
      </c>
      <c r="U180" t="s">
        <v>3430</v>
      </c>
      <c r="V180">
        <f>-705.502383921627 -47.3383804122659 -62.9881928271416</f>
        <v>-815.82895716103451</v>
      </c>
      <c r="W180" t="s">
        <v>3431</v>
      </c>
      <c r="X180" t="s">
        <v>3432</v>
      </c>
      <c r="Y180" t="s">
        <v>3433</v>
      </c>
    </row>
    <row r="181" spans="1:25" x14ac:dyDescent="0.3">
      <c r="A181">
        <v>9000</v>
      </c>
      <c r="B181" t="s">
        <v>3434</v>
      </c>
      <c r="C181" t="s">
        <v>3435</v>
      </c>
      <c r="D181" t="s">
        <v>3436</v>
      </c>
      <c r="E181" t="s">
        <v>3437</v>
      </c>
      <c r="F181" t="s">
        <v>3438</v>
      </c>
      <c r="G181" t="s">
        <v>3439</v>
      </c>
      <c r="H181" t="s">
        <v>3440</v>
      </c>
      <c r="I181" t="s">
        <v>3441</v>
      </c>
      <c r="J181" t="s">
        <v>3442</v>
      </c>
      <c r="K181" t="s">
        <v>3443</v>
      </c>
      <c r="L181" t="s">
        <v>3444</v>
      </c>
      <c r="M181" t="s">
        <v>3445</v>
      </c>
      <c r="N181" t="s">
        <v>3446</v>
      </c>
      <c r="O181">
        <f>-800.835418069671 -121.307846072862 -480.519937809481</f>
        <v>-1402.6632019520141</v>
      </c>
      <c r="P181">
        <f>-850.039583641922 -172.021942618857 -194.865923039424</f>
        <v>-1216.9274493002031</v>
      </c>
      <c r="Q181">
        <f>-643.635394468069 -74.0197832902336 -271.310092744928</f>
        <v>-988.96527050323061</v>
      </c>
      <c r="R181" t="s">
        <v>3447</v>
      </c>
      <c r="S181" t="s">
        <v>3448</v>
      </c>
      <c r="T181" t="s">
        <v>3449</v>
      </c>
      <c r="U181" t="s">
        <v>3450</v>
      </c>
      <c r="V181">
        <f>-705.537561680684 -46.8018085820527 -63.0617640154729</f>
        <v>-815.40113427820961</v>
      </c>
      <c r="W181" t="s">
        <v>3451</v>
      </c>
      <c r="X181" t="s">
        <v>3452</v>
      </c>
      <c r="Y181" t="s">
        <v>3453</v>
      </c>
    </row>
    <row r="182" spans="1:25" x14ac:dyDescent="0.3">
      <c r="A182">
        <v>9050</v>
      </c>
      <c r="B182" t="s">
        <v>3454</v>
      </c>
      <c r="C182" t="s">
        <v>3455</v>
      </c>
      <c r="D182" t="s">
        <v>3456</v>
      </c>
      <c r="E182" t="s">
        <v>3457</v>
      </c>
      <c r="F182" t="s">
        <v>3458</v>
      </c>
      <c r="G182" t="s">
        <v>3459</v>
      </c>
      <c r="H182" t="s">
        <v>3460</v>
      </c>
      <c r="I182" t="s">
        <v>3461</v>
      </c>
      <c r="J182" t="s">
        <v>3462</v>
      </c>
      <c r="K182" t="s">
        <v>3463</v>
      </c>
      <c r="L182" t="s">
        <v>3464</v>
      </c>
      <c r="M182" t="s">
        <v>3465</v>
      </c>
      <c r="N182" t="s">
        <v>3466</v>
      </c>
      <c r="O182">
        <f>-800.719564103309 -121.2317066694 -480.565064916714</f>
        <v>-1402.5163356894229</v>
      </c>
      <c r="P182">
        <f>-850.078905632623 -172.110085083522 -194.966984351862</f>
        <v>-1217.1559750680069</v>
      </c>
      <c r="Q182">
        <f>-643.681209643946 -74.0213565251966 -271.317617029987</f>
        <v>-989.02018319912952</v>
      </c>
      <c r="R182" t="s">
        <v>3467</v>
      </c>
      <c r="S182" t="s">
        <v>3468</v>
      </c>
      <c r="T182" t="s">
        <v>3469</v>
      </c>
      <c r="U182" t="s">
        <v>3470</v>
      </c>
      <c r="V182">
        <f>-705.662160516376 -46.8911785400967 -63.0600546616374</f>
        <v>-815.61339371811016</v>
      </c>
      <c r="W182" t="s">
        <v>3471</v>
      </c>
      <c r="X182" t="s">
        <v>3472</v>
      </c>
      <c r="Y182" t="s">
        <v>3473</v>
      </c>
    </row>
    <row r="183" spans="1:25" x14ac:dyDescent="0.3">
      <c r="A183">
        <v>9100</v>
      </c>
      <c r="B183" t="s">
        <v>3474</v>
      </c>
      <c r="C183" t="s">
        <v>3475</v>
      </c>
      <c r="D183" t="s">
        <v>3476</v>
      </c>
      <c r="E183" t="s">
        <v>3477</v>
      </c>
      <c r="F183" t="s">
        <v>3478</v>
      </c>
      <c r="G183" t="s">
        <v>3479</v>
      </c>
      <c r="H183" t="s">
        <v>3480</v>
      </c>
      <c r="I183" t="s">
        <v>3481</v>
      </c>
      <c r="J183" t="s">
        <v>3482</v>
      </c>
      <c r="K183" t="s">
        <v>3483</v>
      </c>
      <c r="L183" t="s">
        <v>3484</v>
      </c>
      <c r="M183" t="s">
        <v>3485</v>
      </c>
      <c r="N183" t="s">
        <v>3486</v>
      </c>
      <c r="O183">
        <f>-800.531109088685 -121.261854659551 -480.542812356273</f>
        <v>-1402.335776104509</v>
      </c>
      <c r="P183">
        <f>-850.218183136281 -172.208932685115 -195.013952997625</f>
        <v>-1217.441068819021</v>
      </c>
      <c r="Q183">
        <f>-643.652217713507 -74.338599028312 -271.189559600255</f>
        <v>-989.18037634207394</v>
      </c>
      <c r="R183" t="s">
        <v>3487</v>
      </c>
      <c r="S183" t="s">
        <v>3488</v>
      </c>
      <c r="T183" t="s">
        <v>3489</v>
      </c>
      <c r="U183" t="s">
        <v>3490</v>
      </c>
      <c r="V183">
        <f>-705.867996180654 -47.0203641511878 -63.0489754612061</f>
        <v>-815.93733579304785</v>
      </c>
      <c r="W183" t="s">
        <v>3491</v>
      </c>
      <c r="X183" t="s">
        <v>3492</v>
      </c>
      <c r="Y183" t="s">
        <v>3493</v>
      </c>
    </row>
    <row r="184" spans="1:25" x14ac:dyDescent="0.3">
      <c r="A184">
        <v>9150</v>
      </c>
      <c r="B184" t="s">
        <v>3494</v>
      </c>
      <c r="C184" t="s">
        <v>3495</v>
      </c>
      <c r="D184" t="s">
        <v>3496</v>
      </c>
      <c r="E184" t="s">
        <v>3497</v>
      </c>
      <c r="F184" t="s">
        <v>3498</v>
      </c>
      <c r="G184" t="s">
        <v>3499</v>
      </c>
      <c r="H184" t="s">
        <v>3500</v>
      </c>
      <c r="I184" t="s">
        <v>3501</v>
      </c>
      <c r="J184" t="s">
        <v>3502</v>
      </c>
      <c r="K184" t="s">
        <v>3503</v>
      </c>
      <c r="L184" t="s">
        <v>3504</v>
      </c>
      <c r="M184" t="s">
        <v>3505</v>
      </c>
      <c r="N184" t="s">
        <v>3506</v>
      </c>
      <c r="O184">
        <f>-800.538351011313 -121.295805808001 -480.540630852758</f>
        <v>-1402.374787672072</v>
      </c>
      <c r="P184">
        <f>-850.463557213505 -172.176743791087 -195.041475176372</f>
        <v>-1217.6817761809641</v>
      </c>
      <c r="Q184">
        <f>-643.741385258915 -74.5490421136747 -271.104698899127</f>
        <v>-989.39512627171666</v>
      </c>
      <c r="R184" t="s">
        <v>3507</v>
      </c>
      <c r="S184" t="s">
        <v>3508</v>
      </c>
      <c r="T184" t="s">
        <v>3509</v>
      </c>
      <c r="U184" t="s">
        <v>3510</v>
      </c>
      <c r="V184">
        <f>-705.971033089981 -47.1638617151057 -63.0372902110787</f>
        <v>-816.17218501616537</v>
      </c>
      <c r="W184" t="s">
        <v>3511</v>
      </c>
      <c r="X184" t="s">
        <v>3512</v>
      </c>
      <c r="Y184" t="s">
        <v>3513</v>
      </c>
    </row>
    <row r="185" spans="1:25" x14ac:dyDescent="0.3">
      <c r="A185">
        <v>9200</v>
      </c>
      <c r="B185" t="s">
        <v>3514</v>
      </c>
      <c r="C185" t="s">
        <v>3515</v>
      </c>
      <c r="D185" t="s">
        <v>3516</v>
      </c>
      <c r="E185" t="s">
        <v>3517</v>
      </c>
      <c r="F185" t="s">
        <v>3518</v>
      </c>
      <c r="G185" t="s">
        <v>3519</v>
      </c>
      <c r="H185" t="s">
        <v>3520</v>
      </c>
      <c r="I185" t="s">
        <v>3521</v>
      </c>
      <c r="J185" t="s">
        <v>3522</v>
      </c>
      <c r="K185" t="s">
        <v>3523</v>
      </c>
      <c r="L185" t="s">
        <v>3524</v>
      </c>
      <c r="M185" t="s">
        <v>3525</v>
      </c>
      <c r="N185" t="s">
        <v>3526</v>
      </c>
      <c r="O185">
        <f>-800.608226882577 -121.487735758624 -480.515665334379</f>
        <v>-1402.6116279755799</v>
      </c>
      <c r="P185">
        <f>-851.005143030659 -172.137441094638 -195.058087559867</f>
        <v>-1218.200671685164</v>
      </c>
      <c r="Q185">
        <f>-643.9233591042 -75.159539202534 -270.975062014643</f>
        <v>-990.0579603213771</v>
      </c>
      <c r="R185" t="s">
        <v>3527</v>
      </c>
      <c r="S185" t="s">
        <v>3528</v>
      </c>
      <c r="T185" t="s">
        <v>3529</v>
      </c>
      <c r="U185" t="s">
        <v>3530</v>
      </c>
      <c r="V185">
        <f>-706.147239409344 -47.3691893676473 -63.0026007521421</f>
        <v>-816.51902952913349</v>
      </c>
      <c r="W185" t="s">
        <v>3531</v>
      </c>
      <c r="X185" t="s">
        <v>3532</v>
      </c>
      <c r="Y185" t="s">
        <v>3533</v>
      </c>
    </row>
    <row r="186" spans="1:25" x14ac:dyDescent="0.3">
      <c r="A186">
        <v>9250</v>
      </c>
      <c r="B186" t="s">
        <v>3534</v>
      </c>
      <c r="C186" t="s">
        <v>3535</v>
      </c>
      <c r="D186" t="s">
        <v>3536</v>
      </c>
      <c r="E186" t="s">
        <v>3537</v>
      </c>
      <c r="F186" t="s">
        <v>3538</v>
      </c>
      <c r="G186" t="s">
        <v>3539</v>
      </c>
      <c r="H186" t="s">
        <v>3540</v>
      </c>
      <c r="I186" t="s">
        <v>3541</v>
      </c>
      <c r="J186" t="s">
        <v>3542</v>
      </c>
      <c r="K186" t="s">
        <v>3543</v>
      </c>
      <c r="L186" t="s">
        <v>3544</v>
      </c>
      <c r="M186" t="s">
        <v>3545</v>
      </c>
      <c r="N186" t="s">
        <v>3546</v>
      </c>
      <c r="O186">
        <f>-800.699761537718 -121.673378232716 -480.473968582627</f>
        <v>-1402.847108353061</v>
      </c>
      <c r="P186">
        <f>-851.271235053626 -172.236941681863 -195.032065421236</f>
        <v>-1218.5402421567251</v>
      </c>
      <c r="Q186">
        <f>-644.015365600352 -75.5874427466633 -270.892002112787</f>
        <v>-990.49481045980224</v>
      </c>
      <c r="R186" t="s">
        <v>3547</v>
      </c>
      <c r="S186" t="s">
        <v>3548</v>
      </c>
      <c r="T186" t="s">
        <v>3549</v>
      </c>
      <c r="U186" t="s">
        <v>3550</v>
      </c>
      <c r="V186">
        <f>-706.245470538172 -47.5751265116312 -62.9687272525109</f>
        <v>-816.78932430231407</v>
      </c>
      <c r="W186" t="s">
        <v>3551</v>
      </c>
      <c r="X186" t="s">
        <v>3552</v>
      </c>
      <c r="Y186" t="s">
        <v>3553</v>
      </c>
    </row>
    <row r="187" spans="1:25" x14ac:dyDescent="0.3">
      <c r="A187">
        <v>9300</v>
      </c>
      <c r="B187" t="s">
        <v>3554</v>
      </c>
      <c r="C187" t="s">
        <v>3555</v>
      </c>
      <c r="D187" t="s">
        <v>3556</v>
      </c>
      <c r="E187" t="s">
        <v>3557</v>
      </c>
      <c r="F187" t="s">
        <v>3558</v>
      </c>
      <c r="G187" t="s">
        <v>3559</v>
      </c>
      <c r="H187" t="s">
        <v>3560</v>
      </c>
      <c r="I187" t="s">
        <v>3561</v>
      </c>
      <c r="J187" t="s">
        <v>3562</v>
      </c>
      <c r="K187" t="s">
        <v>3563</v>
      </c>
      <c r="L187" t="s">
        <v>3564</v>
      </c>
      <c r="M187" t="s">
        <v>3565</v>
      </c>
      <c r="N187" t="s">
        <v>3566</v>
      </c>
      <c r="O187">
        <f>-800.659753915504 -122.228702096966 -480.334008376213</f>
        <v>-1403.222464388683</v>
      </c>
      <c r="P187">
        <f>-851.673567838427 -172.702700861557 -194.954954078729</f>
        <v>-1219.331222778713</v>
      </c>
      <c r="Q187">
        <f>-644.1540214123 -76.4862156203137 -270.644923478773</f>
        <v>-991.28516051138672</v>
      </c>
      <c r="R187" t="s">
        <v>3567</v>
      </c>
      <c r="S187" t="s">
        <v>3568</v>
      </c>
      <c r="T187" t="s">
        <v>3569</v>
      </c>
      <c r="U187" t="s">
        <v>3570</v>
      </c>
      <c r="V187">
        <f>-706.395792741883 -48.023670687779 -62.8907620944962</f>
        <v>-817.31022552415823</v>
      </c>
      <c r="W187" t="s">
        <v>3571</v>
      </c>
      <c r="X187" t="s">
        <v>3572</v>
      </c>
      <c r="Y187" t="s">
        <v>3573</v>
      </c>
    </row>
    <row r="188" spans="1:25" x14ac:dyDescent="0.3">
      <c r="A188">
        <v>9350</v>
      </c>
      <c r="B188" t="s">
        <v>3574</v>
      </c>
      <c r="C188" t="s">
        <v>3575</v>
      </c>
      <c r="D188" t="s">
        <v>3576</v>
      </c>
      <c r="E188" t="s">
        <v>3577</v>
      </c>
      <c r="F188" t="s">
        <v>3578</v>
      </c>
      <c r="G188" t="s">
        <v>3579</v>
      </c>
      <c r="H188" t="s">
        <v>3580</v>
      </c>
      <c r="I188" t="s">
        <v>3581</v>
      </c>
      <c r="J188" t="s">
        <v>3582</v>
      </c>
      <c r="K188" t="s">
        <v>3583</v>
      </c>
      <c r="L188" t="s">
        <v>3584</v>
      </c>
      <c r="M188" t="s">
        <v>3585</v>
      </c>
      <c r="N188" t="s">
        <v>3586</v>
      </c>
      <c r="O188">
        <f>-800.447155884009 -122.659876119461 -480.257113749737</f>
        <v>-1403.3641457532071</v>
      </c>
      <c r="P188">
        <f>-851.73340797484 -173.055535930613 -194.913093438846</f>
        <v>-1219.702037344299</v>
      </c>
      <c r="Q188">
        <f>-644.100159418664 -77.0143073198155 -270.513443045117</f>
        <v>-991.62790978359658</v>
      </c>
      <c r="R188" t="s">
        <v>3587</v>
      </c>
      <c r="S188" t="s">
        <v>3588</v>
      </c>
      <c r="T188" t="s">
        <v>3589</v>
      </c>
      <c r="U188" t="s">
        <v>3590</v>
      </c>
      <c r="V188">
        <f>-706.384582098133 -48.3943873138451 -62.8247397580502</f>
        <v>-817.60370917002831</v>
      </c>
      <c r="W188" t="s">
        <v>3591</v>
      </c>
      <c r="X188" t="s">
        <v>3592</v>
      </c>
      <c r="Y188" t="s">
        <v>3593</v>
      </c>
    </row>
    <row r="189" spans="1:25" x14ac:dyDescent="0.3">
      <c r="A189">
        <v>9400</v>
      </c>
      <c r="B189" t="s">
        <v>3594</v>
      </c>
      <c r="C189" t="s">
        <v>3595</v>
      </c>
      <c r="D189" t="s">
        <v>3596</v>
      </c>
      <c r="E189" t="s">
        <v>3597</v>
      </c>
      <c r="F189" t="s">
        <v>3598</v>
      </c>
      <c r="G189" t="s">
        <v>3599</v>
      </c>
      <c r="H189" t="s">
        <v>3600</v>
      </c>
      <c r="I189" t="s">
        <v>3601</v>
      </c>
      <c r="J189" t="s">
        <v>3602</v>
      </c>
      <c r="K189" t="s">
        <v>3603</v>
      </c>
      <c r="L189" t="s">
        <v>3604</v>
      </c>
      <c r="M189" t="s">
        <v>3605</v>
      </c>
      <c r="N189" t="s">
        <v>3606</v>
      </c>
      <c r="O189">
        <f>-799.665150015644 -123.45548694282 -480.13794795257</f>
        <v>-1403.2585849110342</v>
      </c>
      <c r="P189">
        <f>-851.380985513408 -173.66650967563 -194.839016758761</f>
        <v>-1219.8865119477991</v>
      </c>
      <c r="Q189">
        <f>-643.577319371699 -77.8984920286769 -270.317081242605</f>
        <v>-991.79289264298086</v>
      </c>
      <c r="R189" t="s">
        <v>3607</v>
      </c>
      <c r="S189" t="s">
        <v>3608</v>
      </c>
      <c r="T189" t="s">
        <v>3609</v>
      </c>
      <c r="U189" t="s">
        <v>3610</v>
      </c>
      <c r="V189">
        <f>-706.173407413631 -48.7266981511073 -62.7588226362786</f>
        <v>-817.65892820101692</v>
      </c>
      <c r="W189" t="s">
        <v>3611</v>
      </c>
      <c r="X189" t="s">
        <v>3612</v>
      </c>
      <c r="Y189" t="s">
        <v>3613</v>
      </c>
    </row>
    <row r="190" spans="1:25" x14ac:dyDescent="0.3">
      <c r="A190">
        <v>9450</v>
      </c>
      <c r="B190" t="s">
        <v>3614</v>
      </c>
      <c r="C190" t="s">
        <v>3615</v>
      </c>
      <c r="D190" t="s">
        <v>3616</v>
      </c>
      <c r="E190" t="s">
        <v>3617</v>
      </c>
      <c r="F190" t="s">
        <v>3618</v>
      </c>
      <c r="G190" t="s">
        <v>3619</v>
      </c>
      <c r="H190" t="s">
        <v>3620</v>
      </c>
      <c r="I190" t="s">
        <v>3621</v>
      </c>
      <c r="J190" t="s">
        <v>3622</v>
      </c>
      <c r="K190" t="s">
        <v>3623</v>
      </c>
      <c r="L190" t="s">
        <v>3624</v>
      </c>
      <c r="M190" t="s">
        <v>3625</v>
      </c>
      <c r="N190" t="s">
        <v>3626</v>
      </c>
      <c r="O190">
        <f>-799.428133773264 -123.671700156322 -480.142906544571</f>
        <v>-1403.242740474157</v>
      </c>
      <c r="P190">
        <f>-851.237091825621 -173.801557109675 -194.846368288399</f>
        <v>-1219.8850172236948</v>
      </c>
      <c r="Q190">
        <f>-643.365206290623 -78.1588763449347 -270.2956551107</f>
        <v>-991.81973774625772</v>
      </c>
      <c r="R190" t="s">
        <v>3627</v>
      </c>
      <c r="S190" t="s">
        <v>3628</v>
      </c>
      <c r="T190" t="s">
        <v>3629</v>
      </c>
      <c r="U190" t="s">
        <v>3630</v>
      </c>
      <c r="V190">
        <f>-706.132422425003 -48.7521750163671 -62.7527295713817</f>
        <v>-817.63732701275183</v>
      </c>
      <c r="W190" t="s">
        <v>3631</v>
      </c>
      <c r="X190" t="s">
        <v>3632</v>
      </c>
      <c r="Y190" t="s">
        <v>3633</v>
      </c>
    </row>
    <row r="191" spans="1:25" x14ac:dyDescent="0.3">
      <c r="A191">
        <v>9500</v>
      </c>
      <c r="B191" t="s">
        <v>3634</v>
      </c>
      <c r="C191" t="s">
        <v>3635</v>
      </c>
      <c r="D191" t="s">
        <v>3636</v>
      </c>
      <c r="E191" t="s">
        <v>3637</v>
      </c>
      <c r="F191" t="s">
        <v>3638</v>
      </c>
      <c r="G191" t="s">
        <v>3639</v>
      </c>
      <c r="H191" t="s">
        <v>3640</v>
      </c>
      <c r="I191" t="s">
        <v>3641</v>
      </c>
      <c r="J191" t="s">
        <v>3642</v>
      </c>
      <c r="K191" t="s">
        <v>3643</v>
      </c>
      <c r="L191" t="s">
        <v>3644</v>
      </c>
      <c r="M191" t="s">
        <v>3645</v>
      </c>
      <c r="N191" t="s">
        <v>3646</v>
      </c>
      <c r="O191">
        <f>-798.939216366891 -124.241779298904 -480.050527975033</f>
        <v>-1403.2315236408281</v>
      </c>
      <c r="P191">
        <f>-851.063852449015 -174.200094293815 -194.781479769565</f>
        <v>-1220.0454265123951</v>
      </c>
      <c r="Q191">
        <f>-643.037073880903 -78.8136894537151 -270.128267953664</f>
        <v>-991.97903128828216</v>
      </c>
      <c r="R191" t="s">
        <v>3647</v>
      </c>
      <c r="S191" t="s">
        <v>3648</v>
      </c>
      <c r="T191" t="s">
        <v>3649</v>
      </c>
      <c r="U191" t="s">
        <v>3650</v>
      </c>
      <c r="V191">
        <f>-706.128234705099 -49.1255682712194 -62.7019745919357</f>
        <v>-817.95577756825412</v>
      </c>
      <c r="W191" t="s">
        <v>3651</v>
      </c>
      <c r="X191" t="s">
        <v>3652</v>
      </c>
      <c r="Y191" t="s">
        <v>3653</v>
      </c>
    </row>
    <row r="192" spans="1:25" x14ac:dyDescent="0.3">
      <c r="A192">
        <v>9550</v>
      </c>
      <c r="B192" t="s">
        <v>3654</v>
      </c>
      <c r="C192" t="s">
        <v>3655</v>
      </c>
      <c r="D192" t="s">
        <v>3656</v>
      </c>
      <c r="E192" t="s">
        <v>3657</v>
      </c>
      <c r="F192" t="s">
        <v>3658</v>
      </c>
      <c r="G192" t="s">
        <v>3659</v>
      </c>
      <c r="H192" t="s">
        <v>3660</v>
      </c>
      <c r="I192" t="s">
        <v>3661</v>
      </c>
      <c r="J192" t="s">
        <v>3662</v>
      </c>
      <c r="K192" t="s">
        <v>3663</v>
      </c>
      <c r="L192" t="s">
        <v>3664</v>
      </c>
      <c r="M192" t="s">
        <v>3665</v>
      </c>
      <c r="N192" t="s">
        <v>3666</v>
      </c>
      <c r="O192">
        <f>-798.700314411338 -124.635991740532 -479.949918924263</f>
        <v>-1403.2862250761332</v>
      </c>
      <c r="P192">
        <f>-851.0174317637 -174.511446152148 -194.701703618143</f>
        <v>-1220.230581533991</v>
      </c>
      <c r="Q192">
        <f>-642.901322300778 -79.2360842516161 -269.942727014949</f>
        <v>-992.08013356734318</v>
      </c>
      <c r="R192" t="s">
        <v>3667</v>
      </c>
      <c r="S192" t="s">
        <v>3668</v>
      </c>
      <c r="T192" t="s">
        <v>3669</v>
      </c>
      <c r="U192" t="s">
        <v>3670</v>
      </c>
      <c r="V192">
        <f>-706.081660329564 -49.4156238402518 -62.6676863666805</f>
        <v>-818.1649705364963</v>
      </c>
      <c r="W192" t="s">
        <v>3671</v>
      </c>
      <c r="X192" t="s">
        <v>3672</v>
      </c>
      <c r="Y192" t="s">
        <v>3673</v>
      </c>
    </row>
    <row r="193" spans="1:25" x14ac:dyDescent="0.3">
      <c r="A193">
        <v>9600</v>
      </c>
      <c r="B193" t="s">
        <v>3674</v>
      </c>
      <c r="C193" t="s">
        <v>3675</v>
      </c>
      <c r="D193" t="s">
        <v>3676</v>
      </c>
      <c r="E193" t="s">
        <v>3677</v>
      </c>
      <c r="F193" t="s">
        <v>3678</v>
      </c>
      <c r="G193" t="s">
        <v>3679</v>
      </c>
      <c r="H193" t="s">
        <v>3680</v>
      </c>
      <c r="I193" t="s">
        <v>3681</v>
      </c>
      <c r="J193" t="s">
        <v>3682</v>
      </c>
      <c r="K193" t="s">
        <v>3683</v>
      </c>
      <c r="L193" t="s">
        <v>3684</v>
      </c>
      <c r="M193" t="s">
        <v>3685</v>
      </c>
      <c r="N193" t="s">
        <v>3686</v>
      </c>
      <c r="O193">
        <f>-798.046738529742 -125.42043131755 -479.753107303475</f>
        <v>-1403.2202771507671</v>
      </c>
      <c r="P193">
        <f>-850.750116745321 -175.112046308208 -194.543900206995</f>
        <v>-1220.406063260524</v>
      </c>
      <c r="Q193">
        <f>-642.485487447964 -79.9491347287101 -269.515392834718</f>
        <v>-991.95001501139211</v>
      </c>
      <c r="R193" t="s">
        <v>3687</v>
      </c>
      <c r="S193" t="s">
        <v>3688</v>
      </c>
      <c r="T193" t="s">
        <v>3689</v>
      </c>
      <c r="U193" t="s">
        <v>3690</v>
      </c>
      <c r="V193">
        <f>-705.700749890508 -50.0210572236883 -62.580017549885</f>
        <v>-818.30182466408132</v>
      </c>
      <c r="W193" t="s">
        <v>3691</v>
      </c>
      <c r="X193" t="s">
        <v>3692</v>
      </c>
      <c r="Y193" t="s">
        <v>3693</v>
      </c>
    </row>
    <row r="194" spans="1:25" x14ac:dyDescent="0.3">
      <c r="A194">
        <v>9650</v>
      </c>
      <c r="B194" t="s">
        <v>3694</v>
      </c>
      <c r="C194" t="s">
        <v>3695</v>
      </c>
      <c r="D194" t="s">
        <v>3696</v>
      </c>
      <c r="E194" t="s">
        <v>3697</v>
      </c>
      <c r="F194" t="s">
        <v>3698</v>
      </c>
      <c r="G194" t="s">
        <v>3699</v>
      </c>
      <c r="H194" t="s">
        <v>3700</v>
      </c>
      <c r="I194" t="s">
        <v>3701</v>
      </c>
      <c r="J194" t="s">
        <v>3702</v>
      </c>
      <c r="K194" t="s">
        <v>3703</v>
      </c>
      <c r="L194" t="s">
        <v>3704</v>
      </c>
      <c r="M194" t="s">
        <v>3705</v>
      </c>
      <c r="N194" t="s">
        <v>3706</v>
      </c>
      <c r="O194">
        <f>-797.655771135313 -125.787293328706 -479.695133827771</f>
        <v>-1403.1381982917901</v>
      </c>
      <c r="P194">
        <f>-850.510664259617 -175.407922898781 -194.501425596463</f>
        <v>-1220.4200127548609</v>
      </c>
      <c r="Q194">
        <f>-642.191196774684 -80.2829859751396 -269.368587202242</f>
        <v>-991.84276995206562</v>
      </c>
      <c r="R194" t="s">
        <v>3707</v>
      </c>
      <c r="S194" t="s">
        <v>3708</v>
      </c>
      <c r="T194" t="s">
        <v>3709</v>
      </c>
      <c r="U194" t="s">
        <v>3710</v>
      </c>
      <c r="V194">
        <f>-705.503608362919 -50.4049830069623 -62.5269506887394</f>
        <v>-818.43554205862063</v>
      </c>
      <c r="W194" t="s">
        <v>3711</v>
      </c>
      <c r="X194" t="s">
        <v>3712</v>
      </c>
      <c r="Y194" t="s">
        <v>3713</v>
      </c>
    </row>
    <row r="195" spans="1:25" x14ac:dyDescent="0.3">
      <c r="A195">
        <v>9700</v>
      </c>
      <c r="B195" t="s">
        <v>3714</v>
      </c>
      <c r="C195" t="s">
        <v>3715</v>
      </c>
      <c r="D195" t="s">
        <v>3716</v>
      </c>
      <c r="E195" t="s">
        <v>3717</v>
      </c>
      <c r="F195" t="s">
        <v>3718</v>
      </c>
      <c r="G195" t="s">
        <v>3719</v>
      </c>
      <c r="H195" t="s">
        <v>3720</v>
      </c>
      <c r="I195" t="s">
        <v>3721</v>
      </c>
      <c r="J195" t="s">
        <v>3722</v>
      </c>
      <c r="K195" t="s">
        <v>3723</v>
      </c>
      <c r="L195" t="s">
        <v>3724</v>
      </c>
      <c r="M195" t="s">
        <v>3725</v>
      </c>
      <c r="N195" t="s">
        <v>3726</v>
      </c>
      <c r="O195">
        <f>-797.198102145231 -126.179096513956 -479.683600506165</f>
        <v>-1403.0607991653519</v>
      </c>
      <c r="P195">
        <f>-850.276373129324 -175.705224572355 -194.515183541394</f>
        <v>-1220.496781243073</v>
      </c>
      <c r="Q195">
        <f>-641.948593729542 -80.5180037724249 -269.279935544211</f>
        <v>-991.746533046178</v>
      </c>
      <c r="R195" t="s">
        <v>3727</v>
      </c>
      <c r="S195" t="s">
        <v>3728</v>
      </c>
      <c r="T195" t="s">
        <v>3729</v>
      </c>
      <c r="U195" t="s">
        <v>3730</v>
      </c>
      <c r="V195">
        <f>-705.183318588981 -50.9042558263407 -62.4511180969024</f>
        <v>-818.53869251222409</v>
      </c>
      <c r="W195" t="s">
        <v>3731</v>
      </c>
      <c r="X195" t="s">
        <v>3732</v>
      </c>
      <c r="Y195" t="s">
        <v>3733</v>
      </c>
    </row>
    <row r="196" spans="1:25" x14ac:dyDescent="0.3">
      <c r="A196">
        <v>9750</v>
      </c>
      <c r="B196" t="s">
        <v>3734</v>
      </c>
      <c r="C196" t="s">
        <v>3735</v>
      </c>
      <c r="D196" t="s">
        <v>3736</v>
      </c>
      <c r="E196" t="s">
        <v>3737</v>
      </c>
      <c r="F196" t="s">
        <v>3738</v>
      </c>
      <c r="G196" t="s">
        <v>3739</v>
      </c>
      <c r="H196" t="s">
        <v>3740</v>
      </c>
      <c r="I196" t="s">
        <v>3741</v>
      </c>
      <c r="J196" t="s">
        <v>3742</v>
      </c>
      <c r="K196" t="s">
        <v>3743</v>
      </c>
      <c r="L196" t="s">
        <v>3744</v>
      </c>
      <c r="M196" t="s">
        <v>3745</v>
      </c>
      <c r="N196" t="s">
        <v>3746</v>
      </c>
      <c r="O196">
        <f>-797.261715697327 -126.247511853633 -479.708908818826</f>
        <v>-1403.218136369786</v>
      </c>
      <c r="P196">
        <f>-850.334222329848 -175.933620337172 -194.567210908536</f>
        <v>-1220.835053575556</v>
      </c>
      <c r="Q196">
        <f>-642.042921270093 -80.6465033877594 -269.306858003832</f>
        <v>-991.99628266168429</v>
      </c>
      <c r="R196" t="s">
        <v>3747</v>
      </c>
      <c r="S196" t="s">
        <v>3748</v>
      </c>
      <c r="T196" t="s">
        <v>3749</v>
      </c>
      <c r="U196" t="s">
        <v>3750</v>
      </c>
      <c r="V196">
        <f>-705.031230190905 -50.9386155234877 -62.4359224797154</f>
        <v>-818.40576819410808</v>
      </c>
      <c r="W196" t="s">
        <v>3751</v>
      </c>
      <c r="X196" t="s">
        <v>3752</v>
      </c>
      <c r="Y196" t="s">
        <v>3753</v>
      </c>
    </row>
    <row r="197" spans="1:25" x14ac:dyDescent="0.3">
      <c r="A197">
        <v>9800</v>
      </c>
      <c r="B197" t="s">
        <v>3754</v>
      </c>
      <c r="C197" t="s">
        <v>3755</v>
      </c>
      <c r="D197" t="s">
        <v>3756</v>
      </c>
      <c r="E197" t="s">
        <v>3757</v>
      </c>
      <c r="F197" t="s">
        <v>3758</v>
      </c>
      <c r="G197" t="s">
        <v>3759</v>
      </c>
      <c r="H197" t="s">
        <v>3760</v>
      </c>
      <c r="I197" t="s">
        <v>3761</v>
      </c>
      <c r="J197" t="s">
        <v>3762</v>
      </c>
      <c r="K197" t="s">
        <v>3763</v>
      </c>
      <c r="L197" t="s">
        <v>3764</v>
      </c>
      <c r="M197" t="s">
        <v>3765</v>
      </c>
      <c r="N197" t="s">
        <v>3766</v>
      </c>
      <c r="O197">
        <f>-797.951330233178 -126.237505043164 -479.786833172487</f>
        <v>-1403.9756684488291</v>
      </c>
      <c r="P197">
        <f>-850.74992203662 -176.181950165293 -194.639358552255</f>
        <v>-1221.571230754168</v>
      </c>
      <c r="Q197">
        <f>-642.637518906805 -80.5198707053394 -269.398402628602</f>
        <v>-992.55579224074631</v>
      </c>
      <c r="R197" t="s">
        <v>3767</v>
      </c>
      <c r="S197" t="s">
        <v>3768</v>
      </c>
      <c r="T197" t="s">
        <v>3769</v>
      </c>
      <c r="U197" t="s">
        <v>3770</v>
      </c>
      <c r="V197">
        <f>-704.897720447973 -50.9531019726485 -62.4075505346622</f>
        <v>-818.25837295528368</v>
      </c>
      <c r="W197" t="s">
        <v>3771</v>
      </c>
      <c r="X197" t="s">
        <v>3772</v>
      </c>
      <c r="Y197" t="s">
        <v>3773</v>
      </c>
    </row>
    <row r="198" spans="1:25" x14ac:dyDescent="0.3">
      <c r="A198">
        <v>9850</v>
      </c>
      <c r="B198" t="s">
        <v>3774</v>
      </c>
      <c r="C198" t="s">
        <v>3775</v>
      </c>
      <c r="D198" t="s">
        <v>3776</v>
      </c>
      <c r="E198" t="s">
        <v>3777</v>
      </c>
      <c r="F198" t="s">
        <v>3778</v>
      </c>
      <c r="G198" t="s">
        <v>3779</v>
      </c>
      <c r="H198" t="s">
        <v>3780</v>
      </c>
      <c r="I198" t="s">
        <v>3781</v>
      </c>
      <c r="J198" t="s">
        <v>3782</v>
      </c>
      <c r="K198" t="s">
        <v>3783</v>
      </c>
      <c r="L198" t="s">
        <v>3784</v>
      </c>
      <c r="M198" t="s">
        <v>3785</v>
      </c>
      <c r="N198" t="s">
        <v>3786</v>
      </c>
      <c r="O198">
        <f>-798.472263393684 -126.214721208953 -479.812194449089</f>
        <v>-1404.4991790517261</v>
      </c>
      <c r="P198">
        <f>-851.049211285908 -176.353654401483 -194.657942240905</f>
        <v>-1222.0608079282958</v>
      </c>
      <c r="Q198">
        <f>-643.062991762964 -80.4580767667119 -269.468860354406</f>
        <v>-992.98992888408179</v>
      </c>
      <c r="R198" t="s">
        <v>3787</v>
      </c>
      <c r="S198" t="s">
        <v>3788</v>
      </c>
      <c r="T198" t="s">
        <v>3789</v>
      </c>
      <c r="U198" t="s">
        <v>3790</v>
      </c>
      <c r="V198">
        <f>-704.900979718171 -51.0154252524248 -62.3921698186743</f>
        <v>-818.30857478927021</v>
      </c>
      <c r="W198" t="s">
        <v>3791</v>
      </c>
      <c r="X198" t="s">
        <v>3792</v>
      </c>
      <c r="Y198" t="s">
        <v>3793</v>
      </c>
    </row>
    <row r="199" spans="1:25" x14ac:dyDescent="0.3">
      <c r="A199">
        <v>9900</v>
      </c>
      <c r="B199" t="s">
        <v>3794</v>
      </c>
      <c r="C199" t="s">
        <v>3795</v>
      </c>
      <c r="D199" t="s">
        <v>3796</v>
      </c>
      <c r="E199" t="s">
        <v>3797</v>
      </c>
      <c r="F199" t="s">
        <v>3798</v>
      </c>
      <c r="G199" t="s">
        <v>3799</v>
      </c>
      <c r="H199" t="s">
        <v>3800</v>
      </c>
      <c r="I199" t="s">
        <v>3801</v>
      </c>
      <c r="J199" t="s">
        <v>3802</v>
      </c>
      <c r="K199" t="s">
        <v>3803</v>
      </c>
      <c r="L199" t="s">
        <v>3804</v>
      </c>
      <c r="M199" t="s">
        <v>3805</v>
      </c>
      <c r="N199" t="s">
        <v>3806</v>
      </c>
      <c r="O199">
        <f>-799.555553574972 -126.0157172215 -479.840779036981</f>
        <v>-1405.4120498334541</v>
      </c>
      <c r="P199">
        <f>-851.584782914139 -176.548303457716 -194.655491388449</f>
        <v>-1222.7885777603042</v>
      </c>
      <c r="Q199">
        <f>-643.822048126811 -80.2210321284781 -269.532428826689</f>
        <v>-993.575509081978</v>
      </c>
      <c r="R199" t="s">
        <v>3807</v>
      </c>
      <c r="S199" t="s">
        <v>3808</v>
      </c>
      <c r="T199" t="s">
        <v>3809</v>
      </c>
      <c r="U199" t="s">
        <v>3810</v>
      </c>
      <c r="V199">
        <f>-704.845314812567 -50.9013330840239 -62.3852318289953</f>
        <v>-818.13187972558626</v>
      </c>
      <c r="W199" t="s">
        <v>3811</v>
      </c>
      <c r="X199" t="s">
        <v>3812</v>
      </c>
      <c r="Y199" t="s">
        <v>3813</v>
      </c>
    </row>
    <row r="200" spans="1:25" x14ac:dyDescent="0.3">
      <c r="A200">
        <v>9950</v>
      </c>
      <c r="B200" t="s">
        <v>3814</v>
      </c>
      <c r="C200" t="s">
        <v>3815</v>
      </c>
      <c r="D200" t="s">
        <v>3816</v>
      </c>
      <c r="E200" t="s">
        <v>3817</v>
      </c>
      <c r="F200" t="s">
        <v>3818</v>
      </c>
      <c r="G200" t="s">
        <v>3819</v>
      </c>
      <c r="H200" t="s">
        <v>3820</v>
      </c>
      <c r="I200" t="s">
        <v>3821</v>
      </c>
      <c r="J200" t="s">
        <v>3822</v>
      </c>
      <c r="K200" t="s">
        <v>3823</v>
      </c>
      <c r="L200" t="s">
        <v>3824</v>
      </c>
      <c r="M200" t="s">
        <v>3825</v>
      </c>
      <c r="N200" t="s">
        <v>3826</v>
      </c>
      <c r="O200">
        <f>-800.072062783233 -125.856926346309 -479.875357643565</f>
        <v>-1405.804346773107</v>
      </c>
      <c r="P200">
        <f>-851.840096233003 -176.490206913977 -194.660450851591</f>
        <v>-1222.9907539985711</v>
      </c>
      <c r="Q200">
        <f>-644.17854760164 -79.9921638960273 -269.598256819602</f>
        <v>-993.76896831726935</v>
      </c>
      <c r="R200" t="s">
        <v>3827</v>
      </c>
      <c r="S200" t="s">
        <v>3828</v>
      </c>
      <c r="T200" t="s">
        <v>3829</v>
      </c>
      <c r="U200" t="s">
        <v>3830</v>
      </c>
      <c r="V200">
        <f>-704.81460263542 -50.8354682304878 -62.3787493078746</f>
        <v>-818.02882017378238</v>
      </c>
      <c r="W200" t="s">
        <v>3831</v>
      </c>
      <c r="X200" t="s">
        <v>3832</v>
      </c>
      <c r="Y200" t="s">
        <v>3833</v>
      </c>
    </row>
    <row r="201" spans="1:25" x14ac:dyDescent="0.3">
      <c r="A201">
        <v>10000</v>
      </c>
      <c r="B201" t="s">
        <v>3834</v>
      </c>
      <c r="C201" t="s">
        <v>3835</v>
      </c>
      <c r="D201" t="s">
        <v>3836</v>
      </c>
      <c r="E201" t="s">
        <v>3837</v>
      </c>
      <c r="F201" t="s">
        <v>3838</v>
      </c>
      <c r="G201" t="s">
        <v>3839</v>
      </c>
      <c r="H201" t="s">
        <v>3840</v>
      </c>
      <c r="I201" t="s">
        <v>3841</v>
      </c>
      <c r="J201" t="s">
        <v>3842</v>
      </c>
      <c r="K201" t="s">
        <v>3843</v>
      </c>
      <c r="L201" t="s">
        <v>3844</v>
      </c>
      <c r="M201" t="s">
        <v>3845</v>
      </c>
      <c r="N201" t="s">
        <v>3846</v>
      </c>
      <c r="O201">
        <f>-801.098761436169 -125.700729184241 -479.874329380938</f>
        <v>-1406.6738200013478</v>
      </c>
      <c r="P201">
        <f>-852.273914278798 -176.515428578089 -194.584807690234</f>
        <v>-1223.374150547121</v>
      </c>
      <c r="Q201">
        <f>-644.751198244767 -79.8998322836169 -269.755220063148</f>
        <v>-994.40625059153194</v>
      </c>
      <c r="R201" t="s">
        <v>3847</v>
      </c>
      <c r="S201" t="s">
        <v>3848</v>
      </c>
      <c r="T201" t="s">
        <v>3849</v>
      </c>
      <c r="U201" t="s">
        <v>3850</v>
      </c>
      <c r="V201">
        <f>-704.808272140993 -50.8085491580935 -62.3722967953879</f>
        <v>-817.98911809447441</v>
      </c>
      <c r="W201" t="s">
        <v>3851</v>
      </c>
      <c r="X201" t="s">
        <v>3852</v>
      </c>
      <c r="Y201" t="s">
        <v>3853</v>
      </c>
    </row>
    <row r="202" spans="1:25" x14ac:dyDescent="0.3">
      <c r="A202">
        <v>10050</v>
      </c>
      <c r="B202" t="s">
        <v>3854</v>
      </c>
      <c r="C202" t="s">
        <v>3855</v>
      </c>
      <c r="D202" t="s">
        <v>3856</v>
      </c>
      <c r="E202" t="s">
        <v>3857</v>
      </c>
      <c r="F202" t="s">
        <v>3858</v>
      </c>
      <c r="G202" t="s">
        <v>3859</v>
      </c>
      <c r="H202" t="s">
        <v>3860</v>
      </c>
      <c r="I202" t="s">
        <v>3861</v>
      </c>
      <c r="J202" t="s">
        <v>3862</v>
      </c>
      <c r="K202" t="s">
        <v>3863</v>
      </c>
      <c r="L202" t="s">
        <v>3864</v>
      </c>
      <c r="M202" t="s">
        <v>3865</v>
      </c>
      <c r="N202" t="s">
        <v>3866</v>
      </c>
      <c r="O202">
        <f>-801.663642429684 -125.705087980191 -479.831758936464</f>
        <v>-1407.2004893463391</v>
      </c>
      <c r="P202">
        <f>-852.458159938933 -176.423100221724 -194.456854115202</f>
        <v>-1223.3381142758592</v>
      </c>
      <c r="Q202">
        <f>-644.959895965106 -79.9440159473206 -269.870129816599</f>
        <v>-994.77404172902561</v>
      </c>
      <c r="R202" t="s">
        <v>3867</v>
      </c>
      <c r="S202" t="s">
        <v>3868</v>
      </c>
      <c r="T202" t="s">
        <v>3869</v>
      </c>
      <c r="U202" t="s">
        <v>3870</v>
      </c>
      <c r="V202">
        <f>-704.810950519168 -50.8541227166863 -62.3790935211096</f>
        <v>-818.04416675696393</v>
      </c>
      <c r="W202" t="s">
        <v>3871</v>
      </c>
      <c r="X202" t="s">
        <v>3872</v>
      </c>
      <c r="Y202" t="s">
        <v>3873</v>
      </c>
    </row>
    <row r="203" spans="1:25" x14ac:dyDescent="0.3">
      <c r="A203">
        <v>10100</v>
      </c>
      <c r="B203" t="s">
        <v>3874</v>
      </c>
      <c r="C203" t="s">
        <v>3875</v>
      </c>
      <c r="D203" t="s">
        <v>3876</v>
      </c>
      <c r="E203" t="s">
        <v>3877</v>
      </c>
      <c r="F203" t="s">
        <v>3878</v>
      </c>
      <c r="G203" t="s">
        <v>3879</v>
      </c>
      <c r="H203" t="s">
        <v>3880</v>
      </c>
      <c r="I203" t="s">
        <v>3881</v>
      </c>
      <c r="J203" t="s">
        <v>3882</v>
      </c>
      <c r="K203" t="s">
        <v>3883</v>
      </c>
      <c r="L203" t="s">
        <v>3884</v>
      </c>
      <c r="M203" t="s">
        <v>3885</v>
      </c>
      <c r="N203" t="s">
        <v>3886</v>
      </c>
      <c r="O203">
        <f>-802.759370704787 -125.649383549641 -479.705272554908</f>
        <v>-1408.1140268093359</v>
      </c>
      <c r="P203">
        <f>-852.815009476115 -175.958501823172 -194.127548186593</f>
        <v>-1222.9010594858801</v>
      </c>
      <c r="Q203">
        <f>-645.450792532252 -79.6847928096806 -270.168667577197</f>
        <v>-995.30425291912957</v>
      </c>
      <c r="R203" t="s">
        <v>3887</v>
      </c>
      <c r="S203" t="s">
        <v>3888</v>
      </c>
      <c r="T203" t="s">
        <v>3889</v>
      </c>
      <c r="U203" t="s">
        <v>3890</v>
      </c>
      <c r="V203">
        <f>-704.822797731831 -50.5334806271051 -62.4432602786543</f>
        <v>-817.79953863759033</v>
      </c>
      <c r="W203" t="s">
        <v>3891</v>
      </c>
      <c r="X203" t="s">
        <v>3892</v>
      </c>
      <c r="Y203" t="s">
        <v>3893</v>
      </c>
    </row>
    <row r="204" spans="1:25" x14ac:dyDescent="0.3">
      <c r="A204">
        <v>10150</v>
      </c>
      <c r="B204" t="s">
        <v>3894</v>
      </c>
      <c r="C204" t="s">
        <v>3895</v>
      </c>
      <c r="D204" t="s">
        <v>3896</v>
      </c>
      <c r="E204" t="s">
        <v>3897</v>
      </c>
      <c r="F204" t="s">
        <v>3898</v>
      </c>
      <c r="G204" t="s">
        <v>3899</v>
      </c>
      <c r="H204" t="s">
        <v>3900</v>
      </c>
      <c r="I204" t="s">
        <v>3901</v>
      </c>
      <c r="J204" t="s">
        <v>3902</v>
      </c>
      <c r="K204" t="s">
        <v>3903</v>
      </c>
      <c r="L204" t="s">
        <v>3904</v>
      </c>
      <c r="M204" t="s">
        <v>3905</v>
      </c>
      <c r="N204" t="s">
        <v>3906</v>
      </c>
      <c r="O204">
        <f>-803.167340564081 -125.702983097189 -479.600760710703</f>
        <v>-1408.4710843719729</v>
      </c>
      <c r="P204">
        <f>-852.928134768108 -175.708710529174 -193.918319859829</f>
        <v>-1222.5551651571109</v>
      </c>
      <c r="Q204">
        <f>-645.607782127919 -79.5366214288943 -270.207974212438</f>
        <v>-995.35237776925135</v>
      </c>
      <c r="R204" t="s">
        <v>3907</v>
      </c>
      <c r="S204" t="s">
        <v>3908</v>
      </c>
      <c r="T204" t="s">
        <v>3909</v>
      </c>
      <c r="U204" t="s">
        <v>3910</v>
      </c>
      <c r="V204">
        <f>-704.832644810665 -50.4144185155053 -62.4770400520205</f>
        <v>-817.72410337819076</v>
      </c>
      <c r="W204" t="s">
        <v>3911</v>
      </c>
      <c r="X204" t="s">
        <v>3912</v>
      </c>
      <c r="Y204" t="s">
        <v>3913</v>
      </c>
    </row>
    <row r="205" spans="1:25" x14ac:dyDescent="0.3">
      <c r="A205">
        <v>10200</v>
      </c>
      <c r="B205" t="s">
        <v>3914</v>
      </c>
      <c r="C205" t="s">
        <v>3915</v>
      </c>
      <c r="D205" t="s">
        <v>3916</v>
      </c>
      <c r="E205" t="s">
        <v>3917</v>
      </c>
      <c r="F205" t="s">
        <v>3918</v>
      </c>
      <c r="G205" t="s">
        <v>3919</v>
      </c>
      <c r="H205" t="s">
        <v>3920</v>
      </c>
      <c r="I205" t="s">
        <v>3921</v>
      </c>
      <c r="J205" t="s">
        <v>3922</v>
      </c>
      <c r="K205" t="s">
        <v>3923</v>
      </c>
      <c r="L205" t="s">
        <v>3924</v>
      </c>
      <c r="M205" t="s">
        <v>3925</v>
      </c>
      <c r="N205" t="s">
        <v>3926</v>
      </c>
      <c r="O205">
        <f>-803.837713576352 -125.853231080014 -479.297538913555</f>
        <v>-1408.9884835699211</v>
      </c>
      <c r="P205">
        <f>-853.286886863668 -175.364435853852 -193.474825229188</f>
        <v>-1222.126147946708</v>
      </c>
      <c r="Q205">
        <f>-646.139962683495 -79.1063874703566 -270.126206226074</f>
        <v>-995.37255637992553</v>
      </c>
      <c r="R205" t="s">
        <v>3927</v>
      </c>
      <c r="S205" t="s">
        <v>3928</v>
      </c>
      <c r="T205" t="s">
        <v>3929</v>
      </c>
      <c r="U205" t="s">
        <v>3930</v>
      </c>
      <c r="V205">
        <f>-704.780248367294 -50.1725993051252 -62.4866680614517</f>
        <v>-817.43951573387096</v>
      </c>
      <c r="W205" t="s">
        <v>3931</v>
      </c>
      <c r="X205" t="s">
        <v>3932</v>
      </c>
      <c r="Y205" t="s">
        <v>3933</v>
      </c>
    </row>
    <row r="206" spans="1:25" x14ac:dyDescent="0.3">
      <c r="A206">
        <v>10250</v>
      </c>
      <c r="B206" t="s">
        <v>3934</v>
      </c>
      <c r="C206" t="s">
        <v>3935</v>
      </c>
      <c r="D206" t="s">
        <v>3936</v>
      </c>
      <c r="E206" t="s">
        <v>3937</v>
      </c>
      <c r="F206" t="s">
        <v>3938</v>
      </c>
      <c r="G206" t="s">
        <v>3939</v>
      </c>
      <c r="H206" t="s">
        <v>3940</v>
      </c>
      <c r="I206" t="s">
        <v>3941</v>
      </c>
      <c r="J206" t="s">
        <v>3942</v>
      </c>
      <c r="K206" t="s">
        <v>3943</v>
      </c>
      <c r="L206" t="s">
        <v>3944</v>
      </c>
      <c r="M206" t="s">
        <v>3945</v>
      </c>
      <c r="N206" t="s">
        <v>3946</v>
      </c>
      <c r="O206">
        <f>-804.32191653739 -125.720083735231 -479.279105017726</f>
        <v>-1409.3211052903471</v>
      </c>
      <c r="P206">
        <f>-853.695802247846 -175.133465403029 -193.426466333968</f>
        <v>-1222.2557339848429</v>
      </c>
      <c r="Q206">
        <f>-646.514389828406 -78.877894848225 -269.987233895747</f>
        <v>-995.37951857237795</v>
      </c>
      <c r="R206" t="s">
        <v>3947</v>
      </c>
      <c r="S206" t="s">
        <v>3948</v>
      </c>
      <c r="T206" t="s">
        <v>3949</v>
      </c>
      <c r="U206" t="s">
        <v>3950</v>
      </c>
      <c r="V206">
        <f>-704.741018264879 -50.0338418467047 -62.4719383389673</f>
        <v>-817.24679845055107</v>
      </c>
      <c r="W206" t="s">
        <v>3951</v>
      </c>
      <c r="X206" t="s">
        <v>3952</v>
      </c>
      <c r="Y206" t="s">
        <v>3953</v>
      </c>
    </row>
    <row r="207" spans="1:25" x14ac:dyDescent="0.3">
      <c r="A207">
        <v>10300</v>
      </c>
      <c r="B207" t="s">
        <v>3954</v>
      </c>
      <c r="C207" t="s">
        <v>3955</v>
      </c>
      <c r="D207" t="s">
        <v>3956</v>
      </c>
      <c r="E207" t="s">
        <v>3957</v>
      </c>
      <c r="F207" t="s">
        <v>3958</v>
      </c>
      <c r="G207" t="s">
        <v>3959</v>
      </c>
      <c r="H207" t="s">
        <v>3960</v>
      </c>
      <c r="I207" t="s">
        <v>3961</v>
      </c>
      <c r="J207" t="s">
        <v>3962</v>
      </c>
      <c r="K207" t="s">
        <v>3963</v>
      </c>
      <c r="L207" t="s">
        <v>3964</v>
      </c>
      <c r="M207" t="s">
        <v>3965</v>
      </c>
      <c r="N207" t="s">
        <v>3966</v>
      </c>
      <c r="O207">
        <f>-804.834615514261 -125.433272979797 -479.347487300426</f>
        <v>-1409.615375794484</v>
      </c>
      <c r="P207">
        <f>-854.041240976042 -175.090077947144 -193.50819053223</f>
        <v>-1222.6395094554159</v>
      </c>
      <c r="Q207">
        <f>-646.863279962617 -78.7432617621748 -269.964156486232</f>
        <v>-995.5706982110238</v>
      </c>
      <c r="R207" t="s">
        <v>3967</v>
      </c>
      <c r="S207" t="s">
        <v>3968</v>
      </c>
      <c r="T207" t="s">
        <v>3969</v>
      </c>
      <c r="U207" t="s">
        <v>3970</v>
      </c>
      <c r="V207">
        <f>-704.691223409813 -49.8917106425049 -62.4748265885089</f>
        <v>-817.05776064082681</v>
      </c>
      <c r="W207" t="s">
        <v>3971</v>
      </c>
      <c r="X207" t="s">
        <v>3972</v>
      </c>
      <c r="Y207" t="s">
        <v>3973</v>
      </c>
    </row>
    <row r="208" spans="1:25" x14ac:dyDescent="0.3">
      <c r="A208">
        <v>10350</v>
      </c>
      <c r="B208" t="s">
        <v>3974</v>
      </c>
      <c r="C208" t="s">
        <v>3975</v>
      </c>
      <c r="D208" t="s">
        <v>3976</v>
      </c>
      <c r="E208" t="s">
        <v>3977</v>
      </c>
      <c r="F208" t="s">
        <v>3978</v>
      </c>
      <c r="G208" t="s">
        <v>3979</v>
      </c>
      <c r="H208" t="s">
        <v>3980</v>
      </c>
      <c r="I208" t="s">
        <v>3981</v>
      </c>
      <c r="J208" t="s">
        <v>3982</v>
      </c>
      <c r="K208" t="s">
        <v>3983</v>
      </c>
      <c r="L208" t="s">
        <v>3984</v>
      </c>
      <c r="M208" t="s">
        <v>3985</v>
      </c>
      <c r="N208" t="s">
        <v>3986</v>
      </c>
      <c r="O208">
        <f>-805.884947865038 -124.558309235867 -479.604854226811</f>
        <v>-1410.048111327716</v>
      </c>
      <c r="P208">
        <f>-854.3895801152 -175.002834449352 -193.783441512068</f>
        <v>-1223.17585607662</v>
      </c>
      <c r="Q208">
        <f>-647.340214505597 -78.4235909558101 -270.294225615833</f>
        <v>-996.05803107724023</v>
      </c>
      <c r="R208" t="s">
        <v>3987</v>
      </c>
      <c r="S208" t="s">
        <v>3988</v>
      </c>
      <c r="T208" t="s">
        <v>3989</v>
      </c>
      <c r="U208" t="s">
        <v>3990</v>
      </c>
      <c r="V208">
        <f>-704.640675767488 -49.5174099688534 -62.5323424649587</f>
        <v>-816.69042820130005</v>
      </c>
      <c r="W208" t="s">
        <v>3991</v>
      </c>
      <c r="X208" t="s">
        <v>3992</v>
      </c>
      <c r="Y208" t="s">
        <v>3993</v>
      </c>
    </row>
    <row r="209" spans="1:25" x14ac:dyDescent="0.3">
      <c r="A209">
        <v>10400</v>
      </c>
      <c r="B209" t="s">
        <v>3994</v>
      </c>
      <c r="C209" t="s">
        <v>3995</v>
      </c>
      <c r="D209" t="s">
        <v>3996</v>
      </c>
      <c r="E209" t="s">
        <v>3997</v>
      </c>
      <c r="F209" t="s">
        <v>3998</v>
      </c>
      <c r="G209" t="s">
        <v>3999</v>
      </c>
      <c r="H209" t="s">
        <v>4000</v>
      </c>
      <c r="I209" t="s">
        <v>4001</v>
      </c>
      <c r="J209" t="s">
        <v>4002</v>
      </c>
      <c r="K209" t="s">
        <v>4003</v>
      </c>
      <c r="L209" t="s">
        <v>4004</v>
      </c>
      <c r="M209" t="s">
        <v>4005</v>
      </c>
      <c r="N209" t="s">
        <v>4006</v>
      </c>
      <c r="O209">
        <f>-807.104455470876 -123.881177416299 -479.709750093047</f>
        <v>-1410.6953829802219</v>
      </c>
      <c r="P209">
        <f>-854.53203762678 -174.838617876786 -193.798722676399</f>
        <v>-1223.169378179965</v>
      </c>
      <c r="Q209">
        <f>-647.840418805586 -77.9439425600065 -270.875536981852</f>
        <v>-996.65989834744437</v>
      </c>
      <c r="R209" t="s">
        <v>4007</v>
      </c>
      <c r="S209" t="s">
        <v>4008</v>
      </c>
      <c r="T209" t="s">
        <v>4009</v>
      </c>
      <c r="U209" t="s">
        <v>4010</v>
      </c>
      <c r="V209">
        <f>-704.760844039409 -48.9733713404801 -62.6304947348546</f>
        <v>-816.36471011474362</v>
      </c>
      <c r="W209" t="s">
        <v>4011</v>
      </c>
      <c r="X209" t="s">
        <v>4012</v>
      </c>
      <c r="Y209" t="s">
        <v>4013</v>
      </c>
    </row>
    <row r="210" spans="1:25" x14ac:dyDescent="0.3">
      <c r="A210">
        <v>10450</v>
      </c>
      <c r="B210" t="s">
        <v>4014</v>
      </c>
      <c r="C210" t="s">
        <v>4015</v>
      </c>
      <c r="D210" t="s">
        <v>4016</v>
      </c>
      <c r="E210" t="s">
        <v>4017</v>
      </c>
      <c r="F210" t="s">
        <v>4018</v>
      </c>
      <c r="G210" t="s">
        <v>4019</v>
      </c>
      <c r="H210" t="s">
        <v>4020</v>
      </c>
      <c r="I210" t="s">
        <v>4021</v>
      </c>
      <c r="J210" t="s">
        <v>4022</v>
      </c>
      <c r="K210" t="s">
        <v>4023</v>
      </c>
      <c r="L210" t="s">
        <v>4024</v>
      </c>
      <c r="M210" t="s">
        <v>4025</v>
      </c>
      <c r="N210" t="s">
        <v>4026</v>
      </c>
      <c r="O210">
        <f>-807.75065811279 -123.602453417477 -479.69177517845</f>
        <v>-1411.0448867087171</v>
      </c>
      <c r="P210">
        <f>-854.746464056318 -174.521594453292 -193.702568391998</f>
        <v>-1222.9706269016081</v>
      </c>
      <c r="Q210">
        <f>-648.183736380761 -77.5768914974924 -271.061637574917</f>
        <v>-996.82226545317042</v>
      </c>
      <c r="R210" t="s">
        <v>4027</v>
      </c>
      <c r="S210" t="s">
        <v>4028</v>
      </c>
      <c r="T210" t="s">
        <v>4029</v>
      </c>
      <c r="U210" t="s">
        <v>4030</v>
      </c>
      <c r="V210">
        <f>-704.881631376692 -48.6147506713496 -62.7000292236738</f>
        <v>-816.19641127171542</v>
      </c>
      <c r="W210" t="s">
        <v>4031</v>
      </c>
      <c r="X210" t="s">
        <v>4032</v>
      </c>
      <c r="Y210" t="s">
        <v>4033</v>
      </c>
    </row>
    <row r="211" spans="1:25" x14ac:dyDescent="0.3">
      <c r="A211">
        <v>10500</v>
      </c>
      <c r="B211" t="s">
        <v>4034</v>
      </c>
      <c r="C211" t="s">
        <v>4035</v>
      </c>
      <c r="D211" t="s">
        <v>4036</v>
      </c>
      <c r="E211" t="s">
        <v>4037</v>
      </c>
      <c r="F211" t="s">
        <v>4038</v>
      </c>
      <c r="G211" t="s">
        <v>4039</v>
      </c>
      <c r="H211" t="s">
        <v>4040</v>
      </c>
      <c r="I211" t="s">
        <v>4041</v>
      </c>
      <c r="J211" t="s">
        <v>4042</v>
      </c>
      <c r="K211" t="s">
        <v>4043</v>
      </c>
      <c r="L211" t="s">
        <v>4044</v>
      </c>
      <c r="M211" t="s">
        <v>4045</v>
      </c>
      <c r="N211" t="s">
        <v>4046</v>
      </c>
      <c r="O211">
        <f>-808.891114943839 -123.104285854003 -479.632685602378</f>
        <v>-1411.6280864002201</v>
      </c>
      <c r="P211">
        <f>-855.45007073825 -173.511091934403 -193.481258965633</f>
        <v>-1222.4424216382861</v>
      </c>
      <c r="Q211">
        <f>-648.778845362503 -77.0350843525432 -271.135931076201</f>
        <v>-996.94986079124726</v>
      </c>
      <c r="R211" t="s">
        <v>4047</v>
      </c>
      <c r="S211" t="s">
        <v>4048</v>
      </c>
      <c r="T211" t="s">
        <v>4049</v>
      </c>
      <c r="U211" t="s">
        <v>4050</v>
      </c>
      <c r="V211">
        <f>-705.31224518367 -47.9037517856166 -62.7865834697411</f>
        <v>-816.00258043902772</v>
      </c>
      <c r="W211" t="s">
        <v>4051</v>
      </c>
      <c r="X211" t="s">
        <v>4052</v>
      </c>
      <c r="Y211" t="s">
        <v>4053</v>
      </c>
    </row>
    <row r="212" spans="1:25" x14ac:dyDescent="0.3">
      <c r="A212">
        <v>10550</v>
      </c>
      <c r="B212" t="s">
        <v>4054</v>
      </c>
      <c r="C212" t="s">
        <v>4055</v>
      </c>
      <c r="D212" t="s">
        <v>4056</v>
      </c>
      <c r="E212" t="s">
        <v>4057</v>
      </c>
      <c r="F212" t="s">
        <v>4058</v>
      </c>
      <c r="G212" t="s">
        <v>4059</v>
      </c>
      <c r="H212" t="s">
        <v>4060</v>
      </c>
      <c r="I212" t="s">
        <v>4061</v>
      </c>
      <c r="J212" t="s">
        <v>4062</v>
      </c>
      <c r="K212" t="s">
        <v>4063</v>
      </c>
      <c r="L212" t="s">
        <v>4064</v>
      </c>
      <c r="M212" t="s">
        <v>4065</v>
      </c>
      <c r="N212" t="s">
        <v>4066</v>
      </c>
      <c r="O212">
        <f>-809.377410241454 -122.958888340526 -479.618020902355</f>
        <v>-1411.954319484335</v>
      </c>
      <c r="P212">
        <f>-855.896327827472 -173.206830523433 -193.432040459886</f>
        <v>-1222.5351988107909</v>
      </c>
      <c r="Q212">
        <f>-649.129437658958 -76.976174030219 -271.13684803504</f>
        <v>-997.24245972421693</v>
      </c>
      <c r="R212" t="s">
        <v>4067</v>
      </c>
      <c r="S212" t="s">
        <v>4068</v>
      </c>
      <c r="T212" t="s">
        <v>4069</v>
      </c>
      <c r="U212" t="s">
        <v>4070</v>
      </c>
      <c r="V212">
        <f>-705.589746868391 -47.8224085091849 -62.79781072183</f>
        <v>-816.20996609940596</v>
      </c>
      <c r="W212" t="s">
        <v>4071</v>
      </c>
      <c r="X212" t="s">
        <v>4072</v>
      </c>
      <c r="Y212" t="s">
        <v>4073</v>
      </c>
    </row>
    <row r="213" spans="1:25" x14ac:dyDescent="0.3">
      <c r="A213">
        <v>10600</v>
      </c>
      <c r="B213" t="s">
        <v>4074</v>
      </c>
      <c r="C213" t="s">
        <v>4075</v>
      </c>
      <c r="D213" t="s">
        <v>4076</v>
      </c>
      <c r="E213" t="s">
        <v>4077</v>
      </c>
      <c r="F213" t="s">
        <v>4078</v>
      </c>
      <c r="G213" t="s">
        <v>4079</v>
      </c>
      <c r="H213" t="s">
        <v>4080</v>
      </c>
      <c r="I213" t="s">
        <v>4081</v>
      </c>
      <c r="J213" t="s">
        <v>4082</v>
      </c>
      <c r="K213" t="s">
        <v>4083</v>
      </c>
      <c r="L213" t="s">
        <v>4084</v>
      </c>
      <c r="M213" t="s">
        <v>4085</v>
      </c>
      <c r="N213" t="s">
        <v>4086</v>
      </c>
      <c r="O213">
        <f>-810.347108097096 -122.711213501111 -479.677054350146</f>
        <v>-1412.7353759483531</v>
      </c>
      <c r="P213">
        <f>-856.790232629185 -172.877307510434 -193.46456420352</f>
        <v>-1223.132104343139</v>
      </c>
      <c r="Q213">
        <f>-649.884438204067 -76.9164206144719 -271.132207230865</f>
        <v>-997.93306604940392</v>
      </c>
      <c r="R213" t="s">
        <v>4087</v>
      </c>
      <c r="S213" t="s">
        <v>4088</v>
      </c>
      <c r="T213" t="s">
        <v>4089</v>
      </c>
      <c r="U213" t="s">
        <v>4090</v>
      </c>
      <c r="V213">
        <f>-706.079767977567 -47.4731965997448 -62.8583677389253</f>
        <v>-816.41133231623712</v>
      </c>
      <c r="W213" t="s">
        <v>4091</v>
      </c>
      <c r="X213" t="s">
        <v>4092</v>
      </c>
      <c r="Y213" t="s">
        <v>4093</v>
      </c>
    </row>
    <row r="214" spans="1:25" x14ac:dyDescent="0.3">
      <c r="A214">
        <v>10650</v>
      </c>
      <c r="B214" t="s">
        <v>4094</v>
      </c>
      <c r="C214" t="s">
        <v>4095</v>
      </c>
      <c r="D214" t="s">
        <v>4096</v>
      </c>
      <c r="E214" t="s">
        <v>4097</v>
      </c>
      <c r="F214" t="s">
        <v>4098</v>
      </c>
      <c r="G214" t="s">
        <v>4099</v>
      </c>
      <c r="H214" t="s">
        <v>4100</v>
      </c>
      <c r="I214" t="s">
        <v>4101</v>
      </c>
      <c r="J214" t="s">
        <v>4102</v>
      </c>
      <c r="K214" t="s">
        <v>4103</v>
      </c>
      <c r="L214" t="s">
        <v>4104</v>
      </c>
      <c r="M214" t="s">
        <v>4105</v>
      </c>
      <c r="N214" t="s">
        <v>4106</v>
      </c>
      <c r="O214">
        <f>-810.857538475821 -122.697341203866 -479.72956710582</f>
        <v>-1413.284446785507</v>
      </c>
      <c r="P214">
        <f>-857.187535670138 -172.848503836082 -193.496102916517</f>
        <v>-1223.532142422737</v>
      </c>
      <c r="Q214">
        <f>-650.245043918199 -77.0076450896197 -271.214758167155</f>
        <v>-998.46744717497381</v>
      </c>
      <c r="R214" t="s">
        <v>4107</v>
      </c>
      <c r="S214" t="s">
        <v>4108</v>
      </c>
      <c r="T214" t="s">
        <v>4109</v>
      </c>
      <c r="U214" t="s">
        <v>4110</v>
      </c>
      <c r="V214">
        <f>-706.322376558787 -47.4092465136102 -62.8944593246738</f>
        <v>-816.62608239707106</v>
      </c>
      <c r="W214" t="s">
        <v>4111</v>
      </c>
      <c r="X214" t="s">
        <v>4112</v>
      </c>
      <c r="Y214" t="s">
        <v>4113</v>
      </c>
    </row>
    <row r="215" spans="1:25" x14ac:dyDescent="0.3">
      <c r="A215">
        <v>10700</v>
      </c>
      <c r="B215" t="s">
        <v>4114</v>
      </c>
      <c r="C215" t="s">
        <v>4115</v>
      </c>
      <c r="D215" t="s">
        <v>4116</v>
      </c>
      <c r="E215" t="s">
        <v>4117</v>
      </c>
      <c r="F215" t="s">
        <v>4118</v>
      </c>
      <c r="G215" t="s">
        <v>4119</v>
      </c>
      <c r="H215" t="s">
        <v>4120</v>
      </c>
      <c r="I215" t="s">
        <v>4121</v>
      </c>
      <c r="J215" t="s">
        <v>4122</v>
      </c>
      <c r="K215" t="s">
        <v>4123</v>
      </c>
      <c r="L215" t="s">
        <v>4124</v>
      </c>
      <c r="M215" t="s">
        <v>4125</v>
      </c>
      <c r="N215" t="s">
        <v>4126</v>
      </c>
      <c r="O215">
        <f>-811.942636886664 -122.879697398908 -479.671071449952</f>
        <v>-1414.493405735524</v>
      </c>
      <c r="P215">
        <f>-857.894193737708 -172.873494965538 -193.349108010431</f>
        <v>-1224.1167967136771</v>
      </c>
      <c r="Q215">
        <f>-650.928174820241 -77.278598925232 -271.307554090337</f>
        <v>-999.51432783581004</v>
      </c>
      <c r="R215" t="s">
        <v>4127</v>
      </c>
      <c r="S215" t="s">
        <v>4128</v>
      </c>
      <c r="T215" t="s">
        <v>4129</v>
      </c>
      <c r="U215" t="s">
        <v>4130</v>
      </c>
      <c r="V215">
        <f>-706.858567068863 -47.4378344886793 -62.9370936333818</f>
        <v>-817.23349519092403</v>
      </c>
      <c r="W215" t="s">
        <v>4131</v>
      </c>
      <c r="X215" t="s">
        <v>4132</v>
      </c>
      <c r="Y215" t="s">
        <v>4133</v>
      </c>
    </row>
    <row r="216" spans="1:25" x14ac:dyDescent="0.3">
      <c r="A216">
        <v>10750</v>
      </c>
      <c r="B216" t="s">
        <v>4134</v>
      </c>
      <c r="C216" t="s">
        <v>4135</v>
      </c>
      <c r="D216" t="s">
        <v>4136</v>
      </c>
      <c r="E216" t="s">
        <v>4137</v>
      </c>
      <c r="F216" t="s">
        <v>4138</v>
      </c>
      <c r="G216" t="s">
        <v>4139</v>
      </c>
      <c r="H216" t="s">
        <v>4140</v>
      </c>
      <c r="I216" t="s">
        <v>4141</v>
      </c>
      <c r="J216" t="s">
        <v>4142</v>
      </c>
      <c r="K216" t="s">
        <v>4143</v>
      </c>
      <c r="L216" t="s">
        <v>4144</v>
      </c>
      <c r="M216" t="s">
        <v>4145</v>
      </c>
      <c r="N216" t="s">
        <v>4146</v>
      </c>
      <c r="O216">
        <f>-812.34810590474 -123.07293011986 -479.574845447883</f>
        <v>-1414.995881472483</v>
      </c>
      <c r="P216">
        <f>-858.228384878052 -172.8574416183 -193.204889340891</f>
        <v>-1224.2907158372429</v>
      </c>
      <c r="Q216">
        <f>-651.222060462093 -77.4656023205787 -271.305548854677</f>
        <v>-999.99321163734874</v>
      </c>
      <c r="R216" t="s">
        <v>4147</v>
      </c>
      <c r="S216" t="s">
        <v>4148</v>
      </c>
      <c r="T216" t="s">
        <v>4149</v>
      </c>
      <c r="U216" t="s">
        <v>4150</v>
      </c>
      <c r="V216">
        <f>-707.10946981108 -47.468068106283 -62.9432275891894</f>
        <v>-817.52076550655238</v>
      </c>
      <c r="W216" t="s">
        <v>4151</v>
      </c>
      <c r="X216" t="s">
        <v>4152</v>
      </c>
      <c r="Y216" t="s">
        <v>4153</v>
      </c>
    </row>
    <row r="217" spans="1:25" x14ac:dyDescent="0.3">
      <c r="A217">
        <v>10800</v>
      </c>
      <c r="B217" t="s">
        <v>4154</v>
      </c>
      <c r="C217" t="s">
        <v>4155</v>
      </c>
      <c r="D217" t="s">
        <v>4156</v>
      </c>
      <c r="E217" t="s">
        <v>4157</v>
      </c>
      <c r="F217" t="s">
        <v>4158</v>
      </c>
      <c r="G217" t="s">
        <v>4159</v>
      </c>
      <c r="H217" t="s">
        <v>4160</v>
      </c>
      <c r="I217" t="s">
        <v>4161</v>
      </c>
      <c r="J217" t="s">
        <v>4162</v>
      </c>
      <c r="K217" t="s">
        <v>4163</v>
      </c>
      <c r="L217" t="s">
        <v>4164</v>
      </c>
      <c r="M217" t="s">
        <v>4165</v>
      </c>
      <c r="N217" t="s">
        <v>4166</v>
      </c>
      <c r="O217">
        <f>-812.472931176349 -123.471219089423 -479.421718473177</f>
        <v>-1415.3658687389491</v>
      </c>
      <c r="P217">
        <f>-858.493925949538 -172.827466818726 -193.000241668974</f>
        <v>-1224.3216344372381</v>
      </c>
      <c r="Q217">
        <f>-651.356834397009 -77.7831117311021 -271.177627219799</f>
        <v>-1000.3175733479101</v>
      </c>
      <c r="R217" t="s">
        <v>4167</v>
      </c>
      <c r="S217" t="s">
        <v>4168</v>
      </c>
      <c r="T217" t="s">
        <v>4169</v>
      </c>
      <c r="U217" t="s">
        <v>4170</v>
      </c>
      <c r="V217">
        <f>-707.446399977836 -47.5026703608883 -62.9355580342331</f>
        <v>-817.88462837295731</v>
      </c>
      <c r="W217" t="s">
        <v>4171</v>
      </c>
      <c r="X217" t="s">
        <v>4172</v>
      </c>
      <c r="Y217" t="s">
        <v>4173</v>
      </c>
    </row>
    <row r="218" spans="1:25" x14ac:dyDescent="0.3">
      <c r="A218">
        <v>10850</v>
      </c>
      <c r="B218" t="s">
        <v>4174</v>
      </c>
      <c r="C218" t="s">
        <v>4175</v>
      </c>
      <c r="D218" t="s">
        <v>4176</v>
      </c>
      <c r="E218" t="s">
        <v>4177</v>
      </c>
      <c r="F218" t="s">
        <v>4178</v>
      </c>
      <c r="G218" t="s">
        <v>4179</v>
      </c>
      <c r="H218" t="s">
        <v>4180</v>
      </c>
      <c r="I218" t="s">
        <v>4181</v>
      </c>
      <c r="J218" t="s">
        <v>4182</v>
      </c>
      <c r="K218" t="s">
        <v>4183</v>
      </c>
      <c r="L218" t="s">
        <v>4184</v>
      </c>
      <c r="M218" t="s">
        <v>4185</v>
      </c>
      <c r="N218" t="s">
        <v>4186</v>
      </c>
      <c r="O218">
        <f>-812.335846645099 -123.646165335803 -479.387782635936</f>
        <v>-1415.3697946168379</v>
      </c>
      <c r="P218">
        <f>-858.480184473324 -172.838815558234 -192.958047920296</f>
        <v>-1224.277047951854</v>
      </c>
      <c r="Q218">
        <f>-651.279467692522 -77.9200507908042 -271.118829388144</f>
        <v>-1000.3183478714702</v>
      </c>
      <c r="R218" t="s">
        <v>4187</v>
      </c>
      <c r="S218" t="s">
        <v>4188</v>
      </c>
      <c r="T218" t="s">
        <v>4189</v>
      </c>
      <c r="U218" t="s">
        <v>4190</v>
      </c>
      <c r="V218">
        <f>-707.607405353051 -47.5312586902101 -62.9338159969459</f>
        <v>-818.07248004020698</v>
      </c>
      <c r="W218" t="s">
        <v>4191</v>
      </c>
      <c r="X218" t="s">
        <v>4192</v>
      </c>
      <c r="Y218" t="s">
        <v>4193</v>
      </c>
    </row>
    <row r="219" spans="1:25" x14ac:dyDescent="0.3">
      <c r="A219">
        <v>10900</v>
      </c>
      <c r="B219" t="s">
        <v>4194</v>
      </c>
      <c r="C219" t="s">
        <v>4195</v>
      </c>
      <c r="D219" t="s">
        <v>4196</v>
      </c>
      <c r="E219" t="s">
        <v>4197</v>
      </c>
      <c r="F219" t="s">
        <v>4198</v>
      </c>
      <c r="G219" t="s">
        <v>4199</v>
      </c>
      <c r="H219" t="s">
        <v>4200</v>
      </c>
      <c r="I219" t="s">
        <v>4201</v>
      </c>
      <c r="J219" t="s">
        <v>4202</v>
      </c>
      <c r="K219" t="s">
        <v>4203</v>
      </c>
      <c r="L219" t="s">
        <v>4204</v>
      </c>
      <c r="M219" t="s">
        <v>4205</v>
      </c>
      <c r="N219" t="s">
        <v>4206</v>
      </c>
      <c r="O219">
        <f>-811.981273668093 -124.017581819066 -479.393304459826</f>
        <v>-1415.392159946985</v>
      </c>
      <c r="P219">
        <f>-858.336202098391 -173.019877900397 -192.9650123105</f>
        <v>-1224.3210923092881</v>
      </c>
      <c r="Q219">
        <f>-651.088245435344 -78.2132283062558 -271.137292137706</f>
        <v>-1000.4387658793058</v>
      </c>
      <c r="R219" t="s">
        <v>4207</v>
      </c>
      <c r="S219" t="s">
        <v>4208</v>
      </c>
      <c r="T219" t="s">
        <v>4209</v>
      </c>
      <c r="U219" t="s">
        <v>4210</v>
      </c>
      <c r="V219">
        <f>-707.850745032736 -47.4577575979886 -62.9688322952456</f>
        <v>-818.27733492597019</v>
      </c>
      <c r="W219" t="s">
        <v>4211</v>
      </c>
      <c r="X219" t="s">
        <v>4212</v>
      </c>
      <c r="Y219" t="s">
        <v>4213</v>
      </c>
    </row>
    <row r="220" spans="1:25" x14ac:dyDescent="0.3">
      <c r="A220">
        <v>10950</v>
      </c>
      <c r="B220" t="s">
        <v>4214</v>
      </c>
      <c r="C220" t="s">
        <v>4215</v>
      </c>
      <c r="D220" t="s">
        <v>4216</v>
      </c>
      <c r="E220" t="s">
        <v>4217</v>
      </c>
      <c r="F220" t="s">
        <v>4218</v>
      </c>
      <c r="G220" t="s">
        <v>4219</v>
      </c>
      <c r="H220" t="s">
        <v>4220</v>
      </c>
      <c r="I220" t="s">
        <v>4221</v>
      </c>
      <c r="J220" t="s">
        <v>4222</v>
      </c>
      <c r="K220" t="s">
        <v>4223</v>
      </c>
      <c r="L220" t="s">
        <v>4224</v>
      </c>
      <c r="M220" t="s">
        <v>4225</v>
      </c>
      <c r="N220" t="s">
        <v>4226</v>
      </c>
      <c r="O220">
        <f>-811.803818042311 -124.198084638901 -479.406828118493</f>
        <v>-1415.4087307997052</v>
      </c>
      <c r="P220">
        <f>-858.1817780669 -173.096228329978 -192.964390226977</f>
        <v>-1224.242396623855</v>
      </c>
      <c r="Q220">
        <f>-650.938968188277 -78.3049312187461 -271.168615613113</f>
        <v>-1000.4125150201362</v>
      </c>
      <c r="R220" t="s">
        <v>4227</v>
      </c>
      <c r="S220" t="s">
        <v>4228</v>
      </c>
      <c r="T220" t="s">
        <v>4229</v>
      </c>
      <c r="U220" t="s">
        <v>4230</v>
      </c>
      <c r="V220">
        <f>-707.994441126654 -47.407022318044 -62.9875310910544</f>
        <v>-818.38899453575243</v>
      </c>
      <c r="W220" t="s">
        <v>4231</v>
      </c>
      <c r="X220" t="s">
        <v>4232</v>
      </c>
      <c r="Y220" t="s">
        <v>4233</v>
      </c>
    </row>
    <row r="221" spans="1:25" x14ac:dyDescent="0.3">
      <c r="A221">
        <v>11000</v>
      </c>
      <c r="B221" t="s">
        <v>4234</v>
      </c>
      <c r="C221" t="s">
        <v>4235</v>
      </c>
      <c r="D221" t="s">
        <v>4236</v>
      </c>
      <c r="E221" t="s">
        <v>4237</v>
      </c>
      <c r="F221" t="s">
        <v>4238</v>
      </c>
      <c r="G221" t="s">
        <v>4239</v>
      </c>
      <c r="H221" t="s">
        <v>4240</v>
      </c>
      <c r="I221" t="s">
        <v>4241</v>
      </c>
      <c r="J221" t="s">
        <v>4242</v>
      </c>
      <c r="K221" t="s">
        <v>4243</v>
      </c>
      <c r="L221" t="s">
        <v>4244</v>
      </c>
      <c r="M221" t="s">
        <v>4245</v>
      </c>
      <c r="N221" t="s">
        <v>4246</v>
      </c>
      <c r="O221">
        <f>-811.693019370515 -124.320410293827 -479.414066879921</f>
        <v>-1415.427496544263</v>
      </c>
      <c r="P221">
        <f>-858.163785952465 -173.130109788027 -192.971522664483</f>
        <v>-1224.265418404975</v>
      </c>
      <c r="Q221">
        <f>-651.012815470095 -78.1041298865628 -271.13379413699</f>
        <v>-1000.2507394936478</v>
      </c>
      <c r="R221" t="s">
        <v>4247</v>
      </c>
      <c r="S221" t="s">
        <v>4248</v>
      </c>
      <c r="T221" t="s">
        <v>4249</v>
      </c>
      <c r="U221" t="s">
        <v>4250</v>
      </c>
      <c r="V221">
        <f>-708.456583563512 -47.1753412277924 -63.0495530535226</f>
        <v>-818.68147784482699</v>
      </c>
      <c r="W221" t="s">
        <v>4251</v>
      </c>
      <c r="X221" t="s">
        <v>4252</v>
      </c>
      <c r="Y221" t="s">
        <v>4253</v>
      </c>
    </row>
    <row r="222" spans="1:25" x14ac:dyDescent="0.3">
      <c r="A222">
        <v>11050</v>
      </c>
      <c r="B222" t="s">
        <v>4254</v>
      </c>
      <c r="C222" t="s">
        <v>4255</v>
      </c>
      <c r="D222" t="s">
        <v>4256</v>
      </c>
      <c r="E222" t="s">
        <v>4257</v>
      </c>
      <c r="F222" t="s">
        <v>4258</v>
      </c>
      <c r="G222" t="s">
        <v>4259</v>
      </c>
      <c r="H222" t="s">
        <v>4260</v>
      </c>
      <c r="I222" t="s">
        <v>4261</v>
      </c>
      <c r="J222" t="s">
        <v>4262</v>
      </c>
      <c r="K222" t="s">
        <v>4263</v>
      </c>
      <c r="L222" t="s">
        <v>4264</v>
      </c>
      <c r="M222" t="s">
        <v>4265</v>
      </c>
      <c r="N222" t="s">
        <v>4266</v>
      </c>
      <c r="O222">
        <f>-811.557915184302 -124.253290152818 -479.428368080755</f>
        <v>-1415.2395734178749</v>
      </c>
      <c r="P222">
        <f>-858.085446155024 -173.030365050201 -192.989524061648</f>
        <v>-1224.1053352668728</v>
      </c>
      <c r="Q222">
        <f>-650.97728593848 -77.8391903470761 -271.064895798332</f>
        <v>-999.88137208388798</v>
      </c>
      <c r="R222" t="s">
        <v>4267</v>
      </c>
      <c r="S222" t="s">
        <v>4268</v>
      </c>
      <c r="T222" t="s">
        <v>4269</v>
      </c>
      <c r="U222" t="s">
        <v>4270</v>
      </c>
      <c r="V222">
        <f>-708.666247411051 -46.9460314337514 -63.0853344526791</f>
        <v>-818.69761329748155</v>
      </c>
      <c r="W222" t="s">
        <v>4271</v>
      </c>
      <c r="X222" t="s">
        <v>4272</v>
      </c>
      <c r="Y222" t="s">
        <v>4273</v>
      </c>
    </row>
    <row r="223" spans="1:25" x14ac:dyDescent="0.3">
      <c r="A223">
        <v>11100</v>
      </c>
      <c r="B223" t="s">
        <v>4274</v>
      </c>
      <c r="C223" t="s">
        <v>4275</v>
      </c>
      <c r="D223" t="s">
        <v>4276</v>
      </c>
      <c r="E223" t="s">
        <v>4277</v>
      </c>
      <c r="F223" t="s">
        <v>4278</v>
      </c>
      <c r="G223" t="s">
        <v>4279</v>
      </c>
      <c r="H223" t="s">
        <v>4280</v>
      </c>
      <c r="I223" t="s">
        <v>4281</v>
      </c>
      <c r="J223" t="s">
        <v>4282</v>
      </c>
      <c r="K223" t="s">
        <v>4283</v>
      </c>
      <c r="L223" t="s">
        <v>4284</v>
      </c>
      <c r="M223" t="s">
        <v>4285</v>
      </c>
      <c r="N223" t="s">
        <v>4286</v>
      </c>
      <c r="O223">
        <f>-810.885065212038 -124.133466125695 -479.524325373455</f>
        <v>-1414.5428567111881</v>
      </c>
      <c r="P223">
        <f>-857.550788883197 -172.898808607441 -193.105986110805</f>
        <v>-1223.555583601443</v>
      </c>
      <c r="Q223">
        <f>-650.603798882305 -77.2587071591045 -271.059739228211</f>
        <v>-998.92224526962048</v>
      </c>
      <c r="R223" t="s">
        <v>4287</v>
      </c>
      <c r="S223" t="s">
        <v>4288</v>
      </c>
      <c r="T223" t="s">
        <v>4289</v>
      </c>
      <c r="U223" t="s">
        <v>4290</v>
      </c>
      <c r="V223">
        <f>-709.188463059738 -46.4593215537034 -63.1874043839555</f>
        <v>-818.83518899739681</v>
      </c>
      <c r="W223" t="s">
        <v>4291</v>
      </c>
      <c r="X223" t="s">
        <v>4292</v>
      </c>
      <c r="Y223" t="s">
        <v>4293</v>
      </c>
    </row>
    <row r="224" spans="1:25" x14ac:dyDescent="0.3">
      <c r="A224">
        <v>11150</v>
      </c>
      <c r="B224" t="s">
        <v>4294</v>
      </c>
      <c r="C224" t="s">
        <v>4295</v>
      </c>
      <c r="D224" t="s">
        <v>4296</v>
      </c>
      <c r="E224" t="s">
        <v>4297</v>
      </c>
      <c r="F224" t="s">
        <v>4298</v>
      </c>
      <c r="G224" t="s">
        <v>4299</v>
      </c>
      <c r="H224" t="s">
        <v>4300</v>
      </c>
      <c r="I224" t="s">
        <v>4301</v>
      </c>
      <c r="J224" t="s">
        <v>4302</v>
      </c>
      <c r="K224" t="s">
        <v>4303</v>
      </c>
      <c r="L224" t="s">
        <v>4304</v>
      </c>
      <c r="M224" t="s">
        <v>4305</v>
      </c>
      <c r="N224" t="s">
        <v>4306</v>
      </c>
      <c r="O224">
        <f>-810.466363743866 -124.055106229934 -479.6314050164</f>
        <v>-1414.1528749902</v>
      </c>
      <c r="P224">
        <f>-857.196186303361 -172.782562367241 -193.216882477675</f>
        <v>-1223.195631148277</v>
      </c>
      <c r="Q224">
        <f>-650.320804460326 -76.9236058946012 -271.092103510383</f>
        <v>-998.33651386531028</v>
      </c>
      <c r="R224" t="s">
        <v>4307</v>
      </c>
      <c r="S224" t="s">
        <v>4308</v>
      </c>
      <c r="T224" t="s">
        <v>4309</v>
      </c>
      <c r="U224" t="s">
        <v>4310</v>
      </c>
      <c r="V224">
        <f>-709.452826104119 -46.2995814442966 -63.2539090139952</f>
        <v>-819.0063165624108</v>
      </c>
      <c r="W224" t="s">
        <v>4311</v>
      </c>
      <c r="X224" t="s">
        <v>4312</v>
      </c>
      <c r="Y224" t="s">
        <v>4313</v>
      </c>
    </row>
    <row r="225" spans="1:25" x14ac:dyDescent="0.3">
      <c r="A225">
        <v>11200</v>
      </c>
      <c r="B225" t="s">
        <v>4314</v>
      </c>
      <c r="C225" t="s">
        <v>4315</v>
      </c>
      <c r="D225" t="s">
        <v>4316</v>
      </c>
      <c r="E225" t="s">
        <v>4317</v>
      </c>
      <c r="F225" t="s">
        <v>4318</v>
      </c>
      <c r="G225" t="s">
        <v>4319</v>
      </c>
      <c r="H225" t="s">
        <v>4320</v>
      </c>
      <c r="I225" t="s">
        <v>4321</v>
      </c>
      <c r="J225" t="s">
        <v>4322</v>
      </c>
      <c r="K225" t="s">
        <v>4323</v>
      </c>
      <c r="L225" t="s">
        <v>4324</v>
      </c>
      <c r="M225" t="s">
        <v>4325</v>
      </c>
      <c r="N225" t="s">
        <v>4326</v>
      </c>
      <c r="O225">
        <f>-809.581156953116 -123.993068166385 -479.700627348998</f>
        <v>-1413.2748524684989</v>
      </c>
      <c r="P225">
        <f>-856.434052952651 -172.551796481866 -193.277737199831</f>
        <v>-1222.263586634348</v>
      </c>
      <c r="Q225">
        <f>-649.618736863714 -76.4989019387381 -271.07336592214</f>
        <v>-997.19100472459218</v>
      </c>
      <c r="R225" t="s">
        <v>4327</v>
      </c>
      <c r="S225" t="s">
        <v>4328</v>
      </c>
      <c r="T225" t="s">
        <v>4329</v>
      </c>
      <c r="U225" t="s">
        <v>4330</v>
      </c>
      <c r="V225">
        <f>-709.452591258318 -46.3903764176332 -63.3231156020486</f>
        <v>-819.16608327799975</v>
      </c>
      <c r="W225" t="s">
        <v>4331</v>
      </c>
      <c r="X225" t="s">
        <v>4332</v>
      </c>
      <c r="Y225" t="s">
        <v>4333</v>
      </c>
    </row>
    <row r="226" spans="1:25" x14ac:dyDescent="0.3">
      <c r="A226">
        <v>11250</v>
      </c>
      <c r="B226" t="s">
        <v>4334</v>
      </c>
      <c r="C226" t="s">
        <v>4335</v>
      </c>
      <c r="D226" t="s">
        <v>4336</v>
      </c>
      <c r="E226" t="s">
        <v>4337</v>
      </c>
      <c r="F226" t="s">
        <v>4338</v>
      </c>
      <c r="G226" t="s">
        <v>4339</v>
      </c>
      <c r="H226" t="s">
        <v>4340</v>
      </c>
      <c r="I226" t="s">
        <v>4341</v>
      </c>
      <c r="J226" t="s">
        <v>4342</v>
      </c>
      <c r="K226" t="s">
        <v>4343</v>
      </c>
      <c r="L226" t="s">
        <v>4344</v>
      </c>
      <c r="M226" t="s">
        <v>4345</v>
      </c>
      <c r="N226" t="s">
        <v>4346</v>
      </c>
      <c r="O226">
        <f>-809.030998049771 -124.191261140833 -479.635228639649</f>
        <v>-1412.8574878302529</v>
      </c>
      <c r="P226">
        <f>-855.99110937666 -172.678683182033 -193.217785915402</f>
        <v>-1221.8875784740949</v>
      </c>
      <c r="Q226">
        <f>-649.17655112126 -76.6122993969423 -270.998811357871</f>
        <v>-996.78766187607323</v>
      </c>
      <c r="R226" t="s">
        <v>4347</v>
      </c>
      <c r="S226" t="s">
        <v>4348</v>
      </c>
      <c r="T226" t="s">
        <v>4349</v>
      </c>
      <c r="U226" t="s">
        <v>4350</v>
      </c>
      <c r="V226">
        <f>-709.150603386149 -46.6163460425812 -63.2892977811366</f>
        <v>-819.0562472098668</v>
      </c>
      <c r="W226" t="s">
        <v>4351</v>
      </c>
      <c r="X226" t="s">
        <v>4352</v>
      </c>
      <c r="Y226" t="s">
        <v>4353</v>
      </c>
    </row>
    <row r="227" spans="1:25" x14ac:dyDescent="0.3">
      <c r="A227">
        <v>11300</v>
      </c>
      <c r="B227" t="s">
        <v>4354</v>
      </c>
      <c r="C227" t="s">
        <v>4355</v>
      </c>
      <c r="D227" t="s">
        <v>4356</v>
      </c>
      <c r="E227" t="s">
        <v>4357</v>
      </c>
      <c r="F227" t="s">
        <v>4358</v>
      </c>
      <c r="G227" t="s">
        <v>4359</v>
      </c>
      <c r="H227" t="s">
        <v>4360</v>
      </c>
      <c r="I227" t="s">
        <v>4361</v>
      </c>
      <c r="J227" t="s">
        <v>4362</v>
      </c>
      <c r="K227" t="s">
        <v>4363</v>
      </c>
      <c r="L227" t="s">
        <v>4364</v>
      </c>
      <c r="M227" t="s">
        <v>4365</v>
      </c>
      <c r="N227" t="s">
        <v>4366</v>
      </c>
      <c r="O227">
        <f>-807.844002128651 -124.851467841433 -479.434552972435</f>
        <v>-1412.130022942519</v>
      </c>
      <c r="P227">
        <f>-855.072724345844 -172.964054651429 -192.998058974091</f>
        <v>-1221.0348379713639</v>
      </c>
      <c r="Q227">
        <f>-648.143164747969 -77.087298348127 -270.707364189009</f>
        <v>-995.93782728510496</v>
      </c>
      <c r="R227" t="s">
        <v>4367</v>
      </c>
      <c r="S227" t="s">
        <v>4368</v>
      </c>
      <c r="T227" t="s">
        <v>4369</v>
      </c>
      <c r="U227" t="s">
        <v>4370</v>
      </c>
      <c r="V227">
        <f>-708.399007333195 -47.2427363844333 -63.1634259419372</f>
        <v>-818.80516965956554</v>
      </c>
      <c r="W227" t="s">
        <v>4371</v>
      </c>
      <c r="X227" t="s">
        <v>4372</v>
      </c>
      <c r="Y227" t="s">
        <v>4373</v>
      </c>
    </row>
    <row r="228" spans="1:25" x14ac:dyDescent="0.3">
      <c r="A228">
        <v>11350</v>
      </c>
      <c r="B228" t="s">
        <v>4374</v>
      </c>
      <c r="C228" t="s">
        <v>4375</v>
      </c>
      <c r="D228" t="s">
        <v>4376</v>
      </c>
      <c r="E228" t="s">
        <v>4377</v>
      </c>
      <c r="F228" t="s">
        <v>4378</v>
      </c>
      <c r="G228" t="s">
        <v>4379</v>
      </c>
      <c r="H228" t="s">
        <v>4380</v>
      </c>
      <c r="I228" t="s">
        <v>4381</v>
      </c>
      <c r="J228" t="s">
        <v>4382</v>
      </c>
      <c r="K228" t="s">
        <v>4383</v>
      </c>
      <c r="L228" t="s">
        <v>4384</v>
      </c>
      <c r="M228" t="s">
        <v>4385</v>
      </c>
      <c r="N228" t="s">
        <v>4386</v>
      </c>
      <c r="O228">
        <f>-807.230274057705 -125.293914056037 -479.299923666089</f>
        <v>-1411.8241117798309</v>
      </c>
      <c r="P228">
        <f>-854.604825065334 -173.191375110069 -192.851611988913</f>
        <v>-1220.6478121643161</v>
      </c>
      <c r="Q228">
        <f>-647.617016847048 -77.4469686129844 -270.568152104373</f>
        <v>-995.63213756440541</v>
      </c>
      <c r="R228" t="s">
        <v>4387</v>
      </c>
      <c r="S228" t="s">
        <v>4388</v>
      </c>
      <c r="T228" t="s">
        <v>4389</v>
      </c>
      <c r="U228" t="s">
        <v>4390</v>
      </c>
      <c r="V228">
        <f>-707.895885069432 -47.6168909355706 -63.1104152197831</f>
        <v>-818.62319122478573</v>
      </c>
      <c r="W228" t="s">
        <v>4391</v>
      </c>
      <c r="X228" t="s">
        <v>4392</v>
      </c>
      <c r="Y228" t="s">
        <v>4393</v>
      </c>
    </row>
    <row r="229" spans="1:25" x14ac:dyDescent="0.3">
      <c r="A229">
        <v>11400</v>
      </c>
      <c r="B229" t="s">
        <v>4394</v>
      </c>
      <c r="C229" t="s">
        <v>4395</v>
      </c>
      <c r="D229" t="s">
        <v>4396</v>
      </c>
      <c r="E229" t="s">
        <v>4397</v>
      </c>
      <c r="F229" t="s">
        <v>4398</v>
      </c>
      <c r="G229" t="s">
        <v>4399</v>
      </c>
      <c r="H229" t="s">
        <v>4400</v>
      </c>
      <c r="I229" t="s">
        <v>4401</v>
      </c>
      <c r="J229" t="s">
        <v>4402</v>
      </c>
      <c r="K229" t="s">
        <v>4403</v>
      </c>
      <c r="L229" t="s">
        <v>4404</v>
      </c>
      <c r="M229" t="s">
        <v>4405</v>
      </c>
      <c r="N229" t="s">
        <v>4406</v>
      </c>
      <c r="O229">
        <f>-806.299028341077 -126.089131639771 -479.069054909633</f>
        <v>-1411.4572148904811</v>
      </c>
      <c r="P229">
        <f>-853.710514537811 -173.579464923235 -192.559015164209</f>
        <v>-1219.848994625255</v>
      </c>
      <c r="Q229">
        <f>-646.624802751314 -78.1623273466514 -270.417115583192</f>
        <v>-995.20424568115732</v>
      </c>
      <c r="R229" t="s">
        <v>4407</v>
      </c>
      <c r="S229" t="s">
        <v>4408</v>
      </c>
      <c r="T229" t="s">
        <v>4409</v>
      </c>
      <c r="U229" t="s">
        <v>4410</v>
      </c>
      <c r="V229">
        <f>-706.947266111876 -48.0807154054621 -63.0443910848851</f>
        <v>-818.07237260222325</v>
      </c>
      <c r="W229" t="s">
        <v>4411</v>
      </c>
      <c r="X229" t="s">
        <v>4412</v>
      </c>
      <c r="Y229" t="s">
        <v>4413</v>
      </c>
    </row>
    <row r="230" spans="1:25" x14ac:dyDescent="0.3">
      <c r="A230">
        <v>11450</v>
      </c>
      <c r="B230" t="s">
        <v>4414</v>
      </c>
      <c r="C230" t="s">
        <v>4415</v>
      </c>
      <c r="D230" t="s">
        <v>4416</v>
      </c>
      <c r="E230" t="s">
        <v>4417</v>
      </c>
      <c r="F230" t="s">
        <v>4418</v>
      </c>
      <c r="G230" t="s">
        <v>4419</v>
      </c>
      <c r="H230" t="s">
        <v>4420</v>
      </c>
      <c r="I230" t="s">
        <v>4421</v>
      </c>
      <c r="J230" t="s">
        <v>4422</v>
      </c>
      <c r="K230" t="s">
        <v>4423</v>
      </c>
      <c r="L230" t="s">
        <v>4424</v>
      </c>
      <c r="M230" t="s">
        <v>4425</v>
      </c>
      <c r="N230" t="s">
        <v>4426</v>
      </c>
      <c r="O230">
        <f>-805.942206388604 -126.419133755526 -478.958738965202</f>
        <v>-1411.3200791093318</v>
      </c>
      <c r="P230">
        <f>-853.271799130473 -173.662274502839 -192.394305454292</f>
        <v>-1219.3283790876039</v>
      </c>
      <c r="Q230">
        <f>-646.136561554095 -78.4723100296358 -270.399484362123</f>
        <v>-995.00835594585374</v>
      </c>
      <c r="R230" t="s">
        <v>4427</v>
      </c>
      <c r="S230" t="s">
        <v>4428</v>
      </c>
      <c r="T230" t="s">
        <v>4429</v>
      </c>
      <c r="U230" t="s">
        <v>4430</v>
      </c>
      <c r="V230">
        <f>-706.454669794856 -48.2155905803222 -63.0069949332745</f>
        <v>-817.6772553084528</v>
      </c>
      <c r="W230" t="s">
        <v>4431</v>
      </c>
      <c r="X230" t="s">
        <v>4432</v>
      </c>
      <c r="Y230" t="s">
        <v>4433</v>
      </c>
    </row>
    <row r="231" spans="1:25" x14ac:dyDescent="0.3">
      <c r="A231">
        <v>11500</v>
      </c>
      <c r="B231" t="s">
        <v>4434</v>
      </c>
      <c r="C231" t="s">
        <v>4435</v>
      </c>
      <c r="D231" t="s">
        <v>4436</v>
      </c>
      <c r="E231" t="s">
        <v>4437</v>
      </c>
      <c r="F231" t="s">
        <v>4438</v>
      </c>
      <c r="G231" t="s">
        <v>4439</v>
      </c>
      <c r="H231" t="s">
        <v>4440</v>
      </c>
      <c r="I231" t="s">
        <v>4441</v>
      </c>
      <c r="J231" t="s">
        <v>4442</v>
      </c>
      <c r="K231" t="s">
        <v>4443</v>
      </c>
      <c r="L231" t="s">
        <v>4444</v>
      </c>
      <c r="M231" t="s">
        <v>4445</v>
      </c>
      <c r="N231" t="s">
        <v>4446</v>
      </c>
      <c r="O231">
        <f>-805.405352020804 -126.970280782733 -478.673129933377</f>
        <v>-1411.0487627369139</v>
      </c>
      <c r="P231">
        <f>-852.557620442053 -173.756578474415 -192.004474866302</f>
        <v>-1218.31867378277</v>
      </c>
      <c r="Q231">
        <f>-645.28463837929 -79.151852599852 -270.35450530436</f>
        <v>-994.79099628350195</v>
      </c>
      <c r="R231" t="s">
        <v>4447</v>
      </c>
      <c r="S231" t="s">
        <v>4448</v>
      </c>
      <c r="T231" t="s">
        <v>4449</v>
      </c>
      <c r="U231" t="s">
        <v>4450</v>
      </c>
      <c r="V231">
        <f>-705.538355502963 -48.4170709137577 -62.9194887181766</f>
        <v>-816.87491513489726</v>
      </c>
      <c r="W231" t="s">
        <v>4451</v>
      </c>
      <c r="X231" t="s">
        <v>4452</v>
      </c>
      <c r="Y231" t="s">
        <v>4453</v>
      </c>
    </row>
    <row r="232" spans="1:25" x14ac:dyDescent="0.3">
      <c r="A232">
        <v>11550</v>
      </c>
      <c r="B232" t="s">
        <v>4454</v>
      </c>
      <c r="C232" t="s">
        <v>4455</v>
      </c>
      <c r="D232" t="s">
        <v>4456</v>
      </c>
      <c r="E232" t="s">
        <v>4457</v>
      </c>
      <c r="F232" t="s">
        <v>4458</v>
      </c>
      <c r="G232" t="s">
        <v>4459</v>
      </c>
      <c r="H232" t="s">
        <v>4460</v>
      </c>
      <c r="I232" t="s">
        <v>4461</v>
      </c>
      <c r="J232" t="s">
        <v>4462</v>
      </c>
      <c r="K232" t="s">
        <v>4463</v>
      </c>
      <c r="L232" t="s">
        <v>4464</v>
      </c>
      <c r="M232" t="s">
        <v>4465</v>
      </c>
      <c r="N232" t="s">
        <v>4466</v>
      </c>
      <c r="O232">
        <f>-805.071335367671 -127.154934255619 -478.509484244108</f>
        <v>-1410.735753867398</v>
      </c>
      <c r="P232">
        <f>-852.189088983113 -173.686739933441 -191.793755123978</f>
        <v>-1217.6695840405318</v>
      </c>
      <c r="Q232">
        <f>-644.815481740624 -79.4184449769598 -270.28301803999</f>
        <v>-994.51694475757381</v>
      </c>
      <c r="R232" t="s">
        <v>4467</v>
      </c>
      <c r="S232" t="s">
        <v>4468</v>
      </c>
      <c r="T232" t="s">
        <v>4469</v>
      </c>
      <c r="U232" t="s">
        <v>4470</v>
      </c>
      <c r="V232">
        <f>-705.050839191651 -48.4750494794716 -62.866442549744</f>
        <v>-816.39233122086659</v>
      </c>
      <c r="W232" t="s">
        <v>4471</v>
      </c>
      <c r="X232" t="s">
        <v>4472</v>
      </c>
      <c r="Y232" t="s">
        <v>4473</v>
      </c>
    </row>
    <row r="233" spans="1:25" x14ac:dyDescent="0.3">
      <c r="A233">
        <v>11600</v>
      </c>
      <c r="B233" t="s">
        <v>4474</v>
      </c>
      <c r="C233" t="s">
        <v>4475</v>
      </c>
      <c r="D233" t="s">
        <v>4476</v>
      </c>
      <c r="E233" t="s">
        <v>4477</v>
      </c>
      <c r="F233" t="s">
        <v>4478</v>
      </c>
      <c r="G233" t="s">
        <v>4479</v>
      </c>
      <c r="H233" t="s">
        <v>4480</v>
      </c>
      <c r="I233" t="s">
        <v>4481</v>
      </c>
      <c r="J233" t="s">
        <v>4482</v>
      </c>
      <c r="K233" t="s">
        <v>4483</v>
      </c>
      <c r="L233" t="s">
        <v>4484</v>
      </c>
      <c r="M233" t="s">
        <v>4485</v>
      </c>
      <c r="N233" t="s">
        <v>4486</v>
      </c>
      <c r="O233">
        <f>-804.302588366374 -127.345592543002 -478.274989164527</f>
        <v>-1409.9231700739031</v>
      </c>
      <c r="P233">
        <f>-851.413324542426 -173.471774693432 -191.492555466541</f>
        <v>-1216.377654702399</v>
      </c>
      <c r="Q233">
        <f>-643.836504492738 -79.7466556017087 -270.095518738143</f>
        <v>-993.67867883258964</v>
      </c>
      <c r="R233" t="s">
        <v>4487</v>
      </c>
      <c r="S233" t="s">
        <v>4488</v>
      </c>
      <c r="T233" t="s">
        <v>4489</v>
      </c>
      <c r="U233" t="s">
        <v>4490</v>
      </c>
      <c r="V233">
        <f>-704.243164345259 -48.5210575683823 -62.7767363626519</f>
        <v>-815.54095827629317</v>
      </c>
      <c r="W233" t="s">
        <v>4491</v>
      </c>
      <c r="X233" t="s">
        <v>4492</v>
      </c>
      <c r="Y233" t="s">
        <v>4493</v>
      </c>
    </row>
    <row r="234" spans="1:25" x14ac:dyDescent="0.3">
      <c r="A234">
        <v>11650</v>
      </c>
      <c r="B234" t="s">
        <v>4494</v>
      </c>
      <c r="C234" t="s">
        <v>4495</v>
      </c>
      <c r="D234" t="s">
        <v>4496</v>
      </c>
      <c r="E234" t="s">
        <v>4497</v>
      </c>
      <c r="F234" t="s">
        <v>4498</v>
      </c>
      <c r="G234" t="s">
        <v>4499</v>
      </c>
      <c r="H234" t="s">
        <v>4500</v>
      </c>
      <c r="I234" t="s">
        <v>4501</v>
      </c>
      <c r="J234" t="s">
        <v>4502</v>
      </c>
      <c r="K234" t="s">
        <v>4503</v>
      </c>
      <c r="L234" t="s">
        <v>4504</v>
      </c>
      <c r="M234" t="s">
        <v>4505</v>
      </c>
      <c r="N234" t="s">
        <v>4506</v>
      </c>
      <c r="O234">
        <f>-803.961306417051 -127.358855889129 -478.179437737282</f>
        <v>-1409.4996000434621</v>
      </c>
      <c r="P234">
        <f>-851.053048807569 -173.370476587321 -191.375539470359</f>
        <v>-1215.799064865249</v>
      </c>
      <c r="Q234">
        <f>-643.379753386569 -79.9013184364455 -270.027796614496</f>
        <v>-993.30886843751045</v>
      </c>
      <c r="R234" t="s">
        <v>4507</v>
      </c>
      <c r="S234" t="s">
        <v>4508</v>
      </c>
      <c r="T234" t="s">
        <v>4509</v>
      </c>
      <c r="U234" t="s">
        <v>4510</v>
      </c>
      <c r="V234">
        <f>-703.888454646733 -48.4814818793 -62.7322441491706</f>
        <v>-815.1021806752035</v>
      </c>
      <c r="W234" t="s">
        <v>4511</v>
      </c>
      <c r="X234" t="s">
        <v>4512</v>
      </c>
      <c r="Y234" t="s">
        <v>4513</v>
      </c>
    </row>
    <row r="235" spans="1:25" x14ac:dyDescent="0.3">
      <c r="A235">
        <v>11700</v>
      </c>
      <c r="B235" t="s">
        <v>4514</v>
      </c>
      <c r="C235" t="s">
        <v>4515</v>
      </c>
      <c r="D235" t="s">
        <v>4516</v>
      </c>
      <c r="E235" t="s">
        <v>4517</v>
      </c>
      <c r="F235" t="s">
        <v>4518</v>
      </c>
      <c r="G235" t="s">
        <v>4519</v>
      </c>
      <c r="H235" t="s">
        <v>4520</v>
      </c>
      <c r="I235" t="s">
        <v>4521</v>
      </c>
      <c r="J235" t="s">
        <v>4522</v>
      </c>
      <c r="K235" t="s">
        <v>4523</v>
      </c>
      <c r="L235" t="s">
        <v>4524</v>
      </c>
      <c r="M235" t="s">
        <v>4525</v>
      </c>
      <c r="N235" t="s">
        <v>4526</v>
      </c>
      <c r="O235">
        <f>-803.461688777137 -127.478005609414 -478.046025524383</f>
        <v>-1408.9857199109342</v>
      </c>
      <c r="P235">
        <f>-850.431342958627 -173.347599251808 -191.199399696747</f>
        <v>-1214.9783419071821</v>
      </c>
      <c r="Q235">
        <f>-642.65389719151 -80.1939658994547 -269.950347810785</f>
        <v>-992.79821090174983</v>
      </c>
      <c r="R235" t="s">
        <v>4527</v>
      </c>
      <c r="S235" t="s">
        <v>4528</v>
      </c>
      <c r="T235" t="s">
        <v>4529</v>
      </c>
      <c r="U235" t="s">
        <v>4530</v>
      </c>
      <c r="V235">
        <f>-703.226154684686 -48.6439846222265 -62.6266114463365</f>
        <v>-814.49675075324899</v>
      </c>
      <c r="W235" t="s">
        <v>4531</v>
      </c>
      <c r="X235" t="s">
        <v>4532</v>
      </c>
      <c r="Y235" t="s">
        <v>4533</v>
      </c>
    </row>
    <row r="236" spans="1:25" x14ac:dyDescent="0.3">
      <c r="A236">
        <v>11750</v>
      </c>
      <c r="B236" t="s">
        <v>4534</v>
      </c>
      <c r="C236" t="s">
        <v>4535</v>
      </c>
      <c r="D236" t="s">
        <v>4536</v>
      </c>
      <c r="E236" t="s">
        <v>4537</v>
      </c>
      <c r="F236" t="s">
        <v>4538</v>
      </c>
      <c r="G236" t="s">
        <v>4539</v>
      </c>
      <c r="H236" t="s">
        <v>4540</v>
      </c>
      <c r="I236" t="s">
        <v>4541</v>
      </c>
      <c r="J236" t="s">
        <v>4542</v>
      </c>
      <c r="K236" t="s">
        <v>4543</v>
      </c>
      <c r="L236" t="s">
        <v>4544</v>
      </c>
      <c r="M236" t="s">
        <v>4545</v>
      </c>
      <c r="N236" t="s">
        <v>4546</v>
      </c>
      <c r="O236">
        <f>-803.174150021071 -127.530373885889 -478.033901437503</f>
        <v>-1408.7384253444629</v>
      </c>
      <c r="P236">
        <f>-850.115878790991 -173.409016291777 -191.18399851441</f>
        <v>-1214.7088935971781</v>
      </c>
      <c r="Q236">
        <f>-642.309996370994 -80.3388830555311 -269.959437715862</f>
        <v>-992.60831714238714</v>
      </c>
      <c r="R236" t="s">
        <v>4547</v>
      </c>
      <c r="S236" t="s">
        <v>4548</v>
      </c>
      <c r="T236" t="s">
        <v>4549</v>
      </c>
      <c r="U236" t="s">
        <v>4550</v>
      </c>
      <c r="V236">
        <f>-702.898041868765 -48.7192904423684 -62.60239395876</f>
        <v>-814.21972626989339</v>
      </c>
      <c r="W236" t="s">
        <v>4551</v>
      </c>
      <c r="X236" t="s">
        <v>4552</v>
      </c>
      <c r="Y236" t="s">
        <v>4553</v>
      </c>
    </row>
    <row r="237" spans="1:25" x14ac:dyDescent="0.3">
      <c r="A237">
        <v>11800</v>
      </c>
      <c r="B237" t="s">
        <v>4554</v>
      </c>
      <c r="C237" t="s">
        <v>4555</v>
      </c>
      <c r="D237" t="s">
        <v>4556</v>
      </c>
      <c r="E237" t="s">
        <v>4557</v>
      </c>
      <c r="F237" t="s">
        <v>4558</v>
      </c>
      <c r="G237" t="s">
        <v>4559</v>
      </c>
      <c r="H237" t="s">
        <v>4560</v>
      </c>
      <c r="I237" t="s">
        <v>4561</v>
      </c>
      <c r="J237" t="s">
        <v>4562</v>
      </c>
      <c r="K237" t="s">
        <v>4563</v>
      </c>
      <c r="L237" t="s">
        <v>4564</v>
      </c>
      <c r="M237" t="s">
        <v>4565</v>
      </c>
      <c r="N237" t="s">
        <v>4566</v>
      </c>
      <c r="O237">
        <f>-802.524316828862 -127.396602716692 -478.10288163589</f>
        <v>-1408.023801181444</v>
      </c>
      <c r="P237">
        <f>-849.491531097647 -173.434926620801 -191.282889458127</f>
        <v>-1214.209347176575</v>
      </c>
      <c r="Q237">
        <f>-641.677463817302 -80.3818646151119 -270.056243013964</f>
        <v>-992.115571446378</v>
      </c>
      <c r="R237" t="s">
        <v>4567</v>
      </c>
      <c r="S237" t="s">
        <v>4568</v>
      </c>
      <c r="T237" t="s">
        <v>4569</v>
      </c>
      <c r="U237" t="s">
        <v>4570</v>
      </c>
      <c r="V237">
        <f>-702.191361097816 -48.603663236707 -62.6189135459683</f>
        <v>-813.41393788049129</v>
      </c>
      <c r="W237" t="s">
        <v>4571</v>
      </c>
      <c r="X237" t="s">
        <v>4572</v>
      </c>
      <c r="Y237" t="s">
        <v>4573</v>
      </c>
    </row>
    <row r="238" spans="1:25" x14ac:dyDescent="0.3">
      <c r="A238">
        <v>11850</v>
      </c>
      <c r="B238" t="s">
        <v>4574</v>
      </c>
      <c r="C238" t="s">
        <v>4575</v>
      </c>
      <c r="D238" t="s">
        <v>4576</v>
      </c>
      <c r="E238" t="s">
        <v>4577</v>
      </c>
      <c r="F238" t="s">
        <v>4578</v>
      </c>
      <c r="G238" t="s">
        <v>4579</v>
      </c>
      <c r="H238" t="s">
        <v>4580</v>
      </c>
      <c r="I238" t="s">
        <v>4581</v>
      </c>
      <c r="J238" t="s">
        <v>4582</v>
      </c>
      <c r="K238" t="s">
        <v>4583</v>
      </c>
      <c r="L238" t="s">
        <v>4584</v>
      </c>
      <c r="M238" t="s">
        <v>4585</v>
      </c>
      <c r="N238" t="s">
        <v>4586</v>
      </c>
      <c r="O238">
        <f>-802.097310689864 -127.302977848711 -478.152343703416</f>
        <v>-1407.552632241991</v>
      </c>
      <c r="P238">
        <f>-849.069513898414 -173.362890893567 -191.336537407584</f>
        <v>-1213.7689421995651</v>
      </c>
      <c r="Q238">
        <f>-641.262376202209 -80.2863089607131 -270.100692869457</f>
        <v>-991.6493780323791</v>
      </c>
      <c r="R238" t="s">
        <v>4587</v>
      </c>
      <c r="S238" t="s">
        <v>4588</v>
      </c>
      <c r="T238" t="s">
        <v>4589</v>
      </c>
      <c r="U238" t="s">
        <v>4590</v>
      </c>
      <c r="V238">
        <f>-701.851331625212 -48.5472897895079 -62.6357755622729</f>
        <v>-813.03439697699275</v>
      </c>
      <c r="W238" t="s">
        <v>4591</v>
      </c>
      <c r="X238" t="s">
        <v>4592</v>
      </c>
      <c r="Y238" t="s">
        <v>4593</v>
      </c>
    </row>
    <row r="239" spans="1:25" x14ac:dyDescent="0.3">
      <c r="A239">
        <v>11900</v>
      </c>
      <c r="B239" t="s">
        <v>4594</v>
      </c>
      <c r="C239" t="s">
        <v>4595</v>
      </c>
      <c r="D239" t="s">
        <v>4596</v>
      </c>
      <c r="E239" t="s">
        <v>4597</v>
      </c>
      <c r="F239" t="s">
        <v>4598</v>
      </c>
      <c r="G239" t="s">
        <v>4599</v>
      </c>
      <c r="H239" t="s">
        <v>4600</v>
      </c>
      <c r="I239" t="s">
        <v>4601</v>
      </c>
      <c r="J239" t="s">
        <v>4602</v>
      </c>
      <c r="K239" t="s">
        <v>4603</v>
      </c>
      <c r="L239" t="s">
        <v>4604</v>
      </c>
      <c r="M239" t="s">
        <v>4605</v>
      </c>
      <c r="N239" t="s">
        <v>4606</v>
      </c>
      <c r="O239">
        <f>-801.648770137737 -127.269152474425 -478.201709305018</f>
        <v>-1407.11963191718</v>
      </c>
      <c r="P239">
        <f>-848.620336145752 -173.311371898131 -191.382813961235</f>
        <v>-1213.3145220051181</v>
      </c>
      <c r="Q239">
        <f>-640.830590141339 -80.196144741554 -270.147305129413</f>
        <v>-991.17404001230602</v>
      </c>
      <c r="R239" t="s">
        <v>4607</v>
      </c>
      <c r="S239" t="s">
        <v>4608</v>
      </c>
      <c r="T239" t="s">
        <v>4609</v>
      </c>
      <c r="U239" t="s">
        <v>4610</v>
      </c>
      <c r="V239">
        <f>-701.632203479076 -48.5107122503057 -62.659964569169</f>
        <v>-812.80288029855069</v>
      </c>
      <c r="W239" t="s">
        <v>4611</v>
      </c>
      <c r="X239" t="s">
        <v>4612</v>
      </c>
      <c r="Y239" t="s">
        <v>4613</v>
      </c>
    </row>
    <row r="240" spans="1:25" x14ac:dyDescent="0.3">
      <c r="A240">
        <v>11950</v>
      </c>
      <c r="B240" t="s">
        <v>4614</v>
      </c>
      <c r="C240" t="s">
        <v>4615</v>
      </c>
      <c r="D240" t="s">
        <v>4616</v>
      </c>
      <c r="E240" t="s">
        <v>4617</v>
      </c>
      <c r="F240" t="s">
        <v>4618</v>
      </c>
      <c r="G240" t="s">
        <v>4619</v>
      </c>
      <c r="H240" t="s">
        <v>4620</v>
      </c>
      <c r="I240" t="s">
        <v>4621</v>
      </c>
      <c r="J240" t="s">
        <v>4622</v>
      </c>
      <c r="K240" t="s">
        <v>4623</v>
      </c>
      <c r="L240" t="s">
        <v>4624</v>
      </c>
      <c r="M240" t="s">
        <v>4625</v>
      </c>
      <c r="N240" t="s">
        <v>4626</v>
      </c>
      <c r="O240">
        <f>-800.954957251432 -127.366637508995 -478.315331071585</f>
        <v>-1406.6369258320119</v>
      </c>
      <c r="P240">
        <f>-847.844885889626 -173.435074606185 -191.487285460737</f>
        <v>-1212.7672459565481</v>
      </c>
      <c r="Q240">
        <f>-640.153446903907 -80.1210948464818 -270.27591922288</f>
        <v>-990.55046097326886</v>
      </c>
      <c r="R240" t="s">
        <v>4627</v>
      </c>
      <c r="S240" t="s">
        <v>4628</v>
      </c>
      <c r="T240" t="s">
        <v>4629</v>
      </c>
      <c r="U240" t="s">
        <v>4630</v>
      </c>
      <c r="V240">
        <f>-701.283292585967 -48.5444077276418 -62.7201451721262</f>
        <v>-812.54784548573502</v>
      </c>
      <c r="W240" t="s">
        <v>4631</v>
      </c>
      <c r="X240" t="s">
        <v>4632</v>
      </c>
      <c r="Y240" t="s">
        <v>4633</v>
      </c>
    </row>
    <row r="241" spans="1:25" x14ac:dyDescent="0.3">
      <c r="A241">
        <v>12000</v>
      </c>
      <c r="B241" t="s">
        <v>4634</v>
      </c>
      <c r="C241" t="s">
        <v>4635</v>
      </c>
      <c r="D241" t="s">
        <v>4636</v>
      </c>
      <c r="E241" t="s">
        <v>4637</v>
      </c>
      <c r="F241" t="s">
        <v>4638</v>
      </c>
      <c r="G241" t="s">
        <v>4639</v>
      </c>
      <c r="H241" t="s">
        <v>4640</v>
      </c>
      <c r="I241" t="s">
        <v>4641</v>
      </c>
      <c r="J241" t="s">
        <v>4642</v>
      </c>
      <c r="K241" t="s">
        <v>4643</v>
      </c>
      <c r="L241" t="s">
        <v>4644</v>
      </c>
      <c r="M241" t="s">
        <v>4645</v>
      </c>
      <c r="N241" t="s">
        <v>4646</v>
      </c>
      <c r="O241">
        <f>-800.49901655797 -127.476695179854 -478.450879358504</f>
        <v>-1406.4265910963279</v>
      </c>
      <c r="P241">
        <f>-847.295269522105 -173.766015860787 -191.643073904661</f>
        <v>-1212.704359287553</v>
      </c>
      <c r="Q241">
        <f>-639.699502137156 -80.2298495561251 -270.420226618774</f>
        <v>-990.34957831205509</v>
      </c>
      <c r="R241" t="s">
        <v>4647</v>
      </c>
      <c r="S241" t="s">
        <v>4648</v>
      </c>
      <c r="T241" t="s">
        <v>4649</v>
      </c>
      <c r="U241" t="s">
        <v>4650</v>
      </c>
      <c r="V241">
        <f>-700.987691563959 -48.7128215661451 -62.7572746842105</f>
        <v>-812.45778781431454</v>
      </c>
      <c r="W241" t="s">
        <v>4651</v>
      </c>
      <c r="X241" t="s">
        <v>4652</v>
      </c>
      <c r="Y241" t="s">
        <v>4653</v>
      </c>
    </row>
    <row r="242" spans="1:25" x14ac:dyDescent="0.3">
      <c r="A242">
        <v>12050</v>
      </c>
      <c r="B242" t="s">
        <v>4654</v>
      </c>
      <c r="C242" t="s">
        <v>4655</v>
      </c>
      <c r="D242" t="s">
        <v>4656</v>
      </c>
      <c r="E242" t="s">
        <v>4657</v>
      </c>
      <c r="F242" t="s">
        <v>4658</v>
      </c>
      <c r="G242" t="s">
        <v>4659</v>
      </c>
      <c r="H242" t="s">
        <v>4660</v>
      </c>
      <c r="I242" t="s">
        <v>4661</v>
      </c>
      <c r="J242" t="s">
        <v>4662</v>
      </c>
      <c r="K242" t="s">
        <v>4663</v>
      </c>
      <c r="L242" t="s">
        <v>4664</v>
      </c>
      <c r="M242" t="s">
        <v>4665</v>
      </c>
      <c r="N242" t="s">
        <v>4666</v>
      </c>
      <c r="O242">
        <f>-800.301223408477 -127.484510042183 -478.496820115072</f>
        <v>-1406.2825535657321</v>
      </c>
      <c r="P242">
        <f>-847.084892978703 -173.855644987307 -191.700408292499</f>
        <v>-1212.6409462585088</v>
      </c>
      <c r="Q242">
        <f>-639.521749436385 -80.2352371201989 -270.463327107264</f>
        <v>-990.22031366384795</v>
      </c>
      <c r="R242" t="s">
        <v>4667</v>
      </c>
      <c r="S242" t="s">
        <v>4668</v>
      </c>
      <c r="T242" t="s">
        <v>4669</v>
      </c>
      <c r="U242" t="s">
        <v>4670</v>
      </c>
      <c r="V242">
        <f>-700.782639375511 -48.767602362994 -62.771899439021</f>
        <v>-812.32214117752608</v>
      </c>
      <c r="W242" t="s">
        <v>4671</v>
      </c>
      <c r="X242" t="s">
        <v>4672</v>
      </c>
      <c r="Y242" t="s">
        <v>4673</v>
      </c>
    </row>
    <row r="243" spans="1:25" x14ac:dyDescent="0.3">
      <c r="A243">
        <v>12100</v>
      </c>
      <c r="B243" t="s">
        <v>4674</v>
      </c>
      <c r="C243" t="s">
        <v>4675</v>
      </c>
      <c r="D243" t="s">
        <v>4676</v>
      </c>
      <c r="E243" t="s">
        <v>4677</v>
      </c>
      <c r="F243" t="s">
        <v>4678</v>
      </c>
      <c r="G243" t="s">
        <v>4679</v>
      </c>
      <c r="H243" t="s">
        <v>4680</v>
      </c>
      <c r="I243" t="s">
        <v>4681</v>
      </c>
      <c r="J243" t="s">
        <v>4682</v>
      </c>
      <c r="K243" t="s">
        <v>4683</v>
      </c>
      <c r="L243" t="s">
        <v>4684</v>
      </c>
      <c r="M243" t="s">
        <v>4685</v>
      </c>
      <c r="N243" t="s">
        <v>4686</v>
      </c>
      <c r="O243">
        <f>-799.948964850491 -127.569276186001 -478.523920573132</f>
        <v>-1406.0421616096241</v>
      </c>
      <c r="P243">
        <f>-846.7125955433 -174.098980913247 -191.74987378288</f>
        <v>-1212.5614502394271</v>
      </c>
      <c r="Q243">
        <f>-639.208066159664 -80.299981485791 -270.454746794893</f>
        <v>-989.96279444034803</v>
      </c>
      <c r="R243" t="s">
        <v>4687</v>
      </c>
      <c r="S243" t="s">
        <v>4688</v>
      </c>
      <c r="T243" t="s">
        <v>4689</v>
      </c>
      <c r="U243" t="s">
        <v>4690</v>
      </c>
      <c r="V243">
        <f>-700.433066236388 -48.973336249996 -62.7371227446179</f>
        <v>-812.14352523100183</v>
      </c>
      <c r="W243" t="s">
        <v>4691</v>
      </c>
      <c r="X243" t="s">
        <v>4692</v>
      </c>
      <c r="Y243" t="s">
        <v>4693</v>
      </c>
    </row>
    <row r="244" spans="1:25" x14ac:dyDescent="0.3">
      <c r="A244">
        <v>12150</v>
      </c>
      <c r="B244" t="s">
        <v>4694</v>
      </c>
      <c r="C244" t="s">
        <v>4695</v>
      </c>
      <c r="D244" t="s">
        <v>4696</v>
      </c>
      <c r="E244" t="s">
        <v>4697</v>
      </c>
      <c r="F244" t="s">
        <v>4698</v>
      </c>
      <c r="G244" t="s">
        <v>4699</v>
      </c>
      <c r="H244" t="s">
        <v>4700</v>
      </c>
      <c r="I244" t="s">
        <v>4701</v>
      </c>
      <c r="J244" t="s">
        <v>4702</v>
      </c>
      <c r="K244" t="s">
        <v>4703</v>
      </c>
      <c r="L244" t="s">
        <v>4704</v>
      </c>
      <c r="M244" t="s">
        <v>4705</v>
      </c>
      <c r="N244" t="s">
        <v>4706</v>
      </c>
      <c r="O244">
        <f>-799.768870199561 -127.682106891438 -478.512797341024</f>
        <v>-1405.963774432023</v>
      </c>
      <c r="P244">
        <f>-846.548041006148 -174.225750614967 -191.74360977355</f>
        <v>-1212.5174013946648</v>
      </c>
      <c r="Q244">
        <f>-639.063588296093 -80.3625095006994 -270.424913306253</f>
        <v>-989.85101110304549</v>
      </c>
      <c r="R244" t="s">
        <v>4707</v>
      </c>
      <c r="S244" t="s">
        <v>4708</v>
      </c>
      <c r="T244" t="s">
        <v>4709</v>
      </c>
      <c r="U244" t="s">
        <v>4710</v>
      </c>
      <c r="V244">
        <f>-700.299515647447 -49.1405277579597 -62.714859943035</f>
        <v>-812.15490334844174</v>
      </c>
      <c r="W244" t="s">
        <v>4711</v>
      </c>
      <c r="X244" t="s">
        <v>4712</v>
      </c>
      <c r="Y244" t="s">
        <v>4713</v>
      </c>
    </row>
    <row r="245" spans="1:25" x14ac:dyDescent="0.3">
      <c r="A245">
        <v>12200</v>
      </c>
      <c r="B245" t="s">
        <v>4714</v>
      </c>
      <c r="C245" t="s">
        <v>4715</v>
      </c>
      <c r="D245" t="s">
        <v>4716</v>
      </c>
      <c r="E245" t="s">
        <v>4717</v>
      </c>
      <c r="F245" t="s">
        <v>4718</v>
      </c>
      <c r="G245" t="s">
        <v>4719</v>
      </c>
      <c r="H245" t="s">
        <v>4720</v>
      </c>
      <c r="I245" t="s">
        <v>4721</v>
      </c>
      <c r="J245" t="s">
        <v>4722</v>
      </c>
      <c r="K245" t="s">
        <v>4723</v>
      </c>
      <c r="L245" t="s">
        <v>4724</v>
      </c>
      <c r="M245" t="s">
        <v>4725</v>
      </c>
      <c r="N245" t="s">
        <v>4726</v>
      </c>
      <c r="O245">
        <f>-799.451176942455 -128.018589722274 -478.513973506524</f>
        <v>-1405.983740171253</v>
      </c>
      <c r="P245">
        <f>-846.276239935421 -174.461612711397 -191.73586423359</f>
        <v>-1212.4737168804081</v>
      </c>
      <c r="Q245">
        <f>-638.849047138807 -80.4526692669731 -270.394043284026</f>
        <v>-989.6957596898061</v>
      </c>
      <c r="R245" t="s">
        <v>4727</v>
      </c>
      <c r="S245" t="s">
        <v>4728</v>
      </c>
      <c r="T245" t="s">
        <v>4729</v>
      </c>
      <c r="U245" t="s">
        <v>4730</v>
      </c>
      <c r="V245">
        <f>-700.170548193893 -49.3809805303149 -62.6957190444957</f>
        <v>-812.24724776870357</v>
      </c>
      <c r="W245" t="s">
        <v>4731</v>
      </c>
      <c r="X245" t="s">
        <v>4732</v>
      </c>
      <c r="Y245" t="s">
        <v>4733</v>
      </c>
    </row>
    <row r="246" spans="1:25" x14ac:dyDescent="0.3">
      <c r="A246">
        <v>12250</v>
      </c>
      <c r="B246" t="s">
        <v>4734</v>
      </c>
      <c r="C246" t="s">
        <v>4735</v>
      </c>
      <c r="D246" t="s">
        <v>4736</v>
      </c>
      <c r="E246" t="s">
        <v>4737</v>
      </c>
      <c r="F246" t="s">
        <v>4738</v>
      </c>
      <c r="G246" t="s">
        <v>4739</v>
      </c>
      <c r="H246" t="s">
        <v>4740</v>
      </c>
      <c r="I246" t="s">
        <v>4741</v>
      </c>
      <c r="J246" t="s">
        <v>4742</v>
      </c>
      <c r="K246" t="s">
        <v>4743</v>
      </c>
      <c r="L246" t="s">
        <v>4744</v>
      </c>
      <c r="M246" t="s">
        <v>4745</v>
      </c>
      <c r="N246" t="s">
        <v>4746</v>
      </c>
      <c r="O246">
        <f>-799.405155397429 -128.228053778756 -478.487131532617</f>
        <v>-1406.1203407088019</v>
      </c>
      <c r="P246">
        <f>-846.230413701853 -174.689301559882 -191.711991600123</f>
        <v>-1212.631706861858</v>
      </c>
      <c r="Q246">
        <f>-638.8489961339 -80.6032515303755 -270.39879952126</f>
        <v>-989.85104718553544</v>
      </c>
      <c r="R246" t="s">
        <v>4747</v>
      </c>
      <c r="S246" t="s">
        <v>4748</v>
      </c>
      <c r="T246" t="s">
        <v>4749</v>
      </c>
      <c r="U246" t="s">
        <v>4750</v>
      </c>
      <c r="V246">
        <f>-700.197559789358 -49.4351356830916 -62.696018950131</f>
        <v>-812.32871442258067</v>
      </c>
      <c r="W246" t="s">
        <v>4751</v>
      </c>
      <c r="X246" t="s">
        <v>4752</v>
      </c>
      <c r="Y246" t="s">
        <v>4753</v>
      </c>
    </row>
    <row r="247" spans="1:25" x14ac:dyDescent="0.3">
      <c r="A247">
        <v>12300</v>
      </c>
      <c r="B247" t="s">
        <v>4754</v>
      </c>
      <c r="C247" t="s">
        <v>4755</v>
      </c>
      <c r="D247" t="s">
        <v>4756</v>
      </c>
      <c r="E247" t="s">
        <v>4757</v>
      </c>
      <c r="F247" t="s">
        <v>4758</v>
      </c>
      <c r="G247" t="s">
        <v>4759</v>
      </c>
      <c r="H247" t="s">
        <v>4760</v>
      </c>
      <c r="I247" t="s">
        <v>4761</v>
      </c>
      <c r="J247" t="s">
        <v>4762</v>
      </c>
      <c r="K247" t="s">
        <v>4763</v>
      </c>
      <c r="L247" t="s">
        <v>4764</v>
      </c>
      <c r="M247" t="s">
        <v>4765</v>
      </c>
      <c r="N247" t="s">
        <v>4766</v>
      </c>
      <c r="O247">
        <f>-798.963429809201 -129.156151183809 -478.212210696188</f>
        <v>-1406.3317916891979</v>
      </c>
      <c r="P247">
        <f>-846.112621483462 -175.193023948147 -191.421694282215</f>
        <v>-1212.727339713824</v>
      </c>
      <c r="Q247">
        <f>-638.730677582942 -81.1566241762489 -270.166566384567</f>
        <v>-990.05386814375788</v>
      </c>
      <c r="R247" t="s">
        <v>4767</v>
      </c>
      <c r="S247" t="s">
        <v>4768</v>
      </c>
      <c r="T247" t="s">
        <v>4769</v>
      </c>
      <c r="U247" t="s">
        <v>4770</v>
      </c>
      <c r="V247">
        <f>-700.279072006604 -49.6702393513876 -62.6587187402428</f>
        <v>-812.60803009823439</v>
      </c>
      <c r="W247" t="s">
        <v>4771</v>
      </c>
      <c r="X247" t="s">
        <v>4772</v>
      </c>
      <c r="Y247" t="s">
        <v>4773</v>
      </c>
    </row>
    <row r="248" spans="1:25" x14ac:dyDescent="0.3">
      <c r="A248">
        <v>12350</v>
      </c>
      <c r="B248" t="s">
        <v>4774</v>
      </c>
      <c r="C248" t="s">
        <v>4775</v>
      </c>
      <c r="D248" t="s">
        <v>4776</v>
      </c>
      <c r="E248" t="s">
        <v>4777</v>
      </c>
      <c r="F248" t="s">
        <v>4778</v>
      </c>
      <c r="G248" t="s">
        <v>4779</v>
      </c>
      <c r="H248" t="s">
        <v>4780</v>
      </c>
      <c r="I248" t="s">
        <v>4781</v>
      </c>
      <c r="J248" t="s">
        <v>4782</v>
      </c>
      <c r="K248" t="s">
        <v>4783</v>
      </c>
      <c r="L248" t="s">
        <v>4784</v>
      </c>
      <c r="M248" t="s">
        <v>4785</v>
      </c>
      <c r="N248" t="s">
        <v>4786</v>
      </c>
      <c r="O248">
        <f>-798.523173019509 -129.72417029006 -478.059901681393</f>
        <v>-1406.3072449909621</v>
      </c>
      <c r="P248">
        <f>-846.071657602333 -175.332406697229 -191.266996572891</f>
        <v>-1212.6710608724529</v>
      </c>
      <c r="Q248">
        <f>-638.591942291705 -81.4464400985385 -269.933416703425</f>
        <v>-989.97179909366844</v>
      </c>
      <c r="R248" t="s">
        <v>4787</v>
      </c>
      <c r="S248" t="s">
        <v>4788</v>
      </c>
      <c r="T248" t="s">
        <v>4789</v>
      </c>
      <c r="U248" t="s">
        <v>4790</v>
      </c>
      <c r="V248">
        <f>-700.299113773235 -49.8360183096574 -62.619516314669</f>
        <v>-812.75464839756148</v>
      </c>
      <c r="W248" t="s">
        <v>4791</v>
      </c>
      <c r="X248" t="s">
        <v>4792</v>
      </c>
      <c r="Y248" t="s">
        <v>4793</v>
      </c>
    </row>
    <row r="249" spans="1:25" x14ac:dyDescent="0.3">
      <c r="A249">
        <v>12400</v>
      </c>
      <c r="B249" t="s">
        <v>4794</v>
      </c>
      <c r="C249" t="s">
        <v>4795</v>
      </c>
      <c r="D249" t="s">
        <v>4796</v>
      </c>
      <c r="E249" t="s">
        <v>4797</v>
      </c>
      <c r="F249" t="s">
        <v>4798</v>
      </c>
      <c r="G249" t="s">
        <v>4799</v>
      </c>
      <c r="H249" t="s">
        <v>4800</v>
      </c>
      <c r="I249" t="s">
        <v>4801</v>
      </c>
      <c r="J249" t="s">
        <v>4802</v>
      </c>
      <c r="K249" t="s">
        <v>4803</v>
      </c>
      <c r="L249" t="s">
        <v>4804</v>
      </c>
      <c r="M249" t="s">
        <v>4805</v>
      </c>
      <c r="N249" t="s">
        <v>4806</v>
      </c>
      <c r="O249">
        <f>-797.933411110461 -130.442084378092 -477.961084471418</f>
        <v>-1406.336579959971</v>
      </c>
      <c r="P249">
        <f>-845.934086223128 -175.52143468742 -191.159791829038</f>
        <v>-1212.615312739586</v>
      </c>
      <c r="Q249">
        <f>-638.262886677 -81.9020717588542 -269.638724249701</f>
        <v>-989.80368268555515</v>
      </c>
      <c r="R249" t="s">
        <v>4807</v>
      </c>
      <c r="S249" t="s">
        <v>4808</v>
      </c>
      <c r="T249" t="s">
        <v>4809</v>
      </c>
      <c r="U249" t="s">
        <v>4810</v>
      </c>
      <c r="V249">
        <f>-700.25073673873 -49.9633761736941 -62.579488395673</f>
        <v>-812.7936013080971</v>
      </c>
      <c r="W249" t="s">
        <v>4811</v>
      </c>
      <c r="X249" t="s">
        <v>4812</v>
      </c>
      <c r="Y249" t="s">
        <v>4813</v>
      </c>
    </row>
    <row r="250" spans="1:25" x14ac:dyDescent="0.3">
      <c r="A250">
        <v>12450</v>
      </c>
      <c r="B250" t="s">
        <v>4814</v>
      </c>
      <c r="C250" t="s">
        <v>4815</v>
      </c>
      <c r="D250" t="s">
        <v>4816</v>
      </c>
      <c r="E250" t="s">
        <v>4817</v>
      </c>
      <c r="F250" t="s">
        <v>4818</v>
      </c>
      <c r="G250" t="s">
        <v>4819</v>
      </c>
      <c r="H250" t="s">
        <v>4820</v>
      </c>
      <c r="I250" t="s">
        <v>4821</v>
      </c>
      <c r="J250" t="s">
        <v>4822</v>
      </c>
      <c r="K250" t="s">
        <v>4823</v>
      </c>
      <c r="L250" t="s">
        <v>4824</v>
      </c>
      <c r="M250" t="s">
        <v>4825</v>
      </c>
      <c r="N250" t="s">
        <v>4826</v>
      </c>
      <c r="O250">
        <f>-797.849720314357 -130.624624426932 -478.005859289411</f>
        <v>-1406.4802040307</v>
      </c>
      <c r="P250">
        <f>-845.75951740247 -175.757427693041 -191.197640202369</f>
        <v>-1212.7145852978799</v>
      </c>
      <c r="Q250">
        <f>-638.120815260159 -82.0928027869611 -269.708797853843</f>
        <v>-989.92241590096319</v>
      </c>
      <c r="R250" t="s">
        <v>4827</v>
      </c>
      <c r="S250" t="s">
        <v>4828</v>
      </c>
      <c r="T250" t="s">
        <v>4829</v>
      </c>
      <c r="U250" t="s">
        <v>4830</v>
      </c>
      <c r="V250">
        <f>-700.224396484053 -50.1324350425223 -62.5684010050297</f>
        <v>-812.92523253160505</v>
      </c>
      <c r="W250" t="s">
        <v>4831</v>
      </c>
      <c r="X250" t="s">
        <v>4832</v>
      </c>
      <c r="Y250" t="s">
        <v>4833</v>
      </c>
    </row>
    <row r="251" spans="1:25" x14ac:dyDescent="0.3">
      <c r="A251">
        <v>12500</v>
      </c>
      <c r="B251" t="s">
        <v>4834</v>
      </c>
      <c r="C251" t="s">
        <v>4835</v>
      </c>
      <c r="D251" t="s">
        <v>4836</v>
      </c>
      <c r="E251" t="s">
        <v>4837</v>
      </c>
      <c r="F251" t="s">
        <v>4838</v>
      </c>
      <c r="G251" t="s">
        <v>4839</v>
      </c>
      <c r="H251" t="s">
        <v>4840</v>
      </c>
      <c r="I251" t="s">
        <v>4841</v>
      </c>
      <c r="J251" t="s">
        <v>4842</v>
      </c>
      <c r="K251" t="s">
        <v>4843</v>
      </c>
      <c r="L251" t="s">
        <v>4844</v>
      </c>
      <c r="M251" t="s">
        <v>4845</v>
      </c>
      <c r="N251" t="s">
        <v>4846</v>
      </c>
      <c r="O251">
        <f>-798.062324714685 -130.734830195066 -478.174368853683</f>
        <v>-1406.9715237634341</v>
      </c>
      <c r="P251">
        <f>-845.630211714226 -176.428745969115 -191.398365321066</f>
        <v>-1213.457323004407</v>
      </c>
      <c r="Q251">
        <f>-638.199332108648 -82.4247211340837 -270.052643326557</f>
        <v>-990.67669656928877</v>
      </c>
      <c r="R251" t="s">
        <v>4847</v>
      </c>
      <c r="S251" t="s">
        <v>4848</v>
      </c>
      <c r="T251" t="s">
        <v>4849</v>
      </c>
      <c r="U251" t="s">
        <v>4850</v>
      </c>
      <c r="V251">
        <f>-700.144780243183 -50.5981903639897 -62.5834549339099</f>
        <v>-813.3264255410827</v>
      </c>
      <c r="W251" t="s">
        <v>4851</v>
      </c>
      <c r="X251" t="s">
        <v>4852</v>
      </c>
      <c r="Y251" t="s">
        <v>4853</v>
      </c>
    </row>
    <row r="252" spans="1:25" x14ac:dyDescent="0.3">
      <c r="A252">
        <v>12550</v>
      </c>
      <c r="B252" t="s">
        <v>4854</v>
      </c>
      <c r="C252" t="s">
        <v>4855</v>
      </c>
      <c r="D252" t="s">
        <v>4856</v>
      </c>
      <c r="E252" t="s">
        <v>4857</v>
      </c>
      <c r="F252" t="s">
        <v>4858</v>
      </c>
      <c r="G252" t="s">
        <v>4859</v>
      </c>
      <c r="H252" t="s">
        <v>4860</v>
      </c>
      <c r="I252" t="s">
        <v>4861</v>
      </c>
      <c r="J252" t="s">
        <v>4862</v>
      </c>
      <c r="K252" t="s">
        <v>4863</v>
      </c>
      <c r="L252" t="s">
        <v>4864</v>
      </c>
      <c r="M252" t="s">
        <v>4865</v>
      </c>
      <c r="N252" t="s">
        <v>4866</v>
      </c>
      <c r="O252">
        <f>-798.177862895055 -130.651055454026 -478.25509343416</f>
        <v>-1407.0840117832411</v>
      </c>
      <c r="P252">
        <f>-845.615150000918 -176.433617552856 -191.471348296941</f>
        <v>-1213.520115850715</v>
      </c>
      <c r="Q252">
        <f>-638.251853847466 -82.2961886419962 -270.144482087121</f>
        <v>-990.6925245765832</v>
      </c>
      <c r="R252" t="s">
        <v>4867</v>
      </c>
      <c r="S252" t="s">
        <v>4868</v>
      </c>
      <c r="T252" t="s">
        <v>4869</v>
      </c>
      <c r="U252" t="s">
        <v>4870</v>
      </c>
      <c r="V252">
        <f>-700.025278711041 -50.6907772403313 -62.6067520665194</f>
        <v>-813.3228080178917</v>
      </c>
      <c r="W252" t="s">
        <v>4871</v>
      </c>
      <c r="X252" t="s">
        <v>4872</v>
      </c>
      <c r="Y252" t="s">
        <v>4873</v>
      </c>
    </row>
    <row r="253" spans="1:25" x14ac:dyDescent="0.3">
      <c r="A253">
        <v>12600</v>
      </c>
      <c r="B253" t="s">
        <v>4874</v>
      </c>
      <c r="C253" t="s">
        <v>4875</v>
      </c>
      <c r="D253" t="s">
        <v>4876</v>
      </c>
      <c r="E253" t="s">
        <v>4877</v>
      </c>
      <c r="F253" t="s">
        <v>4878</v>
      </c>
      <c r="G253" t="s">
        <v>4879</v>
      </c>
      <c r="H253" t="s">
        <v>4880</v>
      </c>
      <c r="I253" t="s">
        <v>4881</v>
      </c>
      <c r="J253" t="s">
        <v>4882</v>
      </c>
      <c r="K253" t="s">
        <v>4883</v>
      </c>
      <c r="L253" t="s">
        <v>4884</v>
      </c>
      <c r="M253" t="s">
        <v>4885</v>
      </c>
      <c r="N253" t="s">
        <v>4886</v>
      </c>
      <c r="O253">
        <f>-798.283151939769 -130.734544469014 -478.172035549656</f>
        <v>-1407.1897319584391</v>
      </c>
      <c r="P253">
        <f>-845.670223276883 -176.244525631907 -191.336586247067</f>
        <v>-1213.2513351558571</v>
      </c>
      <c r="Q253">
        <f>-638.310181938435 -82.1558995736925 -270.077202913219</f>
        <v>-990.54328442534654</v>
      </c>
      <c r="R253" t="s">
        <v>4887</v>
      </c>
      <c r="S253" t="s">
        <v>4888</v>
      </c>
      <c r="T253" t="s">
        <v>4889</v>
      </c>
      <c r="U253" t="s">
        <v>4890</v>
      </c>
      <c r="V253">
        <f>-699.62277680704 -51.1514266523461 -62.5443873642066</f>
        <v>-813.31859082359279</v>
      </c>
      <c r="W253" t="s">
        <v>4891</v>
      </c>
      <c r="X253" t="s">
        <v>4892</v>
      </c>
      <c r="Y253" t="s">
        <v>4893</v>
      </c>
    </row>
    <row r="254" spans="1:25" x14ac:dyDescent="0.3">
      <c r="A254">
        <v>12650</v>
      </c>
      <c r="B254" t="s">
        <v>4894</v>
      </c>
      <c r="C254" t="s">
        <v>4895</v>
      </c>
      <c r="D254" t="s">
        <v>4896</v>
      </c>
      <c r="E254" t="s">
        <v>4897</v>
      </c>
      <c r="F254" t="s">
        <v>4898</v>
      </c>
      <c r="G254" t="s">
        <v>4899</v>
      </c>
      <c r="H254" t="s">
        <v>4900</v>
      </c>
      <c r="I254" t="s">
        <v>4901</v>
      </c>
      <c r="J254" t="s">
        <v>4902</v>
      </c>
      <c r="K254" t="s">
        <v>4903</v>
      </c>
      <c r="L254" t="s">
        <v>4904</v>
      </c>
      <c r="M254" t="s">
        <v>4905</v>
      </c>
      <c r="N254" t="s">
        <v>4906</v>
      </c>
      <c r="O254">
        <f>-798.376048438476 -130.819358458227 -478.066163925667</f>
        <v>-1407.26157082237</v>
      </c>
      <c r="P254">
        <f>-845.692949086887 -176.134215535583 -191.188446600415</f>
        <v>-1213.0156112228851</v>
      </c>
      <c r="Q254">
        <f>-638.329431167618 -82.1345079756086 -270.025125520989</f>
        <v>-990.48906466421568</v>
      </c>
      <c r="R254" t="s">
        <v>4907</v>
      </c>
      <c r="S254" t="s">
        <v>4908</v>
      </c>
      <c r="T254" t="s">
        <v>4909</v>
      </c>
      <c r="U254" t="s">
        <v>4910</v>
      </c>
      <c r="V254">
        <f>-699.373163087886 -51.2653301843345 -62.4794026867917</f>
        <v>-813.11789595901223</v>
      </c>
      <c r="W254" t="s">
        <v>4911</v>
      </c>
      <c r="X254" t="s">
        <v>4912</v>
      </c>
      <c r="Y254" t="s">
        <v>4913</v>
      </c>
    </row>
    <row r="255" spans="1:25" x14ac:dyDescent="0.3">
      <c r="A255">
        <v>12700</v>
      </c>
      <c r="B255" t="s">
        <v>4914</v>
      </c>
      <c r="C255" t="s">
        <v>4915</v>
      </c>
      <c r="D255" t="s">
        <v>4916</v>
      </c>
      <c r="E255" t="s">
        <v>4917</v>
      </c>
      <c r="F255" t="s">
        <v>4918</v>
      </c>
      <c r="G255" t="s">
        <v>4919</v>
      </c>
      <c r="H255" t="s">
        <v>4920</v>
      </c>
      <c r="I255" t="s">
        <v>4921</v>
      </c>
      <c r="J255" t="s">
        <v>4922</v>
      </c>
      <c r="K255" t="s">
        <v>4923</v>
      </c>
      <c r="L255" t="s">
        <v>4924</v>
      </c>
      <c r="M255" t="s">
        <v>4925</v>
      </c>
      <c r="N255" t="s">
        <v>4926</v>
      </c>
      <c r="O255">
        <f>-798.710890813542 -130.983916643961 -477.901507642923</f>
        <v>-1407.5963151004262</v>
      </c>
      <c r="P255">
        <f>-845.659123014713 -176.177498429907 -190.943965256135</f>
        <v>-1212.7805867007551</v>
      </c>
      <c r="Q255">
        <f>-638.418144725933 -82.0952411559358 -270.005023608782</f>
        <v>-990.51840949065081</v>
      </c>
      <c r="R255" t="s">
        <v>4927</v>
      </c>
      <c r="S255" t="s">
        <v>4928</v>
      </c>
      <c r="T255" t="s">
        <v>4929</v>
      </c>
      <c r="U255" t="s">
        <v>4930</v>
      </c>
      <c r="V255">
        <f>-698.9785347424 -51.3278176558385 -62.3626432179154</f>
        <v>-812.66899561615401</v>
      </c>
      <c r="W255" t="s">
        <v>4931</v>
      </c>
      <c r="X255" t="s">
        <v>4932</v>
      </c>
      <c r="Y255" t="s">
        <v>4933</v>
      </c>
    </row>
    <row r="256" spans="1:25" x14ac:dyDescent="0.3">
      <c r="A256">
        <v>12750</v>
      </c>
      <c r="B256" t="s">
        <v>4934</v>
      </c>
      <c r="C256" t="s">
        <v>4935</v>
      </c>
      <c r="D256" t="s">
        <v>4936</v>
      </c>
      <c r="E256" t="s">
        <v>4937</v>
      </c>
      <c r="F256" t="s">
        <v>4938</v>
      </c>
      <c r="G256" t="s">
        <v>4939</v>
      </c>
      <c r="H256" t="s">
        <v>4940</v>
      </c>
      <c r="I256" t="s">
        <v>4941</v>
      </c>
      <c r="J256" t="s">
        <v>4942</v>
      </c>
      <c r="K256" t="s">
        <v>4943</v>
      </c>
      <c r="L256" t="s">
        <v>4944</v>
      </c>
      <c r="M256" t="s">
        <v>4945</v>
      </c>
      <c r="N256" t="s">
        <v>4946</v>
      </c>
      <c r="O256">
        <f>-799.007479703305 -131.083432132083 -477.869654439265</f>
        <v>-1407.960566274653</v>
      </c>
      <c r="P256">
        <f>-845.722459426747 -176.386728146779 -190.891315156474</f>
        <v>-1213.0005027300001</v>
      </c>
      <c r="Q256">
        <f>-638.587443096011 -82.148421079155 -270.043261056361</f>
        <v>-990.77912523152713</v>
      </c>
      <c r="R256" t="s">
        <v>4947</v>
      </c>
      <c r="S256" t="s">
        <v>4948</v>
      </c>
      <c r="T256" t="s">
        <v>4949</v>
      </c>
      <c r="U256" t="s">
        <v>4950</v>
      </c>
      <c r="V256">
        <f>-698.889467286608 -51.3723603981384 -62.3330231487522</f>
        <v>-812.59485083349864</v>
      </c>
      <c r="W256" t="s">
        <v>4951</v>
      </c>
      <c r="X256" t="s">
        <v>4952</v>
      </c>
      <c r="Y256" t="s">
        <v>4953</v>
      </c>
    </row>
    <row r="257" spans="1:25" x14ac:dyDescent="0.3">
      <c r="A257">
        <v>12800</v>
      </c>
      <c r="B257" t="s">
        <v>4954</v>
      </c>
      <c r="C257" t="s">
        <v>4955</v>
      </c>
      <c r="D257" t="s">
        <v>4956</v>
      </c>
      <c r="E257" t="s">
        <v>4957</v>
      </c>
      <c r="F257" t="s">
        <v>4958</v>
      </c>
      <c r="G257" t="s">
        <v>4959</v>
      </c>
      <c r="H257" t="s">
        <v>4960</v>
      </c>
      <c r="I257" t="s">
        <v>4961</v>
      </c>
      <c r="J257" t="s">
        <v>4962</v>
      </c>
      <c r="K257" t="s">
        <v>4963</v>
      </c>
      <c r="L257" t="s">
        <v>4964</v>
      </c>
      <c r="M257" t="s">
        <v>4965</v>
      </c>
      <c r="N257" t="s">
        <v>4966</v>
      </c>
      <c r="O257">
        <f>-799.619440511107 -131.074823692721 -477.797287258232</f>
        <v>-1408.49155146206</v>
      </c>
      <c r="P257">
        <f>-845.850105850882 -176.632041709786 -190.780677679118</f>
        <v>-1213.262825239786</v>
      </c>
      <c r="Q257">
        <f>-638.991017786796 -81.9612354285437 -270.138071481087</f>
        <v>-991.09032469642671</v>
      </c>
      <c r="R257" t="s">
        <v>4967</v>
      </c>
      <c r="S257" t="s">
        <v>4968</v>
      </c>
      <c r="T257" t="s">
        <v>4969</v>
      </c>
      <c r="U257" t="s">
        <v>4970</v>
      </c>
      <c r="V257">
        <f>-698.659049759419 -51.1773762695022 -62.295679134518</f>
        <v>-812.13210516343918</v>
      </c>
      <c r="W257" t="s">
        <v>4971</v>
      </c>
      <c r="X257" t="s">
        <v>4972</v>
      </c>
      <c r="Y257" t="s">
        <v>4973</v>
      </c>
    </row>
    <row r="258" spans="1:25" x14ac:dyDescent="0.3">
      <c r="A258">
        <v>12850</v>
      </c>
      <c r="B258" t="s">
        <v>4974</v>
      </c>
      <c r="C258" t="s">
        <v>4975</v>
      </c>
      <c r="D258" t="s">
        <v>4976</v>
      </c>
      <c r="E258" t="s">
        <v>4977</v>
      </c>
      <c r="F258" t="s">
        <v>4978</v>
      </c>
      <c r="G258" t="s">
        <v>4979</v>
      </c>
      <c r="H258" t="s">
        <v>4980</v>
      </c>
      <c r="I258" t="s">
        <v>4981</v>
      </c>
      <c r="J258" t="s">
        <v>4982</v>
      </c>
      <c r="K258" t="s">
        <v>4983</v>
      </c>
      <c r="L258" t="s">
        <v>4984</v>
      </c>
      <c r="M258" t="s">
        <v>4985</v>
      </c>
      <c r="N258" t="s">
        <v>4986</v>
      </c>
      <c r="O258">
        <f>-799.964282753902 -131.062205056972 -477.743637527313</f>
        <v>-1408.770125338187</v>
      </c>
      <c r="P258">
        <f>-845.964795096615 -176.669333370498 -190.698052564078</f>
        <v>-1213.3321810311909</v>
      </c>
      <c r="Q258">
        <f>-639.214936728307 -81.823570394504 -270.131164282383</f>
        <v>-991.16967140519398</v>
      </c>
      <c r="R258" t="s">
        <v>4987</v>
      </c>
      <c r="S258" t="s">
        <v>4988</v>
      </c>
      <c r="T258" t="s">
        <v>4989</v>
      </c>
      <c r="U258" t="s">
        <v>4990</v>
      </c>
      <c r="V258">
        <f>-698.628064089636 -51.1755016784891 -62.2770753563024</f>
        <v>-812.08064112442753</v>
      </c>
      <c r="W258" t="s">
        <v>4991</v>
      </c>
      <c r="X258" t="s">
        <v>4992</v>
      </c>
      <c r="Y258" t="s">
        <v>4993</v>
      </c>
    </row>
    <row r="259" spans="1:25" x14ac:dyDescent="0.3">
      <c r="A259">
        <v>12900</v>
      </c>
      <c r="B259" t="s">
        <v>4994</v>
      </c>
      <c r="C259" t="s">
        <v>4995</v>
      </c>
      <c r="D259" t="s">
        <v>4996</v>
      </c>
      <c r="E259" t="s">
        <v>4997</v>
      </c>
      <c r="F259" t="s">
        <v>4998</v>
      </c>
      <c r="G259" t="s">
        <v>4999</v>
      </c>
      <c r="H259" t="s">
        <v>5000</v>
      </c>
      <c r="I259" t="s">
        <v>5001</v>
      </c>
      <c r="J259" t="s">
        <v>5002</v>
      </c>
      <c r="K259" t="s">
        <v>5003</v>
      </c>
      <c r="L259" t="s">
        <v>5004</v>
      </c>
      <c r="M259" t="s">
        <v>5005</v>
      </c>
      <c r="N259" t="s">
        <v>5006</v>
      </c>
      <c r="O259">
        <f>-800.681683715793 -130.845871884682 -477.610100271362</f>
        <v>-1409.1376558718371</v>
      </c>
      <c r="P259">
        <f>-846.367314874468 -176.291303675499 -190.488684804098</f>
        <v>-1213.1473033540649</v>
      </c>
      <c r="Q259">
        <f>-639.740672769535 -81.3251385976941 -270.098081726739</f>
        <v>-991.16389309396811</v>
      </c>
      <c r="R259" t="s">
        <v>5007</v>
      </c>
      <c r="S259" t="s">
        <v>5008</v>
      </c>
      <c r="T259" t="s">
        <v>5009</v>
      </c>
      <c r="U259" t="s">
        <v>5010</v>
      </c>
      <c r="V259">
        <f>-698.509821701143 -50.915663443745 -62.260914769647</f>
        <v>-811.68639991453495</v>
      </c>
      <c r="W259" t="s">
        <v>5011</v>
      </c>
      <c r="X259" t="s">
        <v>5012</v>
      </c>
      <c r="Y259" t="s">
        <v>5013</v>
      </c>
    </row>
    <row r="260" spans="1:25" x14ac:dyDescent="0.3">
      <c r="A260">
        <v>12950</v>
      </c>
      <c r="B260" t="s">
        <v>5014</v>
      </c>
      <c r="C260" t="s">
        <v>5015</v>
      </c>
      <c r="D260" t="s">
        <v>5016</v>
      </c>
      <c r="E260" t="s">
        <v>5017</v>
      </c>
      <c r="F260" t="s">
        <v>5018</v>
      </c>
      <c r="G260" t="s">
        <v>5019</v>
      </c>
      <c r="H260" t="s">
        <v>5020</v>
      </c>
      <c r="I260" t="s">
        <v>5021</v>
      </c>
      <c r="J260" t="s">
        <v>5022</v>
      </c>
      <c r="K260" t="s">
        <v>5023</v>
      </c>
      <c r="L260" t="s">
        <v>5024</v>
      </c>
      <c r="M260" t="s">
        <v>5025</v>
      </c>
      <c r="N260" t="s">
        <v>5026</v>
      </c>
      <c r="O260">
        <f>-801.134830656858 -130.69589415018 -477.586564634124</f>
        <v>-1409.417289441162</v>
      </c>
      <c r="P260">
        <f>-846.713191820766 -176.069405179002 -190.436686828329</f>
        <v>-1213.2192838280969</v>
      </c>
      <c r="Q260">
        <f>-640.093389132611 -81.1315000832733 -270.098059318168</f>
        <v>-991.32294853405233</v>
      </c>
      <c r="R260" t="s">
        <v>5027</v>
      </c>
      <c r="S260" t="s">
        <v>5028</v>
      </c>
      <c r="T260" t="s">
        <v>5029</v>
      </c>
      <c r="U260" t="s">
        <v>5030</v>
      </c>
      <c r="V260">
        <f>-698.489756500858 -50.8063617212865 -62.265872548484</f>
        <v>-811.56199077062854</v>
      </c>
      <c r="W260" t="s">
        <v>5031</v>
      </c>
      <c r="X260" t="s">
        <v>5032</v>
      </c>
      <c r="Y260" t="s">
        <v>5033</v>
      </c>
    </row>
    <row r="261" spans="1:25" x14ac:dyDescent="0.3">
      <c r="A261">
        <v>13000</v>
      </c>
      <c r="B261" t="s">
        <v>5034</v>
      </c>
      <c r="C261" t="s">
        <v>5035</v>
      </c>
      <c r="D261" t="s">
        <v>5036</v>
      </c>
      <c r="E261" t="s">
        <v>5037</v>
      </c>
      <c r="F261" t="s">
        <v>5038</v>
      </c>
      <c r="G261" t="s">
        <v>5039</v>
      </c>
      <c r="H261" t="s">
        <v>5040</v>
      </c>
      <c r="I261" t="s">
        <v>5041</v>
      </c>
      <c r="J261" t="s">
        <v>5042</v>
      </c>
      <c r="K261" t="s">
        <v>5043</v>
      </c>
      <c r="L261" t="s">
        <v>5044</v>
      </c>
      <c r="M261" t="s">
        <v>5045</v>
      </c>
      <c r="N261" t="s">
        <v>5046</v>
      </c>
      <c r="O261">
        <f>-802.069032129767 -130.229460913727 -477.639960672225</f>
        <v>-1409.9384537157191</v>
      </c>
      <c r="P261">
        <f>-847.464053410872 -175.565502006915 -190.455007077633</f>
        <v>-1213.4845624954201</v>
      </c>
      <c r="Q261">
        <f>-640.834349660119 -80.6942463650933 -270.169957815401</f>
        <v>-991.69855384061316</v>
      </c>
      <c r="R261" t="s">
        <v>5047</v>
      </c>
      <c r="S261" t="s">
        <v>5048</v>
      </c>
      <c r="T261" t="s">
        <v>5049</v>
      </c>
      <c r="U261" t="s">
        <v>5050</v>
      </c>
      <c r="V261">
        <f>-698.461540386857 -50.4713999173714 -62.334660050923</f>
        <v>-811.26760035515144</v>
      </c>
      <c r="W261" t="s">
        <v>5051</v>
      </c>
      <c r="X261" t="s">
        <v>5052</v>
      </c>
      <c r="Y261" t="s">
        <v>5053</v>
      </c>
    </row>
    <row r="262" spans="1:25" x14ac:dyDescent="0.3">
      <c r="A262">
        <v>13050</v>
      </c>
      <c r="B262" t="s">
        <v>5054</v>
      </c>
      <c r="C262" t="s">
        <v>5055</v>
      </c>
      <c r="D262" t="s">
        <v>5056</v>
      </c>
      <c r="E262" t="s">
        <v>5057</v>
      </c>
      <c r="F262" t="s">
        <v>5058</v>
      </c>
      <c r="G262" t="s">
        <v>5059</v>
      </c>
      <c r="H262" t="s">
        <v>5060</v>
      </c>
      <c r="I262" t="s">
        <v>5061</v>
      </c>
      <c r="J262" t="s">
        <v>5062</v>
      </c>
      <c r="K262" t="s">
        <v>5063</v>
      </c>
      <c r="L262" t="s">
        <v>5064</v>
      </c>
      <c r="M262" t="s">
        <v>5065</v>
      </c>
      <c r="N262" t="s">
        <v>5066</v>
      </c>
      <c r="O262">
        <f>-802.510051425989 -129.987128086553 -477.685203403301</f>
        <v>-1410.1823829158429</v>
      </c>
      <c r="P262">
        <f>-847.845405969741 -175.442964865545 -190.509917815224</f>
        <v>-1213.7982886505101</v>
      </c>
      <c r="Q262">
        <f>-641.215582422795 -80.5700589547653 -270.222469402491</f>
        <v>-992.00811078005131</v>
      </c>
      <c r="R262" t="s">
        <v>5067</v>
      </c>
      <c r="S262" t="s">
        <v>5068</v>
      </c>
      <c r="T262" t="s">
        <v>5069</v>
      </c>
      <c r="U262" t="s">
        <v>5070</v>
      </c>
      <c r="V262">
        <f>-698.547930292378 -50.3581731083571 -62.3604300764789</f>
        <v>-811.26653347721401</v>
      </c>
      <c r="W262" t="s">
        <v>5071</v>
      </c>
      <c r="X262" t="s">
        <v>5072</v>
      </c>
      <c r="Y262" t="s">
        <v>5073</v>
      </c>
    </row>
    <row r="263" spans="1:25" x14ac:dyDescent="0.3">
      <c r="A263">
        <v>13100</v>
      </c>
      <c r="B263" t="s">
        <v>5074</v>
      </c>
      <c r="C263" t="s">
        <v>5075</v>
      </c>
      <c r="D263" t="s">
        <v>5076</v>
      </c>
      <c r="E263" t="s">
        <v>5077</v>
      </c>
      <c r="F263" t="s">
        <v>5078</v>
      </c>
      <c r="G263" t="s">
        <v>5079</v>
      </c>
      <c r="H263" t="s">
        <v>5080</v>
      </c>
      <c r="I263" t="s">
        <v>5081</v>
      </c>
      <c r="J263" t="s">
        <v>5082</v>
      </c>
      <c r="K263" t="s">
        <v>5083</v>
      </c>
      <c r="L263" t="s">
        <v>5084</v>
      </c>
      <c r="M263" t="s">
        <v>5085</v>
      </c>
      <c r="N263" t="s">
        <v>5086</v>
      </c>
      <c r="O263">
        <f>-803.515457301307 -129.293532144542 -477.831704439705</f>
        <v>-1410.6406938855541</v>
      </c>
      <c r="P263">
        <f>-848.827327453733 -174.985411665991 -190.690086377012</f>
        <v>-1214.502825496736</v>
      </c>
      <c r="Q263">
        <f>-642.164133413778 -80.0707853855215 -270.266757788561</f>
        <v>-992.50167658786052</v>
      </c>
      <c r="R263" t="s">
        <v>5087</v>
      </c>
      <c r="S263" t="s">
        <v>5088</v>
      </c>
      <c r="T263" t="s">
        <v>5089</v>
      </c>
      <c r="U263" t="s">
        <v>5090</v>
      </c>
      <c r="V263">
        <f>-698.89100893733 -49.8844430589886 -62.4208530707002</f>
        <v>-811.19630506701878</v>
      </c>
      <c r="W263" t="s">
        <v>5091</v>
      </c>
      <c r="X263" t="s">
        <v>5092</v>
      </c>
      <c r="Y263" t="s">
        <v>5093</v>
      </c>
    </row>
    <row r="264" spans="1:25" x14ac:dyDescent="0.3">
      <c r="A264">
        <v>13150</v>
      </c>
      <c r="B264" t="s">
        <v>5094</v>
      </c>
      <c r="C264" t="s">
        <v>5095</v>
      </c>
      <c r="D264" t="s">
        <v>5096</v>
      </c>
      <c r="E264" t="s">
        <v>5097</v>
      </c>
      <c r="F264" t="s">
        <v>5098</v>
      </c>
      <c r="G264" t="s">
        <v>5099</v>
      </c>
      <c r="H264" t="s">
        <v>5100</v>
      </c>
      <c r="I264" t="s">
        <v>5101</v>
      </c>
      <c r="J264" t="s">
        <v>5102</v>
      </c>
      <c r="K264" t="s">
        <v>5103</v>
      </c>
      <c r="L264" t="s">
        <v>5104</v>
      </c>
      <c r="M264" t="s">
        <v>5105</v>
      </c>
      <c r="N264" t="s">
        <v>5106</v>
      </c>
      <c r="O264">
        <f>-804.129822846513 -128.889968657522 -477.919544323437</f>
        <v>-1410.939335827472</v>
      </c>
      <c r="P264">
        <f>-849.396344916263 -174.757851098655 -190.798917360687</f>
        <v>-1214.953113375605</v>
      </c>
      <c r="Q264">
        <f>-642.706991220486 -79.8333992962632 -270.295736609687</f>
        <v>-992.83612712643617</v>
      </c>
      <c r="R264" t="s">
        <v>5107</v>
      </c>
      <c r="S264" t="s">
        <v>5108</v>
      </c>
      <c r="T264" t="s">
        <v>5109</v>
      </c>
      <c r="U264" t="s">
        <v>5110</v>
      </c>
      <c r="V264">
        <f>-699.155404576625 -49.630504668389 -62.4714511567925</f>
        <v>-811.25736040180641</v>
      </c>
      <c r="W264" t="s">
        <v>5111</v>
      </c>
      <c r="X264" t="s">
        <v>5112</v>
      </c>
      <c r="Y264" t="s">
        <v>5113</v>
      </c>
    </row>
    <row r="265" spans="1:25" x14ac:dyDescent="0.3">
      <c r="A265">
        <v>13200</v>
      </c>
      <c r="B265" t="s">
        <v>5114</v>
      </c>
      <c r="C265" t="s">
        <v>5115</v>
      </c>
      <c r="D265" t="s">
        <v>5116</v>
      </c>
      <c r="E265" t="s">
        <v>5117</v>
      </c>
      <c r="F265" t="s">
        <v>5118</v>
      </c>
      <c r="G265" t="s">
        <v>5119</v>
      </c>
      <c r="H265" t="s">
        <v>5120</v>
      </c>
      <c r="I265" t="s">
        <v>5121</v>
      </c>
      <c r="J265" t="s">
        <v>5122</v>
      </c>
      <c r="K265" t="s">
        <v>5123</v>
      </c>
      <c r="L265" t="s">
        <v>5124</v>
      </c>
      <c r="M265" t="s">
        <v>5125</v>
      </c>
      <c r="N265" t="s">
        <v>5126</v>
      </c>
      <c r="O265">
        <f>-805.339944368026 -127.990512958719 -478.06269576693</f>
        <v>-1411.393153093675</v>
      </c>
      <c r="P265">
        <f>-850.510005850968 -174.041092463741 -190.956007620522</f>
        <v>-1215.507105935231</v>
      </c>
      <c r="Q265">
        <f>-643.737741420645 -79.210284200869 -270.34872867754</f>
        <v>-993.29675429905387</v>
      </c>
      <c r="R265" t="s">
        <v>5127</v>
      </c>
      <c r="S265" t="s">
        <v>5128</v>
      </c>
      <c r="T265" t="s">
        <v>5129</v>
      </c>
      <c r="U265" t="s">
        <v>5130</v>
      </c>
      <c r="V265">
        <f>-699.638289639053 -49.0676626843804 -62.5599540392914</f>
        <v>-811.26590636272476</v>
      </c>
      <c r="W265" t="s">
        <v>5131</v>
      </c>
      <c r="X265" t="s">
        <v>5132</v>
      </c>
      <c r="Y265" t="s">
        <v>5133</v>
      </c>
    </row>
    <row r="266" spans="1:25" x14ac:dyDescent="0.3">
      <c r="A266">
        <v>13250</v>
      </c>
      <c r="B266" t="s">
        <v>5134</v>
      </c>
      <c r="C266" t="s">
        <v>5135</v>
      </c>
      <c r="D266" t="s">
        <v>5136</v>
      </c>
      <c r="E266" t="s">
        <v>5137</v>
      </c>
      <c r="F266" t="s">
        <v>5138</v>
      </c>
      <c r="G266" t="s">
        <v>5139</v>
      </c>
      <c r="H266" t="s">
        <v>5140</v>
      </c>
      <c r="I266" t="s">
        <v>5141</v>
      </c>
      <c r="J266" t="s">
        <v>5142</v>
      </c>
      <c r="K266" t="s">
        <v>5143</v>
      </c>
      <c r="L266" t="s">
        <v>5144</v>
      </c>
      <c r="M266" t="s">
        <v>5145</v>
      </c>
      <c r="N266" t="s">
        <v>5146</v>
      </c>
      <c r="O266">
        <f>-805.929601036378 -127.554574234629 -478.116512492515</f>
        <v>-1411.600687763522</v>
      </c>
      <c r="P266">
        <f>-851.033108345406 -173.713404079335 -191.01671597277</f>
        <v>-1215.7632283975111</v>
      </c>
      <c r="Q266">
        <f>-644.198613249016 -78.8913912627115 -270.257815090402</f>
        <v>-993.34781960212956</v>
      </c>
      <c r="R266" t="s">
        <v>5147</v>
      </c>
      <c r="S266" t="s">
        <v>5148</v>
      </c>
      <c r="T266" t="s">
        <v>5149</v>
      </c>
      <c r="U266" t="s">
        <v>5150</v>
      </c>
      <c r="V266">
        <f>-699.860753459543 -48.8469379488945 -62.5969113128692</f>
        <v>-811.30460272130676</v>
      </c>
      <c r="W266" t="s">
        <v>5151</v>
      </c>
      <c r="X266" t="s">
        <v>5152</v>
      </c>
      <c r="Y266" t="s">
        <v>5153</v>
      </c>
    </row>
    <row r="267" spans="1:25" x14ac:dyDescent="0.3">
      <c r="A267">
        <v>13300</v>
      </c>
      <c r="B267" t="s">
        <v>5154</v>
      </c>
      <c r="C267" t="s">
        <v>5155</v>
      </c>
      <c r="D267" t="s">
        <v>5156</v>
      </c>
      <c r="E267" t="s">
        <v>5157</v>
      </c>
      <c r="F267" t="s">
        <v>5158</v>
      </c>
      <c r="G267" t="s">
        <v>5159</v>
      </c>
      <c r="H267" t="s">
        <v>5160</v>
      </c>
      <c r="I267" t="s">
        <v>5161</v>
      </c>
      <c r="J267" t="s">
        <v>5162</v>
      </c>
      <c r="K267" t="s">
        <v>5163</v>
      </c>
      <c r="L267" t="s">
        <v>5164</v>
      </c>
      <c r="M267" t="s">
        <v>5165</v>
      </c>
      <c r="N267" t="s">
        <v>5166</v>
      </c>
      <c r="O267">
        <f>-806.986393484699 -126.709364928201 -478.262353366856</f>
        <v>-1411.9581117797561</v>
      </c>
      <c r="P267">
        <f>-851.903802655592 -173.178727551838 -191.183471395998</f>
        <v>-1216.2660016034279</v>
      </c>
      <c r="Q267">
        <f>-644.946120950453 -78.2998380718986 -270.03402994519</f>
        <v>-993.27998896754161</v>
      </c>
      <c r="R267" t="s">
        <v>5167</v>
      </c>
      <c r="S267" t="s">
        <v>5168</v>
      </c>
      <c r="T267" t="s">
        <v>5169</v>
      </c>
      <c r="U267" t="s">
        <v>5170</v>
      </c>
      <c r="V267">
        <f>-700.163880492458 -48.4900421072632 -62.6482418123989</f>
        <v>-811.30216441212008</v>
      </c>
      <c r="W267" t="s">
        <v>5171</v>
      </c>
      <c r="X267" t="s">
        <v>5172</v>
      </c>
      <c r="Y267" t="s">
        <v>5173</v>
      </c>
    </row>
    <row r="268" spans="1:25" x14ac:dyDescent="0.3">
      <c r="A268">
        <v>13350</v>
      </c>
      <c r="B268" t="s">
        <v>5174</v>
      </c>
      <c r="C268" t="s">
        <v>5175</v>
      </c>
      <c r="D268" t="s">
        <v>5176</v>
      </c>
      <c r="E268" t="s">
        <v>5177</v>
      </c>
      <c r="F268" t="s">
        <v>5178</v>
      </c>
      <c r="G268" t="s">
        <v>5179</v>
      </c>
      <c r="H268" t="s">
        <v>5180</v>
      </c>
      <c r="I268" t="s">
        <v>5181</v>
      </c>
      <c r="J268" t="s">
        <v>5182</v>
      </c>
      <c r="K268" t="s">
        <v>5183</v>
      </c>
      <c r="L268" t="s">
        <v>5184</v>
      </c>
      <c r="M268" t="s">
        <v>5185</v>
      </c>
      <c r="N268" t="s">
        <v>5186</v>
      </c>
      <c r="O268">
        <f>-807.480444674773 -126.242728926133 -478.346406940891</f>
        <v>-1412.069580541797</v>
      </c>
      <c r="P268">
        <f>-852.264433682077 -172.696278001098 -191.244227015734</f>
        <v>-1216.2049386989088</v>
      </c>
      <c r="Q268">
        <f>-645.188344749825 -77.9189105095802 -269.905353298653</f>
        <v>-993.01260855805822</v>
      </c>
      <c r="R268" t="s">
        <v>5187</v>
      </c>
      <c r="S268" t="s">
        <v>5188</v>
      </c>
      <c r="T268" t="s">
        <v>5189</v>
      </c>
      <c r="U268" t="s">
        <v>5190</v>
      </c>
      <c r="V268">
        <f>-700.308300996414 -48.2602535604251 -62.6645053261275</f>
        <v>-811.23305988296659</v>
      </c>
      <c r="W268" t="s">
        <v>5191</v>
      </c>
      <c r="X268" t="s">
        <v>5192</v>
      </c>
      <c r="Y268" t="s">
        <v>5193</v>
      </c>
    </row>
    <row r="269" spans="1:25" x14ac:dyDescent="0.3">
      <c r="A269">
        <v>13400</v>
      </c>
      <c r="B269" t="s">
        <v>5194</v>
      </c>
      <c r="C269" t="s">
        <v>5195</v>
      </c>
      <c r="D269" t="s">
        <v>5196</v>
      </c>
      <c r="E269" t="s">
        <v>5197</v>
      </c>
      <c r="F269" t="s">
        <v>5198</v>
      </c>
      <c r="G269" t="s">
        <v>5199</v>
      </c>
      <c r="H269" t="s">
        <v>5200</v>
      </c>
      <c r="I269" t="s">
        <v>5201</v>
      </c>
      <c r="J269" t="s">
        <v>5202</v>
      </c>
      <c r="K269" t="s">
        <v>5203</v>
      </c>
      <c r="L269" t="s">
        <v>5204</v>
      </c>
      <c r="M269" t="s">
        <v>5205</v>
      </c>
      <c r="N269" t="s">
        <v>5206</v>
      </c>
      <c r="O269">
        <f>-808.774607056516 -125.754647394702 -478.476457057211</f>
        <v>-1413.0057115084289</v>
      </c>
      <c r="P269">
        <f>-852.299873891026 -171.883088050491 -191.128441131391</f>
        <v>-1215.311403072908</v>
      </c>
      <c r="Q269">
        <f>-644.930745920371 -77.7728367725317 -269.818220596033</f>
        <v>-992.52180328893564</v>
      </c>
      <c r="R269" t="s">
        <v>5207</v>
      </c>
      <c r="S269" t="s">
        <v>5208</v>
      </c>
      <c r="T269" t="s">
        <v>5209</v>
      </c>
      <c r="U269" t="s">
        <v>5210</v>
      </c>
      <c r="V269">
        <f>-700.463808455372 -47.8565662338926 -62.6754630997941</f>
        <v>-810.99583778905878</v>
      </c>
      <c r="W269" t="s">
        <v>5211</v>
      </c>
      <c r="X269" t="s">
        <v>5212</v>
      </c>
      <c r="Y269" t="s">
        <v>5213</v>
      </c>
    </row>
    <row r="270" spans="1:25" x14ac:dyDescent="0.3">
      <c r="A270">
        <v>13450</v>
      </c>
      <c r="B270" t="s">
        <v>5214</v>
      </c>
      <c r="C270" t="s">
        <v>5215</v>
      </c>
      <c r="D270" t="s">
        <v>5216</v>
      </c>
      <c r="E270" t="s">
        <v>5217</v>
      </c>
      <c r="F270" t="s">
        <v>5218</v>
      </c>
      <c r="G270" t="s">
        <v>5219</v>
      </c>
      <c r="H270" t="s">
        <v>5220</v>
      </c>
      <c r="I270" t="s">
        <v>5221</v>
      </c>
      <c r="J270" t="s">
        <v>5222</v>
      </c>
      <c r="K270" t="s">
        <v>5223</v>
      </c>
      <c r="L270" t="s">
        <v>5224</v>
      </c>
      <c r="M270" t="s">
        <v>5225</v>
      </c>
      <c r="N270" t="s">
        <v>5226</v>
      </c>
      <c r="O270">
        <f>-809.523018208035 -125.787515232013 -478.275761733448</f>
        <v>-1413.586295173496</v>
      </c>
      <c r="P270">
        <f>-851.431406037536 -171.225986564207 -190.577607340202</f>
        <v>-1213.234999941945</v>
      </c>
      <c r="Q270">
        <f>-643.893592198236 -78.1110627005921 -270.004062532963</f>
        <v>-992.00871743179118</v>
      </c>
      <c r="R270" t="s">
        <v>5227</v>
      </c>
      <c r="S270" t="s">
        <v>5228</v>
      </c>
      <c r="T270" t="s">
        <v>5229</v>
      </c>
      <c r="U270" t="s">
        <v>5230</v>
      </c>
      <c r="V270">
        <f>-700.655838670624 -47.6278598839481 -62.6615683834416</f>
        <v>-810.94526693801367</v>
      </c>
      <c r="W270" t="s">
        <v>5231</v>
      </c>
      <c r="X270" t="s">
        <v>5232</v>
      </c>
      <c r="Y270" t="s">
        <v>5233</v>
      </c>
    </row>
    <row r="271" spans="1:25" x14ac:dyDescent="0.3">
      <c r="A271">
        <v>13500</v>
      </c>
      <c r="B271" t="s">
        <v>5234</v>
      </c>
      <c r="C271" t="s">
        <v>5235</v>
      </c>
      <c r="D271" t="s">
        <v>5236</v>
      </c>
      <c r="E271" t="s">
        <v>5237</v>
      </c>
      <c r="F271" t="s">
        <v>5238</v>
      </c>
      <c r="G271" t="s">
        <v>5239</v>
      </c>
      <c r="H271" t="s">
        <v>5240</v>
      </c>
      <c r="I271" t="s">
        <v>5241</v>
      </c>
      <c r="J271" t="s">
        <v>5242</v>
      </c>
      <c r="K271" t="s">
        <v>5243</v>
      </c>
      <c r="L271" t="s">
        <v>5244</v>
      </c>
      <c r="M271" t="s">
        <v>5245</v>
      </c>
      <c r="N271" t="s">
        <v>5246</v>
      </c>
      <c r="O271">
        <f>-810.308526629962 -125.828058117504 -477.667330420894</f>
        <v>-1413.8039151683602</v>
      </c>
      <c r="P271">
        <f>-845.937730945453 -170.058828782698 -188.936755074548</f>
        <v>-1204.933314802699</v>
      </c>
      <c r="Q271">
        <f>-638.713554331652 -79.5927436911936 -272.152177069521</f>
        <v>-990.4584750923666</v>
      </c>
      <c r="R271" t="s">
        <v>5247</v>
      </c>
      <c r="S271" t="s">
        <v>5248</v>
      </c>
      <c r="T271" t="s">
        <v>5249</v>
      </c>
      <c r="U271" t="s">
        <v>5250</v>
      </c>
      <c r="V271">
        <f>-701.389683029193 -46.4040407590255 -62.6692232387368</f>
        <v>-810.46294702695525</v>
      </c>
      <c r="W271" t="s">
        <v>5251</v>
      </c>
      <c r="X271" t="s">
        <v>5252</v>
      </c>
      <c r="Y271" t="s">
        <v>5253</v>
      </c>
    </row>
    <row r="272" spans="1:25" x14ac:dyDescent="0.3">
      <c r="A272">
        <v>13550</v>
      </c>
      <c r="B272" t="s">
        <v>5254</v>
      </c>
      <c r="C272" t="s">
        <v>5255</v>
      </c>
      <c r="D272" t="s">
        <v>5256</v>
      </c>
      <c r="E272" t="s">
        <v>5257</v>
      </c>
      <c r="F272" t="s">
        <v>5258</v>
      </c>
      <c r="G272" t="s">
        <v>5259</v>
      </c>
      <c r="H272" t="s">
        <v>5260</v>
      </c>
      <c r="I272" t="s">
        <v>5261</v>
      </c>
      <c r="J272" t="s">
        <v>5262</v>
      </c>
      <c r="K272" t="s">
        <v>5263</v>
      </c>
      <c r="L272" t="s">
        <v>5264</v>
      </c>
      <c r="M272" t="s">
        <v>5265</v>
      </c>
      <c r="N272" t="s">
        <v>5266</v>
      </c>
      <c r="O272">
        <f>-810.476080716918 -125.335947796072 -477.700857743348</f>
        <v>-1413.5128862563379</v>
      </c>
      <c r="P272">
        <f>-842.098040691796 -170.313622974136 -188.618986407135</f>
        <v>-1201.0306500730669</v>
      </c>
      <c r="Q272">
        <f>-635.566214643788 -80.1781423410469 -273.889243731639</f>
        <v>-989.63360071647389</v>
      </c>
      <c r="R272" t="s">
        <v>5267</v>
      </c>
      <c r="S272" t="s">
        <v>5268</v>
      </c>
      <c r="T272" t="s">
        <v>5269</v>
      </c>
      <c r="U272" t="s">
        <v>5270</v>
      </c>
      <c r="V272">
        <f>-702.403938358375 -45.1454697356673 -62.789498463728</f>
        <v>-810.33890655777031</v>
      </c>
      <c r="W272" t="s">
        <v>5271</v>
      </c>
      <c r="X272" t="s">
        <v>5272</v>
      </c>
      <c r="Y272" t="s">
        <v>5273</v>
      </c>
    </row>
    <row r="273" spans="1:25" x14ac:dyDescent="0.3">
      <c r="A273">
        <v>13600</v>
      </c>
      <c r="B273" t="s">
        <v>5274</v>
      </c>
      <c r="C273" t="s">
        <v>5275</v>
      </c>
      <c r="D273" t="s">
        <v>5276</v>
      </c>
      <c r="E273" t="s">
        <v>5277</v>
      </c>
      <c r="F273" t="s">
        <v>5278</v>
      </c>
      <c r="G273" t="s">
        <v>5279</v>
      </c>
      <c r="H273" t="s">
        <v>5280</v>
      </c>
      <c r="I273" t="s">
        <v>5281</v>
      </c>
      <c r="J273" t="s">
        <v>5282</v>
      </c>
      <c r="K273" t="s">
        <v>5283</v>
      </c>
      <c r="L273" t="s">
        <v>5284</v>
      </c>
      <c r="M273" t="s">
        <v>5285</v>
      </c>
      <c r="N273" t="s">
        <v>5286</v>
      </c>
      <c r="O273">
        <f>-810.231302197782 -121.826394656505 -479.387351702274</f>
        <v>-1411.445048556561</v>
      </c>
      <c r="P273">
        <f>-833.839068752148 -170.732894261484 -190.178042915351</f>
        <v>-1194.750005928983</v>
      </c>
      <c r="Q273">
        <f>-629.391837333099 -79.2583845962379 -278.973272026607</f>
        <v>-987.6234939559439</v>
      </c>
      <c r="R273" t="s">
        <v>5287</v>
      </c>
      <c r="S273" t="s">
        <v>5288</v>
      </c>
      <c r="T273" t="s">
        <v>5289</v>
      </c>
      <c r="U273" t="s">
        <v>5290</v>
      </c>
      <c r="V273">
        <f>-705.723794896973 -41.2182452080042 -63.3943232883191</f>
        <v>-810.33636339329632</v>
      </c>
      <c r="W273" t="s">
        <v>5291</v>
      </c>
      <c r="X273" t="s">
        <v>5292</v>
      </c>
      <c r="Y273" t="s">
        <v>5293</v>
      </c>
    </row>
    <row r="274" spans="1:25" x14ac:dyDescent="0.3">
      <c r="A274">
        <v>13650</v>
      </c>
      <c r="B274" t="s">
        <v>5294</v>
      </c>
      <c r="C274" t="s">
        <v>5295</v>
      </c>
      <c r="D274" t="s">
        <v>5296</v>
      </c>
      <c r="E274" t="s">
        <v>5297</v>
      </c>
      <c r="F274" t="s">
        <v>5298</v>
      </c>
      <c r="G274" t="s">
        <v>5299</v>
      </c>
      <c r="H274" t="s">
        <v>5300</v>
      </c>
      <c r="I274" t="s">
        <v>5301</v>
      </c>
      <c r="J274" t="s">
        <v>5302</v>
      </c>
      <c r="K274" t="s">
        <v>5303</v>
      </c>
      <c r="L274" t="s">
        <v>5304</v>
      </c>
      <c r="M274" t="s">
        <v>5305</v>
      </c>
      <c r="N274" t="s">
        <v>5306</v>
      </c>
      <c r="O274">
        <f>-810.035176331931 -118.851596041147 -480.968066116922</f>
        <v>-1409.85483849</v>
      </c>
      <c r="P274">
        <f>-830.148243394103 -170.364930135749 -191.947232963575</f>
        <v>-1192.4604064934269</v>
      </c>
      <c r="Q274">
        <f>-626.909322714369 -77.8016546872459 -282.373333175034</f>
        <v>-987.08431057664893</v>
      </c>
      <c r="R274" t="s">
        <v>5307</v>
      </c>
      <c r="S274" t="s">
        <v>5308</v>
      </c>
      <c r="T274" t="s">
        <v>5309</v>
      </c>
      <c r="U274" t="s">
        <v>5310</v>
      </c>
      <c r="V274">
        <f>-708.114779803482 -38.7630448655634 -63.8533898738798</f>
        <v>-810.73121454292516</v>
      </c>
      <c r="W274" t="s">
        <v>5311</v>
      </c>
      <c r="X274" t="s">
        <v>5312</v>
      </c>
      <c r="Y274" t="s">
        <v>5313</v>
      </c>
    </row>
    <row r="275" spans="1:25" x14ac:dyDescent="0.3">
      <c r="A275">
        <v>13700</v>
      </c>
      <c r="B275" t="s">
        <v>5314</v>
      </c>
      <c r="C275" t="s">
        <v>5315</v>
      </c>
      <c r="D275" t="s">
        <v>5316</v>
      </c>
      <c r="E275" t="s">
        <v>5317</v>
      </c>
      <c r="F275" t="s">
        <v>5318</v>
      </c>
      <c r="G275" t="s">
        <v>5319</v>
      </c>
      <c r="H275" t="s">
        <v>5320</v>
      </c>
      <c r="I275" t="s">
        <v>5321</v>
      </c>
      <c r="J275" t="s">
        <v>5322</v>
      </c>
      <c r="K275" t="s">
        <v>5323</v>
      </c>
      <c r="L275" t="s">
        <v>5324</v>
      </c>
      <c r="M275" t="s">
        <v>5325</v>
      </c>
      <c r="N275" t="s">
        <v>5326</v>
      </c>
      <c r="O275">
        <f>-808.530103204332 -111.966248061496 -484.347126579385</f>
        <v>-1404.8434778452131</v>
      </c>
      <c r="P275">
        <f>-822.553737131716 -168.687076932589 -195.942335287837</f>
        <v>-1187.183149352142</v>
      </c>
      <c r="Q275">
        <f>-622.109345566508 -73.4408740165541 -289.756623266403</f>
        <v>-985.30684284946506</v>
      </c>
      <c r="R275" t="s">
        <v>5327</v>
      </c>
      <c r="S275" t="s">
        <v>5328</v>
      </c>
      <c r="T275" t="s">
        <v>5329</v>
      </c>
      <c r="U275" t="s">
        <v>5330</v>
      </c>
      <c r="V275">
        <f>-713.569622104248 -32.9162859831713 -64.7592625710681</f>
        <v>-811.24517065848738</v>
      </c>
      <c r="W275" t="s">
        <v>5331</v>
      </c>
      <c r="X275" t="s">
        <v>5332</v>
      </c>
      <c r="Y275" t="s">
        <v>5333</v>
      </c>
    </row>
    <row r="276" spans="1:25" x14ac:dyDescent="0.3">
      <c r="A276">
        <v>13750</v>
      </c>
      <c r="B276" t="s">
        <v>5334</v>
      </c>
      <c r="C276" t="s">
        <v>5335</v>
      </c>
      <c r="D276" t="s">
        <v>5336</v>
      </c>
      <c r="E276" t="s">
        <v>5337</v>
      </c>
      <c r="F276" t="s">
        <v>5338</v>
      </c>
      <c r="G276" t="s">
        <v>5339</v>
      </c>
      <c r="H276" t="s">
        <v>5340</v>
      </c>
      <c r="I276" t="s">
        <v>5341</v>
      </c>
      <c r="J276" t="s">
        <v>5342</v>
      </c>
      <c r="K276" t="s">
        <v>5343</v>
      </c>
      <c r="L276" t="s">
        <v>5344</v>
      </c>
      <c r="M276" t="s">
        <v>5345</v>
      </c>
      <c r="N276" t="s">
        <v>5346</v>
      </c>
      <c r="O276">
        <f>-806.962615740108 -108.518640067776 -485.751003722824</f>
        <v>-1401.232259530708</v>
      </c>
      <c r="P276">
        <f>-818.748801880242 -167.283941550744 -197.655745343896</f>
        <v>-1183.688488774882</v>
      </c>
      <c r="Q276">
        <f>-619.967003418106 -70.1403382373896 -293.048323529571</f>
        <v>-983.1556651850666</v>
      </c>
      <c r="R276" t="s">
        <v>5347</v>
      </c>
      <c r="S276" t="s">
        <v>5348</v>
      </c>
      <c r="T276" t="s">
        <v>5349</v>
      </c>
      <c r="U276" t="s">
        <v>5350</v>
      </c>
      <c r="V276">
        <f>-716.690363071972 -30.0021636990205 -65.0497792553061</f>
        <v>-811.74230602629859</v>
      </c>
      <c r="W276" t="s">
        <v>5351</v>
      </c>
      <c r="X276" t="s">
        <v>5352</v>
      </c>
      <c r="Y276" t="s">
        <v>5353</v>
      </c>
    </row>
    <row r="277" spans="1:25" x14ac:dyDescent="0.3">
      <c r="A277">
        <v>13800</v>
      </c>
      <c r="B277" t="s">
        <v>5354</v>
      </c>
      <c r="C277" t="s">
        <v>5355</v>
      </c>
      <c r="D277" t="s">
        <v>5356</v>
      </c>
      <c r="E277" t="s">
        <v>5357</v>
      </c>
      <c r="F277" t="s">
        <v>5358</v>
      </c>
      <c r="G277" t="s">
        <v>5359</v>
      </c>
      <c r="H277" t="s">
        <v>5360</v>
      </c>
      <c r="I277" t="s">
        <v>5361</v>
      </c>
      <c r="J277" t="s">
        <v>5362</v>
      </c>
      <c r="K277" t="s">
        <v>5363</v>
      </c>
      <c r="L277" t="s">
        <v>5364</v>
      </c>
      <c r="M277" t="s">
        <v>5365</v>
      </c>
      <c r="N277" t="s">
        <v>5366</v>
      </c>
      <c r="O277">
        <f>-801.629782810926 -102.860908530903 -487.532107589075</f>
        <v>-1392.0227989309039</v>
      </c>
      <c r="P277">
        <f>-811.285998719572 -163.240085380358 -199.691436933396</f>
        <v>-1174.217521033326</v>
      </c>
      <c r="Q277">
        <f>-615.390334739669 -63.4401809565197 -298.259666540216</f>
        <v>-977.09018223640476</v>
      </c>
      <c r="R277" t="s">
        <v>5367</v>
      </c>
      <c r="S277" t="s">
        <v>5368</v>
      </c>
      <c r="T277" t="s">
        <v>5369</v>
      </c>
      <c r="U277" t="s">
        <v>5370</v>
      </c>
      <c r="V277">
        <f>-723.785018977009 -25.1304353943292 -65.3214360513588</f>
        <v>-814.236890422697</v>
      </c>
      <c r="W277" t="s">
        <v>5371</v>
      </c>
      <c r="X277" t="s">
        <v>5372</v>
      </c>
      <c r="Y277" t="s">
        <v>5373</v>
      </c>
    </row>
    <row r="278" spans="1:25" x14ac:dyDescent="0.3">
      <c r="A278">
        <v>13850</v>
      </c>
      <c r="B278" t="s">
        <v>5374</v>
      </c>
      <c r="C278" t="s">
        <v>5375</v>
      </c>
      <c r="D278" t="s">
        <v>5376</v>
      </c>
      <c r="E278" t="s">
        <v>5377</v>
      </c>
      <c r="F278" t="s">
        <v>5378</v>
      </c>
      <c r="G278" t="s">
        <v>5379</v>
      </c>
      <c r="H278" t="s">
        <v>5380</v>
      </c>
      <c r="I278" t="s">
        <v>5381</v>
      </c>
      <c r="J278" t="s">
        <v>5382</v>
      </c>
      <c r="K278" t="s">
        <v>5383</v>
      </c>
      <c r="L278" t="s">
        <v>5384</v>
      </c>
      <c r="M278" t="s">
        <v>5385</v>
      </c>
      <c r="N278" t="s">
        <v>5386</v>
      </c>
      <c r="O278">
        <f>-796.956709123724 -100.986433673312 -488.210576434347</f>
        <v>-1386.1537192313831</v>
      </c>
      <c r="P278">
        <f>-807.016339493952 -161.180250270758 -200.344695342129</f>
        <v>-1168.541285106839</v>
      </c>
      <c r="Q278">
        <f>-612.30709291946 -61.0472097267666 -300.905486969268</f>
        <v>-974.25978961549458</v>
      </c>
      <c r="R278" t="s">
        <v>5387</v>
      </c>
      <c r="S278" t="s">
        <v>5388</v>
      </c>
      <c r="T278" t="s">
        <v>5389</v>
      </c>
      <c r="U278" t="s">
        <v>5390</v>
      </c>
      <c r="V278">
        <f>-727.435921235438 -23.5753993472213 -65.4546847748043</f>
        <v>-816.46600535746347</v>
      </c>
      <c r="W278" t="s">
        <v>5391</v>
      </c>
      <c r="X278" t="s">
        <v>5392</v>
      </c>
      <c r="Y278" t="s">
        <v>5393</v>
      </c>
    </row>
    <row r="279" spans="1:25" x14ac:dyDescent="0.3">
      <c r="A279">
        <v>13900</v>
      </c>
      <c r="B279" t="s">
        <v>5394</v>
      </c>
      <c r="C279" t="s">
        <v>5395</v>
      </c>
      <c r="D279" t="s">
        <v>5396</v>
      </c>
      <c r="E279" t="s">
        <v>5397</v>
      </c>
      <c r="F279" t="s">
        <v>5398</v>
      </c>
      <c r="G279" t="s">
        <v>5399</v>
      </c>
      <c r="H279" t="s">
        <v>5400</v>
      </c>
      <c r="I279" t="s">
        <v>5401</v>
      </c>
      <c r="J279" t="s">
        <v>5402</v>
      </c>
      <c r="K279" t="s">
        <v>5403</v>
      </c>
      <c r="L279" t="s">
        <v>5404</v>
      </c>
      <c r="M279" t="s">
        <v>5405</v>
      </c>
      <c r="N279" t="s">
        <v>5406</v>
      </c>
      <c r="O279">
        <f>-785.518906121365 -88.9260389514279 -490.173025032122</f>
        <v>-1364.617970104915</v>
      </c>
      <c r="P279">
        <f>-799.043459561799 -148.997962945628 -202.423634437647</f>
        <v>-1150.4650569450739</v>
      </c>
      <c r="Q279">
        <f>-606.284632320802 -47.9372731017909 -305.775599513143</f>
        <v>-959.99750493573583</v>
      </c>
      <c r="R279" t="s">
        <v>5407</v>
      </c>
      <c r="S279" t="s">
        <v>5408</v>
      </c>
      <c r="T279" t="s">
        <v>5409</v>
      </c>
      <c r="U279" t="s">
        <v>5410</v>
      </c>
      <c r="V279">
        <f>-735.624184164608 -16.1761193161583 -66.1009189017683</f>
        <v>-817.90122238253457</v>
      </c>
      <c r="W279" t="s">
        <v>5411</v>
      </c>
      <c r="X279" t="s">
        <v>5412</v>
      </c>
      <c r="Y279" t="s">
        <v>5413</v>
      </c>
    </row>
    <row r="280" spans="1:25" x14ac:dyDescent="0.3">
      <c r="A280">
        <v>13950</v>
      </c>
      <c r="B280" t="s">
        <v>5414</v>
      </c>
      <c r="C280" t="s">
        <v>5415</v>
      </c>
      <c r="D280" t="s">
        <v>5416</v>
      </c>
      <c r="E280" t="s">
        <v>5417</v>
      </c>
      <c r="F280" t="s">
        <v>5418</v>
      </c>
      <c r="G280" t="s">
        <v>5419</v>
      </c>
      <c r="H280" t="s">
        <v>5420</v>
      </c>
      <c r="I280" t="s">
        <v>5421</v>
      </c>
      <c r="J280" t="s">
        <v>5422</v>
      </c>
      <c r="K280" t="s">
        <v>5423</v>
      </c>
      <c r="L280" t="s">
        <v>5424</v>
      </c>
      <c r="M280" t="s">
        <v>5425</v>
      </c>
      <c r="N280" t="s">
        <v>5426</v>
      </c>
      <c r="O280">
        <f>-781.839802773758 -78.434369904656 -490.799869840633</f>
        <v>-1351.074042519047</v>
      </c>
      <c r="P280">
        <f>-796.938649328916 -139.823287229362 -203.406958623175</f>
        <v>-1140.1688951814531</v>
      </c>
      <c r="Q280">
        <f>-605.637330545885 -36.5821003385699 -307.31055197276</f>
        <v>-949.52998285721492</v>
      </c>
      <c r="R280" t="s">
        <v>5427</v>
      </c>
      <c r="S280" t="s">
        <v>5428</v>
      </c>
      <c r="T280" t="s">
        <v>5429</v>
      </c>
      <c r="U280" t="s">
        <v>5430</v>
      </c>
      <c r="V280">
        <f>-740.838410897464 -9.23628417989175 -66.212334725122</f>
        <v>-816.28702980247772</v>
      </c>
      <c r="W280" t="s">
        <v>5431</v>
      </c>
      <c r="X280" t="s">
        <v>5432</v>
      </c>
      <c r="Y280" t="s">
        <v>5433</v>
      </c>
    </row>
    <row r="281" spans="1:25" x14ac:dyDescent="0.3">
      <c r="A281">
        <v>14000</v>
      </c>
      <c r="B281" t="s">
        <v>5434</v>
      </c>
      <c r="C281" t="s">
        <v>5435</v>
      </c>
      <c r="D281" t="s">
        <v>5436</v>
      </c>
      <c r="E281" t="s">
        <v>5437</v>
      </c>
      <c r="F281" t="s">
        <v>5438</v>
      </c>
      <c r="G281" t="s">
        <v>5439</v>
      </c>
      <c r="H281" t="s">
        <v>5440</v>
      </c>
      <c r="I281" t="s">
        <v>5441</v>
      </c>
      <c r="J281" t="s">
        <v>5442</v>
      </c>
      <c r="K281" t="s">
        <v>5443</v>
      </c>
      <c r="L281" t="s">
        <v>5444</v>
      </c>
      <c r="M281" t="s">
        <v>5445</v>
      </c>
      <c r="N281" t="s">
        <v>5446</v>
      </c>
      <c r="O281">
        <f>-777.010975429033 -62.3361952097437 -491.144477037967</f>
        <v>-1330.4916476767437</v>
      </c>
      <c r="P281">
        <f>-793.967279412361 -127.982117943106 -204.79795257833</f>
        <v>-1126.7473499337971</v>
      </c>
      <c r="Q281">
        <f>-606.53203084911 -18.0520414354773 -308.88577173778</f>
        <v>-933.4698440223674</v>
      </c>
      <c r="R281" t="s">
        <v>5447</v>
      </c>
      <c r="S281" t="s">
        <v>5448</v>
      </c>
      <c r="T281" t="s">
        <v>5449</v>
      </c>
      <c r="U281" t="s">
        <v>5450</v>
      </c>
      <c r="V281" t="s">
        <v>5451</v>
      </c>
      <c r="W281" t="s">
        <v>5452</v>
      </c>
      <c r="X281" t="s">
        <v>5453</v>
      </c>
      <c r="Y281" t="s">
        <v>5454</v>
      </c>
    </row>
    <row r="282" spans="1:25" x14ac:dyDescent="0.3">
      <c r="A282">
        <v>14050</v>
      </c>
      <c r="B282" t="s">
        <v>5455</v>
      </c>
      <c r="C282" t="s">
        <v>5456</v>
      </c>
      <c r="D282" t="s">
        <v>5457</v>
      </c>
      <c r="E282" t="s">
        <v>5458</v>
      </c>
      <c r="F282" t="s">
        <v>5459</v>
      </c>
      <c r="G282" t="s">
        <v>5460</v>
      </c>
      <c r="H282" t="s">
        <v>5461</v>
      </c>
      <c r="I282" t="s">
        <v>5462</v>
      </c>
      <c r="J282" t="s">
        <v>5463</v>
      </c>
      <c r="K282" t="s">
        <v>5464</v>
      </c>
      <c r="L282" t="s">
        <v>5465</v>
      </c>
      <c r="M282" t="s">
        <v>5466</v>
      </c>
      <c r="N282" t="s">
        <v>5467</v>
      </c>
      <c r="O282">
        <f>-774.274984691685 -56.7781940401312 -490.827413349706</f>
        <v>-1321.8805920815221</v>
      </c>
      <c r="P282">
        <f>-791.906360308816 -124.185366783075 -204.931252703529</f>
        <v>-1121.02297979542</v>
      </c>
      <c r="Q282">
        <f>-606.542073822214 -10.6592551435733 -308.868083723985</f>
        <v>-926.06941268977232</v>
      </c>
      <c r="R282" t="s">
        <v>5468</v>
      </c>
      <c r="S282" t="s">
        <v>5469</v>
      </c>
      <c r="T282" t="s">
        <v>5470</v>
      </c>
      <c r="U282" t="s">
        <v>5471</v>
      </c>
      <c r="V282" t="s">
        <v>5472</v>
      </c>
      <c r="W282" t="s">
        <v>5473</v>
      </c>
      <c r="X282" t="s">
        <v>5474</v>
      </c>
      <c r="Y282" t="s">
        <v>5475</v>
      </c>
    </row>
    <row r="283" spans="1:25" x14ac:dyDescent="0.3">
      <c r="A283">
        <v>14100</v>
      </c>
      <c r="B283" t="s">
        <v>5476</v>
      </c>
      <c r="C283" t="s">
        <v>5477</v>
      </c>
      <c r="D283" t="s">
        <v>5478</v>
      </c>
      <c r="E283" t="s">
        <v>5479</v>
      </c>
      <c r="F283" t="s">
        <v>5480</v>
      </c>
      <c r="G283" t="s">
        <v>5481</v>
      </c>
      <c r="H283" t="s">
        <v>5482</v>
      </c>
      <c r="I283" t="s">
        <v>5483</v>
      </c>
      <c r="J283" t="s">
        <v>5484</v>
      </c>
      <c r="K283" t="s">
        <v>5485</v>
      </c>
      <c r="L283" t="s">
        <v>5486</v>
      </c>
      <c r="M283" t="s">
        <v>5487</v>
      </c>
      <c r="N283" t="s">
        <v>5488</v>
      </c>
      <c r="O283">
        <f>-771.50094597252 -47.4482430885701 -490.035129646991</f>
        <v>-1308.984318708081</v>
      </c>
      <c r="P283">
        <f>-789.780479859561 -115.678041274282 -204.374933868595</f>
        <v>-1109.8334550024379</v>
      </c>
      <c r="Q283" t="s">
        <v>5489</v>
      </c>
      <c r="R283" t="s">
        <v>5490</v>
      </c>
      <c r="S283" t="s">
        <v>5491</v>
      </c>
      <c r="T283" t="s">
        <v>5492</v>
      </c>
      <c r="U283" t="s">
        <v>5493</v>
      </c>
      <c r="V283" t="s">
        <v>5494</v>
      </c>
      <c r="W283" t="s">
        <v>5495</v>
      </c>
      <c r="X283" t="s">
        <v>5496</v>
      </c>
      <c r="Y283" t="s">
        <v>5497</v>
      </c>
    </row>
    <row r="284" spans="1:25" x14ac:dyDescent="0.3">
      <c r="A284">
        <v>14150</v>
      </c>
      <c r="B284" t="s">
        <v>5498</v>
      </c>
      <c r="C284" t="s">
        <v>5499</v>
      </c>
      <c r="D284" t="s">
        <v>5500</v>
      </c>
      <c r="E284" t="s">
        <v>5501</v>
      </c>
      <c r="F284" t="s">
        <v>5502</v>
      </c>
      <c r="G284" t="s">
        <v>5503</v>
      </c>
      <c r="H284" t="s">
        <v>5504</v>
      </c>
      <c r="I284" t="s">
        <v>5505</v>
      </c>
      <c r="J284" t="s">
        <v>5506</v>
      </c>
      <c r="K284" t="s">
        <v>5507</v>
      </c>
      <c r="L284" t="s">
        <v>5508</v>
      </c>
      <c r="M284" t="s">
        <v>5509</v>
      </c>
      <c r="N284" t="s">
        <v>5510</v>
      </c>
      <c r="O284">
        <f>-771.498214903632 -42.9074970113154 -489.742143786533</f>
        <v>-1304.1478557014802</v>
      </c>
      <c r="P284">
        <f>-790.292808198295 -110.768909798098 -204.027614446294</f>
        <v>-1105.089332442687</v>
      </c>
      <c r="Q284" t="s">
        <v>5511</v>
      </c>
      <c r="R284" t="s">
        <v>5512</v>
      </c>
      <c r="S284" t="s">
        <v>5513</v>
      </c>
      <c r="T284" t="s">
        <v>5514</v>
      </c>
      <c r="U284" t="s">
        <v>5515</v>
      </c>
      <c r="V284" t="s">
        <v>5516</v>
      </c>
      <c r="W284" t="s">
        <v>5517</v>
      </c>
      <c r="X284" t="s">
        <v>5518</v>
      </c>
      <c r="Y284" t="s">
        <v>5519</v>
      </c>
    </row>
    <row r="285" spans="1:25" x14ac:dyDescent="0.3">
      <c r="A285">
        <v>14200</v>
      </c>
      <c r="B285" t="s">
        <v>5520</v>
      </c>
      <c r="C285" t="s">
        <v>5521</v>
      </c>
      <c r="D285" t="s">
        <v>5522</v>
      </c>
      <c r="E285" t="s">
        <v>5523</v>
      </c>
      <c r="F285" t="s">
        <v>5524</v>
      </c>
      <c r="G285" t="s">
        <v>5525</v>
      </c>
      <c r="H285" t="s">
        <v>5526</v>
      </c>
      <c r="I285" t="s">
        <v>5527</v>
      </c>
      <c r="J285" t="s">
        <v>5528</v>
      </c>
      <c r="K285" t="s">
        <v>5529</v>
      </c>
      <c r="L285" t="s">
        <v>5530</v>
      </c>
      <c r="M285" t="s">
        <v>5531</v>
      </c>
      <c r="N285" t="s">
        <v>5532</v>
      </c>
      <c r="O285">
        <f>-770.403018150358 -35.3017850220017 -490.472892315544</f>
        <v>-1296.1776954879037</v>
      </c>
      <c r="P285">
        <f>-793.469601399398 -101.230819670179 -204.618753058784</f>
        <v>-1099.3191741283611</v>
      </c>
      <c r="Q285" t="s">
        <v>5533</v>
      </c>
      <c r="R285" t="s">
        <v>5534</v>
      </c>
      <c r="S285" t="s">
        <v>5535</v>
      </c>
      <c r="T285" t="s">
        <v>5536</v>
      </c>
      <c r="U285" t="s">
        <v>5537</v>
      </c>
      <c r="V285" t="s">
        <v>5538</v>
      </c>
      <c r="W285" t="s">
        <v>5539</v>
      </c>
      <c r="X285" t="s">
        <v>5540</v>
      </c>
      <c r="Y285" t="s">
        <v>5541</v>
      </c>
    </row>
    <row r="286" spans="1:25" x14ac:dyDescent="0.3">
      <c r="A286">
        <v>14250</v>
      </c>
      <c r="B286" t="s">
        <v>5542</v>
      </c>
      <c r="C286" t="s">
        <v>5543</v>
      </c>
      <c r="D286" t="s">
        <v>5544</v>
      </c>
      <c r="E286" t="s">
        <v>5545</v>
      </c>
      <c r="F286" t="s">
        <v>5546</v>
      </c>
      <c r="G286" t="s">
        <v>5547</v>
      </c>
      <c r="H286" t="s">
        <v>5548</v>
      </c>
      <c r="I286" t="s">
        <v>5549</v>
      </c>
      <c r="J286" t="s">
        <v>5550</v>
      </c>
      <c r="K286" t="s">
        <v>5551</v>
      </c>
      <c r="L286" t="s">
        <v>5552</v>
      </c>
      <c r="M286" t="s">
        <v>5553</v>
      </c>
      <c r="N286" t="s">
        <v>5554</v>
      </c>
      <c r="O286">
        <f>-769.395952082026 -32.6773725166113 -491.390518795007</f>
        <v>-1293.4638433936443</v>
      </c>
      <c r="P286">
        <f>-797.075117260029 -97.4535723428367 -205.682409506621</f>
        <v>-1100.2110991094867</v>
      </c>
      <c r="Q286" t="s">
        <v>5555</v>
      </c>
      <c r="R286" t="s">
        <v>5556</v>
      </c>
      <c r="S286" t="s">
        <v>5557</v>
      </c>
      <c r="T286" t="s">
        <v>5558</v>
      </c>
      <c r="U286" t="s">
        <v>5559</v>
      </c>
      <c r="V286" t="s">
        <v>5560</v>
      </c>
      <c r="W286" t="s">
        <v>5561</v>
      </c>
      <c r="X286" t="s">
        <v>5562</v>
      </c>
      <c r="Y286" t="s">
        <v>5563</v>
      </c>
    </row>
    <row r="287" spans="1:25" x14ac:dyDescent="0.3">
      <c r="A287">
        <v>14300</v>
      </c>
      <c r="B287" t="s">
        <v>5564</v>
      </c>
      <c r="C287" t="s">
        <v>5565</v>
      </c>
      <c r="D287" t="s">
        <v>5566</v>
      </c>
      <c r="E287" t="s">
        <v>5567</v>
      </c>
      <c r="F287" t="s">
        <v>5568</v>
      </c>
      <c r="G287" t="s">
        <v>5569</v>
      </c>
      <c r="H287" t="s">
        <v>5570</v>
      </c>
      <c r="I287" t="s">
        <v>5571</v>
      </c>
      <c r="J287" t="s">
        <v>5572</v>
      </c>
      <c r="K287" t="s">
        <v>5573</v>
      </c>
      <c r="L287" t="s">
        <v>5574</v>
      </c>
      <c r="M287" t="s">
        <v>5575</v>
      </c>
      <c r="N287" t="s">
        <v>5576</v>
      </c>
      <c r="O287">
        <f>-766.922093226638 -28.6599415142396 -493.264068238193</f>
        <v>-1288.8461029790706</v>
      </c>
      <c r="P287">
        <f>-805.928376482657 -89.8867705631617 -208.095724043994</f>
        <v>-1103.9108710898126</v>
      </c>
      <c r="Q287" t="s">
        <v>5577</v>
      </c>
      <c r="R287" t="s">
        <v>5578</v>
      </c>
      <c r="S287" t="s">
        <v>5579</v>
      </c>
      <c r="T287" t="s">
        <v>5580</v>
      </c>
      <c r="U287" t="s">
        <v>5581</v>
      </c>
      <c r="V287" t="s">
        <v>5582</v>
      </c>
      <c r="W287" t="s">
        <v>5583</v>
      </c>
      <c r="X287" t="s">
        <v>5584</v>
      </c>
      <c r="Y287" t="s">
        <v>5585</v>
      </c>
    </row>
    <row r="288" spans="1:25" x14ac:dyDescent="0.3">
      <c r="A288">
        <v>14350</v>
      </c>
      <c r="B288" t="s">
        <v>5586</v>
      </c>
      <c r="C288" t="s">
        <v>5587</v>
      </c>
      <c r="D288" t="s">
        <v>5588</v>
      </c>
      <c r="E288" t="s">
        <v>5589</v>
      </c>
      <c r="F288" t="s">
        <v>5590</v>
      </c>
      <c r="G288" t="s">
        <v>5591</v>
      </c>
      <c r="H288" t="s">
        <v>5592</v>
      </c>
      <c r="I288" t="s">
        <v>5593</v>
      </c>
      <c r="J288" t="s">
        <v>5594</v>
      </c>
      <c r="K288" t="s">
        <v>5595</v>
      </c>
      <c r="L288" t="s">
        <v>5596</v>
      </c>
      <c r="M288" t="s">
        <v>5597</v>
      </c>
      <c r="N288" t="s">
        <v>5598</v>
      </c>
      <c r="O288">
        <f>-766.788575181734 -28.5344677004655 -493.929009235634</f>
        <v>-1289.2520521178335</v>
      </c>
      <c r="P288">
        <f>-811.623830737051 -87.9711127206992 -209.239207385897</f>
        <v>-1108.8341508436472</v>
      </c>
      <c r="Q288" t="s">
        <v>5599</v>
      </c>
      <c r="R288" t="s">
        <v>5600</v>
      </c>
      <c r="S288" t="s">
        <v>5601</v>
      </c>
      <c r="T288" t="s">
        <v>5602</v>
      </c>
      <c r="U288" t="s">
        <v>5603</v>
      </c>
      <c r="V288" t="s">
        <v>5604</v>
      </c>
      <c r="W288" t="s">
        <v>5605</v>
      </c>
      <c r="X288" t="s">
        <v>5606</v>
      </c>
      <c r="Y288" t="s">
        <v>5607</v>
      </c>
    </row>
    <row r="289" spans="1:25" x14ac:dyDescent="0.3">
      <c r="A289">
        <v>14400</v>
      </c>
      <c r="B289" t="s">
        <v>5608</v>
      </c>
      <c r="C289" t="s">
        <v>5609</v>
      </c>
      <c r="D289" t="s">
        <v>5610</v>
      </c>
      <c r="E289" t="s">
        <v>5611</v>
      </c>
      <c r="F289" t="s">
        <v>5612</v>
      </c>
      <c r="G289" t="s">
        <v>5613</v>
      </c>
      <c r="H289" t="s">
        <v>5614</v>
      </c>
      <c r="I289" t="s">
        <v>5615</v>
      </c>
      <c r="J289" t="s">
        <v>5616</v>
      </c>
      <c r="K289" t="s">
        <v>5617</v>
      </c>
      <c r="L289" t="s">
        <v>5618</v>
      </c>
      <c r="M289" t="s">
        <v>5619</v>
      </c>
      <c r="N289" t="s">
        <v>5620</v>
      </c>
      <c r="O289">
        <f>-766.464806452617 -33.4692768239447 -491.902952746384</f>
        <v>-1291.8370360229458</v>
      </c>
      <c r="P289">
        <f>-818.032373303382 -94.126235155255 -208.613812466229</f>
        <v>-1120.7724209248661</v>
      </c>
      <c r="Q289" t="s">
        <v>5621</v>
      </c>
      <c r="R289" t="s">
        <v>5622</v>
      </c>
      <c r="S289" t="s">
        <v>5623</v>
      </c>
      <c r="T289" t="s">
        <v>5624</v>
      </c>
      <c r="U289" t="s">
        <v>5625</v>
      </c>
      <c r="V289" t="s">
        <v>5626</v>
      </c>
      <c r="W289" t="s">
        <v>5627</v>
      </c>
      <c r="X289" t="s">
        <v>5628</v>
      </c>
      <c r="Y289" t="s">
        <v>5629</v>
      </c>
    </row>
    <row r="290" spans="1:25" x14ac:dyDescent="0.3">
      <c r="A290">
        <v>14450</v>
      </c>
      <c r="B290" t="s">
        <v>5630</v>
      </c>
      <c r="C290" t="s">
        <v>5631</v>
      </c>
      <c r="D290" t="s">
        <v>5632</v>
      </c>
      <c r="E290" t="s">
        <v>5633</v>
      </c>
      <c r="F290" t="s">
        <v>5634</v>
      </c>
      <c r="G290" t="s">
        <v>5635</v>
      </c>
      <c r="H290" t="s">
        <v>5636</v>
      </c>
      <c r="I290" t="s">
        <v>5637</v>
      </c>
      <c r="J290" t="s">
        <v>5638</v>
      </c>
      <c r="K290" t="s">
        <v>5639</v>
      </c>
      <c r="L290" t="s">
        <v>5640</v>
      </c>
      <c r="M290" t="s">
        <v>5641</v>
      </c>
      <c r="N290" t="s">
        <v>5642</v>
      </c>
      <c r="O290">
        <f>-764.035518568641 -42.5036657784035 -490.418286558231</f>
        <v>-1296.9574709052754</v>
      </c>
      <c r="P290">
        <f>-816.521024661574 -106.20698158794 -207.967529808294</f>
        <v>-1130.6955360578081</v>
      </c>
      <c r="Q290" t="s">
        <v>5643</v>
      </c>
      <c r="R290" t="s">
        <v>5644</v>
      </c>
      <c r="S290" t="s">
        <v>5645</v>
      </c>
      <c r="T290" t="s">
        <v>5646</v>
      </c>
      <c r="U290" t="s">
        <v>5647</v>
      </c>
      <c r="V290" t="s">
        <v>5648</v>
      </c>
      <c r="W290" t="s">
        <v>5649</v>
      </c>
      <c r="X290" t="s">
        <v>5650</v>
      </c>
      <c r="Y290" t="s">
        <v>5651</v>
      </c>
    </row>
    <row r="291" spans="1:25" x14ac:dyDescent="0.3">
      <c r="A291">
        <v>14500</v>
      </c>
      <c r="B291" t="s">
        <v>5652</v>
      </c>
      <c r="C291" t="s">
        <v>5653</v>
      </c>
      <c r="D291" t="s">
        <v>5654</v>
      </c>
      <c r="E291" t="s">
        <v>5655</v>
      </c>
      <c r="F291" t="s">
        <v>5656</v>
      </c>
      <c r="G291" t="s">
        <v>5657</v>
      </c>
      <c r="H291" t="s">
        <v>5658</v>
      </c>
      <c r="I291" t="s">
        <v>5659</v>
      </c>
      <c r="J291" t="s">
        <v>5660</v>
      </c>
      <c r="K291" t="s">
        <v>5661</v>
      </c>
      <c r="L291" t="s">
        <v>5662</v>
      </c>
      <c r="M291" t="s">
        <v>5663</v>
      </c>
      <c r="N291" t="s">
        <v>5664</v>
      </c>
      <c r="O291">
        <f>-761.540095343903 -70.9531080192528 -486.44719974584</f>
        <v>-1318.9404031089957</v>
      </c>
      <c r="P291">
        <f>-817.617601624891 -137.282657241072 -205.294373075605</f>
        <v>-1160.1946319415679</v>
      </c>
      <c r="Q291">
        <f>-631.877926941179 -14.8833998672076 -297.868996682269</f>
        <v>-944.63032349065566</v>
      </c>
      <c r="R291" t="s">
        <v>5665</v>
      </c>
      <c r="S291" t="s">
        <v>5666</v>
      </c>
      <c r="T291" t="s">
        <v>5667</v>
      </c>
      <c r="U291" t="s">
        <v>5668</v>
      </c>
      <c r="V291">
        <f>-785.921606970925 -27.256850623286 -55.4905872329276</f>
        <v>-868.66904482713869</v>
      </c>
      <c r="W291" t="s">
        <v>5669</v>
      </c>
      <c r="X291" t="s">
        <v>5670</v>
      </c>
      <c r="Y291" t="s">
        <v>5671</v>
      </c>
    </row>
    <row r="292" spans="1:25" x14ac:dyDescent="0.3">
      <c r="A292">
        <v>14550</v>
      </c>
      <c r="B292" t="s">
        <v>5672</v>
      </c>
      <c r="C292" t="s">
        <v>5673</v>
      </c>
      <c r="D292" t="s">
        <v>5674</v>
      </c>
      <c r="E292" t="s">
        <v>5675</v>
      </c>
      <c r="F292" t="s">
        <v>5676</v>
      </c>
      <c r="G292" t="s">
        <v>5677</v>
      </c>
      <c r="H292" t="s">
        <v>5678</v>
      </c>
      <c r="I292" t="s">
        <v>5679</v>
      </c>
      <c r="J292" t="s">
        <v>5680</v>
      </c>
      <c r="K292" t="s">
        <v>5681</v>
      </c>
      <c r="L292" t="s">
        <v>5682</v>
      </c>
      <c r="M292" t="s">
        <v>5683</v>
      </c>
      <c r="N292" t="s">
        <v>5684</v>
      </c>
      <c r="O292">
        <f>-766.241180216204 -78.2273135320552 -484.839067274264</f>
        <v>-1329.3075610225233</v>
      </c>
      <c r="P292">
        <f>-825.074903541491 -143.830174206031 -204.079290896188</f>
        <v>-1172.98436864371</v>
      </c>
      <c r="Q292">
        <f>-637.746187620079 -24.427084969208 -297.362419098676</f>
        <v>-959.53569168796298</v>
      </c>
      <c r="R292" t="s">
        <v>5685</v>
      </c>
      <c r="S292" t="s">
        <v>5686</v>
      </c>
      <c r="T292" t="s">
        <v>5687</v>
      </c>
      <c r="U292" t="s">
        <v>5688</v>
      </c>
      <c r="V292">
        <f>-789.135361311267 -36.4087699998499 -53.1306969110168</f>
        <v>-878.67482822213378</v>
      </c>
      <c r="W292" t="s">
        <v>5689</v>
      </c>
      <c r="X292" t="s">
        <v>5690</v>
      </c>
      <c r="Y292" t="s">
        <v>5691</v>
      </c>
    </row>
    <row r="293" spans="1:25" x14ac:dyDescent="0.3">
      <c r="A293">
        <v>14600</v>
      </c>
      <c r="B293" t="s">
        <v>5692</v>
      </c>
      <c r="C293" t="s">
        <v>5693</v>
      </c>
      <c r="D293" t="s">
        <v>5694</v>
      </c>
      <c r="E293" t="s">
        <v>5695</v>
      </c>
      <c r="F293" t="s">
        <v>5696</v>
      </c>
      <c r="G293" t="s">
        <v>5697</v>
      </c>
      <c r="H293" t="s">
        <v>5698</v>
      </c>
      <c r="I293" t="s">
        <v>5699</v>
      </c>
      <c r="J293" t="s">
        <v>5700</v>
      </c>
      <c r="K293" t="s">
        <v>5701</v>
      </c>
      <c r="L293" t="s">
        <v>5702</v>
      </c>
      <c r="M293" t="s">
        <v>5703</v>
      </c>
      <c r="N293" t="s">
        <v>5704</v>
      </c>
      <c r="O293">
        <f>-779.963843656314 -87.8658098431736 -485.092552167263</f>
        <v>-1352.9222056667506</v>
      </c>
      <c r="P293">
        <f>-846.448433035674 -149.926729398694 -205.236382135051</f>
        <v>-1201.611544569419</v>
      </c>
      <c r="Q293">
        <f>-654.40236601448 -39.2070356967929 -299.630765012101</f>
        <v>-993.24016672337393</v>
      </c>
      <c r="R293" t="s">
        <v>5705</v>
      </c>
      <c r="S293" t="s">
        <v>5706</v>
      </c>
      <c r="T293" t="s">
        <v>5707</v>
      </c>
      <c r="U293" t="s">
        <v>5708</v>
      </c>
      <c r="V293">
        <f>-795.659561908382 -50.5560378301955 -52.4899151905784</f>
        <v>-898.70551492915581</v>
      </c>
      <c r="W293" t="s">
        <v>5709</v>
      </c>
      <c r="X293" t="s">
        <v>5710</v>
      </c>
      <c r="Y293" t="s">
        <v>5711</v>
      </c>
    </row>
    <row r="294" spans="1:25" x14ac:dyDescent="0.3">
      <c r="A294">
        <v>14650</v>
      </c>
      <c r="B294" t="s">
        <v>5712</v>
      </c>
      <c r="C294" t="s">
        <v>5713</v>
      </c>
      <c r="D294" t="s">
        <v>5714</v>
      </c>
      <c r="E294" t="s">
        <v>5715</v>
      </c>
      <c r="F294" t="s">
        <v>5716</v>
      </c>
      <c r="G294" t="s">
        <v>5717</v>
      </c>
      <c r="H294" t="s">
        <v>5718</v>
      </c>
      <c r="I294" t="s">
        <v>5719</v>
      </c>
      <c r="J294" t="s">
        <v>5720</v>
      </c>
      <c r="K294" t="s">
        <v>5721</v>
      </c>
      <c r="L294" t="s">
        <v>5722</v>
      </c>
      <c r="M294" t="s">
        <v>5723</v>
      </c>
      <c r="N294" t="s">
        <v>5724</v>
      </c>
      <c r="O294">
        <f>-787.244999015966 -84.2403572458102 -486.840725888935</f>
        <v>-1358.326082150711</v>
      </c>
      <c r="P294">
        <f>-857.496048101393 -145.006176927006 -207.621192875064</f>
        <v>-1210.123417903463</v>
      </c>
      <c r="Q294">
        <f>-662.980726856857 -38.2433078285299 -301.516782527152</f>
        <v>-1002.7408172125388</v>
      </c>
      <c r="R294" t="s">
        <v>5725</v>
      </c>
      <c r="S294" t="s">
        <v>5726</v>
      </c>
      <c r="T294" t="s">
        <v>5727</v>
      </c>
      <c r="U294" t="s">
        <v>5728</v>
      </c>
      <c r="V294">
        <f>-799.424078438458 -41.450924529611 -54.1406585811872</f>
        <v>-895.01566154925615</v>
      </c>
      <c r="W294" t="s">
        <v>5729</v>
      </c>
      <c r="X294" t="s">
        <v>5730</v>
      </c>
      <c r="Y294" t="s">
        <v>5731</v>
      </c>
    </row>
    <row r="295" spans="1:25" x14ac:dyDescent="0.3">
      <c r="A295">
        <v>14700</v>
      </c>
      <c r="B295" t="s">
        <v>5732</v>
      </c>
      <c r="C295" t="s">
        <v>5733</v>
      </c>
      <c r="D295" t="s">
        <v>5734</v>
      </c>
      <c r="E295" t="s">
        <v>5735</v>
      </c>
      <c r="F295" t="s">
        <v>5736</v>
      </c>
      <c r="G295" t="s">
        <v>5737</v>
      </c>
      <c r="H295" t="s">
        <v>5738</v>
      </c>
      <c r="I295" t="s">
        <v>5739</v>
      </c>
      <c r="J295" t="s">
        <v>5740</v>
      </c>
      <c r="K295" t="s">
        <v>5741</v>
      </c>
      <c r="L295" t="s">
        <v>5742</v>
      </c>
      <c r="M295" t="s">
        <v>5743</v>
      </c>
      <c r="N295" t="s">
        <v>5744</v>
      </c>
      <c r="O295">
        <f>-794.711415995891 -69.6421628305779 -489.770807776395</f>
        <v>-1354.124386602864</v>
      </c>
      <c r="P295">
        <f>-867.773155969256 -129.980688008039 -211.180696864546</f>
        <v>-1208.934540841841</v>
      </c>
      <c r="Q295">
        <f>-671.194587891513 -26.3637821863599 -304.300251917202</f>
        <v>-1001.8586219950749</v>
      </c>
      <c r="R295" t="s">
        <v>5745</v>
      </c>
      <c r="S295" t="s">
        <v>5746</v>
      </c>
      <c r="T295" t="s">
        <v>5747</v>
      </c>
      <c r="U295" t="s">
        <v>5748</v>
      </c>
      <c r="V295">
        <f>-804.041918313847 -16.4987794761782 -57.1338367629633</f>
        <v>-877.67453455298846</v>
      </c>
      <c r="W295" t="s">
        <v>5749</v>
      </c>
      <c r="X295" t="s">
        <v>5750</v>
      </c>
      <c r="Y295" t="s">
        <v>5751</v>
      </c>
    </row>
    <row r="296" spans="1:25" x14ac:dyDescent="0.3">
      <c r="A296">
        <v>14750</v>
      </c>
      <c r="B296" t="s">
        <v>5752</v>
      </c>
      <c r="C296" t="s">
        <v>5753</v>
      </c>
      <c r="D296" t="s">
        <v>5754</v>
      </c>
      <c r="E296" t="s">
        <v>5755</v>
      </c>
      <c r="F296" t="s">
        <v>5756</v>
      </c>
      <c r="G296" t="s">
        <v>5757</v>
      </c>
      <c r="H296" t="s">
        <v>5758</v>
      </c>
      <c r="I296" t="s">
        <v>5759</v>
      </c>
      <c r="J296" t="s">
        <v>5760</v>
      </c>
      <c r="K296" t="s">
        <v>5761</v>
      </c>
      <c r="L296" t="s">
        <v>5762</v>
      </c>
      <c r="M296" t="s">
        <v>5763</v>
      </c>
      <c r="N296" t="s">
        <v>5764</v>
      </c>
      <c r="O296">
        <f>-803.734388250162 -53.2731610704548 -495.178681466119</f>
        <v>-1352.1862307867359</v>
      </c>
      <c r="P296">
        <f>-880.735907737688 -113.700246740749 -217.671043256462</f>
        <v>-1212.107197734899</v>
      </c>
      <c r="Q296">
        <f>-680.700886147373 -15.2130053382439 -308.978723056834</f>
        <v>-1004.8926145424509</v>
      </c>
      <c r="R296" t="s">
        <v>5765</v>
      </c>
      <c r="S296" t="s">
        <v>5766</v>
      </c>
      <c r="T296" t="s">
        <v>5767</v>
      </c>
      <c r="U296" t="s">
        <v>5768</v>
      </c>
      <c r="V296" t="s">
        <v>5769</v>
      </c>
      <c r="W296" t="s">
        <v>5770</v>
      </c>
      <c r="X296" t="s">
        <v>5771</v>
      </c>
      <c r="Y296" t="s">
        <v>5772</v>
      </c>
    </row>
    <row r="297" spans="1:25" x14ac:dyDescent="0.3">
      <c r="A297">
        <v>14800</v>
      </c>
      <c r="B297" t="s">
        <v>5773</v>
      </c>
      <c r="C297" t="s">
        <v>5774</v>
      </c>
      <c r="D297" t="s">
        <v>5775</v>
      </c>
      <c r="E297" t="s">
        <v>5776</v>
      </c>
      <c r="F297" t="s">
        <v>5777</v>
      </c>
      <c r="G297" t="s">
        <v>5778</v>
      </c>
      <c r="H297" t="s">
        <v>5779</v>
      </c>
      <c r="I297" t="s">
        <v>5780</v>
      </c>
      <c r="J297" t="s">
        <v>5781</v>
      </c>
      <c r="K297" t="s">
        <v>5782</v>
      </c>
      <c r="L297" t="s">
        <v>5783</v>
      </c>
      <c r="M297" t="s">
        <v>5784</v>
      </c>
      <c r="N297" t="s">
        <v>5785</v>
      </c>
      <c r="O297">
        <f>-806.722295157973 -56.2379147099396 -497.402638018233</f>
        <v>-1360.3628478861456</v>
      </c>
      <c r="P297">
        <f>-885.806454135072 -115.11521327458 -220.147553212518</f>
        <v>-1221.0692206221702</v>
      </c>
      <c r="Q297">
        <f>-683.510423747191 -20.1639013480221 -310.210956375171</f>
        <v>-1013.8852814703841</v>
      </c>
      <c r="R297" t="s">
        <v>5786</v>
      </c>
      <c r="S297" t="s">
        <v>5787</v>
      </c>
      <c r="T297" t="s">
        <v>5788</v>
      </c>
      <c r="U297" t="s">
        <v>5789</v>
      </c>
      <c r="V297" t="s">
        <v>5790</v>
      </c>
      <c r="W297" t="s">
        <v>5791</v>
      </c>
      <c r="X297" t="s">
        <v>5792</v>
      </c>
      <c r="Y297" t="s">
        <v>5793</v>
      </c>
    </row>
    <row r="298" spans="1:25" x14ac:dyDescent="0.3">
      <c r="A298">
        <v>14850</v>
      </c>
      <c r="B298" t="s">
        <v>5794</v>
      </c>
      <c r="C298" t="s">
        <v>5795</v>
      </c>
      <c r="D298" t="s">
        <v>5796</v>
      </c>
      <c r="E298" t="s">
        <v>5797</v>
      </c>
      <c r="F298" t="s">
        <v>5798</v>
      </c>
      <c r="G298" t="s">
        <v>5799</v>
      </c>
      <c r="H298" t="s">
        <v>5800</v>
      </c>
      <c r="I298" t="s">
        <v>5801</v>
      </c>
      <c r="J298" t="s">
        <v>5802</v>
      </c>
      <c r="K298" t="s">
        <v>5803</v>
      </c>
      <c r="L298" t="s">
        <v>5804</v>
      </c>
      <c r="M298" t="s">
        <v>5805</v>
      </c>
      <c r="N298" t="s">
        <v>5806</v>
      </c>
      <c r="O298">
        <f>-807.555670992043 -60.8123409171205 -497.13746555572</f>
        <v>-1365.5054774648836</v>
      </c>
      <c r="P298">
        <f>-886.337368380822 -118.741035584968 -219.596725469722</f>
        <v>-1224.675129435512</v>
      </c>
      <c r="Q298">
        <f>-683.736951651476 -24.2914312917592 -309.503468965204</f>
        <v>-1017.5318519084392</v>
      </c>
      <c r="R298" t="s">
        <v>5807</v>
      </c>
      <c r="S298" t="s">
        <v>5808</v>
      </c>
      <c r="T298" t="s">
        <v>5809</v>
      </c>
      <c r="U298" t="s">
        <v>5810</v>
      </c>
      <c r="V298" t="s">
        <v>5811</v>
      </c>
      <c r="W298" t="s">
        <v>5812</v>
      </c>
      <c r="X298" t="s">
        <v>5813</v>
      </c>
      <c r="Y298" t="s">
        <v>5814</v>
      </c>
    </row>
    <row r="299" spans="1:25" x14ac:dyDescent="0.3">
      <c r="A299">
        <v>14900</v>
      </c>
      <c r="B299" t="s">
        <v>5815</v>
      </c>
      <c r="C299" t="s">
        <v>5816</v>
      </c>
      <c r="D299" t="s">
        <v>5817</v>
      </c>
      <c r="E299" t="s">
        <v>5818</v>
      </c>
      <c r="F299" t="s">
        <v>5819</v>
      </c>
      <c r="G299" t="s">
        <v>5820</v>
      </c>
      <c r="H299" t="s">
        <v>5821</v>
      </c>
      <c r="I299" t="s">
        <v>5822</v>
      </c>
      <c r="J299" t="s">
        <v>5823</v>
      </c>
      <c r="K299" t="s">
        <v>5824</v>
      </c>
      <c r="L299" t="s">
        <v>5825</v>
      </c>
      <c r="M299" t="s">
        <v>5826</v>
      </c>
      <c r="N299" t="s">
        <v>5827</v>
      </c>
      <c r="O299">
        <f>-805.952592207861 -72.0795342469983 -494.669557663207</f>
        <v>-1372.7016841180662</v>
      </c>
      <c r="P299">
        <f>-881.905550384189 -128.736853891918 -216.079771796188</f>
        <v>-1226.722176072295</v>
      </c>
      <c r="Q299">
        <f>-681.179904336671 -31.8438915149095 -307.576828577118</f>
        <v>-1020.6006244286986</v>
      </c>
      <c r="R299" t="s">
        <v>5828</v>
      </c>
      <c r="S299" t="s">
        <v>5829</v>
      </c>
      <c r="T299" t="s">
        <v>5830</v>
      </c>
      <c r="U299" t="s">
        <v>5831</v>
      </c>
      <c r="V299">
        <f>-789.413128883079 -7.95886026148401 -59.6632895691446</f>
        <v>-857.03527871370761</v>
      </c>
      <c r="W299" t="s">
        <v>5832</v>
      </c>
      <c r="X299" t="s">
        <v>5833</v>
      </c>
      <c r="Y299" t="s">
        <v>5834</v>
      </c>
    </row>
    <row r="300" spans="1:25" x14ac:dyDescent="0.3">
      <c r="A300">
        <v>14950</v>
      </c>
      <c r="B300" t="s">
        <v>5835</v>
      </c>
      <c r="C300" t="s">
        <v>5836</v>
      </c>
      <c r="D300" t="s">
        <v>5837</v>
      </c>
      <c r="E300" t="s">
        <v>5838</v>
      </c>
      <c r="F300" t="s">
        <v>5839</v>
      </c>
      <c r="G300" t="s">
        <v>5840</v>
      </c>
      <c r="H300" t="s">
        <v>5841</v>
      </c>
      <c r="I300" t="s">
        <v>5842</v>
      </c>
      <c r="J300" t="s">
        <v>5843</v>
      </c>
      <c r="K300" t="s">
        <v>5844</v>
      </c>
      <c r="L300" t="s">
        <v>5845</v>
      </c>
      <c r="M300" t="s">
        <v>5846</v>
      </c>
      <c r="N300" t="s">
        <v>5847</v>
      </c>
      <c r="O300">
        <f>-803.293307150382 -78.5154039911392 -493.264305503003</f>
        <v>-1375.0730166445242</v>
      </c>
      <c r="P300">
        <f>-877.032574825031 -134.52095026504 -213.948924562845</f>
        <v>-1225.5024496529161</v>
      </c>
      <c r="Q300">
        <f>-678.238600095425 -35.756416552209 -307.636996114286</f>
        <v>-1021.6320127619199</v>
      </c>
      <c r="R300" t="s">
        <v>5848</v>
      </c>
      <c r="S300" t="s">
        <v>5849</v>
      </c>
      <c r="T300" t="s">
        <v>5850</v>
      </c>
      <c r="U300" t="s">
        <v>5851</v>
      </c>
      <c r="V300">
        <f>-784.227645744022 -12.6635797641925 -57.8598923457728</f>
        <v>-854.75111785398724</v>
      </c>
      <c r="W300" t="s">
        <v>5852</v>
      </c>
      <c r="X300" t="s">
        <v>5853</v>
      </c>
      <c r="Y300" t="s">
        <v>5854</v>
      </c>
    </row>
    <row r="301" spans="1:25" x14ac:dyDescent="0.3">
      <c r="A301">
        <v>15000</v>
      </c>
      <c r="B301" t="s">
        <v>5855</v>
      </c>
      <c r="C301" t="s">
        <v>5856</v>
      </c>
      <c r="D301" t="s">
        <v>5857</v>
      </c>
      <c r="E301" t="s">
        <v>5858</v>
      </c>
      <c r="F301" t="s">
        <v>5859</v>
      </c>
      <c r="G301" t="s">
        <v>5860</v>
      </c>
      <c r="H301" t="s">
        <v>5861</v>
      </c>
      <c r="I301" t="s">
        <v>5862</v>
      </c>
      <c r="J301" t="s">
        <v>5863</v>
      </c>
      <c r="K301" t="s">
        <v>5864</v>
      </c>
      <c r="L301" t="s">
        <v>5865</v>
      </c>
      <c r="M301" t="s">
        <v>5866</v>
      </c>
      <c r="N301" t="s">
        <v>5867</v>
      </c>
      <c r="O301">
        <f>-795.370066971389 -92.2677218780791 -491.426358892183</f>
        <v>-1379.0641477416511</v>
      </c>
      <c r="P301">
        <f>-863.533092926512 -145.474993729086 -210.154228219987</f>
        <v>-1219.162314875585</v>
      </c>
      <c r="Q301">
        <f>-666.388397164517 -47.5793862519772 -308.140230949439</f>
        <v>-1022.1080143659332</v>
      </c>
      <c r="R301" t="s">
        <v>5868</v>
      </c>
      <c r="S301" t="s">
        <v>5869</v>
      </c>
      <c r="T301" t="s">
        <v>5870</v>
      </c>
      <c r="U301" t="s">
        <v>5871</v>
      </c>
      <c r="V301">
        <f>-773.804239686888 -21.9122627880724 -54.7188056554313</f>
        <v>-850.43530813039172</v>
      </c>
      <c r="W301" t="s">
        <v>5872</v>
      </c>
      <c r="X301" t="s">
        <v>5873</v>
      </c>
      <c r="Y301" t="s">
        <v>5874</v>
      </c>
    </row>
    <row r="302" spans="1:25" x14ac:dyDescent="0.3">
      <c r="A302">
        <v>15050</v>
      </c>
      <c r="B302" t="s">
        <v>5875</v>
      </c>
      <c r="C302" t="s">
        <v>5876</v>
      </c>
      <c r="D302" t="s">
        <v>5877</v>
      </c>
      <c r="E302" t="s">
        <v>5878</v>
      </c>
      <c r="F302" t="s">
        <v>5879</v>
      </c>
      <c r="G302" t="s">
        <v>5880</v>
      </c>
      <c r="H302" t="s">
        <v>5881</v>
      </c>
      <c r="I302" t="s">
        <v>5882</v>
      </c>
      <c r="J302" t="s">
        <v>5883</v>
      </c>
      <c r="K302" t="s">
        <v>5884</v>
      </c>
      <c r="L302" t="s">
        <v>5885</v>
      </c>
      <c r="M302" t="s">
        <v>5886</v>
      </c>
      <c r="N302" t="s">
        <v>5887</v>
      </c>
      <c r="O302">
        <f>-790.219553599155 -98.6289140980266 -491.190916175944</f>
        <v>-1380.0393838731256</v>
      </c>
      <c r="P302">
        <f>-854.779304291579 -151.854495076835 -209.073394411571</f>
        <v>-1215.7071937799849</v>
      </c>
      <c r="Q302">
        <f>-658.010985277263 -54.9050236711246 -308.742848150066</f>
        <v>-1021.6588570984536</v>
      </c>
      <c r="R302" t="s">
        <v>5888</v>
      </c>
      <c r="S302" t="s">
        <v>5889</v>
      </c>
      <c r="T302" t="s">
        <v>5890</v>
      </c>
      <c r="U302" t="s">
        <v>5891</v>
      </c>
      <c r="V302">
        <f>-767.217725941811 -26.0512017726969 -54.0970498241501</f>
        <v>-847.36597753865794</v>
      </c>
      <c r="W302" t="s">
        <v>5892</v>
      </c>
      <c r="X302" t="s">
        <v>5893</v>
      </c>
      <c r="Y302" t="s">
        <v>5894</v>
      </c>
    </row>
    <row r="303" spans="1:25" x14ac:dyDescent="0.3">
      <c r="A303">
        <v>15100</v>
      </c>
      <c r="B303" t="s">
        <v>5895</v>
      </c>
      <c r="C303" t="s">
        <v>5896</v>
      </c>
      <c r="D303" t="s">
        <v>5897</v>
      </c>
      <c r="E303" t="s">
        <v>5898</v>
      </c>
      <c r="F303" t="s">
        <v>5899</v>
      </c>
      <c r="G303" t="s">
        <v>5900</v>
      </c>
      <c r="H303" t="s">
        <v>5901</v>
      </c>
      <c r="I303" t="s">
        <v>5902</v>
      </c>
      <c r="J303" t="s">
        <v>5903</v>
      </c>
      <c r="K303" t="s">
        <v>5904</v>
      </c>
      <c r="L303" t="s">
        <v>5905</v>
      </c>
      <c r="M303" t="s">
        <v>5906</v>
      </c>
      <c r="N303" t="s">
        <v>5907</v>
      </c>
      <c r="O303">
        <f>-778.683346414085 -109.004768891076 -492.958156525114</f>
        <v>-1380.6462718302751</v>
      </c>
      <c r="P303">
        <f>-836.009914694101 -165.73097752419 -209.961806950483</f>
        <v>-1211.702699168774</v>
      </c>
      <c r="Q303">
        <f>-639.524134270829 -71.2995714003071 -312.562640728596</f>
        <v>-1023.386346399732</v>
      </c>
      <c r="R303" t="s">
        <v>5908</v>
      </c>
      <c r="S303" t="s">
        <v>5909</v>
      </c>
      <c r="T303" t="s">
        <v>5910</v>
      </c>
      <c r="U303" t="s">
        <v>5911</v>
      </c>
      <c r="V303">
        <f>-753.605282335234 -42.1210294469879 -55.5273885924265</f>
        <v>-851.25370037464847</v>
      </c>
      <c r="W303" t="s">
        <v>5912</v>
      </c>
      <c r="X303" t="s">
        <v>5913</v>
      </c>
      <c r="Y303" t="s">
        <v>5914</v>
      </c>
    </row>
    <row r="304" spans="1:25" x14ac:dyDescent="0.3">
      <c r="A304">
        <v>15150</v>
      </c>
      <c r="B304" t="s">
        <v>5915</v>
      </c>
      <c r="C304" t="s">
        <v>5916</v>
      </c>
      <c r="D304" t="s">
        <v>5917</v>
      </c>
      <c r="E304" t="s">
        <v>5918</v>
      </c>
      <c r="F304" t="s">
        <v>5919</v>
      </c>
      <c r="G304" t="s">
        <v>5920</v>
      </c>
      <c r="H304" t="s">
        <v>5921</v>
      </c>
      <c r="I304" t="s">
        <v>5922</v>
      </c>
      <c r="J304" t="s">
        <v>5923</v>
      </c>
      <c r="K304" t="s">
        <v>5924</v>
      </c>
      <c r="L304" t="s">
        <v>5925</v>
      </c>
      <c r="M304" t="s">
        <v>5926</v>
      </c>
      <c r="N304" t="s">
        <v>5927</v>
      </c>
      <c r="O304">
        <f>-772.764385337772 -117.692826333564 -493.375876225569</f>
        <v>-1383.833087896905</v>
      </c>
      <c r="P304">
        <f>-826.21861363543 -178.13639408266 -210.390975777478</f>
        <v>-1214.745983495568</v>
      </c>
      <c r="Q304">
        <f>-630.534551390276 -83.9950036933342 -314.774893439269</f>
        <v>-1029.3044485228793</v>
      </c>
      <c r="R304" t="s">
        <v>5928</v>
      </c>
      <c r="S304" t="s">
        <v>5929</v>
      </c>
      <c r="T304" t="s">
        <v>5930</v>
      </c>
      <c r="U304" t="s">
        <v>5931</v>
      </c>
      <c r="V304">
        <f>-749.411108250752 -53.992059046122 -55.4267866490552</f>
        <v>-858.82995394592922</v>
      </c>
      <c r="W304" t="s">
        <v>5932</v>
      </c>
      <c r="X304" t="s">
        <v>5933</v>
      </c>
      <c r="Y304" t="s">
        <v>5934</v>
      </c>
    </row>
    <row r="305" spans="1:25" x14ac:dyDescent="0.3">
      <c r="A305">
        <v>15200</v>
      </c>
      <c r="B305" t="s">
        <v>5935</v>
      </c>
      <c r="C305" t="s">
        <v>5936</v>
      </c>
      <c r="D305" t="s">
        <v>5937</v>
      </c>
      <c r="E305" t="s">
        <v>5938</v>
      </c>
      <c r="F305" t="s">
        <v>5939</v>
      </c>
      <c r="G305" t="s">
        <v>5940</v>
      </c>
      <c r="H305" t="s">
        <v>5941</v>
      </c>
      <c r="I305" t="s">
        <v>5942</v>
      </c>
      <c r="J305" t="s">
        <v>5943</v>
      </c>
      <c r="K305" t="s">
        <v>5944</v>
      </c>
      <c r="L305" t="s">
        <v>5945</v>
      </c>
      <c r="M305" t="s">
        <v>5946</v>
      </c>
      <c r="N305">
        <f>-752.185633360678 -8.46556156740007 -515.223733289032</f>
        <v>-1275.8749282171102</v>
      </c>
      <c r="O305">
        <f>-755.354509415877 -144.136332640981 -492.971643935486</f>
        <v>-1392.462485992344</v>
      </c>
      <c r="P305">
        <f>-800.605347207161 -213.072543940877 -210.497976518996</f>
        <v>-1224.175867667034</v>
      </c>
      <c r="Q305">
        <f>-606.667023413812 -117.914496723049 -317.192446108809</f>
        <v>-1041.77396624567</v>
      </c>
      <c r="R305" t="s">
        <v>5947</v>
      </c>
      <c r="S305" t="s">
        <v>5948</v>
      </c>
      <c r="T305" t="s">
        <v>5949</v>
      </c>
      <c r="U305" t="s">
        <v>5950</v>
      </c>
      <c r="V305">
        <f>-737.296415187963 -78.6406981135567 -56.263213127066</f>
        <v>-872.20032642858575</v>
      </c>
      <c r="W305" t="s">
        <v>5951</v>
      </c>
      <c r="X305" t="s">
        <v>5952</v>
      </c>
      <c r="Y305" t="s">
        <v>5953</v>
      </c>
    </row>
    <row r="306" spans="1:25" x14ac:dyDescent="0.3">
      <c r="A306">
        <v>15250</v>
      </c>
      <c r="B306" t="s">
        <v>5954</v>
      </c>
      <c r="C306" t="s">
        <v>5955</v>
      </c>
      <c r="D306" t="s">
        <v>5956</v>
      </c>
      <c r="E306" t="s">
        <v>5957</v>
      </c>
      <c r="F306" t="s">
        <v>5958</v>
      </c>
      <c r="G306" t="s">
        <v>5959</v>
      </c>
      <c r="H306" t="s">
        <v>5960</v>
      </c>
      <c r="I306" t="s">
        <v>5961</v>
      </c>
      <c r="J306" t="s">
        <v>5962</v>
      </c>
      <c r="K306" t="s">
        <v>5963</v>
      </c>
      <c r="L306" t="s">
        <v>5964</v>
      </c>
      <c r="M306" t="s">
        <v>5965</v>
      </c>
      <c r="N306">
        <f>-744.755007544176 -14.0652500792453 -515.047944087156</f>
        <v>-1273.8682017105773</v>
      </c>
      <c r="O306">
        <f>-747.529784257561 -149.761136549225 -492.964793396223</f>
        <v>-1390.2557142030091</v>
      </c>
      <c r="P306">
        <f>-789.413849083475 -221.14271975857 -210.579251194236</f>
        <v>-1221.1358200362811</v>
      </c>
      <c r="Q306">
        <f>-596.46145092043 -124.579891912108 -317.797843245007</f>
        <v>-1038.839186077545</v>
      </c>
      <c r="R306" t="s">
        <v>5966</v>
      </c>
      <c r="S306" t="s">
        <v>5967</v>
      </c>
      <c r="T306" t="s">
        <v>5968</v>
      </c>
      <c r="U306" t="s">
        <v>5969</v>
      </c>
      <c r="V306">
        <f>-732.518959316289 -82.5992763157931 -56.8514986724455</f>
        <v>-871.96973430452761</v>
      </c>
      <c r="W306" t="s">
        <v>5970</v>
      </c>
      <c r="X306" t="s">
        <v>5971</v>
      </c>
      <c r="Y306" t="s">
        <v>5972</v>
      </c>
    </row>
    <row r="307" spans="1:25" x14ac:dyDescent="0.3">
      <c r="A307">
        <v>15300</v>
      </c>
      <c r="B307" t="s">
        <v>5973</v>
      </c>
      <c r="C307">
        <f>-749.953232988929 -4.84412169697407 -53.08565886523</f>
        <v>-807.8830135511331</v>
      </c>
      <c r="D307">
        <f>-767.260930675364 -10.372859685187 -167.480093670314</f>
        <v>-945.11388403086494</v>
      </c>
      <c r="E307">
        <f>-766.413394199237 -9.3757344507726 -266.095270182848</f>
        <v>-1041.8843988328576</v>
      </c>
      <c r="F307">
        <f>-759.773817495082 -6.82108678297482 -354.90756621956</f>
        <v>-1121.5024704976167</v>
      </c>
      <c r="G307">
        <f>-746.864920056812 -2.88739411661345 -442.976450390963</f>
        <v>-1192.7287645643885</v>
      </c>
      <c r="H307" t="s">
        <v>5974</v>
      </c>
      <c r="I307" t="s">
        <v>5975</v>
      </c>
      <c r="J307" t="s">
        <v>5976</v>
      </c>
      <c r="K307" t="s">
        <v>5977</v>
      </c>
      <c r="L307" t="s">
        <v>5978</v>
      </c>
      <c r="M307" t="s">
        <v>5979</v>
      </c>
      <c r="N307">
        <f>-731.781471985491 -26.8286383105287 -512.500115262656</f>
        <v>-1271.1102255586757</v>
      </c>
      <c r="O307">
        <f>-731.967217494769 -162.50270512261 -490.613528922158</f>
        <v>-1385.083451539537</v>
      </c>
      <c r="P307">
        <f>-769.073394420832 -236.862592873159 -208.328462218346</f>
        <v>-1214.264449512337</v>
      </c>
      <c r="Q307">
        <f>-578.17166303732 -136.932734065507 -316.130869537628</f>
        <v>-1031.2352666404549</v>
      </c>
      <c r="R307" t="s">
        <v>5980</v>
      </c>
      <c r="S307" t="s">
        <v>5981</v>
      </c>
      <c r="T307" t="s">
        <v>5982</v>
      </c>
      <c r="U307" t="s">
        <v>5983</v>
      </c>
      <c r="V307">
        <f>-727.18178916019 -99.3072135834022 -54.6041070632865</f>
        <v>-881.09310980687872</v>
      </c>
      <c r="W307" t="s">
        <v>5984</v>
      </c>
      <c r="X307" t="s">
        <v>5985</v>
      </c>
      <c r="Y307" t="s">
        <v>5986</v>
      </c>
    </row>
    <row r="308" spans="1:25" x14ac:dyDescent="0.3">
      <c r="A308">
        <v>15350</v>
      </c>
      <c r="B308" t="s">
        <v>5987</v>
      </c>
      <c r="C308">
        <f>-744.465024544822 -14.4365992591042 -50.8482724207672</f>
        <v>-809.74989622469343</v>
      </c>
      <c r="D308">
        <f>-761.078526919626 -19.873951725534 -165.349956797601</f>
        <v>-946.30243544276095</v>
      </c>
      <c r="E308">
        <f>-759.787241343825 -18.7099095684398 -263.95844486366</f>
        <v>-1042.4555957759248</v>
      </c>
      <c r="F308">
        <f>-752.806028335056 -15.969338517511 -352.739077942058</f>
        <v>-1121.514444794625</v>
      </c>
      <c r="G308">
        <f>-739.616386535797 -11.8036204140317 -440.755747907139</f>
        <v>-1192.1757548569676</v>
      </c>
      <c r="H308">
        <f>-714.660936260265 -4.80108912846936 -562.612163410499</f>
        <v>-1282.0741887992333</v>
      </c>
      <c r="I308" t="s">
        <v>5988</v>
      </c>
      <c r="J308" t="s">
        <v>5989</v>
      </c>
      <c r="K308" t="s">
        <v>5990</v>
      </c>
      <c r="L308" t="s">
        <v>5991</v>
      </c>
      <c r="M308" t="s">
        <v>5992</v>
      </c>
      <c r="N308">
        <f>-723.855094337707 -35.5068194789646 -510.21055370498</f>
        <v>-1269.5724675216516</v>
      </c>
      <c r="O308">
        <f>-721.797161009408 -171.162016977882 -488.314001999539</f>
        <v>-1381.2731799868291</v>
      </c>
      <c r="P308">
        <f>-757.981339919794 -246.846095539966 -206.261092156715</f>
        <v>-1211.0885276164749</v>
      </c>
      <c r="Q308">
        <f>-568.132694389235 -145.297520453172 -314.410036261483</f>
        <v>-1027.8402511038898</v>
      </c>
      <c r="R308" t="s">
        <v>5993</v>
      </c>
      <c r="S308" t="s">
        <v>5994</v>
      </c>
      <c r="T308" t="s">
        <v>5995</v>
      </c>
      <c r="U308" t="s">
        <v>5996</v>
      </c>
      <c r="V308">
        <f>-722.948255267714 -108.081372918806 -52.6951655056695</f>
        <v>-883.72479369218945</v>
      </c>
      <c r="W308" t="s">
        <v>5997</v>
      </c>
      <c r="X308" t="s">
        <v>5998</v>
      </c>
      <c r="Y308" t="s">
        <v>5999</v>
      </c>
    </row>
    <row r="309" spans="1:25" x14ac:dyDescent="0.3">
      <c r="A309">
        <v>15400</v>
      </c>
      <c r="B309" t="s">
        <v>6000</v>
      </c>
      <c r="C309">
        <f>-750.419021381926 -35.9075661527424 -50.2339151222554</f>
        <v>-836.56050265692386</v>
      </c>
      <c r="D309">
        <f>-765.936739654051 -42.2283038624621 -164.843898307474</f>
        <v>-973.00894182398713</v>
      </c>
      <c r="E309">
        <f>-763.823867520235 -41.2041092238296 -263.439804497452</f>
        <v>-1068.4677812415166</v>
      </c>
      <c r="F309">
        <f>-756.128855702205 -38.3515630441909 -352.157821157555</f>
        <v>-1146.638239903951</v>
      </c>
      <c r="G309">
        <f>-742.249755359567 -33.8162180128948 -440.049992224937</f>
        <v>-1216.1159655973988</v>
      </c>
      <c r="H309">
        <f>-716.348450289526 -26.0231560523503 -561.661001349646</f>
        <v>-1304.0326076915221</v>
      </c>
      <c r="I309">
        <f>-665.432023114334 -16.4206906580198 -626.624985843467</f>
        <v>-1308.4776996158207</v>
      </c>
      <c r="J309">
        <f>-730.663146351827 -1.92122691540635 -507.00299102432</f>
        <v>-1239.5873642915533</v>
      </c>
      <c r="K309" t="s">
        <v>6001</v>
      </c>
      <c r="L309" t="s">
        <v>6002</v>
      </c>
      <c r="M309" t="s">
        <v>6003</v>
      </c>
      <c r="N309">
        <f>-724.829619298857 -56.9839765605536 -509.288952058322</f>
        <v>-1291.1025479177326</v>
      </c>
      <c r="O309">
        <f>-717.027970316163 -192.390950300111 -487.210257065002</f>
        <v>-1396.6291776812759</v>
      </c>
      <c r="P309">
        <f>-753.367385964664 -268.91623028938 -205.404339994027</f>
        <v>-1227.687956248071</v>
      </c>
      <c r="Q309">
        <f>-564.275074519069 -165.963786354756 -313.551475133948</f>
        <v>-1043.790336007773</v>
      </c>
      <c r="R309" t="s">
        <v>6004</v>
      </c>
      <c r="S309" t="s">
        <v>6005</v>
      </c>
      <c r="T309" t="s">
        <v>6006</v>
      </c>
      <c r="U309" t="s">
        <v>6007</v>
      </c>
      <c r="V309">
        <f>-721.494157901738 -126.090784954295 -51.5857013491611</f>
        <v>-899.17064420519421</v>
      </c>
      <c r="W309" t="s">
        <v>6008</v>
      </c>
      <c r="X309" t="s">
        <v>6009</v>
      </c>
      <c r="Y309" t="s">
        <v>6010</v>
      </c>
    </row>
    <row r="310" spans="1:25" x14ac:dyDescent="0.3">
      <c r="A310">
        <v>15450</v>
      </c>
      <c r="B310" t="s">
        <v>6011</v>
      </c>
      <c r="C310">
        <f>-757.051036444111 -42.89839322275 -51.4503538557531</f>
        <v>-851.39978352261403</v>
      </c>
      <c r="D310">
        <f>-772.344743127739 -50.1290392487153 -166.036727015585</f>
        <v>-988.51050939203935</v>
      </c>
      <c r="E310">
        <f>-770.131246017671 -49.3340690220568 -264.632508316856</f>
        <v>-1084.0978233565838</v>
      </c>
      <c r="F310">
        <f>-762.361277723566 -46.4754872884423 -353.343761352678</f>
        <v>-1162.1805263646863</v>
      </c>
      <c r="G310">
        <f>-748.415736004891 -41.7131744661081 -441.213493902968</f>
        <v>-1231.3424043739669</v>
      </c>
      <c r="H310">
        <f>-722.421378655062 -33.3720945277337 -562.768068498583</f>
        <v>-1318.5615416813787</v>
      </c>
      <c r="I310">
        <f>-671.143324226673 -23.0500879232236 -627.336453392488</f>
        <v>-1321.5298655423846</v>
      </c>
      <c r="J310">
        <f>-737.360989543444 -9.57904429676137 -508.142016628193</f>
        <v>-1255.0820504683984</v>
      </c>
      <c r="K310" t="s">
        <v>6012</v>
      </c>
      <c r="L310" t="s">
        <v>6013</v>
      </c>
      <c r="M310" t="s">
        <v>6014</v>
      </c>
      <c r="N310">
        <f>-730.359351865585 -64.5061100745213 -510.413826270257</f>
        <v>-1305.2792882103633</v>
      </c>
      <c r="O310">
        <f>-719.765666013536 -199.839331272232 -488.449520705556</f>
        <v>-1408.054517991324</v>
      </c>
      <c r="P310">
        <f>-756.666679603255 -275.007852344601 -206.351648589932</f>
        <v>-1238.0261805377879</v>
      </c>
      <c r="Q310">
        <f>-567.520049086487 -172.30512249234 -314.640714367642</f>
        <v>-1054.4658859464689</v>
      </c>
      <c r="R310" t="s">
        <v>6015</v>
      </c>
      <c r="S310" t="s">
        <v>6016</v>
      </c>
      <c r="T310" t="s">
        <v>6017</v>
      </c>
      <c r="U310" t="s">
        <v>6018</v>
      </c>
      <c r="V310">
        <f>-723.057490147361 -131.233982508832 -52.0724437150503</f>
        <v>-906.36391637124336</v>
      </c>
      <c r="W310" t="s">
        <v>6019</v>
      </c>
      <c r="X310" t="s">
        <v>6020</v>
      </c>
      <c r="Y310" t="s">
        <v>6021</v>
      </c>
    </row>
    <row r="311" spans="1:25" x14ac:dyDescent="0.3">
      <c r="A311">
        <v>15500</v>
      </c>
      <c r="B311" t="s">
        <v>6022</v>
      </c>
      <c r="C311">
        <f>-759.711368461096 -43.4225485539091 -54.3454298323779</f>
        <v>-857.479346847383</v>
      </c>
      <c r="D311">
        <f>-775.117159814138 -51.7423298482163 -168.84283459907</f>
        <v>-995.70232426142422</v>
      </c>
      <c r="E311">
        <f>-773.46690826892 -51.2176219569797 -267.451434976699</f>
        <v>-1092.1359652025985</v>
      </c>
      <c r="F311">
        <f>-766.366417612815 -48.3317382541557 -356.217912886228</f>
        <v>-1170.9160687531987</v>
      </c>
      <c r="G311">
        <f>-753.237514758072 -43.2443508637798 -444.195213874299</f>
        <v>-1240.6770794961508</v>
      </c>
      <c r="H311">
        <f>-728.522918621343 -34.124971585999 -565.960735350496</f>
        <v>-1328.608625557838</v>
      </c>
      <c r="I311">
        <f>-677.219965671792 -22.5647703045761 -630.298749641642</f>
        <v>-1330.0834856180099</v>
      </c>
      <c r="J311">
        <f>-743.938297294949 -10.8263942904964 -511.253694264923</f>
        <v>-1266.0183858503685</v>
      </c>
      <c r="K311" t="s">
        <v>6023</v>
      </c>
      <c r="L311" t="s">
        <v>6024</v>
      </c>
      <c r="M311" t="s">
        <v>6025</v>
      </c>
      <c r="N311">
        <f>-734.859008140874 -65.449429867987 -513.501670258065</f>
        <v>-1313.8101082669259</v>
      </c>
      <c r="O311">
        <f>-719.089135729777 -200.246733146047 -491.463006585612</f>
        <v>-1410.798875461436</v>
      </c>
      <c r="P311">
        <f>-756.308795959381 -271.469560891674 -208.384903532642</f>
        <v>-1236.163260383697</v>
      </c>
      <c r="Q311">
        <f>-567.293859333852 -170.684458905744 -318.687049118841</f>
        <v>-1056.6653673584369</v>
      </c>
      <c r="R311" t="s">
        <v>6026</v>
      </c>
      <c r="S311" t="s">
        <v>6027</v>
      </c>
      <c r="T311" t="s">
        <v>6028</v>
      </c>
      <c r="U311" t="s">
        <v>6029</v>
      </c>
      <c r="V311">
        <f>-720.18301565866 -129.298869878616 -54.9219783962956</f>
        <v>-904.40386393357153</v>
      </c>
      <c r="W311" t="s">
        <v>6030</v>
      </c>
      <c r="X311" t="s">
        <v>6031</v>
      </c>
      <c r="Y311" t="s">
        <v>6032</v>
      </c>
    </row>
    <row r="312" spans="1:25" x14ac:dyDescent="0.3">
      <c r="A312">
        <v>15550</v>
      </c>
      <c r="B312" t="s">
        <v>6033</v>
      </c>
      <c r="C312">
        <f>-758.726657098389 -38.8764749078473 -55.9018268786737</f>
        <v>-853.50495888490991</v>
      </c>
      <c r="D312">
        <f>-774.493413520654 -47.440835779885 -170.332080894476</f>
        <v>-992.26633019501503</v>
      </c>
      <c r="E312">
        <f>-773.40265436349 -47.0984143012952 -268.949303578528</f>
        <v>-1089.4503722433133</v>
      </c>
      <c r="F312">
        <f>-766.906013123333 -44.3556583573384 -357.766695385893</f>
        <v>-1169.0283668665643</v>
      </c>
      <c r="G312">
        <f>-754.476936815624 -39.3756391545512 -445.851565243986</f>
        <v>-1239.7041412141612</v>
      </c>
      <c r="H312">
        <f>-730.836471617126 -30.3582647608991 -567.837676172555</f>
        <v>-1329.0324125505801</v>
      </c>
      <c r="I312">
        <f>-679.747616951009 -18.5193629682358 -632.295483655871</f>
        <v>-1330.5624635751158</v>
      </c>
      <c r="J312">
        <f>-746.126496774964 -7.07253845240302 -513.090105405391</f>
        <v>-1266.2891406327581</v>
      </c>
      <c r="K312" t="s">
        <v>6034</v>
      </c>
      <c r="L312" t="s">
        <v>6035</v>
      </c>
      <c r="M312" t="s">
        <v>6036</v>
      </c>
      <c r="N312">
        <f>-736.352410530102 -61.5800743402585 -515.225159323748</f>
        <v>-1313.1576441941086</v>
      </c>
      <c r="O312">
        <f>-718.768227663447 -196.077140108178 -492.884935620741</f>
        <v>-1407.7303033923658</v>
      </c>
      <c r="P312">
        <f>-754.474185489393 -265.97808674482 -209.28279985233</f>
        <v>-1229.7350720865431</v>
      </c>
      <c r="Q312">
        <f>-565.801209209978 -166.507276908422 -321.349681605377</f>
        <v>-1053.6581677237768</v>
      </c>
      <c r="R312" t="s">
        <v>6037</v>
      </c>
      <c r="S312" t="s">
        <v>6038</v>
      </c>
      <c r="T312" t="s">
        <v>6039</v>
      </c>
      <c r="U312" t="s">
        <v>6040</v>
      </c>
      <c r="V312">
        <f>-718.453813881106 -125.059076494055 -56.4277582695023</f>
        <v>-899.94064864466338</v>
      </c>
      <c r="W312" t="s">
        <v>6041</v>
      </c>
      <c r="X312" t="s">
        <v>6042</v>
      </c>
      <c r="Y312" t="s">
        <v>6043</v>
      </c>
    </row>
    <row r="313" spans="1:25" x14ac:dyDescent="0.3">
      <c r="A313">
        <v>15600</v>
      </c>
      <c r="B313" t="s">
        <v>6044</v>
      </c>
      <c r="C313">
        <f>-757.089706823178 -34.117893884747 -57.0754905758967</f>
        <v>-848.28309128382159</v>
      </c>
      <c r="D313">
        <f>-773.403471668681 -42.8652204182504 -171.415208892289</f>
        <v>-987.68390097922043</v>
      </c>
      <c r="E313">
        <f>-773.005827234775 -42.7659216852774 -270.038198529702</f>
        <v>-1085.8099474497544</v>
      </c>
      <c r="F313">
        <f>-767.2256865143 -40.2676032052757 -358.912190667827</f>
        <v>-1166.4054803874028</v>
      </c>
      <c r="G313">
        <f>-755.601602230038 -35.5456538709191 -447.121223200645</f>
        <v>-1238.2684793016019</v>
      </c>
      <c r="H313">
        <f>-733.17607040034 -26.8948010369081 -569.362975001186</f>
        <v>-1329.4338464384341</v>
      </c>
      <c r="I313">
        <f>-682.398458228999 -15.050984207383 -634.065385509841</f>
        <v>-1331.5148279462228</v>
      </c>
      <c r="J313">
        <f>-748.116080505897 -3.47881556902621 -514.574366844697</f>
        <v>-1266.1692629196202</v>
      </c>
      <c r="K313" t="s">
        <v>6045</v>
      </c>
      <c r="L313" t="s">
        <v>6046</v>
      </c>
      <c r="M313" t="s">
        <v>6047</v>
      </c>
      <c r="N313">
        <f>-737.97275824979 -57.9242417308565 -516.566591867646</f>
        <v>-1312.4635918482925</v>
      </c>
      <c r="O313">
        <f>-719.362332514188 -192.236322449552 -493.8795514326</f>
        <v>-1405.4782063963401</v>
      </c>
      <c r="P313">
        <f>-752.693337682356 -261.071204860535 -209.728115286011</f>
        <v>-1223.4926578289019</v>
      </c>
      <c r="Q313">
        <f>-564.501573495015 -163.312219803134 -324.086791834759</f>
        <v>-1051.900585132908</v>
      </c>
      <c r="R313" t="s">
        <v>6048</v>
      </c>
      <c r="S313" t="s">
        <v>6049</v>
      </c>
      <c r="T313" t="s">
        <v>6050</v>
      </c>
      <c r="U313" t="s">
        <v>6051</v>
      </c>
      <c r="V313">
        <f>-716.767775225353 -121.249955389645 -57.3362685053994</f>
        <v>-895.35399912039748</v>
      </c>
      <c r="W313" t="s">
        <v>6052</v>
      </c>
      <c r="X313" t="s">
        <v>6053</v>
      </c>
      <c r="Y313" t="s">
        <v>6054</v>
      </c>
    </row>
    <row r="314" spans="1:25" x14ac:dyDescent="0.3">
      <c r="A314">
        <v>15650</v>
      </c>
      <c r="B314" t="s">
        <v>6055</v>
      </c>
      <c r="C314">
        <f>-752.736046188427 -27.013043589352 -58.2116742176879</f>
        <v>-837.960763995467</v>
      </c>
      <c r="D314">
        <f>-770.747425805822 -35.8065623280313 -172.292707085135</f>
        <v>-978.84669521898832</v>
      </c>
      <c r="E314">
        <f>-772.152300032053 -36.0990235570459 -270.906071828452</f>
        <v>-1079.157395417551</v>
      </c>
      <c r="F314">
        <f>-768.147286149649 -34.0751935285484 -359.889847248512</f>
        <v>-1162.1123269267093</v>
      </c>
      <c r="G314">
        <f>-758.442163120457 -29.9334460011873 -448.359647580725</f>
        <v>-1236.7352567023695</v>
      </c>
      <c r="H314">
        <f>-738.846060232121 -22.1894174319868 -571.147381493111</f>
        <v>-1332.1828591572189</v>
      </c>
      <c r="I314">
        <f>-688.946578990254 -10.9735668682451 -636.639985742958</f>
        <v>-1336.5601316014572</v>
      </c>
      <c r="J314" t="s">
        <v>6056</v>
      </c>
      <c r="K314" t="s">
        <v>6057</v>
      </c>
      <c r="L314" t="s">
        <v>6058</v>
      </c>
      <c r="M314" t="s">
        <v>6059</v>
      </c>
      <c r="N314">
        <f>-742.399095206848 -52.8232000209923 -518.022419617464</f>
        <v>-1313.2447148453043</v>
      </c>
      <c r="O314">
        <f>-723.630535671177 -187.01436115246 -494.847801177501</f>
        <v>-1405.492698001138</v>
      </c>
      <c r="P314">
        <f>-750.183646228367 -254.602552968085 -209.684765732096</f>
        <v>-1214.470964928548</v>
      </c>
      <c r="Q314">
        <f>-563.983313295653 -159.665904302337 -329.548749380826</f>
        <v>-1053.1979669788161</v>
      </c>
      <c r="R314" t="s">
        <v>6060</v>
      </c>
      <c r="S314" t="s">
        <v>6061</v>
      </c>
      <c r="T314" t="s">
        <v>6062</v>
      </c>
      <c r="U314" t="s">
        <v>6063</v>
      </c>
      <c r="V314">
        <f>-713.2158687476 -115.404220120809 -58.6850634518236</f>
        <v>-887.30515232023254</v>
      </c>
      <c r="W314" t="s">
        <v>6064</v>
      </c>
      <c r="X314" t="s">
        <v>6065</v>
      </c>
      <c r="Y314" t="s">
        <v>6066</v>
      </c>
    </row>
    <row r="315" spans="1:25" x14ac:dyDescent="0.3">
      <c r="A315">
        <v>15700</v>
      </c>
      <c r="B315" t="s">
        <v>6067</v>
      </c>
      <c r="C315">
        <f>-747.227633739051 -18.1553096135781 -59.3773619737931</f>
        <v>-824.76030532642221</v>
      </c>
      <c r="D315">
        <f>-767.583114595417 -27.4172884353161 -173.026424912534</f>
        <v>-968.02682794326711</v>
      </c>
      <c r="E315">
        <f>-771.295381013447 -28.2585018489835 -271.576679240169</f>
        <v>-1071.1305621025995</v>
      </c>
      <c r="F315">
        <f>-769.487698978653 -26.7819087484127 -360.64283497954</f>
        <v>-1156.9124427066058</v>
      </c>
      <c r="G315">
        <f>-762.081625981286 -23.2401314825197 -449.360738906708</f>
        <v>-1234.6824963705137</v>
      </c>
      <c r="H315">
        <f>-745.79630981094 -16.3875956685001 -572.683996250656</f>
        <v>-1334.867901730096</v>
      </c>
      <c r="I315">
        <f>-696.729482098263 -6.48825134046911 -639.012665135796</f>
        <v>-1342.2303985745282</v>
      </c>
      <c r="J315" t="s">
        <v>6068</v>
      </c>
      <c r="K315" t="s">
        <v>6069</v>
      </c>
      <c r="L315" t="s">
        <v>6070</v>
      </c>
      <c r="M315" t="s">
        <v>6071</v>
      </c>
      <c r="N315">
        <f>-748.298346290021 -46.701851545525 -519.316433493596</f>
        <v>-1314.316631329142</v>
      </c>
      <c r="O315">
        <f>-731.115182140913 -181.033889915591 -495.844602846892</f>
        <v>-1407.9936749033959</v>
      </c>
      <c r="P315">
        <f>-750.443143858928 -247.578275825512 -209.855973373808</f>
        <v>-1207.8773930582481</v>
      </c>
      <c r="Q315">
        <f>-567.248774087359 -155.265681701164 -336.225008075012</f>
        <v>-1058.7394638635351</v>
      </c>
      <c r="R315" t="s">
        <v>6072</v>
      </c>
      <c r="S315" t="s">
        <v>6073</v>
      </c>
      <c r="T315" t="s">
        <v>6074</v>
      </c>
      <c r="U315" t="s">
        <v>6075</v>
      </c>
      <c r="V315">
        <f>-708.951781475381 -106.059322168877 -60.4271375974073</f>
        <v>-875.43824124166531</v>
      </c>
      <c r="W315" t="s">
        <v>6076</v>
      </c>
      <c r="X315" t="s">
        <v>6077</v>
      </c>
      <c r="Y315" t="s">
        <v>6078</v>
      </c>
    </row>
    <row r="316" spans="1:25" x14ac:dyDescent="0.3">
      <c r="A316">
        <v>15750</v>
      </c>
      <c r="B316" t="s">
        <v>6079</v>
      </c>
      <c r="C316">
        <f>-745.100137612186 -11.9464437190836 -60.3150404018138</f>
        <v>-817.36162173308344</v>
      </c>
      <c r="D316">
        <f>-766.727789361441 -21.6679247665138 -173.690400798164</f>
        <v>-962.08611492611874</v>
      </c>
      <c r="E316">
        <f>-771.670063198203 -22.9013840205357 -272.182601882201</f>
        <v>-1066.7540491009397</v>
      </c>
      <c r="F316">
        <f>-771.021588728015 -21.7778897806843 -361.269886282841</f>
        <v>-1154.0693647915402</v>
      </c>
      <c r="G316">
        <f>-764.815941057936 -18.5910462508887 -450.093205000769</f>
        <v>-1233.5001923095938</v>
      </c>
      <c r="H316">
        <f>-750.245102142 -12.2377425182408 -573.657517217565</f>
        <v>-1336.1403618778058</v>
      </c>
      <c r="I316">
        <f>-701.416336225683 -3.11249541513007 -640.272120524644</f>
        <v>-1344.8009521654571</v>
      </c>
      <c r="J316" t="s">
        <v>6080</v>
      </c>
      <c r="K316" t="s">
        <v>6081</v>
      </c>
      <c r="L316" t="s">
        <v>6082</v>
      </c>
      <c r="M316" t="s">
        <v>6083</v>
      </c>
      <c r="N316">
        <f>-752.218701435476 -42.3706491573291 -520.165251659336</f>
        <v>-1314.754602252141</v>
      </c>
      <c r="O316">
        <f>-735.988148845701 -176.80339070524 -496.528897077121</f>
        <v>-1409.320436628062</v>
      </c>
      <c r="P316">
        <f>-752.428792195233 -241.990688365158 -210.047620010979</f>
        <v>-1204.4671005713699</v>
      </c>
      <c r="Q316">
        <f>-570.814573723731 -151.715918284326 -340.115192012421</f>
        <v>-1062.645684020478</v>
      </c>
      <c r="R316" t="s">
        <v>6084</v>
      </c>
      <c r="S316" t="s">
        <v>6085</v>
      </c>
      <c r="T316" t="s">
        <v>6086</v>
      </c>
      <c r="U316" t="s">
        <v>6087</v>
      </c>
      <c r="V316">
        <f>-708.272277822991 -98.4624436480165 -61.4471318587947</f>
        <v>-868.18185332980215</v>
      </c>
      <c r="W316" t="s">
        <v>6088</v>
      </c>
      <c r="X316" t="s">
        <v>6089</v>
      </c>
      <c r="Y316" t="s">
        <v>6090</v>
      </c>
    </row>
    <row r="317" spans="1:25" x14ac:dyDescent="0.3">
      <c r="A317">
        <v>15800</v>
      </c>
      <c r="B317" t="s">
        <v>6091</v>
      </c>
      <c r="C317" t="s">
        <v>6092</v>
      </c>
      <c r="D317">
        <f>-768.16537969565 -8.68818256614577 -175.972898889752</f>
        <v>-952.82646115154785</v>
      </c>
      <c r="E317">
        <f>-775.287893506595 -10.6772295886749 -274.319033157907</f>
        <v>-1060.2841562531769</v>
      </c>
      <c r="F317">
        <f>-776.62125724075 -10.1903533887271 -363.404486980067</f>
        <v>-1150.216097609544</v>
      </c>
      <c r="G317">
        <f>-772.395579278191 -7.59873855754813 -452.363404987837</f>
        <v>-1232.3577228235761</v>
      </c>
      <c r="H317">
        <f>-760.581563543542 -2.03553872350631 -576.259526200404</f>
        <v>-1338.8766284674523</v>
      </c>
      <c r="I317" t="s">
        <v>6093</v>
      </c>
      <c r="J317" t="s">
        <v>6094</v>
      </c>
      <c r="K317" t="s">
        <v>6095</v>
      </c>
      <c r="L317" t="s">
        <v>6096</v>
      </c>
      <c r="M317" t="s">
        <v>6097</v>
      </c>
      <c r="N317">
        <f>-761.700309200053 -31.8777125653137 -522.580026347479</f>
        <v>-1316.1580481128458</v>
      </c>
      <c r="O317">
        <f>-747.395830296607 -166.532707377114 -498.780530230195</f>
        <v>-1412.7090679039159</v>
      </c>
      <c r="P317">
        <f>-761.222719191 -227.928367542179 -211.325235604644</f>
        <v>-1200.4763223378229</v>
      </c>
      <c r="Q317">
        <f>-582.893790365926 -142.865833569724 -349.216558482433</f>
        <v>-1074.976182418083</v>
      </c>
      <c r="R317" t="s">
        <v>6098</v>
      </c>
      <c r="S317" t="s">
        <v>6099</v>
      </c>
      <c r="T317" t="s">
        <v>6100</v>
      </c>
      <c r="U317" t="s">
        <v>6101</v>
      </c>
      <c r="V317">
        <f>-709.019687108057 -82.5175406508431 -64.2303079704901</f>
        <v>-855.76753572939026</v>
      </c>
      <c r="W317" t="s">
        <v>6102</v>
      </c>
      <c r="X317" t="s">
        <v>6103</v>
      </c>
      <c r="Y317" t="s">
        <v>6104</v>
      </c>
    </row>
    <row r="318" spans="1:25" x14ac:dyDescent="0.3">
      <c r="A318">
        <v>15850</v>
      </c>
      <c r="B318" t="s">
        <v>6105</v>
      </c>
      <c r="C318" t="s">
        <v>6106</v>
      </c>
      <c r="D318">
        <f>-769.287549457341 -1.57522648214854 -177.244714843838</f>
        <v>-948.10749078332753</v>
      </c>
      <c r="E318">
        <f>-777.292445686926 -3.92263516027015 -275.515102463696</f>
        <v>-1056.7301833108922</v>
      </c>
      <c r="F318">
        <f>-779.411675487007 -3.68744608080578 -364.586378745839</f>
        <v>-1147.6855003136518</v>
      </c>
      <c r="G318">
        <f>-775.9534268689 -1.27606404321887 -453.583357708772</f>
        <v>-1230.8128486208909</v>
      </c>
      <c r="H318" t="s">
        <v>6107</v>
      </c>
      <c r="I318" t="s">
        <v>6108</v>
      </c>
      <c r="J318" t="s">
        <v>6109</v>
      </c>
      <c r="K318" t="s">
        <v>6110</v>
      </c>
      <c r="L318" t="s">
        <v>6111</v>
      </c>
      <c r="M318" t="s">
        <v>6112</v>
      </c>
      <c r="N318">
        <f>-765.997527795461 -25.6758949630771 -523.866861077941</f>
        <v>-1315.5402838364791</v>
      </c>
      <c r="O318">
        <f>-752.625000056779 -160.420070296321 -500.050217272344</f>
        <v>-1413.0952876254439</v>
      </c>
      <c r="P318">
        <f>-766.142342901808 -220.236466182063 -212.247325689273</f>
        <v>-1198.6261347731438</v>
      </c>
      <c r="Q318">
        <f>-589.558323260998 -137.785164542624 -353.918474476884</f>
        <v>-1081.2619622805059</v>
      </c>
      <c r="R318" t="s">
        <v>6113</v>
      </c>
      <c r="S318" t="s">
        <v>6114</v>
      </c>
      <c r="T318" t="s">
        <v>6115</v>
      </c>
      <c r="U318" t="s">
        <v>6116</v>
      </c>
      <c r="V318">
        <f>-709.962953459531 -74.3148535114956 -65.2667292555315</f>
        <v>-849.54453622655808</v>
      </c>
      <c r="W318" t="s">
        <v>6117</v>
      </c>
      <c r="X318" t="s">
        <v>6118</v>
      </c>
      <c r="Y318" t="s">
        <v>6119</v>
      </c>
    </row>
    <row r="319" spans="1:25" x14ac:dyDescent="0.3">
      <c r="A319">
        <v>15900</v>
      </c>
      <c r="B319" t="s">
        <v>6120</v>
      </c>
      <c r="C319" t="s">
        <v>6121</v>
      </c>
      <c r="D319" t="s">
        <v>6122</v>
      </c>
      <c r="E319" t="s">
        <v>6123</v>
      </c>
      <c r="F319" t="s">
        <v>6124</v>
      </c>
      <c r="G319" t="s">
        <v>6125</v>
      </c>
      <c r="H319" t="s">
        <v>6126</v>
      </c>
      <c r="I319" t="s">
        <v>6127</v>
      </c>
      <c r="J319" t="s">
        <v>6128</v>
      </c>
      <c r="K319" t="s">
        <v>6129</v>
      </c>
      <c r="L319" t="s">
        <v>6130</v>
      </c>
      <c r="M319" t="s">
        <v>6131</v>
      </c>
      <c r="N319">
        <f>-773.522282377554 -14.9125063268998 -525.80814417143</f>
        <v>-1314.2429328758838</v>
      </c>
      <c r="O319">
        <f>-761.92727328399 -149.770522813122 -501.823611631092</f>
        <v>-1413.5214077282039</v>
      </c>
      <c r="P319">
        <f>-774.319825974487 -208.328681312958 -213.711489032811</f>
        <v>-1196.359996320256</v>
      </c>
      <c r="Q319">
        <f>-601.364774777285 -130.016248686345 -362.051064911838</f>
        <v>-1093.4320883754681</v>
      </c>
      <c r="R319" t="s">
        <v>6132</v>
      </c>
      <c r="S319" t="s">
        <v>6133</v>
      </c>
      <c r="T319" t="s">
        <v>6134</v>
      </c>
      <c r="U319" t="s">
        <v>6135</v>
      </c>
      <c r="V319">
        <f>-713.170972516465 -60.1985977703639 -66.8525816486812</f>
        <v>-840.22215193551006</v>
      </c>
      <c r="W319" t="s">
        <v>6136</v>
      </c>
      <c r="X319" t="s">
        <v>6137</v>
      </c>
      <c r="Y319" t="s">
        <v>6138</v>
      </c>
    </row>
    <row r="320" spans="1:25" x14ac:dyDescent="0.3">
      <c r="A320">
        <v>15950</v>
      </c>
      <c r="B320" t="s">
        <v>6139</v>
      </c>
      <c r="C320" t="s">
        <v>6140</v>
      </c>
      <c r="D320" t="s">
        <v>6141</v>
      </c>
      <c r="E320" t="s">
        <v>6142</v>
      </c>
      <c r="F320" t="s">
        <v>6143</v>
      </c>
      <c r="G320" t="s">
        <v>6144</v>
      </c>
      <c r="H320" t="s">
        <v>6145</v>
      </c>
      <c r="I320" t="s">
        <v>6146</v>
      </c>
      <c r="J320" t="s">
        <v>6147</v>
      </c>
      <c r="K320" t="s">
        <v>6148</v>
      </c>
      <c r="L320" t="s">
        <v>6149</v>
      </c>
      <c r="M320" t="s">
        <v>6150</v>
      </c>
      <c r="N320">
        <f>-777.14178440185 -10.0277475857397 -526.651420580708</f>
        <v>-1313.8209525682978</v>
      </c>
      <c r="O320">
        <f>-766.479371618363 -144.942173270955 -502.528458851531</f>
        <v>-1413.9500037408488</v>
      </c>
      <c r="P320">
        <f>-778.2094846891 -203.407045499381 -214.369796155299</f>
        <v>-1195.9863263437801</v>
      </c>
      <c r="Q320">
        <f>-607.122544638797 -126.485638371052 -365.575474332206</f>
        <v>-1099.1836573420551</v>
      </c>
      <c r="R320" t="s">
        <v>6151</v>
      </c>
      <c r="S320" t="s">
        <v>6152</v>
      </c>
      <c r="T320" t="s">
        <v>6153</v>
      </c>
      <c r="U320" t="s">
        <v>6154</v>
      </c>
      <c r="V320">
        <f>-715.298896386387 -54.977126535236 -67.5114685260843</f>
        <v>-837.78749144770734</v>
      </c>
      <c r="W320" t="s">
        <v>6155</v>
      </c>
      <c r="X320" t="s">
        <v>6156</v>
      </c>
      <c r="Y320" t="s">
        <v>6157</v>
      </c>
    </row>
    <row r="321" spans="1:25" x14ac:dyDescent="0.3">
      <c r="A321">
        <v>16000</v>
      </c>
      <c r="B321" t="s">
        <v>6158</v>
      </c>
      <c r="C321" t="s">
        <v>6159</v>
      </c>
      <c r="D321" t="s">
        <v>6160</v>
      </c>
      <c r="E321" t="s">
        <v>6161</v>
      </c>
      <c r="F321" t="s">
        <v>6162</v>
      </c>
      <c r="G321" t="s">
        <v>6163</v>
      </c>
      <c r="H321" t="s">
        <v>6164</v>
      </c>
      <c r="I321" t="s">
        <v>6165</v>
      </c>
      <c r="J321" t="s">
        <v>6166</v>
      </c>
      <c r="K321" t="s">
        <v>6167</v>
      </c>
      <c r="L321" t="s">
        <v>6168</v>
      </c>
      <c r="M321" t="s">
        <v>6169</v>
      </c>
      <c r="N321">
        <f>-782.85852279196 -1.46834298663862 -528.015484385854</f>
        <v>-1312.3423501644527</v>
      </c>
      <c r="O321">
        <f>-774.647269398047 -136.544181715204 -503.821748526494</f>
        <v>-1415.0131996397449</v>
      </c>
      <c r="P321">
        <f>-785.642742632505 -195.196500798417 -215.672084040172</f>
        <v>-1196.5113274710941</v>
      </c>
      <c r="Q321">
        <f>-618.104521067934 -120.430909234688 -371.85131320438</f>
        <v>-1110.3867435070019</v>
      </c>
      <c r="R321" t="s">
        <v>6170</v>
      </c>
      <c r="S321" t="s">
        <v>6171</v>
      </c>
      <c r="T321" t="s">
        <v>6172</v>
      </c>
      <c r="U321" t="s">
        <v>6173</v>
      </c>
      <c r="V321">
        <f>-719.007650647597 -47.5739693226851 -68.6453722820922</f>
        <v>-835.22699225237432</v>
      </c>
      <c r="W321" t="s">
        <v>6174</v>
      </c>
      <c r="X321" t="s">
        <v>6175</v>
      </c>
      <c r="Y321" t="s">
        <v>6176</v>
      </c>
    </row>
    <row r="322" spans="1:25" x14ac:dyDescent="0.3">
      <c r="A322">
        <v>16050</v>
      </c>
      <c r="B322" t="s">
        <v>6177</v>
      </c>
      <c r="C322" t="s">
        <v>6178</v>
      </c>
      <c r="D322" t="s">
        <v>6179</v>
      </c>
      <c r="E322" t="s">
        <v>6180</v>
      </c>
      <c r="F322" t="s">
        <v>6181</v>
      </c>
      <c r="G322" t="s">
        <v>6182</v>
      </c>
      <c r="H322" t="s">
        <v>6183</v>
      </c>
      <c r="I322" t="s">
        <v>6184</v>
      </c>
      <c r="J322" t="s">
        <v>6185</v>
      </c>
      <c r="K322" t="s">
        <v>6186</v>
      </c>
      <c r="L322" t="s">
        <v>6187</v>
      </c>
      <c r="M322" t="s">
        <v>6188</v>
      </c>
      <c r="N322" t="s">
        <v>6189</v>
      </c>
      <c r="O322">
        <f>-777.365524051849 -132.16970539472 -504.26754406179</f>
        <v>-1413.802773508359</v>
      </c>
      <c r="P322">
        <f>-788.57079721401 -190.996519262475 -216.161514727846</f>
        <v>-1195.7288312043311</v>
      </c>
      <c r="Q322">
        <f>-622.670539118467 -117.240310807612 -374.553430289315</f>
        <v>-1114.464280215394</v>
      </c>
      <c r="R322" t="s">
        <v>6190</v>
      </c>
      <c r="S322" t="s">
        <v>6191</v>
      </c>
      <c r="T322" t="s">
        <v>6192</v>
      </c>
      <c r="U322" t="s">
        <v>6193</v>
      </c>
      <c r="V322">
        <f>-720.602113640097 -43.1369803857997 -68.9095311525459</f>
        <v>-832.64862517844256</v>
      </c>
      <c r="W322" t="s">
        <v>6194</v>
      </c>
      <c r="X322" t="s">
        <v>6195</v>
      </c>
      <c r="Y322" t="s">
        <v>6196</v>
      </c>
    </row>
    <row r="323" spans="1:25" x14ac:dyDescent="0.3">
      <c r="A323">
        <v>16100</v>
      </c>
      <c r="B323" t="s">
        <v>6197</v>
      </c>
      <c r="C323" t="s">
        <v>6198</v>
      </c>
      <c r="D323" t="s">
        <v>6199</v>
      </c>
      <c r="E323" t="s">
        <v>6200</v>
      </c>
      <c r="F323" t="s">
        <v>6201</v>
      </c>
      <c r="G323" t="s">
        <v>6202</v>
      </c>
      <c r="H323" t="s">
        <v>6203</v>
      </c>
      <c r="I323" t="s">
        <v>6204</v>
      </c>
      <c r="J323" t="s">
        <v>6205</v>
      </c>
      <c r="K323" t="s">
        <v>6206</v>
      </c>
      <c r="L323" t="s">
        <v>6207</v>
      </c>
      <c r="M323" t="s">
        <v>6208</v>
      </c>
      <c r="N323" t="s">
        <v>6209</v>
      </c>
      <c r="O323">
        <f>-779.285472143535 -127.746663352722 -504.605332741731</f>
        <v>-1411.6374682379878</v>
      </c>
      <c r="P323">
        <f>-791.236390540914 -186.823946123682 -216.580640514962</f>
        <v>-1194.6409771795579</v>
      </c>
      <c r="Q323">
        <f>-626.761754742189 -113.74880965586 -376.764978985639</f>
        <v>-1117.275543383688</v>
      </c>
      <c r="R323" t="s">
        <v>6210</v>
      </c>
      <c r="S323" t="s">
        <v>6211</v>
      </c>
      <c r="T323" t="s">
        <v>6212</v>
      </c>
      <c r="U323" t="s">
        <v>6213</v>
      </c>
      <c r="V323">
        <f>-721.524855615671 -38.7202347106127 -69.0069200967001</f>
        <v>-829.25201042298374</v>
      </c>
      <c r="W323" t="s">
        <v>6214</v>
      </c>
      <c r="X323" t="s">
        <v>6215</v>
      </c>
      <c r="Y323" t="s">
        <v>6216</v>
      </c>
    </row>
    <row r="324" spans="1:25" x14ac:dyDescent="0.3">
      <c r="A324">
        <v>16150</v>
      </c>
      <c r="B324" t="s">
        <v>6217</v>
      </c>
      <c r="C324" t="s">
        <v>6218</v>
      </c>
      <c r="D324" t="s">
        <v>6219</v>
      </c>
      <c r="E324" t="s">
        <v>6220</v>
      </c>
      <c r="F324" t="s">
        <v>6221</v>
      </c>
      <c r="G324" t="s">
        <v>6222</v>
      </c>
      <c r="H324" t="s">
        <v>6223</v>
      </c>
      <c r="I324" t="s">
        <v>6224</v>
      </c>
      <c r="J324" t="s">
        <v>6225</v>
      </c>
      <c r="K324" t="s">
        <v>6226</v>
      </c>
      <c r="L324" t="s">
        <v>6227</v>
      </c>
      <c r="M324" t="s">
        <v>6228</v>
      </c>
      <c r="N324" t="s">
        <v>6229</v>
      </c>
      <c r="O324">
        <f>-782.260050520656 -119.771936355017 -505.545722048749</f>
        <v>-1407.577708924422</v>
      </c>
      <c r="P324">
        <f>-797.493511010725 -179.055604975092 -217.718351444475</f>
        <v>-1194.2674674302921</v>
      </c>
      <c r="Q324">
        <f>-634.043384223573 -106.287490641279 -379.086705687001</f>
        <v>-1119.417580551853</v>
      </c>
      <c r="R324" t="s">
        <v>6230</v>
      </c>
      <c r="S324" t="s">
        <v>6231</v>
      </c>
      <c r="T324" t="s">
        <v>6232</v>
      </c>
      <c r="U324" t="s">
        <v>6233</v>
      </c>
      <c r="V324">
        <f>-721.525723303204 -31.8231061055653 -69.2218149112773</f>
        <v>-822.57064432004665</v>
      </c>
      <c r="W324" t="s">
        <v>6234</v>
      </c>
      <c r="X324" t="s">
        <v>6235</v>
      </c>
      <c r="Y324" t="s">
        <v>6236</v>
      </c>
    </row>
    <row r="325" spans="1:25" x14ac:dyDescent="0.3">
      <c r="A325">
        <v>16200</v>
      </c>
      <c r="B325" t="s">
        <v>6237</v>
      </c>
      <c r="C325" t="s">
        <v>6238</v>
      </c>
      <c r="D325" t="s">
        <v>6239</v>
      </c>
      <c r="E325" t="s">
        <v>6240</v>
      </c>
      <c r="F325" t="s">
        <v>6241</v>
      </c>
      <c r="G325" t="s">
        <v>6242</v>
      </c>
      <c r="H325" t="s">
        <v>6243</v>
      </c>
      <c r="I325" t="s">
        <v>6244</v>
      </c>
      <c r="J325" t="s">
        <v>6245</v>
      </c>
      <c r="K325" t="s">
        <v>6246</v>
      </c>
      <c r="L325" t="s">
        <v>6247</v>
      </c>
      <c r="M325" t="s">
        <v>6248</v>
      </c>
      <c r="N325" t="s">
        <v>6249</v>
      </c>
      <c r="O325">
        <f>-785.962920106501 -114.375812388996 -505.507868292666</f>
        <v>-1405.846600788163</v>
      </c>
      <c r="P325">
        <f>-805.82169205474 -174.530129847165 -218.143472998198</f>
        <v>-1198.4952949001029</v>
      </c>
      <c r="Q325">
        <f>-640.664316322662 -100.019963931358 -376.958158215067</f>
        <v>-1117.642438469087</v>
      </c>
      <c r="R325" t="s">
        <v>6250</v>
      </c>
      <c r="S325" t="s">
        <v>6251</v>
      </c>
      <c r="T325" t="s">
        <v>6252</v>
      </c>
      <c r="U325" t="s">
        <v>6253</v>
      </c>
      <c r="V325">
        <f>-721.69808702157 -28.9108542700969 -69.188042025056</f>
        <v>-819.79698331672296</v>
      </c>
      <c r="W325" t="s">
        <v>6254</v>
      </c>
      <c r="X325" t="s">
        <v>6255</v>
      </c>
      <c r="Y325" t="s">
        <v>6256</v>
      </c>
    </row>
    <row r="326" spans="1:25" x14ac:dyDescent="0.3">
      <c r="A326">
        <v>16250</v>
      </c>
      <c r="B326" t="s">
        <v>6257</v>
      </c>
      <c r="C326" t="s">
        <v>6258</v>
      </c>
      <c r="D326" t="s">
        <v>6259</v>
      </c>
      <c r="E326" t="s">
        <v>6260</v>
      </c>
      <c r="F326" t="s">
        <v>6261</v>
      </c>
      <c r="G326" t="s">
        <v>6262</v>
      </c>
      <c r="H326" t="s">
        <v>6263</v>
      </c>
      <c r="I326" t="s">
        <v>6264</v>
      </c>
      <c r="J326" t="s">
        <v>6265</v>
      </c>
      <c r="K326" t="s">
        <v>6266</v>
      </c>
      <c r="L326" t="s">
        <v>6267</v>
      </c>
      <c r="M326" t="s">
        <v>6268</v>
      </c>
      <c r="N326" t="s">
        <v>6269</v>
      </c>
      <c r="O326">
        <f>-787.667897044807 -112.728553654841 -505.300712950681</f>
        <v>-1405.697163650329</v>
      </c>
      <c r="P326">
        <f>-809.64299390061 -173.605721834324 -218.242787858245</f>
        <v>-1201.491503593179</v>
      </c>
      <c r="Q326">
        <f>-642.743750271742 -97.7048678029569 -374.558626374574</f>
        <v>-1115.0072444492728</v>
      </c>
      <c r="R326" t="s">
        <v>6270</v>
      </c>
      <c r="S326" t="s">
        <v>6271</v>
      </c>
      <c r="T326" t="s">
        <v>6272</v>
      </c>
      <c r="U326" t="s">
        <v>6273</v>
      </c>
      <c r="V326">
        <f>-721.675484411556 -28.250346136354 -69.1405057143651</f>
        <v>-819.06633626227506</v>
      </c>
      <c r="W326" t="s">
        <v>6274</v>
      </c>
      <c r="X326" t="s">
        <v>6275</v>
      </c>
      <c r="Y326" t="s">
        <v>6276</v>
      </c>
    </row>
    <row r="327" spans="1:25" x14ac:dyDescent="0.3">
      <c r="A327">
        <v>16300</v>
      </c>
      <c r="B327" t="s">
        <v>6277</v>
      </c>
      <c r="C327" t="s">
        <v>6278</v>
      </c>
      <c r="D327" t="s">
        <v>6279</v>
      </c>
      <c r="E327" t="s">
        <v>6280</v>
      </c>
      <c r="F327" t="s">
        <v>6281</v>
      </c>
      <c r="G327" t="s">
        <v>6282</v>
      </c>
      <c r="H327" t="s">
        <v>6283</v>
      </c>
      <c r="I327" t="s">
        <v>6284</v>
      </c>
      <c r="J327" t="s">
        <v>6285</v>
      </c>
      <c r="K327" t="s">
        <v>6286</v>
      </c>
      <c r="L327" t="s">
        <v>6287</v>
      </c>
      <c r="M327" t="s">
        <v>6288</v>
      </c>
      <c r="N327" t="s">
        <v>6289</v>
      </c>
      <c r="O327">
        <f>-789.201205160434 -110.137303051474 -504.965964819144</f>
        <v>-1404.3044730310521</v>
      </c>
      <c r="P327">
        <f>-814.701752387982 -173.366660822416 -218.709155237602</f>
        <v>-1206.777568448</v>
      </c>
      <c r="Q327">
        <f>-643.750918744889 -93.2774780090763 -368.416771108525</f>
        <v>-1105.4451678624903</v>
      </c>
      <c r="R327" t="s">
        <v>6290</v>
      </c>
      <c r="S327" t="s">
        <v>6291</v>
      </c>
      <c r="T327" t="s">
        <v>6292</v>
      </c>
      <c r="U327" t="s">
        <v>6293</v>
      </c>
      <c r="V327">
        <f>-721.096228255926 -26.4856064111332 -68.9751044163253</f>
        <v>-816.55693908338446</v>
      </c>
      <c r="W327" t="s">
        <v>6294</v>
      </c>
      <c r="X327" t="s">
        <v>6295</v>
      </c>
      <c r="Y327" t="s">
        <v>6296</v>
      </c>
    </row>
    <row r="328" spans="1:25" x14ac:dyDescent="0.3">
      <c r="A328">
        <v>16350</v>
      </c>
      <c r="B328" t="s">
        <v>6297</v>
      </c>
      <c r="C328" t="s">
        <v>6298</v>
      </c>
      <c r="D328" t="s">
        <v>6299</v>
      </c>
      <c r="E328" t="s">
        <v>6300</v>
      </c>
      <c r="F328" t="s">
        <v>6301</v>
      </c>
      <c r="G328" t="s">
        <v>6302</v>
      </c>
      <c r="H328" t="s">
        <v>6303</v>
      </c>
      <c r="I328" t="s">
        <v>6304</v>
      </c>
      <c r="J328" t="s">
        <v>6305</v>
      </c>
      <c r="K328" t="s">
        <v>6306</v>
      </c>
      <c r="L328" t="s">
        <v>6307</v>
      </c>
      <c r="M328" t="s">
        <v>6308</v>
      </c>
      <c r="N328" t="s">
        <v>6309</v>
      </c>
      <c r="O328">
        <f>-789.103534087122 -109.096025181234 -504.762531193292</f>
        <v>-1402.9620904616479</v>
      </c>
      <c r="P328">
        <f>-815.663690667656 -174.414476073514 -219.071732612134</f>
        <v>-1209.1498993533041</v>
      </c>
      <c r="Q328">
        <f>-642.934646124877 -91.4709312054385 -365.139921194469</f>
        <v>-1099.5454985247845</v>
      </c>
      <c r="R328" t="s">
        <v>6310</v>
      </c>
      <c r="S328" t="s">
        <v>6311</v>
      </c>
      <c r="T328" t="s">
        <v>6312</v>
      </c>
      <c r="U328" t="s">
        <v>6313</v>
      </c>
      <c r="V328">
        <f>-720.420899922569 -25.249000137956 -68.9087862667296</f>
        <v>-814.57868632725467</v>
      </c>
      <c r="W328" t="s">
        <v>6314</v>
      </c>
      <c r="X328" t="s">
        <v>6315</v>
      </c>
      <c r="Y328" t="s">
        <v>6316</v>
      </c>
    </row>
    <row r="329" spans="1:25" x14ac:dyDescent="0.3">
      <c r="A329">
        <v>16400</v>
      </c>
      <c r="B329" t="s">
        <v>6317</v>
      </c>
      <c r="C329" t="s">
        <v>6318</v>
      </c>
      <c r="D329" t="s">
        <v>6319</v>
      </c>
      <c r="E329" t="s">
        <v>6320</v>
      </c>
      <c r="F329" t="s">
        <v>6321</v>
      </c>
      <c r="G329" t="s">
        <v>6322</v>
      </c>
      <c r="H329" t="s">
        <v>6323</v>
      </c>
      <c r="I329" t="s">
        <v>6324</v>
      </c>
      <c r="J329" t="s">
        <v>6325</v>
      </c>
      <c r="K329" t="s">
        <v>6326</v>
      </c>
      <c r="L329" t="s">
        <v>6327</v>
      </c>
      <c r="M329" t="s">
        <v>6328</v>
      </c>
      <c r="N329" t="s">
        <v>6329</v>
      </c>
      <c r="O329">
        <f>-788.671408658814 -107.615157926505 -504.076540847025</f>
        <v>-1400.3631074323441</v>
      </c>
      <c r="P329">
        <f>-813.728689797549 -180.880445100159 -220.183027295832</f>
        <v>-1214.79216219354</v>
      </c>
      <c r="Q329">
        <f>-639.506504358722 -90.5425011439083 -359.956130722329</f>
        <v>-1090.0051362249594</v>
      </c>
      <c r="R329" t="s">
        <v>6330</v>
      </c>
      <c r="S329" t="s">
        <v>6331</v>
      </c>
      <c r="T329" t="s">
        <v>6332</v>
      </c>
      <c r="U329" t="s">
        <v>6333</v>
      </c>
      <c r="V329">
        <f>-719.123680471822 -22.5944532746539 -68.8919714435568</f>
        <v>-810.61010519003275</v>
      </c>
      <c r="W329" t="s">
        <v>6334</v>
      </c>
      <c r="X329" t="s">
        <v>6335</v>
      </c>
      <c r="Y329" t="s">
        <v>6336</v>
      </c>
    </row>
    <row r="330" spans="1:25" x14ac:dyDescent="0.3">
      <c r="A330">
        <v>16450</v>
      </c>
      <c r="B330" t="s">
        <v>6337</v>
      </c>
      <c r="C330" t="s">
        <v>6338</v>
      </c>
      <c r="D330" t="s">
        <v>6339</v>
      </c>
      <c r="E330" t="s">
        <v>6340</v>
      </c>
      <c r="F330" t="s">
        <v>6341</v>
      </c>
      <c r="G330" t="s">
        <v>6342</v>
      </c>
      <c r="H330" t="s">
        <v>6343</v>
      </c>
      <c r="I330" t="s">
        <v>6344</v>
      </c>
      <c r="J330" t="s">
        <v>6345</v>
      </c>
      <c r="K330" t="s">
        <v>6346</v>
      </c>
      <c r="L330" t="s">
        <v>6347</v>
      </c>
      <c r="M330" t="s">
        <v>6348</v>
      </c>
      <c r="N330" t="s">
        <v>6349</v>
      </c>
      <c r="O330">
        <f>-789.0239272798 -107.044543834316 -503.727737357196</f>
        <v>-1399.796208471312</v>
      </c>
      <c r="P330">
        <f>-811.627348644435 -185.793449068134 -221.099181455524</f>
        <v>-1218.519979168093</v>
      </c>
      <c r="Q330">
        <f>-637.459597709902 -91.507902718771 -358.309800999477</f>
        <v>-1087.2773014281499</v>
      </c>
      <c r="R330" t="s">
        <v>6350</v>
      </c>
      <c r="S330" t="s">
        <v>6351</v>
      </c>
      <c r="T330" t="s">
        <v>6352</v>
      </c>
      <c r="U330" t="s">
        <v>6353</v>
      </c>
      <c r="V330">
        <f>-719.032625316957 -21.1750353666471 -68.9342638683804</f>
        <v>-809.14192455198452</v>
      </c>
      <c r="W330" t="s">
        <v>6354</v>
      </c>
      <c r="X330" t="s">
        <v>6355</v>
      </c>
      <c r="Y330" t="s">
        <v>6356</v>
      </c>
    </row>
    <row r="331" spans="1:25" x14ac:dyDescent="0.3">
      <c r="A331">
        <v>16500</v>
      </c>
      <c r="B331" t="s">
        <v>6357</v>
      </c>
      <c r="C331" t="s">
        <v>6358</v>
      </c>
      <c r="D331" t="s">
        <v>6359</v>
      </c>
      <c r="E331" t="s">
        <v>6360</v>
      </c>
      <c r="F331" t="s">
        <v>6361</v>
      </c>
      <c r="G331" t="s">
        <v>6362</v>
      </c>
      <c r="H331" t="s">
        <v>6363</v>
      </c>
      <c r="I331" t="s">
        <v>6364</v>
      </c>
      <c r="J331" t="s">
        <v>6365</v>
      </c>
      <c r="K331" t="s">
        <v>6366</v>
      </c>
      <c r="L331" t="s">
        <v>6367</v>
      </c>
      <c r="M331" t="s">
        <v>6368</v>
      </c>
      <c r="N331" t="s">
        <v>6369</v>
      </c>
      <c r="O331">
        <f>-789.763439591773 -105.774371674916 -503.12688611918</f>
        <v>-1398.664697385869</v>
      </c>
      <c r="P331">
        <f>-806.444679231015 -193.36633508092 -222.697567459021</f>
        <v>-1222.508581770956</v>
      </c>
      <c r="Q331">
        <f>-633.423861328127 -92.9191732189149 -356.954836378217</f>
        <v>-1083.2978709252588</v>
      </c>
      <c r="R331" t="s">
        <v>6370</v>
      </c>
      <c r="S331" t="s">
        <v>6371</v>
      </c>
      <c r="T331" t="s">
        <v>6372</v>
      </c>
      <c r="U331" t="s">
        <v>6373</v>
      </c>
      <c r="V331">
        <f>-719.61346994358 -18.4464288910044 -69.0962234839004</f>
        <v>-807.15612231848479</v>
      </c>
      <c r="W331" t="s">
        <v>6374</v>
      </c>
      <c r="X331" t="s">
        <v>6375</v>
      </c>
      <c r="Y331" t="s">
        <v>6376</v>
      </c>
    </row>
    <row r="332" spans="1:25" x14ac:dyDescent="0.3">
      <c r="A332">
        <v>16550</v>
      </c>
      <c r="B332" t="s">
        <v>6377</v>
      </c>
      <c r="C332" t="s">
        <v>6378</v>
      </c>
      <c r="D332" t="s">
        <v>6379</v>
      </c>
      <c r="E332" t="s">
        <v>6380</v>
      </c>
      <c r="F332" t="s">
        <v>6381</v>
      </c>
      <c r="G332" t="s">
        <v>6382</v>
      </c>
      <c r="H332" t="s">
        <v>6383</v>
      </c>
      <c r="I332" t="s">
        <v>6384</v>
      </c>
      <c r="J332" t="s">
        <v>6385</v>
      </c>
      <c r="K332" t="s">
        <v>6386</v>
      </c>
      <c r="L332" t="s">
        <v>6387</v>
      </c>
      <c r="M332" t="s">
        <v>6388</v>
      </c>
      <c r="N332" t="s">
        <v>6389</v>
      </c>
      <c r="O332">
        <f>-789.817426550186 -105.136801111287 -502.861746779277</f>
        <v>-1397.8159744407501</v>
      </c>
      <c r="P332">
        <f>-803.710863589464 -195.367220962699 -223.117877698257</f>
        <v>-1222.1959622504201</v>
      </c>
      <c r="Q332">
        <f>-631.190504864078 -93.2889348400586 -356.787794689726</f>
        <v>-1081.2672343938625</v>
      </c>
      <c r="R332" t="s">
        <v>6390</v>
      </c>
      <c r="S332" t="s">
        <v>6391</v>
      </c>
      <c r="T332" t="s">
        <v>6392</v>
      </c>
      <c r="U332" t="s">
        <v>6393</v>
      </c>
      <c r="V332">
        <f>-719.905648751561 -17.0453425795254 -69.1514960145159</f>
        <v>-806.1024873456023</v>
      </c>
      <c r="W332" t="s">
        <v>6394</v>
      </c>
      <c r="X332" t="s">
        <v>6395</v>
      </c>
      <c r="Y332" t="s">
        <v>6396</v>
      </c>
    </row>
    <row r="333" spans="1:25" x14ac:dyDescent="0.3">
      <c r="A333">
        <v>16600</v>
      </c>
      <c r="B333" t="s">
        <v>6397</v>
      </c>
      <c r="C333" t="s">
        <v>6398</v>
      </c>
      <c r="D333" t="s">
        <v>6399</v>
      </c>
      <c r="E333" t="s">
        <v>6400</v>
      </c>
      <c r="F333" t="s">
        <v>6401</v>
      </c>
      <c r="G333" t="s">
        <v>6402</v>
      </c>
      <c r="H333" t="s">
        <v>6403</v>
      </c>
      <c r="I333" t="s">
        <v>6404</v>
      </c>
      <c r="J333" t="s">
        <v>6405</v>
      </c>
      <c r="K333" t="s">
        <v>6406</v>
      </c>
      <c r="L333" t="s">
        <v>6407</v>
      </c>
      <c r="M333" t="s">
        <v>6408</v>
      </c>
      <c r="N333" t="s">
        <v>6409</v>
      </c>
      <c r="O333">
        <f>-789.139400399725 -104.395349290892 -502.235819132153</f>
        <v>-1395.77056882277</v>
      </c>
      <c r="P333">
        <f>-799.780919235846 -194.359908243101 -222.263731894469</f>
        <v>-1216.4045593734161</v>
      </c>
      <c r="Q333">
        <f>-627.432103570576 -92.5697282481106 -356.37379135934</f>
        <v>-1076.3756231780267</v>
      </c>
      <c r="R333" t="s">
        <v>6410</v>
      </c>
      <c r="S333" t="s">
        <v>6411</v>
      </c>
      <c r="T333" t="s">
        <v>6412</v>
      </c>
      <c r="U333" t="s">
        <v>6413</v>
      </c>
      <c r="V333">
        <f>-720.085301774683 -14.4382389776574 -69.1422749068855</f>
        <v>-803.66581565922593</v>
      </c>
      <c r="W333" t="s">
        <v>6414</v>
      </c>
      <c r="X333" t="s">
        <v>6415</v>
      </c>
      <c r="Y333" t="s">
        <v>6416</v>
      </c>
    </row>
    <row r="334" spans="1:25" x14ac:dyDescent="0.3">
      <c r="A334">
        <v>16650</v>
      </c>
      <c r="B334" t="s">
        <v>6417</v>
      </c>
      <c r="C334" t="s">
        <v>6418</v>
      </c>
      <c r="D334" t="s">
        <v>6419</v>
      </c>
      <c r="E334" t="s">
        <v>6420</v>
      </c>
      <c r="F334" t="s">
        <v>6421</v>
      </c>
      <c r="G334" t="s">
        <v>6422</v>
      </c>
      <c r="H334" t="s">
        <v>6423</v>
      </c>
      <c r="I334" t="s">
        <v>6424</v>
      </c>
      <c r="J334" t="s">
        <v>6425</v>
      </c>
      <c r="K334" t="s">
        <v>6426</v>
      </c>
      <c r="L334" t="s">
        <v>6427</v>
      </c>
      <c r="M334" t="s">
        <v>6428</v>
      </c>
      <c r="N334" t="s">
        <v>6429</v>
      </c>
      <c r="O334">
        <f>-788.492851768498 -104.748718017264 -501.817874236473</f>
        <v>-1395.0594440222349</v>
      </c>
      <c r="P334">
        <f>-799.3013830615 -192.02033459223 -221.001184709652</f>
        <v>-1212.3229023633821</v>
      </c>
      <c r="Q334">
        <f>-626.505004710933 -91.9358078158496 -355.817231691732</f>
        <v>-1074.2580442185144</v>
      </c>
      <c r="R334" t="s">
        <v>6430</v>
      </c>
      <c r="S334" t="s">
        <v>6431</v>
      </c>
      <c r="T334" t="s">
        <v>6432</v>
      </c>
      <c r="U334" t="s">
        <v>6433</v>
      </c>
      <c r="V334">
        <f>-719.915026189201 -13.736070580771 -69.1238246418876</f>
        <v>-802.77492141185951</v>
      </c>
      <c r="W334" t="s">
        <v>6434</v>
      </c>
      <c r="X334" t="s">
        <v>6435</v>
      </c>
      <c r="Y334" t="s">
        <v>6436</v>
      </c>
    </row>
    <row r="335" spans="1:25" x14ac:dyDescent="0.3">
      <c r="A335">
        <v>16700</v>
      </c>
      <c r="B335" t="s">
        <v>6437</v>
      </c>
      <c r="C335" t="s">
        <v>6438</v>
      </c>
      <c r="D335" t="s">
        <v>6439</v>
      </c>
      <c r="E335" t="s">
        <v>6440</v>
      </c>
      <c r="F335" t="s">
        <v>6441</v>
      </c>
      <c r="G335" t="s">
        <v>6442</v>
      </c>
      <c r="H335" t="s">
        <v>6443</v>
      </c>
      <c r="I335" t="s">
        <v>6444</v>
      </c>
      <c r="J335" t="s">
        <v>6445</v>
      </c>
      <c r="K335" t="s">
        <v>6446</v>
      </c>
      <c r="L335" t="s">
        <v>6447</v>
      </c>
      <c r="M335" t="s">
        <v>6448</v>
      </c>
      <c r="N335" t="s">
        <v>6449</v>
      </c>
      <c r="O335">
        <f>-786.465984418685 -106.953638306045 -500.758088484088</f>
        <v>-1394.177711208818</v>
      </c>
      <c r="P335">
        <f>-800.33365431062 -185.693726470705 -217.563967139016</f>
        <v>-1203.5913479203409</v>
      </c>
      <c r="Q335">
        <f>-625.900193024728 -90.2537096400786 -353.634350239084</f>
        <v>-1069.7882529038905</v>
      </c>
      <c r="R335" t="s">
        <v>6450</v>
      </c>
      <c r="S335" t="s">
        <v>6451</v>
      </c>
      <c r="T335" t="s">
        <v>6452</v>
      </c>
      <c r="U335" t="s">
        <v>6453</v>
      </c>
      <c r="V335">
        <f>-719.002482486188 -13.1956068839058 -69.1059207019237</f>
        <v>-801.30401007201749</v>
      </c>
      <c r="W335" t="s">
        <v>6454</v>
      </c>
      <c r="X335" t="s">
        <v>6455</v>
      </c>
      <c r="Y335" t="s">
        <v>6456</v>
      </c>
    </row>
    <row r="336" spans="1:25" x14ac:dyDescent="0.3">
      <c r="A336">
        <v>16750</v>
      </c>
      <c r="B336" t="s">
        <v>6457</v>
      </c>
      <c r="C336" t="s">
        <v>6458</v>
      </c>
      <c r="D336" t="s">
        <v>6459</v>
      </c>
      <c r="E336" t="s">
        <v>6460</v>
      </c>
      <c r="F336" t="s">
        <v>6461</v>
      </c>
      <c r="G336" t="s">
        <v>6462</v>
      </c>
      <c r="H336" t="s">
        <v>6463</v>
      </c>
      <c r="I336" t="s">
        <v>6464</v>
      </c>
      <c r="J336" t="s">
        <v>6465</v>
      </c>
      <c r="K336" t="s">
        <v>6466</v>
      </c>
      <c r="L336" t="s">
        <v>6467</v>
      </c>
      <c r="M336" t="s">
        <v>6468</v>
      </c>
      <c r="N336" t="s">
        <v>6469</v>
      </c>
      <c r="O336">
        <f>-785.342481111987 -108.192184896468 -500.276064742436</f>
        <v>-1393.810730750891</v>
      </c>
      <c r="P336">
        <f>-801.635572373079 -182.340833384655 -215.97385082031</f>
        <v>-1199.950256578044</v>
      </c>
      <c r="Q336">
        <f>-626.15415770282 -89.2849320861958 -352.347285831322</f>
        <v>-1067.7863756203378</v>
      </c>
      <c r="R336" t="s">
        <v>6470</v>
      </c>
      <c r="S336" t="s">
        <v>6471</v>
      </c>
      <c r="T336" t="s">
        <v>6472</v>
      </c>
      <c r="U336" t="s">
        <v>6473</v>
      </c>
      <c r="V336">
        <f>-718.420888755654 -13.370228866675 -69.0784225367828</f>
        <v>-800.86954015911181</v>
      </c>
      <c r="W336" t="s">
        <v>6474</v>
      </c>
      <c r="X336" t="s">
        <v>6475</v>
      </c>
      <c r="Y336" t="s">
        <v>6476</v>
      </c>
    </row>
    <row r="337" spans="1:25" x14ac:dyDescent="0.3">
      <c r="A337">
        <v>16800</v>
      </c>
      <c r="B337" t="s">
        <v>6477</v>
      </c>
      <c r="C337" t="s">
        <v>6478</v>
      </c>
      <c r="D337" t="s">
        <v>6479</v>
      </c>
      <c r="E337" t="s">
        <v>6480</v>
      </c>
      <c r="F337" t="s">
        <v>6481</v>
      </c>
      <c r="G337" t="s">
        <v>6482</v>
      </c>
      <c r="H337" t="s">
        <v>6483</v>
      </c>
      <c r="I337" t="s">
        <v>6484</v>
      </c>
      <c r="J337" t="s">
        <v>6485</v>
      </c>
      <c r="K337" t="s">
        <v>6486</v>
      </c>
      <c r="L337" t="s">
        <v>6487</v>
      </c>
      <c r="M337" t="s">
        <v>6488</v>
      </c>
      <c r="N337" t="s">
        <v>6489</v>
      </c>
      <c r="O337">
        <f>-783.8280451662 -108.863259438149 -500.088275869006</f>
        <v>-1392.7795804733551</v>
      </c>
      <c r="P337">
        <f>-803.033881683815 -178.84184315019 -214.912366418415</f>
        <v>-1196.7880912524201</v>
      </c>
      <c r="Q337">
        <f>-626.315110016586 -87.9879551237193 -351.1727717577</f>
        <v>-1065.4758368980054</v>
      </c>
      <c r="R337" t="s">
        <v>6490</v>
      </c>
      <c r="S337" t="s">
        <v>6491</v>
      </c>
      <c r="T337" t="s">
        <v>6492</v>
      </c>
      <c r="U337" t="s">
        <v>6493</v>
      </c>
      <c r="V337">
        <f>-718.105375348923 -13.8093512600694 -69.0583842482104</f>
        <v>-800.97311085720276</v>
      </c>
      <c r="W337" t="s">
        <v>6494</v>
      </c>
      <c r="X337" t="s">
        <v>6495</v>
      </c>
      <c r="Y337" t="s">
        <v>6496</v>
      </c>
    </row>
    <row r="338" spans="1:25" x14ac:dyDescent="0.3">
      <c r="A338">
        <v>16850</v>
      </c>
      <c r="B338" t="s">
        <v>6497</v>
      </c>
      <c r="C338" t="s">
        <v>6498</v>
      </c>
      <c r="D338" t="s">
        <v>6499</v>
      </c>
      <c r="E338" t="s">
        <v>6500</v>
      </c>
      <c r="F338" t="s">
        <v>6501</v>
      </c>
      <c r="G338" t="s">
        <v>6502</v>
      </c>
      <c r="H338" t="s">
        <v>6503</v>
      </c>
      <c r="I338" t="s">
        <v>6504</v>
      </c>
      <c r="J338" t="s">
        <v>6505</v>
      </c>
      <c r="K338" t="s">
        <v>6506</v>
      </c>
      <c r="L338" t="s">
        <v>6507</v>
      </c>
      <c r="M338" t="s">
        <v>6508</v>
      </c>
      <c r="N338" t="s">
        <v>6509</v>
      </c>
      <c r="O338">
        <f>-781.691158152564 -109.117181451067 -500.752133985637</f>
        <v>-1391.560473589268</v>
      </c>
      <c r="P338">
        <f>-807.405630923352 -173.85166739043 -214.851126933801</f>
        <v>-1196.108425247583</v>
      </c>
      <c r="Q338">
        <f>-627.722494698878 -85.9092258002911 -349.130372008001</f>
        <v>-1062.7620925071701</v>
      </c>
      <c r="R338" t="s">
        <v>6510</v>
      </c>
      <c r="S338" t="s">
        <v>6511</v>
      </c>
      <c r="T338" t="s">
        <v>6512</v>
      </c>
      <c r="U338" t="s">
        <v>6513</v>
      </c>
      <c r="V338">
        <f>-719.279584220809 -15.5784260142909 -69.1548734016034</f>
        <v>-804.01288363670335</v>
      </c>
      <c r="W338" t="s">
        <v>6514</v>
      </c>
      <c r="X338" t="s">
        <v>6515</v>
      </c>
      <c r="Y338" t="s">
        <v>6516</v>
      </c>
    </row>
    <row r="339" spans="1:25" x14ac:dyDescent="0.3">
      <c r="A339">
        <v>16900</v>
      </c>
      <c r="B339" t="s">
        <v>6517</v>
      </c>
      <c r="C339" t="s">
        <v>6518</v>
      </c>
      <c r="D339" t="s">
        <v>6519</v>
      </c>
      <c r="E339" t="s">
        <v>6520</v>
      </c>
      <c r="F339" t="s">
        <v>6521</v>
      </c>
      <c r="G339" t="s">
        <v>6522</v>
      </c>
      <c r="H339" t="s">
        <v>6523</v>
      </c>
      <c r="I339" t="s">
        <v>6524</v>
      </c>
      <c r="J339" t="s">
        <v>6525</v>
      </c>
      <c r="K339" t="s">
        <v>6526</v>
      </c>
      <c r="L339" t="s">
        <v>6527</v>
      </c>
      <c r="M339" t="s">
        <v>6528</v>
      </c>
      <c r="N339" t="s">
        <v>6529</v>
      </c>
      <c r="O339">
        <f>-782.385168527985 -106.849903305836 -502.202489143329</f>
        <v>-1391.43756097715</v>
      </c>
      <c r="P339">
        <f>-813.087228980643 -172.449381650743 -216.991656092501</f>
        <v>-1202.5282667238871</v>
      </c>
      <c r="Q339">
        <f>-630.431967609523 -85.5745024460834 -347.914058471564</f>
        <v>-1063.9205285271705</v>
      </c>
      <c r="R339" t="s">
        <v>6530</v>
      </c>
      <c r="S339" t="s">
        <v>6531</v>
      </c>
      <c r="T339" t="s">
        <v>6532</v>
      </c>
      <c r="U339" t="s">
        <v>6533</v>
      </c>
      <c r="V339">
        <f>-722.305149218553 -16.2050153644136 -69.3407753104359</f>
        <v>-807.85093989340248</v>
      </c>
      <c r="W339" t="s">
        <v>6534</v>
      </c>
      <c r="X339" t="s">
        <v>6535</v>
      </c>
      <c r="Y339" t="s">
        <v>6536</v>
      </c>
    </row>
    <row r="340" spans="1:25" x14ac:dyDescent="0.3">
      <c r="A340">
        <v>16950</v>
      </c>
      <c r="B340" t="s">
        <v>6537</v>
      </c>
      <c r="C340" t="s">
        <v>6538</v>
      </c>
      <c r="D340" t="s">
        <v>6539</v>
      </c>
      <c r="E340" t="s">
        <v>6540</v>
      </c>
      <c r="F340" t="s">
        <v>6541</v>
      </c>
      <c r="G340" t="s">
        <v>6542</v>
      </c>
      <c r="H340" t="s">
        <v>6543</v>
      </c>
      <c r="I340" t="s">
        <v>6544</v>
      </c>
      <c r="J340" t="s">
        <v>6545</v>
      </c>
      <c r="K340" t="s">
        <v>6546</v>
      </c>
      <c r="L340" t="s">
        <v>6547</v>
      </c>
      <c r="M340" t="s">
        <v>6548</v>
      </c>
      <c r="N340" t="s">
        <v>6549</v>
      </c>
      <c r="O340">
        <f>-783.396319961421 -104.497876528925 -503.202390980615</f>
        <v>-1391.0965874709609</v>
      </c>
      <c r="P340">
        <f>-816.34617441441 -172.346894060776 -218.769691856409</f>
        <v>-1207.4627603315951</v>
      </c>
      <c r="Q340">
        <f>-632.060429688526 -85.7601892196074 -347.580892052009</f>
        <v>-1065.4015109601423</v>
      </c>
      <c r="R340" t="s">
        <v>6550</v>
      </c>
      <c r="S340" t="s">
        <v>6551</v>
      </c>
      <c r="T340" t="s">
        <v>6552</v>
      </c>
      <c r="U340" t="s">
        <v>6553</v>
      </c>
      <c r="V340">
        <f>-724.779879345531 -16.4059874706554 -69.3904540858879</f>
        <v>-810.57632090207426</v>
      </c>
      <c r="W340" t="s">
        <v>6554</v>
      </c>
      <c r="X340" t="s">
        <v>6555</v>
      </c>
      <c r="Y340" t="s">
        <v>6556</v>
      </c>
    </row>
    <row r="341" spans="1:25" x14ac:dyDescent="0.3">
      <c r="A341">
        <v>17000</v>
      </c>
      <c r="B341" t="s">
        <v>6557</v>
      </c>
      <c r="C341" t="s">
        <v>6558</v>
      </c>
      <c r="D341" t="s">
        <v>6559</v>
      </c>
      <c r="E341" t="s">
        <v>6560</v>
      </c>
      <c r="F341" t="s">
        <v>6561</v>
      </c>
      <c r="G341" t="s">
        <v>6562</v>
      </c>
      <c r="H341" t="s">
        <v>6563</v>
      </c>
      <c r="I341" t="s">
        <v>6564</v>
      </c>
      <c r="J341" t="s">
        <v>6565</v>
      </c>
      <c r="K341" t="s">
        <v>6566</v>
      </c>
      <c r="L341" t="s">
        <v>6567</v>
      </c>
      <c r="M341" t="s">
        <v>6568</v>
      </c>
      <c r="N341" t="s">
        <v>6569</v>
      </c>
      <c r="O341">
        <f>-784.99053960337 -98.098307402211 -505.925653343604</f>
        <v>-1389.014500349185</v>
      </c>
      <c r="P341">
        <f>-824.3248778458 -172.551840733283 -223.967061966219</f>
        <v>-1220.843780545302</v>
      </c>
      <c r="Q341">
        <f>-635.784357125419 -86.9509166918435 -347.157056130893</f>
        <v>-1069.8923299481555</v>
      </c>
      <c r="R341" t="s">
        <v>6570</v>
      </c>
      <c r="S341" t="s">
        <v>6571</v>
      </c>
      <c r="T341" t="s">
        <v>6572</v>
      </c>
      <c r="U341" t="s">
        <v>6573</v>
      </c>
      <c r="V341">
        <f>-730.851926968156 -17.1958379758044 -69.4103874444229</f>
        <v>-817.45815238838327</v>
      </c>
      <c r="W341" t="s">
        <v>6574</v>
      </c>
      <c r="X341" t="s">
        <v>6575</v>
      </c>
      <c r="Y341" t="s">
        <v>6576</v>
      </c>
    </row>
    <row r="342" spans="1:25" x14ac:dyDescent="0.3">
      <c r="A342">
        <v>17050</v>
      </c>
      <c r="B342" t="s">
        <v>6577</v>
      </c>
      <c r="C342" t="s">
        <v>6578</v>
      </c>
      <c r="D342" t="s">
        <v>6579</v>
      </c>
      <c r="E342" t="s">
        <v>6580</v>
      </c>
      <c r="F342" t="s">
        <v>6581</v>
      </c>
      <c r="G342" t="s">
        <v>6582</v>
      </c>
      <c r="H342" t="s">
        <v>6583</v>
      </c>
      <c r="I342" t="s">
        <v>6584</v>
      </c>
      <c r="J342" t="s">
        <v>6585</v>
      </c>
      <c r="K342" t="s">
        <v>6586</v>
      </c>
      <c r="L342" t="s">
        <v>6587</v>
      </c>
      <c r="M342" t="s">
        <v>6588</v>
      </c>
      <c r="N342" t="s">
        <v>6589</v>
      </c>
      <c r="O342">
        <f>-784.835262357443 -94.3432649386295 -507.56161967542</f>
        <v>-1386.7401469714925</v>
      </c>
      <c r="P342">
        <f>-828.50379016725 -172.829567359584 -227.339920021597</f>
        <v>-1228.6732775484311</v>
      </c>
      <c r="Q342">
        <f>-637.322507050637 -87.7857360465503 -346.78945043825</f>
        <v>-1071.8976935354372</v>
      </c>
      <c r="R342" t="s">
        <v>6590</v>
      </c>
      <c r="S342" t="s">
        <v>6591</v>
      </c>
      <c r="T342" t="s">
        <v>6592</v>
      </c>
      <c r="U342" t="s">
        <v>6593</v>
      </c>
      <c r="V342">
        <f>-734.397386973667 -17.6963786987762 -69.404281740634</f>
        <v>-821.4980474130773</v>
      </c>
      <c r="W342" t="s">
        <v>6594</v>
      </c>
      <c r="X342" t="s">
        <v>6595</v>
      </c>
      <c r="Y342" t="s">
        <v>6596</v>
      </c>
    </row>
    <row r="343" spans="1:25" x14ac:dyDescent="0.3">
      <c r="A343">
        <v>17100</v>
      </c>
      <c r="B343" t="s">
        <v>6597</v>
      </c>
      <c r="C343" t="s">
        <v>6598</v>
      </c>
      <c r="D343" t="s">
        <v>6599</v>
      </c>
      <c r="E343" t="s">
        <v>6600</v>
      </c>
      <c r="F343" t="s">
        <v>6601</v>
      </c>
      <c r="G343" t="s">
        <v>6602</v>
      </c>
      <c r="H343" t="s">
        <v>6603</v>
      </c>
      <c r="I343" t="s">
        <v>6604</v>
      </c>
      <c r="J343" t="s">
        <v>6605</v>
      </c>
      <c r="K343" t="s">
        <v>6606</v>
      </c>
      <c r="L343" t="s">
        <v>6607</v>
      </c>
      <c r="M343" t="s">
        <v>6608</v>
      </c>
      <c r="N343" t="s">
        <v>6609</v>
      </c>
      <c r="O343">
        <f>-782.504487028157 -85.3376906922997 -511.178905309708</f>
        <v>-1379.0210830301646</v>
      </c>
      <c r="P343">
        <f>-836.034514101214 -172.834636026639 -235.371044291642</f>
        <v>-1244.2401944194951</v>
      </c>
      <c r="Q343">
        <f>-639.059832426441 -88.5114211366122 -345.558737903881</f>
        <v>-1073.1299914669341</v>
      </c>
      <c r="R343" t="s">
        <v>6610</v>
      </c>
      <c r="S343" t="s">
        <v>6611</v>
      </c>
      <c r="T343" t="s">
        <v>6612</v>
      </c>
      <c r="U343" t="s">
        <v>6613</v>
      </c>
      <c r="V343">
        <f>-743.5313504777 -18.5468305175314 -69.3191658348588</f>
        <v>-831.39734683009021</v>
      </c>
      <c r="W343" t="s">
        <v>6614</v>
      </c>
      <c r="X343" t="s">
        <v>6615</v>
      </c>
      <c r="Y343" t="s">
        <v>6616</v>
      </c>
    </row>
    <row r="344" spans="1:25" x14ac:dyDescent="0.3">
      <c r="A344">
        <v>17150</v>
      </c>
      <c r="B344" t="s">
        <v>6617</v>
      </c>
      <c r="C344" t="s">
        <v>6618</v>
      </c>
      <c r="D344" t="s">
        <v>6619</v>
      </c>
      <c r="E344" t="s">
        <v>6620</v>
      </c>
      <c r="F344" t="s">
        <v>6621</v>
      </c>
      <c r="G344" t="s">
        <v>6622</v>
      </c>
      <c r="H344" t="s">
        <v>6623</v>
      </c>
      <c r="I344" t="s">
        <v>6624</v>
      </c>
      <c r="J344" t="s">
        <v>6625</v>
      </c>
      <c r="K344" t="s">
        <v>6626</v>
      </c>
      <c r="L344" t="s">
        <v>6627</v>
      </c>
      <c r="M344" t="s">
        <v>6628</v>
      </c>
      <c r="N344" t="s">
        <v>6629</v>
      </c>
      <c r="O344">
        <f>-781.200628106363 -79.8715274186943 -512.951393138995</f>
        <v>-1374.0235486640522</v>
      </c>
      <c r="P344">
        <f>-840.059322685235 -172.119452949551 -239.789951288893</f>
        <v>-1251.968726923679</v>
      </c>
      <c r="Q344">
        <f>-640.216492345107 -87.7012038715168 -344.610501172117</f>
        <v>-1072.5281973887409</v>
      </c>
      <c r="R344" t="s">
        <v>6630</v>
      </c>
      <c r="S344" t="s">
        <v>6631</v>
      </c>
      <c r="T344" t="s">
        <v>6632</v>
      </c>
      <c r="U344" t="s">
        <v>6633</v>
      </c>
      <c r="V344">
        <f>-748.640740743187 -18.4066342652445 -69.3030112705759</f>
        <v>-836.35038627900747</v>
      </c>
      <c r="W344" t="s">
        <v>6634</v>
      </c>
      <c r="X344" t="s">
        <v>6635</v>
      </c>
      <c r="Y344" t="s">
        <v>6636</v>
      </c>
    </row>
    <row r="345" spans="1:25" x14ac:dyDescent="0.3">
      <c r="A345">
        <v>17200</v>
      </c>
      <c r="B345" t="s">
        <v>6637</v>
      </c>
      <c r="C345" t="s">
        <v>6638</v>
      </c>
      <c r="D345" t="s">
        <v>6639</v>
      </c>
      <c r="E345" t="s">
        <v>6640</v>
      </c>
      <c r="F345" t="s">
        <v>6641</v>
      </c>
      <c r="G345" t="s">
        <v>6642</v>
      </c>
      <c r="H345" t="s">
        <v>6643</v>
      </c>
      <c r="I345" t="s">
        <v>6644</v>
      </c>
      <c r="J345" t="s">
        <v>6645</v>
      </c>
      <c r="K345" t="s">
        <v>6646</v>
      </c>
      <c r="L345" t="s">
        <v>6647</v>
      </c>
      <c r="M345" t="s">
        <v>6648</v>
      </c>
      <c r="N345" t="s">
        <v>6649</v>
      </c>
      <c r="O345">
        <f>-776.39631248303 -68.6055440296182 -515.789046029351</f>
        <v>-1360.790902541999</v>
      </c>
      <c r="P345">
        <f>-846.306629010751 -170.656397552647 -248.788430163969</f>
        <v>-1265.751456727367</v>
      </c>
      <c r="Q345">
        <f>-641.226461408066 -85.6634570470549 -342.431560078035</f>
        <v>-1069.3214785331559</v>
      </c>
      <c r="R345" t="s">
        <v>6650</v>
      </c>
      <c r="S345" t="s">
        <v>6651</v>
      </c>
      <c r="T345" t="s">
        <v>6652</v>
      </c>
      <c r="U345" t="s">
        <v>6653</v>
      </c>
      <c r="V345">
        <f>-756.638584900086 -18.8371999340989 -69.5417136030852</f>
        <v>-845.01749843727009</v>
      </c>
      <c r="W345" t="s">
        <v>6654</v>
      </c>
      <c r="X345" t="s">
        <v>6655</v>
      </c>
      <c r="Y345" t="s">
        <v>6656</v>
      </c>
    </row>
    <row r="346" spans="1:25" x14ac:dyDescent="0.3">
      <c r="A346">
        <v>17250</v>
      </c>
      <c r="B346" t="s">
        <v>6657</v>
      </c>
      <c r="C346" t="s">
        <v>6658</v>
      </c>
      <c r="D346" t="s">
        <v>6659</v>
      </c>
      <c r="E346" t="s">
        <v>6660</v>
      </c>
      <c r="F346" t="s">
        <v>6661</v>
      </c>
      <c r="G346" t="s">
        <v>6662</v>
      </c>
      <c r="H346" t="s">
        <v>6663</v>
      </c>
      <c r="I346" t="s">
        <v>6664</v>
      </c>
      <c r="J346" t="s">
        <v>6665</v>
      </c>
      <c r="K346" t="s">
        <v>6666</v>
      </c>
      <c r="L346" t="s">
        <v>6667</v>
      </c>
      <c r="M346" t="s">
        <v>6668</v>
      </c>
      <c r="N346" t="s">
        <v>6669</v>
      </c>
      <c r="O346">
        <f>-773.725424666282 -63.0386115581648 -516.610975359766</f>
        <v>-1353.3750115842129</v>
      </c>
      <c r="P346">
        <f>-848.79758850432 -170.013474016967 -252.960192337135</f>
        <v>-1271.7712548584218</v>
      </c>
      <c r="Q346">
        <f>-641.575717086687 -84.3082687544427 -341.07753477152</f>
        <v>-1066.9615206126496</v>
      </c>
      <c r="R346" t="s">
        <v>6670</v>
      </c>
      <c r="S346" t="s">
        <v>6671</v>
      </c>
      <c r="T346" t="s">
        <v>6672</v>
      </c>
      <c r="U346" t="s">
        <v>6673</v>
      </c>
      <c r="V346">
        <f>-760.531088886446 -18.9735013870536 -69.5671948367402</f>
        <v>-849.07178511023983</v>
      </c>
      <c r="W346" t="s">
        <v>6674</v>
      </c>
      <c r="X346" t="s">
        <v>6675</v>
      </c>
      <c r="Y346" t="s">
        <v>6676</v>
      </c>
    </row>
    <row r="347" spans="1:25" x14ac:dyDescent="0.3">
      <c r="A347">
        <v>17300</v>
      </c>
      <c r="B347" t="s">
        <v>6677</v>
      </c>
      <c r="C347" t="s">
        <v>6678</v>
      </c>
      <c r="D347" t="s">
        <v>6679</v>
      </c>
      <c r="E347" t="s">
        <v>6680</v>
      </c>
      <c r="F347" t="s">
        <v>6681</v>
      </c>
      <c r="G347" t="s">
        <v>6682</v>
      </c>
      <c r="H347" t="s">
        <v>6683</v>
      </c>
      <c r="I347" t="s">
        <v>6684</v>
      </c>
      <c r="J347" t="s">
        <v>6685</v>
      </c>
      <c r="K347" t="s">
        <v>6686</v>
      </c>
      <c r="L347" t="s">
        <v>6687</v>
      </c>
      <c r="M347" t="s">
        <v>6688</v>
      </c>
      <c r="N347" t="s">
        <v>6689</v>
      </c>
      <c r="O347">
        <f>-771.470991210798 -57.62004576295 -517.011777323519</f>
        <v>-1346.1028142972671</v>
      </c>
      <c r="P347">
        <f>-851.124879299671 -169.522743669708 -256.772912804189</f>
        <v>-1277.420535773568</v>
      </c>
      <c r="Q347">
        <f>-642.139711665155 -82.5768403572104 -339.335310728089</f>
        <v>-1064.0518627504543</v>
      </c>
      <c r="R347" t="s">
        <v>6690</v>
      </c>
      <c r="S347" t="s">
        <v>6691</v>
      </c>
      <c r="T347" t="s">
        <v>6692</v>
      </c>
      <c r="U347" t="s">
        <v>6693</v>
      </c>
      <c r="V347">
        <f>-764.720138350045 -18.5910203684784 -69.3641784513309</f>
        <v>-852.67533716985429</v>
      </c>
      <c r="W347" t="s">
        <v>6694</v>
      </c>
      <c r="X347" t="s">
        <v>6695</v>
      </c>
      <c r="Y347" t="s">
        <v>6696</v>
      </c>
    </row>
    <row r="348" spans="1:25" x14ac:dyDescent="0.3">
      <c r="A348">
        <v>17350</v>
      </c>
      <c r="B348" t="s">
        <v>6697</v>
      </c>
      <c r="C348" t="s">
        <v>6698</v>
      </c>
      <c r="D348" t="s">
        <v>6699</v>
      </c>
      <c r="E348" t="s">
        <v>6700</v>
      </c>
      <c r="F348" t="s">
        <v>6701</v>
      </c>
      <c r="G348" t="s">
        <v>6702</v>
      </c>
      <c r="H348" t="s">
        <v>6703</v>
      </c>
      <c r="I348" t="s">
        <v>6704</v>
      </c>
      <c r="J348" t="s">
        <v>6705</v>
      </c>
      <c r="K348" t="s">
        <v>6706</v>
      </c>
      <c r="L348" t="s">
        <v>6707</v>
      </c>
      <c r="M348" t="s">
        <v>6708</v>
      </c>
      <c r="N348" t="s">
        <v>6709</v>
      </c>
      <c r="O348">
        <f>-768.466732614327 -47.7506456281958 -518.230183027996</f>
        <v>-1334.4475612705187</v>
      </c>
      <c r="P348">
        <f>-855.778919013818 -168.651874274762 -264.555974575926</f>
        <v>-1288.986767864506</v>
      </c>
      <c r="Q348">
        <f>-644.150293007295 -78.5950322907679 -336.346707564183</f>
        <v>-1059.092032862246</v>
      </c>
      <c r="R348" t="s">
        <v>6710</v>
      </c>
      <c r="S348" t="s">
        <v>6711</v>
      </c>
      <c r="T348" t="s">
        <v>6712</v>
      </c>
      <c r="U348" t="s">
        <v>6713</v>
      </c>
      <c r="V348">
        <f>-771.001178916808 -17.9963771276211 -69.427224260443</f>
        <v>-858.42478030487223</v>
      </c>
      <c r="W348" t="s">
        <v>6714</v>
      </c>
      <c r="X348" t="s">
        <v>6715</v>
      </c>
      <c r="Y348" t="s">
        <v>6716</v>
      </c>
    </row>
    <row r="349" spans="1:25" x14ac:dyDescent="0.3">
      <c r="A349">
        <v>17400</v>
      </c>
      <c r="B349" t="s">
        <v>6717</v>
      </c>
      <c r="C349" t="s">
        <v>6718</v>
      </c>
      <c r="D349" t="s">
        <v>6719</v>
      </c>
      <c r="E349" t="s">
        <v>6720</v>
      </c>
      <c r="F349" t="s">
        <v>6721</v>
      </c>
      <c r="G349" t="s">
        <v>6722</v>
      </c>
      <c r="H349" t="s">
        <v>6723</v>
      </c>
      <c r="I349" t="s">
        <v>6724</v>
      </c>
      <c r="J349" t="s">
        <v>6725</v>
      </c>
      <c r="K349" t="s">
        <v>6726</v>
      </c>
      <c r="L349" t="s">
        <v>6727</v>
      </c>
      <c r="M349" t="s">
        <v>6728</v>
      </c>
      <c r="N349" t="s">
        <v>6729</v>
      </c>
      <c r="O349">
        <f>-767.083345295394 -40.9463902678251 -520.172759190918</f>
        <v>-1328.2024947541372</v>
      </c>
      <c r="P349">
        <f>-858.879964150289 -166.886028819748 -270.565571779441</f>
        <v>-1296.3315647494778</v>
      </c>
      <c r="Q349">
        <f>-645.744883919127 -75.3820309637399 -335.767927207223</f>
        <v>-1056.8948420900899</v>
      </c>
      <c r="R349" t="s">
        <v>6730</v>
      </c>
      <c r="S349" t="s">
        <v>6731</v>
      </c>
      <c r="T349" t="s">
        <v>6732</v>
      </c>
      <c r="U349" t="s">
        <v>6733</v>
      </c>
      <c r="V349">
        <f>-774.65732654774 -15.9832104644934 -70.8588965473548</f>
        <v>-861.49943355958817</v>
      </c>
      <c r="W349" t="s">
        <v>6734</v>
      </c>
      <c r="X349" t="s">
        <v>6735</v>
      </c>
      <c r="Y349" t="s">
        <v>6736</v>
      </c>
    </row>
    <row r="350" spans="1:25" x14ac:dyDescent="0.3">
      <c r="A350">
        <v>17450</v>
      </c>
      <c r="B350" t="s">
        <v>6737</v>
      </c>
      <c r="C350" t="s">
        <v>6738</v>
      </c>
      <c r="D350" t="s">
        <v>6739</v>
      </c>
      <c r="E350" t="s">
        <v>6740</v>
      </c>
      <c r="F350" t="s">
        <v>6741</v>
      </c>
      <c r="G350" t="s">
        <v>6742</v>
      </c>
      <c r="H350" t="s">
        <v>6743</v>
      </c>
      <c r="I350" t="s">
        <v>6744</v>
      </c>
      <c r="J350" t="s">
        <v>6745</v>
      </c>
      <c r="K350" t="s">
        <v>6746</v>
      </c>
      <c r="L350" t="s">
        <v>6747</v>
      </c>
      <c r="M350" t="s">
        <v>6748</v>
      </c>
      <c r="N350" t="s">
        <v>6749</v>
      </c>
      <c r="O350">
        <f>-766.871411528258 -39.25206740421 -520.481161800205</f>
        <v>-1326.604640732673</v>
      </c>
      <c r="P350">
        <f>-859.974600088543 -165.291895564866 -271.408800066958</f>
        <v>-1296.6752957203671</v>
      </c>
      <c r="Q350">
        <f>-646.361004466028 -74.4514978499558 -335.97046934355</f>
        <v>-1056.7829716595338</v>
      </c>
      <c r="R350" t="s">
        <v>6750</v>
      </c>
      <c r="S350" t="s">
        <v>6751</v>
      </c>
      <c r="T350" t="s">
        <v>6752</v>
      </c>
      <c r="U350" t="s">
        <v>6753</v>
      </c>
      <c r="V350">
        <f>-774.945366340742 -14.8674716516794 -71.535175629132</f>
        <v>-861.34801362155338</v>
      </c>
      <c r="W350" t="s">
        <v>6754</v>
      </c>
      <c r="X350" t="s">
        <v>6755</v>
      </c>
      <c r="Y350" t="s">
        <v>6756</v>
      </c>
    </row>
    <row r="351" spans="1:25" x14ac:dyDescent="0.3">
      <c r="A351">
        <v>17500</v>
      </c>
      <c r="B351" t="s">
        <v>6757</v>
      </c>
      <c r="C351" t="s">
        <v>6758</v>
      </c>
      <c r="D351" t="s">
        <v>6759</v>
      </c>
      <c r="E351" t="s">
        <v>6760</v>
      </c>
      <c r="F351" t="s">
        <v>6761</v>
      </c>
      <c r="G351" t="s">
        <v>6762</v>
      </c>
      <c r="H351" t="s">
        <v>6763</v>
      </c>
      <c r="I351" t="s">
        <v>6764</v>
      </c>
      <c r="J351" t="s">
        <v>6765</v>
      </c>
      <c r="K351" t="s">
        <v>6766</v>
      </c>
      <c r="L351" t="s">
        <v>6767</v>
      </c>
      <c r="M351" t="s">
        <v>6768</v>
      </c>
      <c r="N351" t="s">
        <v>6769</v>
      </c>
      <c r="O351">
        <f>-768.341499488282 -36.4438365495089 -520.392539507093</f>
        <v>-1325.177875544884</v>
      </c>
      <c r="P351">
        <f>-862.483941662886 -158.984084892844 -269.968489148545</f>
        <v>-1291.4365157042748</v>
      </c>
      <c r="Q351">
        <f>-648.217828877306 -71.2255357816339 -336.596223388142</f>
        <v>-1056.0395880470819</v>
      </c>
      <c r="R351" t="s">
        <v>6770</v>
      </c>
      <c r="S351" t="s">
        <v>6771</v>
      </c>
      <c r="T351" t="s">
        <v>6772</v>
      </c>
      <c r="U351" t="s">
        <v>6773</v>
      </c>
      <c r="V351">
        <f>-773.12852369755 -11.8719550829173 -72.4299829553164</f>
        <v>-857.43046173578375</v>
      </c>
      <c r="W351" t="s">
        <v>6774</v>
      </c>
      <c r="X351" t="s">
        <v>6775</v>
      </c>
      <c r="Y351" t="s">
        <v>6776</v>
      </c>
    </row>
    <row r="352" spans="1:25" x14ac:dyDescent="0.3">
      <c r="A352">
        <v>17550</v>
      </c>
      <c r="B352" t="s">
        <v>6777</v>
      </c>
      <c r="C352" t="s">
        <v>6778</v>
      </c>
      <c r="D352" t="s">
        <v>6779</v>
      </c>
      <c r="E352" t="s">
        <v>6780</v>
      </c>
      <c r="F352" t="s">
        <v>6781</v>
      </c>
      <c r="G352" t="s">
        <v>6782</v>
      </c>
      <c r="H352" t="s">
        <v>6783</v>
      </c>
      <c r="I352" t="s">
        <v>6784</v>
      </c>
      <c r="J352" t="s">
        <v>6785</v>
      </c>
      <c r="K352" t="s">
        <v>6786</v>
      </c>
      <c r="L352" t="s">
        <v>6787</v>
      </c>
      <c r="M352" t="s">
        <v>6788</v>
      </c>
      <c r="N352" t="s">
        <v>6789</v>
      </c>
      <c r="O352">
        <f>-769.616522404642 -35.2163790242566 -520.109886529343</f>
        <v>-1324.9427879582418</v>
      </c>
      <c r="P352">
        <f>-863.838534045236 -154.878603709669 -268.327460593239</f>
        <v>-1287.0445983481441</v>
      </c>
      <c r="Q352">
        <f>-649.39277779421 -68.9468406819633 -336.735053971496</f>
        <v>-1055.0746724476694</v>
      </c>
      <c r="R352" t="s">
        <v>6790</v>
      </c>
      <c r="S352" t="s">
        <v>6791</v>
      </c>
      <c r="T352" t="s">
        <v>6792</v>
      </c>
      <c r="U352" t="s">
        <v>6793</v>
      </c>
      <c r="V352">
        <f>-771.395653081552 -10.2800844372164 -72.6297055496821</f>
        <v>-854.30544306845047</v>
      </c>
      <c r="W352" t="s">
        <v>6794</v>
      </c>
      <c r="X352" t="s">
        <v>6795</v>
      </c>
      <c r="Y352" t="s">
        <v>6796</v>
      </c>
    </row>
    <row r="353" spans="1:25" x14ac:dyDescent="0.3">
      <c r="A353">
        <v>17600</v>
      </c>
      <c r="B353" t="s">
        <v>6797</v>
      </c>
      <c r="C353" t="s">
        <v>6798</v>
      </c>
      <c r="D353" t="s">
        <v>6799</v>
      </c>
      <c r="E353" t="s">
        <v>6800</v>
      </c>
      <c r="F353" t="s">
        <v>6801</v>
      </c>
      <c r="G353" t="s">
        <v>6802</v>
      </c>
      <c r="H353" t="s">
        <v>6803</v>
      </c>
      <c r="I353" t="s">
        <v>6804</v>
      </c>
      <c r="J353" t="s">
        <v>6805</v>
      </c>
      <c r="K353" t="s">
        <v>6806</v>
      </c>
      <c r="L353" t="s">
        <v>6807</v>
      </c>
      <c r="M353" t="s">
        <v>6808</v>
      </c>
      <c r="N353" t="s">
        <v>6809</v>
      </c>
      <c r="O353">
        <f>-774.468875982092 -36.2975391947725 -518.997581081454</f>
        <v>-1329.7639962583185</v>
      </c>
      <c r="P353">
        <f>-865.811075236106 -149.917894436342 -263.384138102234</f>
        <v>-1279.113107774682</v>
      </c>
      <c r="Q353">
        <f>-651.70833959623 -66.7542884270185 -336.148810919124</f>
        <v>-1054.6114389423724</v>
      </c>
      <c r="R353" t="s">
        <v>6810</v>
      </c>
      <c r="S353" t="s">
        <v>6811</v>
      </c>
      <c r="T353" t="s">
        <v>6812</v>
      </c>
      <c r="U353" t="s">
        <v>6813</v>
      </c>
      <c r="V353">
        <f>-766.584757250492 -8.21353710163157 -72.5498316613283</f>
        <v>-847.34812601345186</v>
      </c>
      <c r="W353" t="s">
        <v>6814</v>
      </c>
      <c r="X353" t="s">
        <v>6815</v>
      </c>
      <c r="Y353" t="s">
        <v>6816</v>
      </c>
    </row>
    <row r="354" spans="1:25" x14ac:dyDescent="0.3">
      <c r="A354">
        <v>17650</v>
      </c>
      <c r="B354" t="s">
        <v>6817</v>
      </c>
      <c r="C354" t="s">
        <v>6818</v>
      </c>
      <c r="D354" t="s">
        <v>6819</v>
      </c>
      <c r="E354" t="s">
        <v>6820</v>
      </c>
      <c r="F354" t="s">
        <v>6821</v>
      </c>
      <c r="G354" t="s">
        <v>6822</v>
      </c>
      <c r="H354" t="s">
        <v>6823</v>
      </c>
      <c r="I354" t="s">
        <v>6824</v>
      </c>
      <c r="J354" t="s">
        <v>6825</v>
      </c>
      <c r="K354" t="s">
        <v>6826</v>
      </c>
      <c r="L354" t="s">
        <v>6827</v>
      </c>
      <c r="M354" t="s">
        <v>6828</v>
      </c>
      <c r="N354" t="s">
        <v>6829</v>
      </c>
      <c r="O354">
        <f>-777.961093086172 -38.4685400796686 -518.123923582034</f>
        <v>-1334.5535567478746</v>
      </c>
      <c r="P354">
        <f>-866.471163380204 -149.195220097635 -260.254176283804</f>
        <v>-1275.9205597616428</v>
      </c>
      <c r="Q354">
        <f>-653.027831604493 -66.8004798312481 -335.778041257205</f>
        <v>-1055.6063526929461</v>
      </c>
      <c r="R354" t="s">
        <v>6830</v>
      </c>
      <c r="S354" t="s">
        <v>6831</v>
      </c>
      <c r="T354" t="s">
        <v>6832</v>
      </c>
      <c r="U354" t="s">
        <v>6833</v>
      </c>
      <c r="V354">
        <f>-763.939707592958 -7.76195900034145 -72.1374314118756</f>
        <v>-843.83909800517506</v>
      </c>
      <c r="W354" t="s">
        <v>6834</v>
      </c>
      <c r="X354" t="s">
        <v>6835</v>
      </c>
      <c r="Y354" t="s">
        <v>6836</v>
      </c>
    </row>
    <row r="355" spans="1:25" x14ac:dyDescent="0.3">
      <c r="A355">
        <v>17700</v>
      </c>
      <c r="B355" t="s">
        <v>6837</v>
      </c>
      <c r="C355" t="s">
        <v>6838</v>
      </c>
      <c r="D355" t="s">
        <v>6839</v>
      </c>
      <c r="E355" t="s">
        <v>6840</v>
      </c>
      <c r="F355" t="s">
        <v>6841</v>
      </c>
      <c r="G355" t="s">
        <v>6842</v>
      </c>
      <c r="H355" t="s">
        <v>6843</v>
      </c>
      <c r="I355" t="s">
        <v>6844</v>
      </c>
      <c r="J355" t="s">
        <v>6845</v>
      </c>
      <c r="K355" t="s">
        <v>6846</v>
      </c>
      <c r="L355" t="s">
        <v>6847</v>
      </c>
      <c r="M355" t="s">
        <v>6848</v>
      </c>
      <c r="N355" t="s">
        <v>6849</v>
      </c>
      <c r="O355">
        <f>-785.008361508331 -44.9884147720841 -515.616749759155</f>
        <v>-1345.6135260395699</v>
      </c>
      <c r="P355">
        <f>-866.300783087701 -150.493411426465 -253.2212264358</f>
        <v>-1270.015420949966</v>
      </c>
      <c r="Q355">
        <f>-655.097841328953 -68.5328650852152 -335.237128583981</f>
        <v>-1058.8678349981492</v>
      </c>
      <c r="R355" t="s">
        <v>6850</v>
      </c>
      <c r="S355" t="s">
        <v>6851</v>
      </c>
      <c r="T355" t="s">
        <v>6852</v>
      </c>
      <c r="U355" t="s">
        <v>6853</v>
      </c>
      <c r="V355">
        <f>-757.617701946118 -7.22971128349764 -70.7214580088886</f>
        <v>-835.56887123850424</v>
      </c>
      <c r="W355" t="s">
        <v>6854</v>
      </c>
      <c r="X355" t="s">
        <v>6855</v>
      </c>
      <c r="Y355" t="s">
        <v>6856</v>
      </c>
    </row>
    <row r="356" spans="1:25" x14ac:dyDescent="0.3">
      <c r="A356">
        <v>17750</v>
      </c>
      <c r="B356" t="s">
        <v>6857</v>
      </c>
      <c r="C356" t="s">
        <v>6858</v>
      </c>
      <c r="D356" t="s">
        <v>6859</v>
      </c>
      <c r="E356" t="s">
        <v>6860</v>
      </c>
      <c r="F356" t="s">
        <v>6861</v>
      </c>
      <c r="G356" t="s">
        <v>6862</v>
      </c>
      <c r="H356" t="s">
        <v>6863</v>
      </c>
      <c r="I356" t="s">
        <v>6864</v>
      </c>
      <c r="J356" t="s">
        <v>6865</v>
      </c>
      <c r="K356" t="s">
        <v>6866</v>
      </c>
      <c r="L356" t="s">
        <v>6867</v>
      </c>
      <c r="M356" t="s">
        <v>6868</v>
      </c>
      <c r="N356" t="s">
        <v>6869</v>
      </c>
      <c r="O356">
        <f>-788.100207258666 -48.6822698458734 -514.03691332065</f>
        <v>-1350.8193904251893</v>
      </c>
      <c r="P356">
        <f>-865.333188863825 -151.731740099582 -249.448430982086</f>
        <v>-1266.513359945493</v>
      </c>
      <c r="Q356">
        <f>-655.515984546746 -69.731375048751 -334.909188159713</f>
        <v>-1060.1565477552101</v>
      </c>
      <c r="R356" t="s">
        <v>6870</v>
      </c>
      <c r="S356" t="s">
        <v>6871</v>
      </c>
      <c r="T356" t="s">
        <v>6872</v>
      </c>
      <c r="U356" t="s">
        <v>6873</v>
      </c>
      <c r="V356">
        <f>-753.939170649382 -7.25060945185578 -69.8034308414398</f>
        <v>-830.99321094267759</v>
      </c>
      <c r="W356" t="s">
        <v>6874</v>
      </c>
      <c r="X356" t="s">
        <v>6875</v>
      </c>
      <c r="Y356" t="s">
        <v>6876</v>
      </c>
    </row>
    <row r="357" spans="1:25" x14ac:dyDescent="0.3">
      <c r="A357">
        <v>17800</v>
      </c>
      <c r="B357" t="s">
        <v>6877</v>
      </c>
      <c r="C357" t="s">
        <v>6878</v>
      </c>
      <c r="D357" t="s">
        <v>6879</v>
      </c>
      <c r="E357" t="s">
        <v>6880</v>
      </c>
      <c r="F357" t="s">
        <v>6881</v>
      </c>
      <c r="G357" t="s">
        <v>6882</v>
      </c>
      <c r="H357" t="s">
        <v>6883</v>
      </c>
      <c r="I357" t="s">
        <v>6884</v>
      </c>
      <c r="J357" t="s">
        <v>6885</v>
      </c>
      <c r="K357" t="s">
        <v>6886</v>
      </c>
      <c r="L357" t="s">
        <v>6887</v>
      </c>
      <c r="M357" t="s">
        <v>6888</v>
      </c>
      <c r="N357" t="s">
        <v>6889</v>
      </c>
      <c r="O357">
        <f>-793.939875001793 -55.8173656579131 -510.478301882038</f>
        <v>-1360.2355425417441</v>
      </c>
      <c r="P357">
        <f>-863.097419469883 -153.5775245261 -241.682182537295</f>
        <v>-1258.357126533278</v>
      </c>
      <c r="Q357">
        <f>-656.352133872884 -71.6248622208921 -334.370069337458</f>
        <v>-1062.3470654312341</v>
      </c>
      <c r="R357" t="s">
        <v>6890</v>
      </c>
      <c r="S357" t="s">
        <v>6891</v>
      </c>
      <c r="T357" t="s">
        <v>6892</v>
      </c>
      <c r="U357" t="s">
        <v>6893</v>
      </c>
      <c r="V357">
        <f>-746.938707156859 -7.10608127389105 -67.8340456831456</f>
        <v>-821.87883411389566</v>
      </c>
      <c r="W357" t="s">
        <v>6894</v>
      </c>
      <c r="X357" t="s">
        <v>6895</v>
      </c>
      <c r="Y357" t="s">
        <v>6896</v>
      </c>
    </row>
    <row r="358" spans="1:25" x14ac:dyDescent="0.3">
      <c r="A358">
        <v>17850</v>
      </c>
      <c r="B358" t="s">
        <v>6897</v>
      </c>
      <c r="C358" t="s">
        <v>6898</v>
      </c>
      <c r="D358" t="s">
        <v>6899</v>
      </c>
      <c r="E358" t="s">
        <v>6900</v>
      </c>
      <c r="F358" t="s">
        <v>6901</v>
      </c>
      <c r="G358" t="s">
        <v>6902</v>
      </c>
      <c r="H358" t="s">
        <v>6903</v>
      </c>
      <c r="I358" t="s">
        <v>6904</v>
      </c>
      <c r="J358" t="s">
        <v>6905</v>
      </c>
      <c r="K358" t="s">
        <v>6906</v>
      </c>
      <c r="L358" t="s">
        <v>6907</v>
      </c>
      <c r="M358" t="s">
        <v>6908</v>
      </c>
      <c r="N358" t="s">
        <v>6909</v>
      </c>
      <c r="O358">
        <f>-797.131682681557 -58.8938107544004 -508.603858880314</f>
        <v>-1364.6293523162715</v>
      </c>
      <c r="P358">
        <f>-862.36360216877 -153.928107981975 -237.855812700152</f>
        <v>-1254.1475228508971</v>
      </c>
      <c r="Q358">
        <f>-657.227088686607 -72.1538315948733 -334.203302151294</f>
        <v>-1063.5842224327744</v>
      </c>
      <c r="R358" t="s">
        <v>6910</v>
      </c>
      <c r="S358" t="s">
        <v>6911</v>
      </c>
      <c r="T358" t="s">
        <v>6912</v>
      </c>
      <c r="U358" t="s">
        <v>6913</v>
      </c>
      <c r="V358">
        <f>-744.103900986062 -6.72632729382985 -66.8690710735658</f>
        <v>-817.6992993534576</v>
      </c>
      <c r="W358" t="s">
        <v>6914</v>
      </c>
      <c r="X358" t="s">
        <v>6915</v>
      </c>
      <c r="Y358" t="s">
        <v>6916</v>
      </c>
    </row>
    <row r="359" spans="1:25" x14ac:dyDescent="0.3">
      <c r="A359">
        <v>17900</v>
      </c>
      <c r="B359" t="s">
        <v>6917</v>
      </c>
      <c r="C359" t="s">
        <v>6918</v>
      </c>
      <c r="D359" t="s">
        <v>6919</v>
      </c>
      <c r="E359" t="s">
        <v>6920</v>
      </c>
      <c r="F359" t="s">
        <v>6921</v>
      </c>
      <c r="G359" t="s">
        <v>6922</v>
      </c>
      <c r="H359" t="s">
        <v>6923</v>
      </c>
      <c r="I359" t="s">
        <v>6924</v>
      </c>
      <c r="J359" t="s">
        <v>6925</v>
      </c>
      <c r="K359" t="s">
        <v>6926</v>
      </c>
      <c r="L359" t="s">
        <v>6927</v>
      </c>
      <c r="M359" t="s">
        <v>6928</v>
      </c>
      <c r="N359" t="s">
        <v>6929</v>
      </c>
      <c r="O359">
        <f>-804.287660757627 -63.4534297535572 -505.727035231081</f>
        <v>-1373.4681257422653</v>
      </c>
      <c r="P359">
        <f>-861.903965791975 -152.977634133061 -231.396871757881</f>
        <v>-1246.2784716829169</v>
      </c>
      <c r="Q359">
        <f>-659.836978174752 -72.0252163210423 -334.675568725177</f>
        <v>-1066.5377632209713</v>
      </c>
      <c r="R359" t="s">
        <v>6930</v>
      </c>
      <c r="S359" t="s">
        <v>6931</v>
      </c>
      <c r="T359" t="s">
        <v>6932</v>
      </c>
      <c r="U359" t="s">
        <v>6933</v>
      </c>
      <c r="V359">
        <f>-739.838602639042 -5.51646699249795 -65.8801444554074</f>
        <v>-811.23521408694739</v>
      </c>
      <c r="W359" t="s">
        <v>6934</v>
      </c>
      <c r="X359" t="s">
        <v>6935</v>
      </c>
      <c r="Y359" t="s">
        <v>6936</v>
      </c>
    </row>
    <row r="360" spans="1:25" x14ac:dyDescent="0.3">
      <c r="A360">
        <v>17950</v>
      </c>
      <c r="B360" t="s">
        <v>6937</v>
      </c>
      <c r="C360" t="s">
        <v>6938</v>
      </c>
      <c r="D360" t="s">
        <v>6939</v>
      </c>
      <c r="E360" t="s">
        <v>6940</v>
      </c>
      <c r="F360" t="s">
        <v>6941</v>
      </c>
      <c r="G360" t="s">
        <v>6942</v>
      </c>
      <c r="H360" t="s">
        <v>6943</v>
      </c>
      <c r="I360" t="s">
        <v>6944</v>
      </c>
      <c r="J360" t="s">
        <v>6945</v>
      </c>
      <c r="K360" t="s">
        <v>6946</v>
      </c>
      <c r="L360" t="s">
        <v>6947</v>
      </c>
      <c r="M360" t="s">
        <v>6948</v>
      </c>
      <c r="N360" t="s">
        <v>6949</v>
      </c>
      <c r="O360">
        <f>-807.736373641625 -64.9605473767751 -504.720699724007</f>
        <v>-1377.4176207424071</v>
      </c>
      <c r="P360">
        <f>-861.880265656619 -151.613288200418 -228.766113333533</f>
        <v>-1242.2596671905701</v>
      </c>
      <c r="Q360">
        <f>-661.062832870469 -71.5187387630901 -335.105477166148</f>
        <v>-1067.6870487997071</v>
      </c>
      <c r="R360" t="s">
        <v>6950</v>
      </c>
      <c r="S360" t="s">
        <v>6951</v>
      </c>
      <c r="T360" t="s">
        <v>6952</v>
      </c>
      <c r="U360" t="s">
        <v>6953</v>
      </c>
      <c r="V360">
        <f>-738.40865683318 -4.9158988268041 -65.8032857144558</f>
        <v>-809.12784137443987</v>
      </c>
      <c r="W360" t="s">
        <v>6954</v>
      </c>
      <c r="X360" t="s">
        <v>6955</v>
      </c>
      <c r="Y360" t="s">
        <v>6956</v>
      </c>
    </row>
    <row r="361" spans="1:25" x14ac:dyDescent="0.3">
      <c r="A361">
        <v>18000</v>
      </c>
      <c r="B361" t="s">
        <v>6957</v>
      </c>
      <c r="C361" t="s">
        <v>6958</v>
      </c>
      <c r="D361" t="s">
        <v>6959</v>
      </c>
      <c r="E361" t="s">
        <v>6960</v>
      </c>
      <c r="F361" t="s">
        <v>6961</v>
      </c>
      <c r="G361" t="s">
        <v>6962</v>
      </c>
      <c r="H361" t="s">
        <v>6963</v>
      </c>
      <c r="I361" t="s">
        <v>6964</v>
      </c>
      <c r="J361" t="s">
        <v>6965</v>
      </c>
      <c r="K361" t="s">
        <v>6966</v>
      </c>
      <c r="L361" t="s">
        <v>6967</v>
      </c>
      <c r="M361" t="s">
        <v>6968</v>
      </c>
      <c r="N361" t="s">
        <v>6969</v>
      </c>
      <c r="O361">
        <f>-813.574571578112 -67.073058700611 -503.125777705122</f>
        <v>-1383.7734079838451</v>
      </c>
      <c r="P361">
        <f>-863.294897232167 -147.20233251783 -224.381368090129</f>
        <v>-1234.8785978401261</v>
      </c>
      <c r="Q361">
        <f>-663.719609296356 -70.7358543550511 -335.617369045919</f>
        <v>-1070.072832697326</v>
      </c>
      <c r="R361" t="s">
        <v>6970</v>
      </c>
      <c r="S361" t="s">
        <v>6971</v>
      </c>
      <c r="T361" t="s">
        <v>6972</v>
      </c>
      <c r="U361" t="s">
        <v>6973</v>
      </c>
      <c r="V361">
        <f>-737.075560900058 -4.08229136490672 -65.8713172144199</f>
        <v>-807.02916947938468</v>
      </c>
      <c r="W361" t="s">
        <v>6974</v>
      </c>
      <c r="X361" t="s">
        <v>6975</v>
      </c>
      <c r="Y361" t="s">
        <v>6976</v>
      </c>
    </row>
    <row r="362" spans="1:25" x14ac:dyDescent="0.3">
      <c r="A362">
        <v>18050</v>
      </c>
      <c r="B362" t="s">
        <v>6977</v>
      </c>
      <c r="C362" t="s">
        <v>6978</v>
      </c>
      <c r="D362" t="s">
        <v>6979</v>
      </c>
      <c r="E362" t="s">
        <v>6980</v>
      </c>
      <c r="F362" t="s">
        <v>6981</v>
      </c>
      <c r="G362" t="s">
        <v>6982</v>
      </c>
      <c r="H362" t="s">
        <v>6983</v>
      </c>
      <c r="I362" t="s">
        <v>6984</v>
      </c>
      <c r="J362" t="s">
        <v>6985</v>
      </c>
      <c r="K362" t="s">
        <v>6986</v>
      </c>
      <c r="L362" t="s">
        <v>6987</v>
      </c>
      <c r="M362" t="s">
        <v>6988</v>
      </c>
      <c r="N362" t="s">
        <v>6989</v>
      </c>
      <c r="O362">
        <f>-816.253468310599 -67.7557869107629 -502.48096094698</f>
        <v>-1386.4902161683419</v>
      </c>
      <c r="P362">
        <f>-864.915749278806 -144.414945025925 -222.576310487838</f>
        <v>-1231.9070047925688</v>
      </c>
      <c r="Q362">
        <f>-665.477118121 -70.2315852323645 -335.589527176789</f>
        <v>-1071.2982305301534</v>
      </c>
      <c r="R362" t="s">
        <v>6990</v>
      </c>
      <c r="S362" t="s">
        <v>6991</v>
      </c>
      <c r="T362" t="s">
        <v>6992</v>
      </c>
      <c r="U362" t="s">
        <v>6993</v>
      </c>
      <c r="V362">
        <f>-737.045540890437 -3.78051827984746 -65.9489487606328</f>
        <v>-806.77500793091724</v>
      </c>
      <c r="W362" t="s">
        <v>6994</v>
      </c>
      <c r="X362" t="s">
        <v>6995</v>
      </c>
      <c r="Y362" t="s">
        <v>6996</v>
      </c>
    </row>
    <row r="363" spans="1:25" x14ac:dyDescent="0.3">
      <c r="A363">
        <v>18100</v>
      </c>
      <c r="B363" t="s">
        <v>6997</v>
      </c>
      <c r="C363" t="s">
        <v>6998</v>
      </c>
      <c r="D363" t="s">
        <v>6999</v>
      </c>
      <c r="E363" t="s">
        <v>7000</v>
      </c>
      <c r="F363" t="s">
        <v>7001</v>
      </c>
      <c r="G363" t="s">
        <v>7002</v>
      </c>
      <c r="H363" t="s">
        <v>7003</v>
      </c>
      <c r="I363" t="s">
        <v>7004</v>
      </c>
      <c r="J363" t="s">
        <v>7005</v>
      </c>
      <c r="K363" t="s">
        <v>7006</v>
      </c>
      <c r="L363" t="s">
        <v>7007</v>
      </c>
      <c r="M363" t="s">
        <v>7008</v>
      </c>
      <c r="N363" t="s">
        <v>7009</v>
      </c>
      <c r="O363">
        <f>-820.632371533956 -68.4091133058364 -501.339195697259</f>
        <v>-1390.3806805370514</v>
      </c>
      <c r="P363">
        <f>-868.231188502605 -139.91090755958 -219.890981496453</f>
        <v>-1228.0330775586381</v>
      </c>
      <c r="Q363">
        <f>-668.510697229852 -70.1347433134893 -335.190089947638</f>
        <v>-1073.8355304909792</v>
      </c>
      <c r="R363" t="s">
        <v>7010</v>
      </c>
      <c r="S363" t="s">
        <v>7011</v>
      </c>
      <c r="T363" t="s">
        <v>7012</v>
      </c>
      <c r="U363" t="s">
        <v>7013</v>
      </c>
      <c r="V363">
        <f>-737.722312511925 -3.54422302128887 -66.1219772327825</f>
        <v>-807.38851276599632</v>
      </c>
      <c r="W363" t="s">
        <v>7014</v>
      </c>
      <c r="X363" t="s">
        <v>7015</v>
      </c>
      <c r="Y363" t="s">
        <v>7016</v>
      </c>
    </row>
    <row r="364" spans="1:25" x14ac:dyDescent="0.3">
      <c r="A364">
        <v>18150</v>
      </c>
      <c r="B364" t="s">
        <v>7017</v>
      </c>
      <c r="C364" t="s">
        <v>7018</v>
      </c>
      <c r="D364" t="s">
        <v>7019</v>
      </c>
      <c r="E364" t="s">
        <v>7020</v>
      </c>
      <c r="F364" t="s">
        <v>7021</v>
      </c>
      <c r="G364" t="s">
        <v>7022</v>
      </c>
      <c r="H364" t="s">
        <v>7023</v>
      </c>
      <c r="I364" t="s">
        <v>7024</v>
      </c>
      <c r="J364" t="s">
        <v>7025</v>
      </c>
      <c r="K364" t="s">
        <v>7026</v>
      </c>
      <c r="L364" t="s">
        <v>7027</v>
      </c>
      <c r="M364" t="s">
        <v>7028</v>
      </c>
      <c r="N364" t="s">
        <v>7029</v>
      </c>
      <c r="O364">
        <f>-822.355165614513 -68.4078706032049 -500.973574444601</f>
        <v>-1391.736610662319</v>
      </c>
      <c r="P364">
        <f>-869.728948928926 -138.114566597167 -219.037615965761</f>
        <v>-1226.8811314918539</v>
      </c>
      <c r="Q364">
        <f>-669.666605835046 -70.3121786937554 -334.919821629722</f>
        <v>-1074.8986061585233</v>
      </c>
      <c r="R364" t="s">
        <v>7030</v>
      </c>
      <c r="S364" t="s">
        <v>7031</v>
      </c>
      <c r="T364" t="s">
        <v>7032</v>
      </c>
      <c r="U364" t="s">
        <v>7033</v>
      </c>
      <c r="V364">
        <f>-738.297298666274 -3.52792683973894 -66.2195164400385</f>
        <v>-808.04474194605143</v>
      </c>
      <c r="W364" t="s">
        <v>7034</v>
      </c>
      <c r="X364" t="s">
        <v>7035</v>
      </c>
      <c r="Y364" t="s">
        <v>7036</v>
      </c>
    </row>
    <row r="365" spans="1:25" x14ac:dyDescent="0.3">
      <c r="A365">
        <v>18200</v>
      </c>
      <c r="B365" t="s">
        <v>7037</v>
      </c>
      <c r="C365" t="s">
        <v>7038</v>
      </c>
      <c r="D365" t="s">
        <v>7039</v>
      </c>
      <c r="E365" t="s">
        <v>7040</v>
      </c>
      <c r="F365" t="s">
        <v>7041</v>
      </c>
      <c r="G365" t="s">
        <v>7042</v>
      </c>
      <c r="H365" t="s">
        <v>7043</v>
      </c>
      <c r="I365" t="s">
        <v>7044</v>
      </c>
      <c r="J365" t="s">
        <v>7045</v>
      </c>
      <c r="K365" t="s">
        <v>7046</v>
      </c>
      <c r="L365" t="s">
        <v>7047</v>
      </c>
      <c r="M365" t="s">
        <v>7048</v>
      </c>
      <c r="N365" t="s">
        <v>7049</v>
      </c>
      <c r="O365">
        <f>-824.906760137911 -68.2653432197833 -500.695826037538</f>
        <v>-1393.8679293952323</v>
      </c>
      <c r="P365">
        <f>-872.382005951751 -135.572147698837 -218.19422856212</f>
        <v>-1226.1483822127082</v>
      </c>
      <c r="Q365">
        <f>-671.562823306466 -71.3681727744124 -334.815077110729</f>
        <v>-1077.7460731916076</v>
      </c>
      <c r="R365" t="s">
        <v>7050</v>
      </c>
      <c r="S365" t="s">
        <v>7051</v>
      </c>
      <c r="T365" t="s">
        <v>7052</v>
      </c>
      <c r="U365" t="s">
        <v>7053</v>
      </c>
      <c r="V365">
        <f>-739.994431873333 -3.48647692782652 -66.4338124513465</f>
        <v>-809.91472125250607</v>
      </c>
      <c r="W365" t="s">
        <v>7054</v>
      </c>
      <c r="X365" t="s">
        <v>7055</v>
      </c>
      <c r="Y365" t="s">
        <v>7056</v>
      </c>
    </row>
    <row r="366" spans="1:25" x14ac:dyDescent="0.3">
      <c r="A366">
        <v>18250</v>
      </c>
      <c r="B366" t="s">
        <v>7057</v>
      </c>
      <c r="C366" t="s">
        <v>7058</v>
      </c>
      <c r="D366" t="s">
        <v>7059</v>
      </c>
      <c r="E366" t="s">
        <v>7060</v>
      </c>
      <c r="F366" t="s">
        <v>7061</v>
      </c>
      <c r="G366" t="s">
        <v>7062</v>
      </c>
      <c r="H366" t="s">
        <v>7063</v>
      </c>
      <c r="I366" t="s">
        <v>7064</v>
      </c>
      <c r="J366" t="s">
        <v>7065</v>
      </c>
      <c r="K366" t="s">
        <v>7066</v>
      </c>
      <c r="L366" t="s">
        <v>7067</v>
      </c>
      <c r="M366" t="s">
        <v>7068</v>
      </c>
      <c r="N366" t="s">
        <v>7069</v>
      </c>
      <c r="O366">
        <f>-825.784471186624 -68.1955439648063 -500.717321411753</f>
        <v>-1394.6973365631834</v>
      </c>
      <c r="P366">
        <f>-873.517388252657 -134.581015958258 -218.041175217768</f>
        <v>-1226.1395794286832</v>
      </c>
      <c r="Q366">
        <f>-672.285972818913 -71.9681196520351 -334.816459681565</f>
        <v>-1079.0705521525131</v>
      </c>
      <c r="R366" t="s">
        <v>7070</v>
      </c>
      <c r="S366" t="s">
        <v>7071</v>
      </c>
      <c r="T366" t="s">
        <v>7072</v>
      </c>
      <c r="U366" t="s">
        <v>7073</v>
      </c>
      <c r="V366">
        <f>-740.906399033794 -3.44252678165367 -66.5311870155197</f>
        <v>-810.88011283096728</v>
      </c>
      <c r="W366" t="s">
        <v>7074</v>
      </c>
      <c r="X366" t="s">
        <v>7075</v>
      </c>
      <c r="Y366" t="s">
        <v>7076</v>
      </c>
    </row>
    <row r="367" spans="1:25" x14ac:dyDescent="0.3">
      <c r="A367">
        <v>18300</v>
      </c>
      <c r="B367" t="s">
        <v>7077</v>
      </c>
      <c r="C367" t="s">
        <v>7078</v>
      </c>
      <c r="D367" t="s">
        <v>7079</v>
      </c>
      <c r="E367" t="s">
        <v>7080</v>
      </c>
      <c r="F367" t="s">
        <v>7081</v>
      </c>
      <c r="G367" t="s">
        <v>7082</v>
      </c>
      <c r="H367" t="s">
        <v>7083</v>
      </c>
      <c r="I367" t="s">
        <v>7084</v>
      </c>
      <c r="J367" t="s">
        <v>7085</v>
      </c>
      <c r="K367" t="s">
        <v>7086</v>
      </c>
      <c r="L367" t="s">
        <v>7087</v>
      </c>
      <c r="M367" t="s">
        <v>7088</v>
      </c>
      <c r="N367" t="s">
        <v>7089</v>
      </c>
      <c r="O367">
        <f>-826.359553464775 -68.1199620261482 -500.735359538427</f>
        <v>-1395.2148750293502</v>
      </c>
      <c r="P367">
        <f>-874.470276798865 -133.651005829134 -217.924040558339</f>
        <v>-1226.045323186338</v>
      </c>
      <c r="Q367">
        <f>-672.812958239238 -72.4169039718579 -334.695453821991</f>
        <v>-1079.9253160330868</v>
      </c>
      <c r="R367" t="s">
        <v>7090</v>
      </c>
      <c r="S367" t="s">
        <v>7091</v>
      </c>
      <c r="T367" t="s">
        <v>7092</v>
      </c>
      <c r="U367" t="s">
        <v>7093</v>
      </c>
      <c r="V367">
        <f>-741.787308616901 -3.23981615247385 -66.6207545706023</f>
        <v>-811.64787933997718</v>
      </c>
      <c r="W367" t="s">
        <v>7094</v>
      </c>
      <c r="X367" t="s">
        <v>7095</v>
      </c>
      <c r="Y367" t="s">
        <v>7096</v>
      </c>
    </row>
    <row r="368" spans="1:25" x14ac:dyDescent="0.3">
      <c r="A368">
        <v>18350</v>
      </c>
      <c r="B368" t="s">
        <v>7097</v>
      </c>
      <c r="C368" t="s">
        <v>7098</v>
      </c>
      <c r="D368" t="s">
        <v>7099</v>
      </c>
      <c r="E368" t="s">
        <v>7100</v>
      </c>
      <c r="F368" t="s">
        <v>7101</v>
      </c>
      <c r="G368" t="s">
        <v>7102</v>
      </c>
      <c r="H368" t="s">
        <v>7103</v>
      </c>
      <c r="I368" t="s">
        <v>7104</v>
      </c>
      <c r="J368" t="s">
        <v>7105</v>
      </c>
      <c r="K368" t="s">
        <v>7106</v>
      </c>
      <c r="L368" t="s">
        <v>7107</v>
      </c>
      <c r="M368" t="s">
        <v>7108</v>
      </c>
      <c r="N368" t="s">
        <v>7109</v>
      </c>
      <c r="O368">
        <f>-826.61617598072 -68.6150884503529 -500.737519804882</f>
        <v>-1395.9687842359549</v>
      </c>
      <c r="P368">
        <f>-875.714615447262 -132.845330459097 -217.797596421983</f>
        <v>-1226.3575423283419</v>
      </c>
      <c r="Q368">
        <f>-673.231483449092 -73.5125433282863 -334.120883965194</f>
        <v>-1080.8649107425722</v>
      </c>
      <c r="R368" t="s">
        <v>7110</v>
      </c>
      <c r="S368" t="s">
        <v>7111</v>
      </c>
      <c r="T368" t="s">
        <v>7112</v>
      </c>
      <c r="U368" t="s">
        <v>7113</v>
      </c>
      <c r="V368">
        <f>-743.262593769466 -3.57185047253915 -66.733618559929</f>
        <v>-813.56806280193416</v>
      </c>
      <c r="W368" t="s">
        <v>7114</v>
      </c>
      <c r="X368" t="s">
        <v>7115</v>
      </c>
      <c r="Y368" t="s">
        <v>7116</v>
      </c>
    </row>
    <row r="369" spans="1:25" x14ac:dyDescent="0.3">
      <c r="A369">
        <v>18400</v>
      </c>
      <c r="B369" t="s">
        <v>7117</v>
      </c>
      <c r="C369" t="s">
        <v>7118</v>
      </c>
      <c r="D369" t="s">
        <v>7119</v>
      </c>
      <c r="E369" t="s">
        <v>7120</v>
      </c>
      <c r="F369" t="s">
        <v>7121</v>
      </c>
      <c r="G369" t="s">
        <v>7122</v>
      </c>
      <c r="H369" t="s">
        <v>7123</v>
      </c>
      <c r="I369" t="s">
        <v>7124</v>
      </c>
      <c r="J369" t="s">
        <v>7125</v>
      </c>
      <c r="K369" t="s">
        <v>7126</v>
      </c>
      <c r="L369" t="s">
        <v>7127</v>
      </c>
      <c r="M369" t="s">
        <v>7128</v>
      </c>
      <c r="N369" t="s">
        <v>7129</v>
      </c>
      <c r="O369">
        <f>-826.470872520073 -69.5291789523872 -500.698289495071</f>
        <v>-1396.6983409675313</v>
      </c>
      <c r="P369">
        <f>-876.019449795017 -132.812938963259 -217.623524025027</f>
        <v>-1226.4559127833031</v>
      </c>
      <c r="Q369">
        <f>-673.049277457707 -73.9924934794137 -333.356789055802</f>
        <v>-1080.3985599929229</v>
      </c>
      <c r="R369" t="s">
        <v>7130</v>
      </c>
      <c r="S369" t="s">
        <v>7131</v>
      </c>
      <c r="T369" t="s">
        <v>7132</v>
      </c>
      <c r="U369" t="s">
        <v>7133</v>
      </c>
      <c r="V369">
        <f>-743.969182214885 -4.17838317007363 -66.771706845288</f>
        <v>-814.91927223024663</v>
      </c>
      <c r="W369" t="s">
        <v>7134</v>
      </c>
      <c r="X369" t="s">
        <v>7135</v>
      </c>
      <c r="Y369" t="s">
        <v>7136</v>
      </c>
    </row>
    <row r="370" spans="1:25" x14ac:dyDescent="0.3">
      <c r="A370">
        <v>18450</v>
      </c>
      <c r="B370" t="s">
        <v>7137</v>
      </c>
      <c r="C370" t="s">
        <v>7138</v>
      </c>
      <c r="D370" t="s">
        <v>7139</v>
      </c>
      <c r="E370" t="s">
        <v>7140</v>
      </c>
      <c r="F370" t="s">
        <v>7141</v>
      </c>
      <c r="G370" t="s">
        <v>7142</v>
      </c>
      <c r="H370" t="s">
        <v>7143</v>
      </c>
      <c r="I370" t="s">
        <v>7144</v>
      </c>
      <c r="J370" t="s">
        <v>7145</v>
      </c>
      <c r="K370" t="s">
        <v>7146</v>
      </c>
      <c r="L370" t="s">
        <v>7147</v>
      </c>
      <c r="M370" t="s">
        <v>7148</v>
      </c>
      <c r="N370" t="s">
        <v>7149</v>
      </c>
      <c r="O370">
        <f>-826.613547245312 -69.983961386388 -500.618912004785</f>
        <v>-1397.2164206364851</v>
      </c>
      <c r="P370">
        <f>-876.036992589086 -132.988018538436 -217.460045813716</f>
        <v>-1226.4850569412381</v>
      </c>
      <c r="Q370">
        <f>-673.04967237888 -73.9768594989448 -333.065754852163</f>
        <v>-1080.0922867299878</v>
      </c>
      <c r="R370" t="s">
        <v>7150</v>
      </c>
      <c r="S370" t="s">
        <v>7151</v>
      </c>
      <c r="T370" t="s">
        <v>7152</v>
      </c>
      <c r="U370" t="s">
        <v>7153</v>
      </c>
      <c r="V370">
        <f>-744.116345364381 -4.37737924153089 -66.7767349501371</f>
        <v>-815.27045955604899</v>
      </c>
      <c r="W370" t="s">
        <v>7154</v>
      </c>
      <c r="X370" t="s">
        <v>7155</v>
      </c>
      <c r="Y370" t="s">
        <v>7156</v>
      </c>
    </row>
    <row r="371" spans="1:25" x14ac:dyDescent="0.3">
      <c r="A371">
        <v>18500</v>
      </c>
      <c r="B371" t="s">
        <v>7157</v>
      </c>
      <c r="C371" t="s">
        <v>7158</v>
      </c>
      <c r="D371" t="s">
        <v>7159</v>
      </c>
      <c r="E371" t="s">
        <v>7160</v>
      </c>
      <c r="F371" t="s">
        <v>7161</v>
      </c>
      <c r="G371" t="s">
        <v>7162</v>
      </c>
      <c r="H371" t="s">
        <v>7163</v>
      </c>
      <c r="I371" t="s">
        <v>7164</v>
      </c>
      <c r="J371" t="s">
        <v>7165</v>
      </c>
      <c r="K371" t="s">
        <v>7166</v>
      </c>
      <c r="L371" t="s">
        <v>7167</v>
      </c>
      <c r="M371" t="s">
        <v>7168</v>
      </c>
      <c r="N371" t="s">
        <v>7169</v>
      </c>
      <c r="O371">
        <f>-826.227860873611 -71.0015090261361 -500.419144914068</f>
        <v>-1397.6485148138152</v>
      </c>
      <c r="P371">
        <f>-874.84967908228 -133.683775104465 -217.04995015487</f>
        <v>-1225.5834043416151</v>
      </c>
      <c r="Q371">
        <f>-672.162855282892 -74.1986517119694 -332.939823364228</f>
        <v>-1079.3013303590894</v>
      </c>
      <c r="R371" t="s">
        <v>7170</v>
      </c>
      <c r="S371" t="s">
        <v>7171</v>
      </c>
      <c r="T371" t="s">
        <v>7172</v>
      </c>
      <c r="U371" t="s">
        <v>7173</v>
      </c>
      <c r="V371">
        <f>-743.934345960256 -5.02402082704339 -66.8518578756423</f>
        <v>-815.81022466294166</v>
      </c>
      <c r="W371" t="s">
        <v>7174</v>
      </c>
      <c r="X371" t="s">
        <v>7175</v>
      </c>
      <c r="Y371" t="s">
        <v>7176</v>
      </c>
    </row>
    <row r="372" spans="1:25" x14ac:dyDescent="0.3">
      <c r="A372">
        <v>18550</v>
      </c>
      <c r="B372" t="s">
        <v>7177</v>
      </c>
      <c r="C372" t="s">
        <v>7178</v>
      </c>
      <c r="D372" t="s">
        <v>7179</v>
      </c>
      <c r="E372" t="s">
        <v>7180</v>
      </c>
      <c r="F372" t="s">
        <v>7181</v>
      </c>
      <c r="G372" t="s">
        <v>7182</v>
      </c>
      <c r="H372" t="s">
        <v>7183</v>
      </c>
      <c r="I372" t="s">
        <v>7184</v>
      </c>
      <c r="J372" t="s">
        <v>7185</v>
      </c>
      <c r="K372" t="s">
        <v>7186</v>
      </c>
      <c r="L372" t="s">
        <v>7187</v>
      </c>
      <c r="M372" t="s">
        <v>7188</v>
      </c>
      <c r="N372" t="s">
        <v>7189</v>
      </c>
      <c r="O372">
        <f>-825.362219363479 -71.6009731616703 -500.292172919206</f>
        <v>-1397.2553654443552</v>
      </c>
      <c r="P372">
        <f>-873.6367533517 -134.088299348404 -216.820745413372</f>
        <v>-1224.5457981134759</v>
      </c>
      <c r="Q372">
        <f>-671.14412186477 -74.3790336035604 -332.934240384795</f>
        <v>-1078.4573958531255</v>
      </c>
      <c r="R372" t="s">
        <v>7190</v>
      </c>
      <c r="S372" t="s">
        <v>7191</v>
      </c>
      <c r="T372" t="s">
        <v>7192</v>
      </c>
      <c r="U372" t="s">
        <v>7193</v>
      </c>
      <c r="V372">
        <f>-743.7419085245 -5.35703224676217 -66.8731171784941</f>
        <v>-815.97205794975628</v>
      </c>
      <c r="W372" t="s">
        <v>7194</v>
      </c>
      <c r="X372" t="s">
        <v>7195</v>
      </c>
      <c r="Y372" t="s">
        <v>7196</v>
      </c>
    </row>
    <row r="373" spans="1:25" x14ac:dyDescent="0.3">
      <c r="A373">
        <v>18600</v>
      </c>
      <c r="B373" t="s">
        <v>7197</v>
      </c>
      <c r="C373" t="s">
        <v>7198</v>
      </c>
      <c r="D373" t="s">
        <v>7199</v>
      </c>
      <c r="E373" t="s">
        <v>7200</v>
      </c>
      <c r="F373" t="s">
        <v>7201</v>
      </c>
      <c r="G373" t="s">
        <v>7202</v>
      </c>
      <c r="H373" t="s">
        <v>7203</v>
      </c>
      <c r="I373" t="s">
        <v>7204</v>
      </c>
      <c r="J373" t="s">
        <v>7205</v>
      </c>
      <c r="K373" t="s">
        <v>7206</v>
      </c>
      <c r="L373" t="s">
        <v>7207</v>
      </c>
      <c r="M373" t="s">
        <v>7208</v>
      </c>
      <c r="N373" t="s">
        <v>7209</v>
      </c>
      <c r="O373">
        <f>-823.859839120922 -72.8448411214399 -500.115393320791</f>
        <v>-1396.8200735631528</v>
      </c>
      <c r="P373">
        <f>-871.749692488813 -134.669508482899 -216.433254131642</f>
        <v>-1222.852455103354</v>
      </c>
      <c r="Q373">
        <f>-669.566740636136 -74.5948437226584 -332.897463149638</f>
        <v>-1077.0590475084325</v>
      </c>
      <c r="R373" t="s">
        <v>7210</v>
      </c>
      <c r="S373" t="s">
        <v>7211</v>
      </c>
      <c r="T373" t="s">
        <v>7212</v>
      </c>
      <c r="U373" t="s">
        <v>7213</v>
      </c>
      <c r="V373">
        <f>-742.894785986471 -5.78892024706329 -66.9236360486061</f>
        <v>-815.60734228214039</v>
      </c>
      <c r="W373" t="s">
        <v>7214</v>
      </c>
      <c r="X373" t="s">
        <v>7215</v>
      </c>
      <c r="Y373" t="s">
        <v>7216</v>
      </c>
    </row>
    <row r="374" spans="1:25" x14ac:dyDescent="0.3">
      <c r="A374">
        <v>18650</v>
      </c>
      <c r="B374" t="s">
        <v>7217</v>
      </c>
      <c r="C374" t="s">
        <v>7218</v>
      </c>
      <c r="D374" t="s">
        <v>7219</v>
      </c>
      <c r="E374" t="s">
        <v>7220</v>
      </c>
      <c r="F374" t="s">
        <v>7221</v>
      </c>
      <c r="G374" t="s">
        <v>7222</v>
      </c>
      <c r="H374" t="s">
        <v>7223</v>
      </c>
      <c r="I374" t="s">
        <v>7224</v>
      </c>
      <c r="J374" t="s">
        <v>7225</v>
      </c>
      <c r="K374" t="s">
        <v>7226</v>
      </c>
      <c r="L374" t="s">
        <v>7227</v>
      </c>
      <c r="M374" t="s">
        <v>7228</v>
      </c>
      <c r="N374" t="s">
        <v>7229</v>
      </c>
      <c r="O374">
        <f>-823.504278626802 -73.3751807332835 -500.003319328141</f>
        <v>-1396.8827786882266</v>
      </c>
      <c r="P374">
        <f>-870.942510679882 -134.844093403724 -216.168238619792</f>
        <v>-1221.9548427033981</v>
      </c>
      <c r="Q374">
        <f>-668.972958101721 -74.632008467288 -332.931721485578</f>
        <v>-1076.5366880545871</v>
      </c>
      <c r="R374" t="s">
        <v>7230</v>
      </c>
      <c r="S374" t="s">
        <v>7231</v>
      </c>
      <c r="T374" t="s">
        <v>7232</v>
      </c>
      <c r="U374" t="s">
        <v>7233</v>
      </c>
      <c r="V374">
        <f>-742.324581800624 -5.9798636920691 -66.9585702114373</f>
        <v>-815.26301570413034</v>
      </c>
      <c r="W374" t="s">
        <v>7234</v>
      </c>
      <c r="X374" t="s">
        <v>7235</v>
      </c>
      <c r="Y374" t="s">
        <v>7236</v>
      </c>
    </row>
    <row r="375" spans="1:25" x14ac:dyDescent="0.3">
      <c r="A375">
        <v>18700</v>
      </c>
      <c r="B375" t="s">
        <v>7237</v>
      </c>
      <c r="C375" t="s">
        <v>7238</v>
      </c>
      <c r="D375" t="s">
        <v>7239</v>
      </c>
      <c r="E375" t="s">
        <v>7240</v>
      </c>
      <c r="F375" t="s">
        <v>7241</v>
      </c>
      <c r="G375" t="s">
        <v>7242</v>
      </c>
      <c r="H375" t="s">
        <v>7243</v>
      </c>
      <c r="I375" t="s">
        <v>7244</v>
      </c>
      <c r="J375" t="s">
        <v>7245</v>
      </c>
      <c r="K375" t="s">
        <v>7246</v>
      </c>
      <c r="L375" t="s">
        <v>7247</v>
      </c>
      <c r="M375" t="s">
        <v>7248</v>
      </c>
      <c r="N375" t="s">
        <v>7249</v>
      </c>
      <c r="O375">
        <f>-823.242337263059 -74.6111560976972 -499.700671753849</f>
        <v>-1397.5541651146052</v>
      </c>
      <c r="P375">
        <f>-869.331406902185 -135.294152984684 -215.474351618496</f>
        <v>-1220.0999115053651</v>
      </c>
      <c r="Q375">
        <f>-668.064946684686 -74.8124490551984 -333.307627547522</f>
        <v>-1076.1850232874062</v>
      </c>
      <c r="R375" t="s">
        <v>7250</v>
      </c>
      <c r="S375" t="s">
        <v>7251</v>
      </c>
      <c r="T375" t="s">
        <v>7252</v>
      </c>
      <c r="U375" t="s">
        <v>7253</v>
      </c>
      <c r="V375">
        <f>-741.264594328921 -6.38718779253031 -67.0154162323028</f>
        <v>-814.66719835375409</v>
      </c>
      <c r="W375" t="s">
        <v>7254</v>
      </c>
      <c r="X375" t="s">
        <v>7255</v>
      </c>
      <c r="Y375" t="s">
        <v>7256</v>
      </c>
    </row>
    <row r="376" spans="1:25" x14ac:dyDescent="0.3">
      <c r="A376">
        <v>18750</v>
      </c>
      <c r="B376" t="s">
        <v>7257</v>
      </c>
      <c r="C376" t="s">
        <v>7258</v>
      </c>
      <c r="D376" t="s">
        <v>7259</v>
      </c>
      <c r="E376" t="s">
        <v>7260</v>
      </c>
      <c r="F376" t="s">
        <v>7261</v>
      </c>
      <c r="G376" t="s">
        <v>7262</v>
      </c>
      <c r="H376" t="s">
        <v>7263</v>
      </c>
      <c r="I376" t="s">
        <v>7264</v>
      </c>
      <c r="J376" t="s">
        <v>7265</v>
      </c>
      <c r="K376" t="s">
        <v>7266</v>
      </c>
      <c r="L376" t="s">
        <v>7267</v>
      </c>
      <c r="M376" t="s">
        <v>7268</v>
      </c>
      <c r="N376" t="s">
        <v>7269</v>
      </c>
      <c r="O376">
        <f>-823.283036929351 -75.3636973289019 -499.407192620467</f>
        <v>-1398.0539268787199</v>
      </c>
      <c r="P376">
        <f>-867.913479391777 -135.710256520816 -214.876564769538</f>
        <v>-1218.500300682131</v>
      </c>
      <c r="Q376">
        <f>-667.251631475119 -74.9710444152731 -333.605250023366</f>
        <v>-1075.827925913758</v>
      </c>
      <c r="R376" t="s">
        <v>7270</v>
      </c>
      <c r="S376" t="s">
        <v>7271</v>
      </c>
      <c r="T376" t="s">
        <v>7272</v>
      </c>
      <c r="U376" t="s">
        <v>7273</v>
      </c>
      <c r="V376">
        <f>-740.59866558023 -6.3280938737139 -67.0473978240273</f>
        <v>-813.97415727797113</v>
      </c>
      <c r="W376" t="s">
        <v>7274</v>
      </c>
      <c r="X376" t="s">
        <v>7275</v>
      </c>
      <c r="Y376" t="s">
        <v>7276</v>
      </c>
    </row>
    <row r="377" spans="1:25" x14ac:dyDescent="0.3">
      <c r="A377">
        <v>18800</v>
      </c>
      <c r="B377" t="s">
        <v>7277</v>
      </c>
      <c r="C377" t="s">
        <v>7278</v>
      </c>
      <c r="D377" t="s">
        <v>7279</v>
      </c>
      <c r="E377" t="s">
        <v>7280</v>
      </c>
      <c r="F377" t="s">
        <v>7281</v>
      </c>
      <c r="G377" t="s">
        <v>7282</v>
      </c>
      <c r="H377" t="s">
        <v>7283</v>
      </c>
      <c r="I377" t="s">
        <v>7284</v>
      </c>
      <c r="J377" t="s">
        <v>7285</v>
      </c>
      <c r="K377" t="s">
        <v>7286</v>
      </c>
      <c r="L377" t="s">
        <v>7287</v>
      </c>
      <c r="M377" t="s">
        <v>7288</v>
      </c>
      <c r="N377" t="s">
        <v>7289</v>
      </c>
      <c r="O377">
        <f>-823.599843364261 -77.7690916901697 -498.588308955114</f>
        <v>-1399.9572440095446</v>
      </c>
      <c r="P377">
        <f>-863.757015647337 -137.379668708109 -213.237278376656</f>
        <v>-1214.373962732102</v>
      </c>
      <c r="Q377">
        <f>-664.975523750428 -75.6528710192522 -334.590483543498</f>
        <v>-1075.2188783131783</v>
      </c>
      <c r="R377" t="s">
        <v>7290</v>
      </c>
      <c r="S377" t="s">
        <v>7291</v>
      </c>
      <c r="T377" t="s">
        <v>7292</v>
      </c>
      <c r="U377" t="s">
        <v>7293</v>
      </c>
      <c r="V377">
        <f>-739.211375910521 -6.84712765314998 -67.0990248627867</f>
        <v>-813.1575284264577</v>
      </c>
      <c r="W377" t="s">
        <v>7294</v>
      </c>
      <c r="X377" t="s">
        <v>7295</v>
      </c>
      <c r="Y377" t="s">
        <v>7296</v>
      </c>
    </row>
    <row r="378" spans="1:25" x14ac:dyDescent="0.3">
      <c r="A378">
        <v>18850</v>
      </c>
      <c r="B378" t="s">
        <v>7297</v>
      </c>
      <c r="C378" t="s">
        <v>7298</v>
      </c>
      <c r="D378" t="s">
        <v>7299</v>
      </c>
      <c r="E378" t="s">
        <v>7300</v>
      </c>
      <c r="F378" t="s">
        <v>7301</v>
      </c>
      <c r="G378" t="s">
        <v>7302</v>
      </c>
      <c r="H378" t="s">
        <v>7303</v>
      </c>
      <c r="I378" t="s">
        <v>7304</v>
      </c>
      <c r="J378" t="s">
        <v>7305</v>
      </c>
      <c r="K378" t="s">
        <v>7306</v>
      </c>
      <c r="L378" t="s">
        <v>7307</v>
      </c>
      <c r="M378" t="s">
        <v>7308</v>
      </c>
      <c r="N378" t="s">
        <v>7309</v>
      </c>
      <c r="O378">
        <f>-823.502842735793 -79.104541277055 -498.115823884686</f>
        <v>-1400.7232078975339</v>
      </c>
      <c r="P378">
        <f>-860.349923635159 -138.502796267589 -212.274367008701</f>
        <v>-1211.1270869114492</v>
      </c>
      <c r="Q378">
        <f>-663.235057734224 -75.8836269684448 -335.868211152011</f>
        <v>-1074.9868958546799</v>
      </c>
      <c r="R378" t="s">
        <v>7310</v>
      </c>
      <c r="S378" t="s">
        <v>7311</v>
      </c>
      <c r="T378" t="s">
        <v>7312</v>
      </c>
      <c r="U378" t="s">
        <v>7313</v>
      </c>
      <c r="V378">
        <f>-738.596928679043 -7.17824909614956 -67.1326938390977</f>
        <v>-812.90787161429023</v>
      </c>
      <c r="W378" t="s">
        <v>7314</v>
      </c>
      <c r="X378" t="s">
        <v>7315</v>
      </c>
      <c r="Y378" t="s">
        <v>7316</v>
      </c>
    </row>
    <row r="379" spans="1:25" x14ac:dyDescent="0.3">
      <c r="A379">
        <v>18900</v>
      </c>
      <c r="B379" t="s">
        <v>7317</v>
      </c>
      <c r="C379" t="s">
        <v>7318</v>
      </c>
      <c r="D379" t="s">
        <v>7319</v>
      </c>
      <c r="E379" t="s">
        <v>7320</v>
      </c>
      <c r="F379" t="s">
        <v>7321</v>
      </c>
      <c r="G379" t="s">
        <v>7322</v>
      </c>
      <c r="H379" t="s">
        <v>7323</v>
      </c>
      <c r="I379" t="s">
        <v>7324</v>
      </c>
      <c r="J379" t="s">
        <v>7325</v>
      </c>
      <c r="K379" t="s">
        <v>7326</v>
      </c>
      <c r="L379" t="s">
        <v>7327</v>
      </c>
      <c r="M379" t="s">
        <v>7328</v>
      </c>
      <c r="N379" t="s">
        <v>7329</v>
      </c>
      <c r="O379">
        <f>-823.530959512283 -80.2504032369657 -497.6334541179</f>
        <v>-1401.4148168671486</v>
      </c>
      <c r="P379">
        <f>-855.772427792679 -139.72233304533 -211.251154330513</f>
        <v>-1206.7459151685218</v>
      </c>
      <c r="Q379">
        <f>-660.865834311713 -75.5609231359515 -337.526948592375</f>
        <v>-1073.9537060400394</v>
      </c>
      <c r="R379" t="s">
        <v>7330</v>
      </c>
      <c r="S379" t="s">
        <v>7331</v>
      </c>
      <c r="T379" t="s">
        <v>7332</v>
      </c>
      <c r="U379" t="s">
        <v>7333</v>
      </c>
      <c r="V379">
        <f>-738.207464423195 -7.5263289460454 -67.1634633318682</f>
        <v>-812.89725670110863</v>
      </c>
      <c r="W379" t="s">
        <v>7334</v>
      </c>
      <c r="X379" t="s">
        <v>7335</v>
      </c>
      <c r="Y379" t="s">
        <v>7336</v>
      </c>
    </row>
    <row r="380" spans="1:25" x14ac:dyDescent="0.3">
      <c r="A380">
        <v>18950</v>
      </c>
      <c r="B380" t="s">
        <v>7337</v>
      </c>
      <c r="C380" t="s">
        <v>7338</v>
      </c>
      <c r="D380" t="s">
        <v>7339</v>
      </c>
      <c r="E380" t="s">
        <v>7340</v>
      </c>
      <c r="F380" t="s">
        <v>7341</v>
      </c>
      <c r="G380" t="s">
        <v>7342</v>
      </c>
      <c r="H380" t="s">
        <v>7343</v>
      </c>
      <c r="I380" t="s">
        <v>7344</v>
      </c>
      <c r="J380" t="s">
        <v>7345</v>
      </c>
      <c r="K380" t="s">
        <v>7346</v>
      </c>
      <c r="L380" t="s">
        <v>7347</v>
      </c>
      <c r="M380" t="s">
        <v>7348</v>
      </c>
      <c r="N380" t="s">
        <v>7349</v>
      </c>
      <c r="O380">
        <f>-823.626037335321 -81.439900293856 -496.849435128449</f>
        <v>-1401.9153727576261</v>
      </c>
      <c r="P380">
        <f>-843.969573630671 -140.829386900668 -209.359825949782</f>
        <v>-1194.1587864811208</v>
      </c>
      <c r="Q380">
        <f>-654.684520600132 -73.3089400047936 -342.262536604747</f>
        <v>-1070.2559972096726</v>
      </c>
      <c r="R380" t="s">
        <v>7350</v>
      </c>
      <c r="S380" t="s">
        <v>7351</v>
      </c>
      <c r="T380" t="s">
        <v>7352</v>
      </c>
      <c r="U380" t="s">
        <v>7353</v>
      </c>
      <c r="V380">
        <f>-737.952349316865 -7.66323312453005 -67.3231059942309</f>
        <v>-812.93868843562598</v>
      </c>
      <c r="W380" t="s">
        <v>7354</v>
      </c>
      <c r="X380" t="s">
        <v>7355</v>
      </c>
      <c r="Y380" t="s">
        <v>7356</v>
      </c>
    </row>
    <row r="381" spans="1:25" x14ac:dyDescent="0.3">
      <c r="A381">
        <v>19000</v>
      </c>
      <c r="B381" t="s">
        <v>7357</v>
      </c>
      <c r="C381" t="s">
        <v>7358</v>
      </c>
      <c r="D381" t="s">
        <v>7359</v>
      </c>
      <c r="E381" t="s">
        <v>7360</v>
      </c>
      <c r="F381" t="s">
        <v>7361</v>
      </c>
      <c r="G381" t="s">
        <v>7362</v>
      </c>
      <c r="H381" t="s">
        <v>7363</v>
      </c>
      <c r="I381" t="s">
        <v>7364</v>
      </c>
      <c r="J381" t="s">
        <v>7365</v>
      </c>
      <c r="K381" t="s">
        <v>7366</v>
      </c>
      <c r="L381" t="s">
        <v>7367</v>
      </c>
      <c r="M381" t="s">
        <v>7368</v>
      </c>
      <c r="N381" t="s">
        <v>7369</v>
      </c>
      <c r="O381">
        <f>-822.457977392177 -81.7817964904082 -496.161156939805</f>
        <v>-1400.4009308223901</v>
      </c>
      <c r="P381">
        <f>-832.475021899048 -139.935135064511 -207.874712833615</f>
        <v>-1180.284869797174</v>
      </c>
      <c r="Q381">
        <f>-648.947219877681 -68.4213297964081 -346.633978852818</f>
        <v>-1064.0025285269071</v>
      </c>
      <c r="R381" t="s">
        <v>7370</v>
      </c>
      <c r="S381" t="s">
        <v>7371</v>
      </c>
      <c r="T381" t="s">
        <v>7372</v>
      </c>
      <c r="U381" t="s">
        <v>7373</v>
      </c>
      <c r="V381">
        <f>-737.520968400265 -7.20992150521352 -67.4048382751134</f>
        <v>-812.13572818059197</v>
      </c>
      <c r="W381" t="s">
        <v>7374</v>
      </c>
      <c r="X381" t="s">
        <v>7375</v>
      </c>
      <c r="Y381" t="s">
        <v>7376</v>
      </c>
    </row>
    <row r="382" spans="1:25" x14ac:dyDescent="0.3">
      <c r="A382">
        <v>19050</v>
      </c>
      <c r="B382" t="s">
        <v>7377</v>
      </c>
      <c r="C382" t="s">
        <v>7378</v>
      </c>
      <c r="D382" t="s">
        <v>7379</v>
      </c>
      <c r="E382" t="s">
        <v>7380</v>
      </c>
      <c r="F382" t="s">
        <v>7381</v>
      </c>
      <c r="G382" t="s">
        <v>7382</v>
      </c>
      <c r="H382" t="s">
        <v>7383</v>
      </c>
      <c r="I382" t="s">
        <v>7384</v>
      </c>
      <c r="J382" t="s">
        <v>7385</v>
      </c>
      <c r="K382" t="s">
        <v>7386</v>
      </c>
      <c r="L382" t="s">
        <v>7387</v>
      </c>
      <c r="M382" t="s">
        <v>7388</v>
      </c>
      <c r="N382" t="s">
        <v>7389</v>
      </c>
      <c r="O382">
        <f>-821.414851628955 -82.0797852072465 -495.969550422147</f>
        <v>-1399.4641872583484</v>
      </c>
      <c r="P382">
        <f>-827.939997644474 -138.999734793568 -207.336976876287</f>
        <v>-1174.2767093143291</v>
      </c>
      <c r="Q382">
        <f>-646.659917055715 -65.805988967737 -348.159984564359</f>
        <v>-1060.625890587811</v>
      </c>
      <c r="R382" t="s">
        <v>7390</v>
      </c>
      <c r="S382" t="s">
        <v>7391</v>
      </c>
      <c r="T382" t="s">
        <v>7392</v>
      </c>
      <c r="U382" t="s">
        <v>7393</v>
      </c>
      <c r="V382">
        <f>-736.884932344684 -7.10450511041063 -67.426154233857</f>
        <v>-811.41559168895162</v>
      </c>
      <c r="W382" t="s">
        <v>7394</v>
      </c>
      <c r="X382" t="s">
        <v>7395</v>
      </c>
      <c r="Y382" t="s">
        <v>7396</v>
      </c>
    </row>
    <row r="383" spans="1:25" x14ac:dyDescent="0.3">
      <c r="A383">
        <v>19100</v>
      </c>
      <c r="B383" t="s">
        <v>7397</v>
      </c>
      <c r="C383" t="s">
        <v>7398</v>
      </c>
      <c r="D383" t="s">
        <v>7399</v>
      </c>
      <c r="E383" t="s">
        <v>7400</v>
      </c>
      <c r="F383" t="s">
        <v>7401</v>
      </c>
      <c r="G383" t="s">
        <v>7402</v>
      </c>
      <c r="H383" t="s">
        <v>7403</v>
      </c>
      <c r="I383" t="s">
        <v>7404</v>
      </c>
      <c r="J383" t="s">
        <v>7405</v>
      </c>
      <c r="K383" t="s">
        <v>7406</v>
      </c>
      <c r="L383" t="s">
        <v>7407</v>
      </c>
      <c r="M383" t="s">
        <v>7408</v>
      </c>
      <c r="N383" t="s">
        <v>7409</v>
      </c>
      <c r="O383">
        <f>-818.700304120809 -83.3996934327749 -495.65048762622</f>
        <v>-1397.7504851798039</v>
      </c>
      <c r="P383">
        <f>-822.492622781426 -137.550700090984 -206.436918579651</f>
        <v>-1166.4802414520611</v>
      </c>
      <c r="Q383">
        <f>-644.053260796502 -61.1406471195814 -349.166589452381</f>
        <v>-1054.3604973684644</v>
      </c>
      <c r="R383" t="s">
        <v>7410</v>
      </c>
      <c r="S383" t="s">
        <v>7411</v>
      </c>
      <c r="T383" t="s">
        <v>7412</v>
      </c>
      <c r="U383" t="s">
        <v>7413</v>
      </c>
      <c r="V383">
        <f>-735.091564882234 -7.2662291401839 -67.4657495436628</f>
        <v>-809.82354356608073</v>
      </c>
      <c r="W383" t="s">
        <v>7414</v>
      </c>
      <c r="X383" t="s">
        <v>7415</v>
      </c>
      <c r="Y383" t="s">
        <v>7416</v>
      </c>
    </row>
    <row r="384" spans="1:25" x14ac:dyDescent="0.3">
      <c r="A384">
        <v>19150</v>
      </c>
      <c r="B384" t="s">
        <v>7417</v>
      </c>
      <c r="C384" t="s">
        <v>7418</v>
      </c>
      <c r="D384" t="s">
        <v>7419</v>
      </c>
      <c r="E384" t="s">
        <v>7420</v>
      </c>
      <c r="F384" t="s">
        <v>7421</v>
      </c>
      <c r="G384" t="s">
        <v>7422</v>
      </c>
      <c r="H384" t="s">
        <v>7423</v>
      </c>
      <c r="I384" t="s">
        <v>7424</v>
      </c>
      <c r="J384" t="s">
        <v>7425</v>
      </c>
      <c r="K384" t="s">
        <v>7426</v>
      </c>
      <c r="L384" t="s">
        <v>7427</v>
      </c>
      <c r="M384" t="s">
        <v>7428</v>
      </c>
      <c r="N384" t="s">
        <v>7429</v>
      </c>
      <c r="O384">
        <f>-817.323656677469 -84.3636065690439 -495.472972216563</f>
        <v>-1397.1602354630759</v>
      </c>
      <c r="P384">
        <f>-821.1869355253 -136.474904661679 -205.885925516039</f>
        <v>-1163.5477657030181</v>
      </c>
      <c r="Q384">
        <f>-643.034388248549 -59.4686811697366 -348.653605846495</f>
        <v>-1051.1566752647805</v>
      </c>
      <c r="R384" t="s">
        <v>7430</v>
      </c>
      <c r="S384" t="s">
        <v>7431</v>
      </c>
      <c r="T384" t="s">
        <v>7432</v>
      </c>
      <c r="U384" t="s">
        <v>7433</v>
      </c>
      <c r="V384">
        <f>-733.92891567523 -7.41876717257992 -67.4831637023318</f>
        <v>-808.8308465501417</v>
      </c>
      <c r="W384" t="s">
        <v>7434</v>
      </c>
      <c r="X384" t="s">
        <v>7435</v>
      </c>
      <c r="Y384" t="s">
        <v>7436</v>
      </c>
    </row>
    <row r="385" spans="1:25" x14ac:dyDescent="0.3">
      <c r="A385">
        <v>19200</v>
      </c>
      <c r="B385" t="s">
        <v>7437</v>
      </c>
      <c r="C385" t="s">
        <v>7438</v>
      </c>
      <c r="D385" t="s">
        <v>7439</v>
      </c>
      <c r="E385" t="s">
        <v>7440</v>
      </c>
      <c r="F385" t="s">
        <v>7441</v>
      </c>
      <c r="G385" t="s">
        <v>7442</v>
      </c>
      <c r="H385" t="s">
        <v>7443</v>
      </c>
      <c r="I385" t="s">
        <v>7444</v>
      </c>
      <c r="J385" t="s">
        <v>7445</v>
      </c>
      <c r="K385" t="s">
        <v>7446</v>
      </c>
      <c r="L385" t="s">
        <v>7447</v>
      </c>
      <c r="M385" t="s">
        <v>7448</v>
      </c>
      <c r="N385" t="s">
        <v>7449</v>
      </c>
      <c r="O385">
        <f>-814.869776646306 -86.336459234245 -494.849310748687</f>
        <v>-1396.0555466292381</v>
      </c>
      <c r="P385">
        <f>-820.41988812573 -133.964601322489 -204.51858812481</f>
        <v>-1158.9030775730291</v>
      </c>
      <c r="Q385">
        <f>-641.558369786151 -56.7192582321795 -346.266976398107</f>
        <v>-1044.5446044164376</v>
      </c>
      <c r="R385" t="s">
        <v>7450</v>
      </c>
      <c r="S385" t="s">
        <v>7451</v>
      </c>
      <c r="T385" t="s">
        <v>7452</v>
      </c>
      <c r="U385" t="s">
        <v>7453</v>
      </c>
      <c r="V385">
        <f>-731.573407323924 -7.65267644301139 -67.4903618594539</f>
        <v>-806.71644562638926</v>
      </c>
      <c r="W385" t="s">
        <v>7454</v>
      </c>
      <c r="X385" t="s">
        <v>7455</v>
      </c>
      <c r="Y385" t="s">
        <v>7456</v>
      </c>
    </row>
    <row r="386" spans="1:25" x14ac:dyDescent="0.3">
      <c r="A386">
        <v>19250</v>
      </c>
      <c r="B386" t="s">
        <v>7457</v>
      </c>
      <c r="C386" t="s">
        <v>7458</v>
      </c>
      <c r="D386" t="s">
        <v>7459</v>
      </c>
      <c r="E386" t="s">
        <v>7460</v>
      </c>
      <c r="F386" t="s">
        <v>7461</v>
      </c>
      <c r="G386" t="s">
        <v>7462</v>
      </c>
      <c r="H386" t="s">
        <v>7463</v>
      </c>
      <c r="I386" t="s">
        <v>7464</v>
      </c>
      <c r="J386" t="s">
        <v>7465</v>
      </c>
      <c r="K386" t="s">
        <v>7466</v>
      </c>
      <c r="L386" t="s">
        <v>7467</v>
      </c>
      <c r="M386" t="s">
        <v>7468</v>
      </c>
      <c r="N386" t="s">
        <v>7469</v>
      </c>
      <c r="O386">
        <f>-813.805131251531 -87.0191047566732 -494.575390620926</f>
        <v>-1395.3996266291301</v>
      </c>
      <c r="P386">
        <f>-820.661835072161 -132.569447688994 -203.939273756814</f>
        <v>-1157.1705565179689</v>
      </c>
      <c r="Q386">
        <f>-641.133106455914 -55.4234334830719 -344.896046465953</f>
        <v>-1041.452586404939</v>
      </c>
      <c r="R386" t="s">
        <v>7470</v>
      </c>
      <c r="S386" t="s">
        <v>7471</v>
      </c>
      <c r="T386" t="s">
        <v>7472</v>
      </c>
      <c r="U386" t="s">
        <v>7473</v>
      </c>
      <c r="V386">
        <f>-730.536220391042 -7.54824624772937 -67.4810748251696</f>
        <v>-805.56554146394092</v>
      </c>
      <c r="W386" t="s">
        <v>7474</v>
      </c>
      <c r="X386" t="s">
        <v>7475</v>
      </c>
      <c r="Y386" t="s">
        <v>7476</v>
      </c>
    </row>
    <row r="387" spans="1:25" x14ac:dyDescent="0.3">
      <c r="A387">
        <v>19300</v>
      </c>
      <c r="B387" t="s">
        <v>7477</v>
      </c>
      <c r="C387" t="s">
        <v>7478</v>
      </c>
      <c r="D387" t="s">
        <v>7479</v>
      </c>
      <c r="E387" t="s">
        <v>7480</v>
      </c>
      <c r="F387" t="s">
        <v>7481</v>
      </c>
      <c r="G387" t="s">
        <v>7482</v>
      </c>
      <c r="H387" t="s">
        <v>7483</v>
      </c>
      <c r="I387" t="s">
        <v>7484</v>
      </c>
      <c r="J387" t="s">
        <v>7485</v>
      </c>
      <c r="K387" t="s">
        <v>7486</v>
      </c>
      <c r="L387" t="s">
        <v>7487</v>
      </c>
      <c r="M387" t="s">
        <v>7488</v>
      </c>
      <c r="N387" t="s">
        <v>7489</v>
      </c>
      <c r="O387">
        <f>-812.026400788659 -87.8031642114645 -494.41374980838</f>
        <v>-1394.2433148085033</v>
      </c>
      <c r="P387">
        <f>-821.298485948363 -130.354102114463 -203.390382018497</f>
        <v>-1155.0429700813229</v>
      </c>
      <c r="Q387">
        <f>-639.898036011627 -53.6654037385488 -342.183683003621</f>
        <v>-1035.7471227537967</v>
      </c>
      <c r="R387" t="s">
        <v>7490</v>
      </c>
      <c r="S387" t="s">
        <v>7491</v>
      </c>
      <c r="T387" t="s">
        <v>7492</v>
      </c>
      <c r="U387" t="s">
        <v>7493</v>
      </c>
      <c r="V387">
        <f>-728.670534840503 -7.08696173168937 -67.471206482556</f>
        <v>-803.22870305474839</v>
      </c>
      <c r="W387" t="s">
        <v>7494</v>
      </c>
      <c r="X387" t="s">
        <v>7495</v>
      </c>
      <c r="Y387" t="s">
        <v>7496</v>
      </c>
    </row>
    <row r="388" spans="1:25" x14ac:dyDescent="0.3">
      <c r="A388">
        <v>19350</v>
      </c>
      <c r="B388" t="s">
        <v>7497</v>
      </c>
      <c r="C388" t="s">
        <v>7498</v>
      </c>
      <c r="D388" t="s">
        <v>7499</v>
      </c>
      <c r="E388" t="s">
        <v>7500</v>
      </c>
      <c r="F388" t="s">
        <v>7501</v>
      </c>
      <c r="G388" t="s">
        <v>7502</v>
      </c>
      <c r="H388" t="s">
        <v>7503</v>
      </c>
      <c r="I388" t="s">
        <v>7504</v>
      </c>
      <c r="J388" t="s">
        <v>7505</v>
      </c>
      <c r="K388" t="s">
        <v>7506</v>
      </c>
      <c r="L388" t="s">
        <v>7507</v>
      </c>
      <c r="M388" t="s">
        <v>7508</v>
      </c>
      <c r="N388" t="s">
        <v>7509</v>
      </c>
      <c r="O388">
        <f>-811.214584998975 -88.1082550570079 -494.451651903958</f>
        <v>-1393.7744919599409</v>
      </c>
      <c r="P388">
        <f>-821.423807613378 -129.465638558378 -203.287588243672</f>
        <v>-1154.1770344154281</v>
      </c>
      <c r="Q388">
        <f>-638.959703213399 -53.2742856444281 -340.955945583553</f>
        <v>-1033.18993444138</v>
      </c>
      <c r="R388" t="s">
        <v>7510</v>
      </c>
      <c r="S388" t="s">
        <v>7511</v>
      </c>
      <c r="T388" t="s">
        <v>7512</v>
      </c>
      <c r="U388" t="s">
        <v>7513</v>
      </c>
      <c r="V388">
        <f>-727.889321820101 -6.94950950228167 -67.4707033168874</f>
        <v>-802.30953463927005</v>
      </c>
      <c r="W388" t="s">
        <v>7514</v>
      </c>
      <c r="X388" t="s">
        <v>7515</v>
      </c>
      <c r="Y388" t="s">
        <v>7516</v>
      </c>
    </row>
    <row r="389" spans="1:25" x14ac:dyDescent="0.3">
      <c r="A389">
        <v>19400</v>
      </c>
      <c r="B389" t="s">
        <v>7517</v>
      </c>
      <c r="C389" t="s">
        <v>7518</v>
      </c>
      <c r="D389" t="s">
        <v>7519</v>
      </c>
      <c r="E389" t="s">
        <v>7520</v>
      </c>
      <c r="F389" t="s">
        <v>7521</v>
      </c>
      <c r="G389" t="s">
        <v>7522</v>
      </c>
      <c r="H389" t="s">
        <v>7523</v>
      </c>
      <c r="I389" t="s">
        <v>7524</v>
      </c>
      <c r="J389" t="s">
        <v>7525</v>
      </c>
      <c r="K389" t="s">
        <v>7526</v>
      </c>
      <c r="L389" t="s">
        <v>7527</v>
      </c>
      <c r="M389" t="s">
        <v>7528</v>
      </c>
      <c r="N389" t="s">
        <v>7529</v>
      </c>
      <c r="O389">
        <f>-809.629480768305 -88.9514253490172 -494.605337994262</f>
        <v>-1393.1862441115843</v>
      </c>
      <c r="P389">
        <f>-821.638796677662 -128.299162507972 -203.231578114709</f>
        <v>-1153.1695373003431</v>
      </c>
      <c r="Q389">
        <f>-637.22749058556 -54.448526137704 -339.574904662803</f>
        <v>-1031.2509213860669</v>
      </c>
      <c r="R389" t="s">
        <v>7530</v>
      </c>
      <c r="S389" t="s">
        <v>7531</v>
      </c>
      <c r="T389" t="s">
        <v>7532</v>
      </c>
      <c r="U389" t="s">
        <v>7533</v>
      </c>
      <c r="V389">
        <f>-726.555240890638 -7.10196584704727 -67.4894668347031</f>
        <v>-801.14667357238829</v>
      </c>
      <c r="W389" t="s">
        <v>7534</v>
      </c>
      <c r="X389" t="s">
        <v>7535</v>
      </c>
      <c r="Y389" t="s">
        <v>7536</v>
      </c>
    </row>
    <row r="390" spans="1:25" x14ac:dyDescent="0.3">
      <c r="A390">
        <v>19450</v>
      </c>
      <c r="B390" t="s">
        <v>7537</v>
      </c>
      <c r="C390" t="s">
        <v>7538</v>
      </c>
      <c r="D390" t="s">
        <v>7539</v>
      </c>
      <c r="E390" t="s">
        <v>7540</v>
      </c>
      <c r="F390" t="s">
        <v>7541</v>
      </c>
      <c r="G390" t="s">
        <v>7542</v>
      </c>
      <c r="H390" t="s">
        <v>7543</v>
      </c>
      <c r="I390" t="s">
        <v>7544</v>
      </c>
      <c r="J390" t="s">
        <v>7545</v>
      </c>
      <c r="K390" t="s">
        <v>7546</v>
      </c>
      <c r="L390" t="s">
        <v>7547</v>
      </c>
      <c r="M390" t="s">
        <v>7548</v>
      </c>
      <c r="N390" t="s">
        <v>7549</v>
      </c>
      <c r="O390">
        <f>-809.234942635901 -89.2592682748436 -494.724260038011</f>
        <v>-1393.2184709487556</v>
      </c>
      <c r="P390">
        <f>-822.207701174749 -127.293254649606 -203.217195349724</f>
        <v>-1152.7181511740789</v>
      </c>
      <c r="Q390">
        <f>-636.868592365403 -54.8900471822774 -339.077556919459</f>
        <v>-1030.8361964671394</v>
      </c>
      <c r="R390" t="s">
        <v>7550</v>
      </c>
      <c r="S390" t="s">
        <v>7551</v>
      </c>
      <c r="T390" t="s">
        <v>7552</v>
      </c>
      <c r="U390" t="s">
        <v>7553</v>
      </c>
      <c r="V390">
        <f>-726.07667284435 -7.09837968333932 -67.500289857004</f>
        <v>-800.67534238469329</v>
      </c>
      <c r="W390" t="s">
        <v>7554</v>
      </c>
      <c r="X390" t="s">
        <v>7555</v>
      </c>
      <c r="Y390" t="s">
        <v>7556</v>
      </c>
    </row>
    <row r="391" spans="1:25" x14ac:dyDescent="0.3">
      <c r="A391">
        <v>19500</v>
      </c>
      <c r="B391" t="s">
        <v>7557</v>
      </c>
      <c r="C391" t="s">
        <v>7558</v>
      </c>
      <c r="D391" t="s">
        <v>7559</v>
      </c>
      <c r="E391" t="s">
        <v>7560</v>
      </c>
      <c r="F391" t="s">
        <v>7561</v>
      </c>
      <c r="G391" t="s">
        <v>7562</v>
      </c>
      <c r="H391" t="s">
        <v>7563</v>
      </c>
      <c r="I391" t="s">
        <v>7564</v>
      </c>
      <c r="J391" t="s">
        <v>7565</v>
      </c>
      <c r="K391" t="s">
        <v>7566</v>
      </c>
      <c r="L391" t="s">
        <v>7567</v>
      </c>
      <c r="M391" t="s">
        <v>7568</v>
      </c>
      <c r="N391" t="s">
        <v>7569</v>
      </c>
      <c r="O391">
        <f>-809.031932710786 -89.4907232145588 -494.837499142798</f>
        <v>-1393.3601550681428</v>
      </c>
      <c r="P391">
        <f>-823.184984062874 -126.127579789304 -203.206493930182</f>
        <v>-1152.5190577823601</v>
      </c>
      <c r="Q391">
        <f>-636.718029106687 -55.2582611613539 -338.330723249205</f>
        <v>-1030.3070135172459</v>
      </c>
      <c r="R391" t="s">
        <v>7570</v>
      </c>
      <c r="S391" t="s">
        <v>7571</v>
      </c>
      <c r="T391" t="s">
        <v>7572</v>
      </c>
      <c r="U391" t="s">
        <v>7573</v>
      </c>
      <c r="V391">
        <f>-725.671650641327 -7.20708197339627 -67.5299325755925</f>
        <v>-800.40866519031579</v>
      </c>
      <c r="W391" t="s">
        <v>7574</v>
      </c>
      <c r="X391" t="s">
        <v>7575</v>
      </c>
      <c r="Y391" t="s">
        <v>7576</v>
      </c>
    </row>
    <row r="392" spans="1:25" x14ac:dyDescent="0.3">
      <c r="A392">
        <v>19550</v>
      </c>
      <c r="B392" t="s">
        <v>7577</v>
      </c>
      <c r="C392" t="s">
        <v>7578</v>
      </c>
      <c r="D392" t="s">
        <v>7579</v>
      </c>
      <c r="E392" t="s">
        <v>7580</v>
      </c>
      <c r="F392" t="s">
        <v>7581</v>
      </c>
      <c r="G392" t="s">
        <v>7582</v>
      </c>
      <c r="H392" t="s">
        <v>7583</v>
      </c>
      <c r="I392" t="s">
        <v>7584</v>
      </c>
      <c r="J392" t="s">
        <v>7585</v>
      </c>
      <c r="K392" t="s">
        <v>7586</v>
      </c>
      <c r="L392" t="s">
        <v>7587</v>
      </c>
      <c r="M392" t="s">
        <v>7588</v>
      </c>
      <c r="N392" t="s">
        <v>7589</v>
      </c>
      <c r="O392">
        <f>-808.818696190874 -90.1213611510304 -494.967375240142</f>
        <v>-1393.9074325820466</v>
      </c>
      <c r="P392">
        <f>-825.424246284441 -124.652043888892 -203.208865768388</f>
        <v>-1153.2851559417209</v>
      </c>
      <c r="Q392">
        <f>-636.3605283429 -55.9903052953111 -335.841279258361</f>
        <v>-1028.1921128965721</v>
      </c>
      <c r="R392" t="s">
        <v>7590</v>
      </c>
      <c r="S392" t="s">
        <v>7591</v>
      </c>
      <c r="T392" t="s">
        <v>7592</v>
      </c>
      <c r="U392" t="s">
        <v>7593</v>
      </c>
      <c r="V392">
        <f>-725.129474357846 -7.66651111304918 -67.637544977313</f>
        <v>-800.43353044820822</v>
      </c>
      <c r="W392" t="s">
        <v>7594</v>
      </c>
      <c r="X392" t="s">
        <v>7595</v>
      </c>
      <c r="Y392" t="s">
        <v>7596</v>
      </c>
    </row>
    <row r="393" spans="1:25" x14ac:dyDescent="0.3">
      <c r="A393">
        <v>19600</v>
      </c>
      <c r="B393" t="s">
        <v>7597</v>
      </c>
      <c r="C393" t="s">
        <v>7598</v>
      </c>
      <c r="D393" t="s">
        <v>7599</v>
      </c>
      <c r="E393" t="s">
        <v>7600</v>
      </c>
      <c r="F393" t="s">
        <v>7601</v>
      </c>
      <c r="G393" t="s">
        <v>7602</v>
      </c>
      <c r="H393" t="s">
        <v>7603</v>
      </c>
      <c r="I393" t="s">
        <v>7604</v>
      </c>
      <c r="J393" t="s">
        <v>7605</v>
      </c>
      <c r="K393" t="s">
        <v>7606</v>
      </c>
      <c r="L393" t="s">
        <v>7607</v>
      </c>
      <c r="M393" t="s">
        <v>7608</v>
      </c>
      <c r="N393" t="s">
        <v>7609</v>
      </c>
      <c r="O393">
        <f>-808.668175094013 -91.1403386768379 -495.133108150715</f>
        <v>-1394.9416219215659</v>
      </c>
      <c r="P393">
        <f>-829.243005276777 -124.537236702808 -203.495480224521</f>
        <v>-1157.2757222041062</v>
      </c>
      <c r="Q393">
        <f>-637.827805232523 -56.3214276925971 -332.946833930145</f>
        <v>-1027.0960668552652</v>
      </c>
      <c r="R393" t="s">
        <v>7610</v>
      </c>
      <c r="S393" t="s">
        <v>7611</v>
      </c>
      <c r="T393" t="s">
        <v>7612</v>
      </c>
      <c r="U393" t="s">
        <v>7613</v>
      </c>
      <c r="V393">
        <f>-725.221422853516 -8.49086567935592 -67.7601531514208</f>
        <v>-801.47244168429268</v>
      </c>
      <c r="W393" t="s">
        <v>7614</v>
      </c>
      <c r="X393" t="s">
        <v>7615</v>
      </c>
      <c r="Y393" t="s">
        <v>7616</v>
      </c>
    </row>
    <row r="394" spans="1:25" x14ac:dyDescent="0.3">
      <c r="A394">
        <v>19650</v>
      </c>
      <c r="B394" t="s">
        <v>7617</v>
      </c>
      <c r="C394" t="s">
        <v>7618</v>
      </c>
      <c r="D394" t="s">
        <v>7619</v>
      </c>
      <c r="E394" t="s">
        <v>7620</v>
      </c>
      <c r="F394" t="s">
        <v>7621</v>
      </c>
      <c r="G394" t="s">
        <v>7622</v>
      </c>
      <c r="H394" t="s">
        <v>7623</v>
      </c>
      <c r="I394" t="s">
        <v>7624</v>
      </c>
      <c r="J394" t="s">
        <v>7625</v>
      </c>
      <c r="K394" t="s">
        <v>7626</v>
      </c>
      <c r="L394" t="s">
        <v>7627</v>
      </c>
      <c r="M394" t="s">
        <v>7628</v>
      </c>
      <c r="N394" t="s">
        <v>7629</v>
      </c>
      <c r="O394">
        <f>-808.66322436385 -91.6265753647456 -495.271571676476</f>
        <v>-1395.5613714050714</v>
      </c>
      <c r="P394">
        <f>-831.424472100058 -124.74150453794 -203.764194581382</f>
        <v>-1159.9301712193801</v>
      </c>
      <c r="Q394">
        <f>-638.96162869962 -56.3153864214441 -331.540522185614</f>
        <v>-1026.8175373066781</v>
      </c>
      <c r="R394" t="s">
        <v>7630</v>
      </c>
      <c r="S394" t="s">
        <v>7631</v>
      </c>
      <c r="T394" t="s">
        <v>7632</v>
      </c>
      <c r="U394" t="s">
        <v>7633</v>
      </c>
      <c r="V394">
        <f>-725.387040318498 -8.94791361161015 -67.8170059394896</f>
        <v>-802.1519598695977</v>
      </c>
      <c r="W394" t="s">
        <v>7634</v>
      </c>
      <c r="X394" t="s">
        <v>7635</v>
      </c>
      <c r="Y394" t="s">
        <v>7636</v>
      </c>
    </row>
    <row r="395" spans="1:25" x14ac:dyDescent="0.3">
      <c r="A395">
        <v>19700</v>
      </c>
      <c r="B395" t="s">
        <v>7637</v>
      </c>
      <c r="C395" t="s">
        <v>7638</v>
      </c>
      <c r="D395" t="s">
        <v>7639</v>
      </c>
      <c r="E395" t="s">
        <v>7640</v>
      </c>
      <c r="F395" t="s">
        <v>7641</v>
      </c>
      <c r="G395" t="s">
        <v>7642</v>
      </c>
      <c r="H395" t="s">
        <v>7643</v>
      </c>
      <c r="I395" t="s">
        <v>7644</v>
      </c>
      <c r="J395" t="s">
        <v>7645</v>
      </c>
      <c r="K395" t="s">
        <v>7646</v>
      </c>
      <c r="L395" t="s">
        <v>7647</v>
      </c>
      <c r="M395" t="s">
        <v>7648</v>
      </c>
      <c r="N395" t="s">
        <v>7649</v>
      </c>
      <c r="O395">
        <f>-808.697307396467 -92.2644984118954 -495.496115412057</f>
        <v>-1396.4579212204194</v>
      </c>
      <c r="P395">
        <f>-835.025139053102 -124.154220136884 -204.152558387276</f>
        <v>-1163.3319175772619</v>
      </c>
      <c r="Q395">
        <f>-640.88673811266 -56.1357491961201 -329.590062710699</f>
        <v>-1026.6125500194792</v>
      </c>
      <c r="R395" t="s">
        <v>7650</v>
      </c>
      <c r="S395" t="s">
        <v>7651</v>
      </c>
      <c r="T395" t="s">
        <v>7652</v>
      </c>
      <c r="U395" t="s">
        <v>7653</v>
      </c>
      <c r="V395">
        <f>-726.011397394009 -9.59178090148816 -67.9257219842194</f>
        <v>-803.52890027971659</v>
      </c>
      <c r="W395" t="s">
        <v>7654</v>
      </c>
      <c r="X395" t="s">
        <v>7655</v>
      </c>
      <c r="Y395" t="s">
        <v>7656</v>
      </c>
    </row>
    <row r="396" spans="1:25" x14ac:dyDescent="0.3">
      <c r="A396">
        <v>19750</v>
      </c>
      <c r="B396" t="s">
        <v>7657</v>
      </c>
      <c r="C396" t="s">
        <v>7658</v>
      </c>
      <c r="D396" t="s">
        <v>7659</v>
      </c>
      <c r="E396" t="s">
        <v>7660</v>
      </c>
      <c r="F396" t="s">
        <v>7661</v>
      </c>
      <c r="G396" t="s">
        <v>7662</v>
      </c>
      <c r="H396" t="s">
        <v>7663</v>
      </c>
      <c r="I396" t="s">
        <v>7664</v>
      </c>
      <c r="J396" t="s">
        <v>7665</v>
      </c>
      <c r="K396" t="s">
        <v>7666</v>
      </c>
      <c r="L396" t="s">
        <v>7667</v>
      </c>
      <c r="M396" t="s">
        <v>7668</v>
      </c>
      <c r="N396" t="s">
        <v>7669</v>
      </c>
      <c r="O396">
        <f>-808.92232375779 -92.5229759719407 -495.51615350055</f>
        <v>-1396.9614532302808</v>
      </c>
      <c r="P396">
        <f>-836.33604672564 -123.883120915811 -204.215269242241</f>
        <v>-1164.4344368836919</v>
      </c>
      <c r="Q396">
        <f>-641.6636133196 -56.341423734207 -329.081755821519</f>
        <v>-1027.086792875326</v>
      </c>
      <c r="R396" t="s">
        <v>7670</v>
      </c>
      <c r="S396" t="s">
        <v>7671</v>
      </c>
      <c r="T396" t="s">
        <v>7672</v>
      </c>
      <c r="U396" t="s">
        <v>7673</v>
      </c>
      <c r="V396">
        <f>-726.537077239742 -10.0300772055566 -67.9741775947718</f>
        <v>-804.54133204007042</v>
      </c>
      <c r="W396" t="s">
        <v>7674</v>
      </c>
      <c r="X396" t="s">
        <v>7675</v>
      </c>
      <c r="Y396" t="s">
        <v>7676</v>
      </c>
    </row>
    <row r="397" spans="1:25" x14ac:dyDescent="0.3">
      <c r="A397">
        <v>19800</v>
      </c>
      <c r="B397" t="s">
        <v>7677</v>
      </c>
      <c r="C397" t="s">
        <v>7678</v>
      </c>
      <c r="D397" t="s">
        <v>7679</v>
      </c>
      <c r="E397" t="s">
        <v>7680</v>
      </c>
      <c r="F397" t="s">
        <v>7681</v>
      </c>
      <c r="G397" t="s">
        <v>7682</v>
      </c>
      <c r="H397" t="s">
        <v>7683</v>
      </c>
      <c r="I397" t="s">
        <v>7684</v>
      </c>
      <c r="J397" t="s">
        <v>7685</v>
      </c>
      <c r="K397" t="s">
        <v>7686</v>
      </c>
      <c r="L397" t="s">
        <v>7687</v>
      </c>
      <c r="M397" t="s">
        <v>7688</v>
      </c>
      <c r="N397" t="s">
        <v>7689</v>
      </c>
      <c r="O397">
        <f>-809.480219334454 -92.8627915643444 -495.513532918314</f>
        <v>-1397.8565438171124</v>
      </c>
      <c r="P397">
        <f>-837.690428484897 -123.38897180884 -204.200166948982</f>
        <v>-1165.2795672427189</v>
      </c>
      <c r="Q397">
        <f>-642.201313538804 -57.341422477584 -328.58892840559</f>
        <v>-1028.131664421978</v>
      </c>
      <c r="R397" t="s">
        <v>7690</v>
      </c>
      <c r="S397" t="s">
        <v>7691</v>
      </c>
      <c r="T397" t="s">
        <v>7692</v>
      </c>
      <c r="U397" t="s">
        <v>7693</v>
      </c>
      <c r="V397">
        <f>-727.604317667134 -10.7074041508772 -68.0796136676695</f>
        <v>-806.39133548568066</v>
      </c>
      <c r="W397" t="s">
        <v>7694</v>
      </c>
      <c r="X397" t="s">
        <v>7695</v>
      </c>
      <c r="Y397" t="s">
        <v>7696</v>
      </c>
    </row>
    <row r="398" spans="1:25" x14ac:dyDescent="0.3">
      <c r="A398">
        <v>19850</v>
      </c>
      <c r="B398" t="s">
        <v>7697</v>
      </c>
      <c r="C398" t="s">
        <v>7698</v>
      </c>
      <c r="D398" t="s">
        <v>7699</v>
      </c>
      <c r="E398" t="s">
        <v>7700</v>
      </c>
      <c r="F398" t="s">
        <v>7701</v>
      </c>
      <c r="G398" t="s">
        <v>7702</v>
      </c>
      <c r="H398" t="s">
        <v>7703</v>
      </c>
      <c r="I398" t="s">
        <v>7704</v>
      </c>
      <c r="J398" t="s">
        <v>7705</v>
      </c>
      <c r="K398" t="s">
        <v>7706</v>
      </c>
      <c r="L398" t="s">
        <v>7707</v>
      </c>
      <c r="M398" t="s">
        <v>7708</v>
      </c>
      <c r="N398" t="s">
        <v>7709</v>
      </c>
      <c r="O398">
        <f>-809.662054277727 -93.0217264078601 -495.507331183383</f>
        <v>-1398.19111186897</v>
      </c>
      <c r="P398">
        <f>-837.801855657764 -123.033744998055 -204.133713661364</f>
        <v>-1164.969314317183</v>
      </c>
      <c r="Q398">
        <f>-641.890428494155 -58.2147807606273 -328.504551297167</f>
        <v>-1028.6097605519492</v>
      </c>
      <c r="R398" t="s">
        <v>7710</v>
      </c>
      <c r="S398" t="s">
        <v>7711</v>
      </c>
      <c r="T398" t="s">
        <v>7712</v>
      </c>
      <c r="U398" t="s">
        <v>7713</v>
      </c>
      <c r="V398">
        <f>-728.101396367897 -11.0674530300571 -68.1074589920951</f>
        <v>-807.27630839004917</v>
      </c>
      <c r="W398" t="s">
        <v>7714</v>
      </c>
      <c r="X398" t="s">
        <v>7715</v>
      </c>
      <c r="Y398" t="s">
        <v>7716</v>
      </c>
    </row>
    <row r="399" spans="1:25" x14ac:dyDescent="0.3">
      <c r="A399">
        <v>19900</v>
      </c>
      <c r="B399" t="s">
        <v>7717</v>
      </c>
      <c r="C399" t="s">
        <v>7718</v>
      </c>
      <c r="D399" t="s">
        <v>7719</v>
      </c>
      <c r="E399" t="s">
        <v>7720</v>
      </c>
      <c r="F399" t="s">
        <v>7721</v>
      </c>
      <c r="G399" t="s">
        <v>7722</v>
      </c>
      <c r="H399" t="s">
        <v>7723</v>
      </c>
      <c r="I399" t="s">
        <v>7724</v>
      </c>
      <c r="J399" t="s">
        <v>7725</v>
      </c>
      <c r="K399" t="s">
        <v>7726</v>
      </c>
      <c r="L399" t="s">
        <v>7727</v>
      </c>
      <c r="M399" t="s">
        <v>7728</v>
      </c>
      <c r="N399" t="s">
        <v>7729</v>
      </c>
      <c r="O399">
        <f>-809.683242714413 -93.3846945050188 -495.529130513446</f>
        <v>-1398.5970677328778</v>
      </c>
      <c r="P399">
        <f>-838.099960820875 -123.016713193303 -204.143506260215</f>
        <v>-1165.260180274393</v>
      </c>
      <c r="Q399">
        <f>-641.408677031951 -60.3370329892332 -328.380017242184</f>
        <v>-1030.1257272633682</v>
      </c>
      <c r="R399" t="s">
        <v>7730</v>
      </c>
      <c r="S399" t="s">
        <v>7731</v>
      </c>
      <c r="T399" t="s">
        <v>7732</v>
      </c>
      <c r="U399" t="s">
        <v>7733</v>
      </c>
      <c r="V399">
        <f>-728.769317129467 -11.6188276872035 -68.156003455045</f>
        <v>-808.54414827171558</v>
      </c>
      <c r="W399" t="s">
        <v>7734</v>
      </c>
      <c r="X399" t="s">
        <v>7735</v>
      </c>
      <c r="Y399" t="s">
        <v>7736</v>
      </c>
    </row>
    <row r="400" spans="1:25" x14ac:dyDescent="0.3">
      <c r="A400">
        <v>19950</v>
      </c>
      <c r="B400" t="s">
        <v>7737</v>
      </c>
      <c r="C400" t="s">
        <v>7738</v>
      </c>
      <c r="D400" t="s">
        <v>7739</v>
      </c>
      <c r="E400" t="s">
        <v>7740</v>
      </c>
      <c r="F400" t="s">
        <v>7741</v>
      </c>
      <c r="G400" t="s">
        <v>7742</v>
      </c>
      <c r="H400" t="s">
        <v>7743</v>
      </c>
      <c r="I400" t="s">
        <v>7744</v>
      </c>
      <c r="J400" t="s">
        <v>7745</v>
      </c>
      <c r="K400" t="s">
        <v>7746</v>
      </c>
      <c r="L400" t="s">
        <v>7747</v>
      </c>
      <c r="M400" t="s">
        <v>7748</v>
      </c>
      <c r="N400" t="s">
        <v>7749</v>
      </c>
      <c r="O400">
        <f>-809.63597183526 -93.6772519517963 -495.586563599756</f>
        <v>-1398.8997873868122</v>
      </c>
      <c r="P400">
        <f>-838.475314845777 -123.550243963675 -204.267037718401</f>
        <v>-1166.292596527853</v>
      </c>
      <c r="Q400">
        <f>-641.552497362507 -60.9307968954338 -328.166350856316</f>
        <v>-1030.6496451142568</v>
      </c>
      <c r="R400" t="s">
        <v>7750</v>
      </c>
      <c r="S400" t="s">
        <v>7751</v>
      </c>
      <c r="T400" t="s">
        <v>7752</v>
      </c>
      <c r="U400" t="s">
        <v>7753</v>
      </c>
      <c r="V400">
        <f>-729.031182297297 -11.9640102966318 -68.1639013407283</f>
        <v>-809.15909393465722</v>
      </c>
      <c r="W400" t="s">
        <v>7754</v>
      </c>
      <c r="X400" t="s">
        <v>7755</v>
      </c>
      <c r="Y400" t="s">
        <v>7756</v>
      </c>
    </row>
    <row r="401" spans="1:25" x14ac:dyDescent="0.3">
      <c r="A401">
        <v>20000</v>
      </c>
      <c r="B401" t="s">
        <v>7757</v>
      </c>
      <c r="C401" t="s">
        <v>7758</v>
      </c>
      <c r="D401" t="s">
        <v>7759</v>
      </c>
      <c r="E401" t="s">
        <v>7760</v>
      </c>
      <c r="F401" t="s">
        <v>7761</v>
      </c>
      <c r="G401" t="s">
        <v>7762</v>
      </c>
      <c r="H401" t="s">
        <v>7763</v>
      </c>
      <c r="I401" t="s">
        <v>7764</v>
      </c>
      <c r="J401" t="s">
        <v>7765</v>
      </c>
      <c r="K401" t="s">
        <v>7766</v>
      </c>
      <c r="L401" t="s">
        <v>7767</v>
      </c>
      <c r="M401" t="s">
        <v>7768</v>
      </c>
      <c r="N401" t="s">
        <v>7769</v>
      </c>
      <c r="O401">
        <f>-809.066579424491 -94.587112740378 -495.684192061546</f>
        <v>-1399.3378842264151</v>
      </c>
      <c r="P401">
        <f>-838.757794602849 -124.998099564853 -204.506015205017</f>
        <v>-1168.2619093727189</v>
      </c>
      <c r="Q401">
        <f>-641.527445474228 -61.4010824748884 -327.414472432522</f>
        <v>-1030.3430003816384</v>
      </c>
      <c r="R401" t="s">
        <v>7770</v>
      </c>
      <c r="S401" t="s">
        <v>7771</v>
      </c>
      <c r="T401" t="s">
        <v>7772</v>
      </c>
      <c r="U401" t="s">
        <v>7773</v>
      </c>
      <c r="V401">
        <f>-729.303451090025 -12.7225429375649 -68.1490657061242</f>
        <v>-810.17505973371408</v>
      </c>
      <c r="W401" t="s">
        <v>7774</v>
      </c>
      <c r="X401" t="s">
        <v>7775</v>
      </c>
      <c r="Y401" t="s">
        <v>7776</v>
      </c>
    </row>
    <row r="402" spans="1:25" x14ac:dyDescent="0.3">
      <c r="A402">
        <v>20050</v>
      </c>
      <c r="B402" t="s">
        <v>7777</v>
      </c>
      <c r="C402" t="s">
        <v>7778</v>
      </c>
      <c r="D402" t="s">
        <v>7779</v>
      </c>
      <c r="E402" t="s">
        <v>7780</v>
      </c>
      <c r="F402" t="s">
        <v>7781</v>
      </c>
      <c r="G402" t="s">
        <v>7782</v>
      </c>
      <c r="H402" t="s">
        <v>7783</v>
      </c>
      <c r="I402" t="s">
        <v>7784</v>
      </c>
      <c r="J402" t="s">
        <v>7785</v>
      </c>
      <c r="K402" t="s">
        <v>7786</v>
      </c>
      <c r="L402" t="s">
        <v>7787</v>
      </c>
      <c r="M402" t="s">
        <v>7788</v>
      </c>
      <c r="N402" t="s">
        <v>7789</v>
      </c>
      <c r="O402">
        <f>-808.750747683247 -95.3313023645051 -495.685246833436</f>
        <v>-1399.767296881188</v>
      </c>
      <c r="P402">
        <f>-838.828229196234 -125.633487897802 -204.535082562292</f>
        <v>-1168.996799656328</v>
      </c>
      <c r="Q402">
        <f>-641.350293755086 -61.5317761308445 -326.782130005745</f>
        <v>-1029.6641998916755</v>
      </c>
      <c r="R402" t="s">
        <v>7790</v>
      </c>
      <c r="S402" t="s">
        <v>7791</v>
      </c>
      <c r="T402" t="s">
        <v>7792</v>
      </c>
      <c r="U402" t="s">
        <v>7793</v>
      </c>
      <c r="V402">
        <f>-729.38155423581 -13.2662721784236 -68.1174848617105</f>
        <v>-810.7653112759441</v>
      </c>
      <c r="W402" t="s">
        <v>7794</v>
      </c>
      <c r="X402" t="s">
        <v>7795</v>
      </c>
      <c r="Y402" t="s">
        <v>7796</v>
      </c>
    </row>
    <row r="403" spans="1:25" x14ac:dyDescent="0.3">
      <c r="A403">
        <v>20100</v>
      </c>
      <c r="B403" t="s">
        <v>7797</v>
      </c>
      <c r="C403" t="s">
        <v>7798</v>
      </c>
      <c r="D403" t="s">
        <v>7799</v>
      </c>
      <c r="E403" t="s">
        <v>7800</v>
      </c>
      <c r="F403" t="s">
        <v>7801</v>
      </c>
      <c r="G403" t="s">
        <v>7802</v>
      </c>
      <c r="H403" t="s">
        <v>7803</v>
      </c>
      <c r="I403" t="s">
        <v>7804</v>
      </c>
      <c r="J403" t="s">
        <v>7805</v>
      </c>
      <c r="K403" t="s">
        <v>7806</v>
      </c>
      <c r="L403" t="s">
        <v>7807</v>
      </c>
      <c r="M403" t="s">
        <v>7808</v>
      </c>
      <c r="N403" t="s">
        <v>7809</v>
      </c>
      <c r="O403">
        <f>-808.200639763613 -96.6738610674963 -495.517134983435</f>
        <v>-1400.3916358145443</v>
      </c>
      <c r="P403">
        <f>-838.859921319694 -126.435343988213 -204.372059036198</f>
        <v>-1169.6673243441051</v>
      </c>
      <c r="Q403">
        <f>-641.245057351789 -61.4111885269447 -325.908313604334</f>
        <v>-1028.5645594830676</v>
      </c>
      <c r="R403" t="s">
        <v>7810</v>
      </c>
      <c r="S403" t="s">
        <v>7811</v>
      </c>
      <c r="T403" t="s">
        <v>7812</v>
      </c>
      <c r="U403" t="s">
        <v>7813</v>
      </c>
      <c r="V403">
        <f>-729.616555299024 -14.1461460228393 -68.0754533854283</f>
        <v>-811.83815470729155</v>
      </c>
      <c r="W403" t="s">
        <v>7814</v>
      </c>
      <c r="X403" t="s">
        <v>7815</v>
      </c>
      <c r="Y403" t="s">
        <v>7816</v>
      </c>
    </row>
    <row r="404" spans="1:25" x14ac:dyDescent="0.3">
      <c r="A404">
        <v>20150</v>
      </c>
      <c r="B404" t="s">
        <v>7817</v>
      </c>
      <c r="C404" t="s">
        <v>7818</v>
      </c>
      <c r="D404" t="s">
        <v>7819</v>
      </c>
      <c r="E404" t="s">
        <v>7820</v>
      </c>
      <c r="F404" t="s">
        <v>7821</v>
      </c>
      <c r="G404" t="s">
        <v>7822</v>
      </c>
      <c r="H404" t="s">
        <v>7823</v>
      </c>
      <c r="I404" t="s">
        <v>7824</v>
      </c>
      <c r="J404" t="s">
        <v>7825</v>
      </c>
      <c r="K404" t="s">
        <v>7826</v>
      </c>
      <c r="L404" t="s">
        <v>7827</v>
      </c>
      <c r="M404" t="s">
        <v>7828</v>
      </c>
      <c r="N404" t="s">
        <v>7829</v>
      </c>
      <c r="O404">
        <f>-808.304030347867 -97.1961847304358 -495.419154174226</f>
        <v>-1400.9193692525287</v>
      </c>
      <c r="P404">
        <f>-839.412675532149 -126.543573935296 -204.279725955755</f>
        <v>-1170.2359754232</v>
      </c>
      <c r="Q404">
        <f>-641.550593855136 -61.4047542032888 -325.351522516571</f>
        <v>-1028.3068705749956</v>
      </c>
      <c r="R404" t="s">
        <v>7830</v>
      </c>
      <c r="S404" t="s">
        <v>7831</v>
      </c>
      <c r="T404" t="s">
        <v>7832</v>
      </c>
      <c r="U404" t="s">
        <v>7833</v>
      </c>
      <c r="V404">
        <f>-729.967089215079 -14.478710815446 -68.0594236536474</f>
        <v>-812.50522368417239</v>
      </c>
      <c r="W404" t="s">
        <v>7834</v>
      </c>
      <c r="X404" t="s">
        <v>7835</v>
      </c>
      <c r="Y404" t="s">
        <v>7836</v>
      </c>
    </row>
    <row r="405" spans="1:25" x14ac:dyDescent="0.3">
      <c r="A405">
        <v>20200</v>
      </c>
      <c r="B405" t="s">
        <v>7837</v>
      </c>
      <c r="C405" t="s">
        <v>7838</v>
      </c>
      <c r="D405" t="s">
        <v>7839</v>
      </c>
      <c r="E405" t="s">
        <v>7840</v>
      </c>
      <c r="F405" t="s">
        <v>7841</v>
      </c>
      <c r="G405" t="s">
        <v>7842</v>
      </c>
      <c r="H405" t="s">
        <v>7843</v>
      </c>
      <c r="I405" t="s">
        <v>7844</v>
      </c>
      <c r="J405" t="s">
        <v>7845</v>
      </c>
      <c r="K405" t="s">
        <v>7846</v>
      </c>
      <c r="L405" t="s">
        <v>7847</v>
      </c>
      <c r="M405" t="s">
        <v>7848</v>
      </c>
      <c r="N405" t="s">
        <v>7849</v>
      </c>
      <c r="O405">
        <f>-808.851419155436 -97.6478182217452 -495.331820902024</f>
        <v>-1401.8310582792051</v>
      </c>
      <c r="P405">
        <f>-840.697466115134 -126.779165999462 -204.250340390486</f>
        <v>-1171.7269725050819</v>
      </c>
      <c r="Q405">
        <f>-642.310696915535 -61.6490522099007 -324.465563384969</f>
        <v>-1028.4253125104046</v>
      </c>
      <c r="R405" t="s">
        <v>7850</v>
      </c>
      <c r="S405" t="s">
        <v>7851</v>
      </c>
      <c r="T405" t="s">
        <v>7852</v>
      </c>
      <c r="U405" t="s">
        <v>7853</v>
      </c>
      <c r="V405">
        <f>-730.677348881724 -14.7336472367188 -68.0655249339449</f>
        <v>-813.47652105238762</v>
      </c>
      <c r="W405" t="s">
        <v>7854</v>
      </c>
      <c r="X405" t="s">
        <v>7855</v>
      </c>
      <c r="Y405" t="s">
        <v>7856</v>
      </c>
    </row>
    <row r="406" spans="1:25" x14ac:dyDescent="0.3">
      <c r="A406">
        <v>20250</v>
      </c>
      <c r="B406" t="s">
        <v>7857</v>
      </c>
      <c r="C406" t="s">
        <v>7858</v>
      </c>
      <c r="D406" t="s">
        <v>7859</v>
      </c>
      <c r="E406" t="s">
        <v>7860</v>
      </c>
      <c r="F406" t="s">
        <v>7861</v>
      </c>
      <c r="G406" t="s">
        <v>7862</v>
      </c>
      <c r="H406" t="s">
        <v>7863</v>
      </c>
      <c r="I406" t="s">
        <v>7864</v>
      </c>
      <c r="J406" t="s">
        <v>7865</v>
      </c>
      <c r="K406" t="s">
        <v>7866</v>
      </c>
      <c r="L406" t="s">
        <v>7867</v>
      </c>
      <c r="M406" t="s">
        <v>7868</v>
      </c>
      <c r="N406" t="s">
        <v>7869</v>
      </c>
      <c r="O406">
        <f>-808.931716910019 -97.8726904170617 -495.314972792501</f>
        <v>-1402.1193801195816</v>
      </c>
      <c r="P406">
        <f>-841.268209405149 -126.967663614133 -204.28395379561</f>
        <v>-1172.519826814892</v>
      </c>
      <c r="Q406">
        <f>-642.513999833021 -61.8904544886223 -323.919123375856</f>
        <v>-1028.3235776974993</v>
      </c>
      <c r="R406" t="s">
        <v>7870</v>
      </c>
      <c r="S406" t="s">
        <v>7871</v>
      </c>
      <c r="T406" t="s">
        <v>7872</v>
      </c>
      <c r="U406" t="s">
        <v>7873</v>
      </c>
      <c r="V406">
        <f>-731.090571713616 -15.0032770719495 -68.0829907111204</f>
        <v>-814.17683949668583</v>
      </c>
      <c r="W406" t="s">
        <v>7874</v>
      </c>
      <c r="X406" t="s">
        <v>7875</v>
      </c>
      <c r="Y406" t="s">
        <v>7876</v>
      </c>
    </row>
    <row r="407" spans="1:25" x14ac:dyDescent="0.3">
      <c r="A407">
        <v>20300</v>
      </c>
      <c r="B407" t="s">
        <v>7877</v>
      </c>
      <c r="C407" t="s">
        <v>7878</v>
      </c>
      <c r="D407" t="s">
        <v>7879</v>
      </c>
      <c r="E407" t="s">
        <v>7880</v>
      </c>
      <c r="F407" t="s">
        <v>7881</v>
      </c>
      <c r="G407" t="s">
        <v>7882</v>
      </c>
      <c r="H407" t="s">
        <v>7883</v>
      </c>
      <c r="I407" t="s">
        <v>7884</v>
      </c>
      <c r="J407" t="s">
        <v>7885</v>
      </c>
      <c r="K407" t="s">
        <v>7886</v>
      </c>
      <c r="L407" t="s">
        <v>7887</v>
      </c>
      <c r="M407" t="s">
        <v>7888</v>
      </c>
      <c r="N407" t="s">
        <v>7889</v>
      </c>
      <c r="O407">
        <f>-808.92641385209 -98.2532987570592 -495.215330367184</f>
        <v>-1402.3950429763331</v>
      </c>
      <c r="P407">
        <f>-842.154487119499 -126.517434779209 -204.202885555813</f>
        <v>-1172.874807454521</v>
      </c>
      <c r="Q407">
        <f>-642.317324610124 -63.0352346555455 -322.887122179097</f>
        <v>-1028.2396814447666</v>
      </c>
      <c r="R407" t="s">
        <v>7890</v>
      </c>
      <c r="S407" t="s">
        <v>7891</v>
      </c>
      <c r="T407" t="s">
        <v>7892</v>
      </c>
      <c r="U407" t="s">
        <v>7893</v>
      </c>
      <c r="V407">
        <f>-731.834107900589 -15.4332046074842 -68.1191509352198</f>
        <v>-815.386463443293</v>
      </c>
      <c r="W407" t="s">
        <v>7894</v>
      </c>
      <c r="X407" t="s">
        <v>7895</v>
      </c>
      <c r="Y407" t="s">
        <v>7896</v>
      </c>
    </row>
    <row r="408" spans="1:25" x14ac:dyDescent="0.3">
      <c r="A408">
        <v>20350</v>
      </c>
      <c r="B408" t="s">
        <v>7897</v>
      </c>
      <c r="C408" t="s">
        <v>7898</v>
      </c>
      <c r="D408" t="s">
        <v>7899</v>
      </c>
      <c r="E408" t="s">
        <v>7900</v>
      </c>
      <c r="F408" t="s">
        <v>7901</v>
      </c>
      <c r="G408" t="s">
        <v>7902</v>
      </c>
      <c r="H408" t="s">
        <v>7903</v>
      </c>
      <c r="I408" t="s">
        <v>7904</v>
      </c>
      <c r="J408" t="s">
        <v>7905</v>
      </c>
      <c r="K408" t="s">
        <v>7906</v>
      </c>
      <c r="L408" t="s">
        <v>7907</v>
      </c>
      <c r="M408" t="s">
        <v>7908</v>
      </c>
      <c r="N408" t="s">
        <v>7909</v>
      </c>
      <c r="O408">
        <f>-808.78152372891 -98.4678524003873 -495.174713496008</f>
        <v>-1402.4240896253052</v>
      </c>
      <c r="P408">
        <f>-842.472503276821 -126.380375375717 -204.181434915917</f>
        <v>-1173.034313568455</v>
      </c>
      <c r="Q408">
        <f>-642.074853610738 -63.9601874381685 -322.483623226664</f>
        <v>-1028.5186642755707</v>
      </c>
      <c r="R408" t="s">
        <v>7910</v>
      </c>
      <c r="S408" t="s">
        <v>7911</v>
      </c>
      <c r="T408" t="s">
        <v>7912</v>
      </c>
      <c r="U408" t="s">
        <v>7913</v>
      </c>
      <c r="V408">
        <f>-732.158790465788 -15.7441603102075 -68.1519583288493</f>
        <v>-816.0549091048448</v>
      </c>
      <c r="W408" t="s">
        <v>7914</v>
      </c>
      <c r="X408" t="s">
        <v>7915</v>
      </c>
      <c r="Y408" t="s">
        <v>7916</v>
      </c>
    </row>
    <row r="409" spans="1:25" x14ac:dyDescent="0.3">
      <c r="A409">
        <v>20400</v>
      </c>
      <c r="B409" t="s">
        <v>7917</v>
      </c>
      <c r="C409" t="s">
        <v>7918</v>
      </c>
      <c r="D409" t="s">
        <v>7919</v>
      </c>
      <c r="E409" t="s">
        <v>7920</v>
      </c>
      <c r="F409" t="s">
        <v>7921</v>
      </c>
      <c r="G409" t="s">
        <v>7922</v>
      </c>
      <c r="H409" t="s">
        <v>7923</v>
      </c>
      <c r="I409" t="s">
        <v>7924</v>
      </c>
      <c r="J409" t="s">
        <v>7925</v>
      </c>
      <c r="K409" t="s">
        <v>7926</v>
      </c>
      <c r="L409" t="s">
        <v>7927</v>
      </c>
      <c r="M409" t="s">
        <v>7928</v>
      </c>
      <c r="N409" t="s">
        <v>7929</v>
      </c>
      <c r="O409">
        <f>-808.164053837752 -98.5654602995282 -495.114244483859</f>
        <v>-1401.8437586211394</v>
      </c>
      <c r="P409">
        <f>-843.134325091326 -126.154180690306 -204.241171806876</f>
        <v>-1173.5296775885081</v>
      </c>
      <c r="Q409">
        <f>-641.428035890616 -65.8574476796184 -321.414892883133</f>
        <v>-1028.7003764533674</v>
      </c>
      <c r="R409" t="s">
        <v>7930</v>
      </c>
      <c r="S409" t="s">
        <v>7931</v>
      </c>
      <c r="T409" t="s">
        <v>7932</v>
      </c>
      <c r="U409" t="s">
        <v>7933</v>
      </c>
      <c r="V409">
        <f>-732.978487828416 -15.8576838425561 -68.1788251257982</f>
        <v>-817.01499679677022</v>
      </c>
      <c r="W409" t="s">
        <v>7934</v>
      </c>
      <c r="X409" t="s">
        <v>7935</v>
      </c>
      <c r="Y409" t="s">
        <v>7936</v>
      </c>
    </row>
    <row r="410" spans="1:25" x14ac:dyDescent="0.3">
      <c r="A410">
        <v>20450</v>
      </c>
      <c r="B410" t="s">
        <v>7937</v>
      </c>
      <c r="C410" t="s">
        <v>7938</v>
      </c>
      <c r="D410" t="s">
        <v>7939</v>
      </c>
      <c r="E410" t="s">
        <v>7940</v>
      </c>
      <c r="F410" t="s">
        <v>7941</v>
      </c>
      <c r="G410" t="s">
        <v>7942</v>
      </c>
      <c r="H410" t="s">
        <v>7943</v>
      </c>
      <c r="I410" t="s">
        <v>7944</v>
      </c>
      <c r="J410" t="s">
        <v>7945</v>
      </c>
      <c r="K410" t="s">
        <v>7946</v>
      </c>
      <c r="L410" t="s">
        <v>7947</v>
      </c>
      <c r="M410" t="s">
        <v>7948</v>
      </c>
      <c r="N410" t="s">
        <v>7949</v>
      </c>
      <c r="O410">
        <f>-807.892290611104 -98.4817337724737 -495.060906317831</f>
        <v>-1401.4349307014088</v>
      </c>
      <c r="P410">
        <f>-843.548588438504 -125.684933362871 -204.234852889721</f>
        <v>-1173.468374691096</v>
      </c>
      <c r="Q410">
        <f>-641.081948996552 -66.8832878481871 -320.856037578656</f>
        <v>-1028.8212744233952</v>
      </c>
      <c r="R410" t="s">
        <v>7950</v>
      </c>
      <c r="S410" t="s">
        <v>7951</v>
      </c>
      <c r="T410" t="s">
        <v>7952</v>
      </c>
      <c r="U410" t="s">
        <v>7953</v>
      </c>
      <c r="V410">
        <f>-733.469542859215 -15.823220539352 -68.1855389203566</f>
        <v>-817.47830231892362</v>
      </c>
      <c r="W410" t="s">
        <v>7954</v>
      </c>
      <c r="X410" t="s">
        <v>7955</v>
      </c>
      <c r="Y410" t="s">
        <v>7956</v>
      </c>
    </row>
    <row r="411" spans="1:25" x14ac:dyDescent="0.3">
      <c r="A411">
        <v>20500</v>
      </c>
      <c r="B411" t="s">
        <v>7957</v>
      </c>
      <c r="C411" t="s">
        <v>7958</v>
      </c>
      <c r="D411" t="s">
        <v>7959</v>
      </c>
      <c r="E411" t="s">
        <v>7960</v>
      </c>
      <c r="F411" t="s">
        <v>7961</v>
      </c>
      <c r="G411" t="s">
        <v>7962</v>
      </c>
      <c r="H411" t="s">
        <v>7963</v>
      </c>
      <c r="I411" t="s">
        <v>7964</v>
      </c>
      <c r="J411" t="s">
        <v>7965</v>
      </c>
      <c r="K411" t="s">
        <v>7966</v>
      </c>
      <c r="L411" t="s">
        <v>7967</v>
      </c>
      <c r="M411" t="s">
        <v>7968</v>
      </c>
      <c r="N411" t="s">
        <v>7969</v>
      </c>
      <c r="O411">
        <f>-808.033856707856 -97.8834027533669 -494.88509522755</f>
        <v>-1400.802354688773</v>
      </c>
      <c r="P411">
        <f>-844.891098207575 -124.239070734635 -204.130625648375</f>
        <v>-1173.260794590585</v>
      </c>
      <c r="Q411">
        <f>-640.975468502104 -68.3918325111981 -319.674306295394</f>
        <v>-1029.0416073086963</v>
      </c>
      <c r="R411" t="s">
        <v>7970</v>
      </c>
      <c r="S411" t="s">
        <v>7971</v>
      </c>
      <c r="T411" t="s">
        <v>7972</v>
      </c>
      <c r="U411" t="s">
        <v>7973</v>
      </c>
      <c r="V411">
        <f>-734.611904483751 -15.0805274980389 -68.1874558946645</f>
        <v>-817.8798878764544</v>
      </c>
      <c r="W411" t="s">
        <v>7974</v>
      </c>
      <c r="X411" t="s">
        <v>7975</v>
      </c>
      <c r="Y411" t="s">
        <v>7976</v>
      </c>
    </row>
    <row r="412" spans="1:25" x14ac:dyDescent="0.3">
      <c r="A412">
        <v>20550</v>
      </c>
      <c r="B412" t="s">
        <v>7977</v>
      </c>
      <c r="C412" t="s">
        <v>7978</v>
      </c>
      <c r="D412" t="s">
        <v>7979</v>
      </c>
      <c r="E412" t="s">
        <v>7980</v>
      </c>
      <c r="F412" t="s">
        <v>7981</v>
      </c>
      <c r="G412" t="s">
        <v>7982</v>
      </c>
      <c r="H412" t="s">
        <v>7983</v>
      </c>
      <c r="I412" t="s">
        <v>7984</v>
      </c>
      <c r="J412" t="s">
        <v>7985</v>
      </c>
      <c r="K412" t="s">
        <v>7986</v>
      </c>
      <c r="L412" t="s">
        <v>7987</v>
      </c>
      <c r="M412" t="s">
        <v>7988</v>
      </c>
      <c r="N412" t="s">
        <v>7989</v>
      </c>
      <c r="O412">
        <f>-808.339934775167 -97.4622216109703 -494.771297946324</f>
        <v>-1400.5734543324613</v>
      </c>
      <c r="P412">
        <f>-845.729277242827 -123.513169500448 -204.057356960683</f>
        <v>-1173.2998037039581</v>
      </c>
      <c r="Q412">
        <f>-641.248022621035 -68.9062880794606 -319.19355551436</f>
        <v>-1029.3478662148557</v>
      </c>
      <c r="R412" t="s">
        <v>7990</v>
      </c>
      <c r="S412" t="s">
        <v>7991</v>
      </c>
      <c r="T412" t="s">
        <v>7992</v>
      </c>
      <c r="U412" t="s">
        <v>7993</v>
      </c>
      <c r="V412">
        <f>-735.157972849577 -14.5210206265333 -68.1704875898798</f>
        <v>-817.84948106599018</v>
      </c>
      <c r="W412" t="s">
        <v>7994</v>
      </c>
      <c r="X412" t="s">
        <v>7995</v>
      </c>
      <c r="Y412" t="s">
        <v>7996</v>
      </c>
    </row>
    <row r="413" spans="1:25" x14ac:dyDescent="0.3">
      <c r="A413">
        <v>20600</v>
      </c>
      <c r="B413" t="s">
        <v>7997</v>
      </c>
      <c r="C413" t="s">
        <v>7998</v>
      </c>
      <c r="D413" t="s">
        <v>7999</v>
      </c>
      <c r="E413" t="s">
        <v>8000</v>
      </c>
      <c r="F413" t="s">
        <v>8001</v>
      </c>
      <c r="G413" t="s">
        <v>8002</v>
      </c>
      <c r="H413" t="s">
        <v>8003</v>
      </c>
      <c r="I413" t="s">
        <v>8004</v>
      </c>
      <c r="J413" t="s">
        <v>8005</v>
      </c>
      <c r="K413" t="s">
        <v>8006</v>
      </c>
      <c r="L413" t="s">
        <v>8007</v>
      </c>
      <c r="M413" t="s">
        <v>8008</v>
      </c>
      <c r="N413" t="s">
        <v>8009</v>
      </c>
      <c r="O413">
        <f>-808.974849646947 -96.9483929072724 -494.462678843417</f>
        <v>-1400.3859213976364</v>
      </c>
      <c r="P413">
        <f>-847.298705865583 -122.477164959304 -203.824132399727</f>
        <v>-1173.6000032246141</v>
      </c>
      <c r="Q413">
        <f>-642.07660727546 -69.6348653421423 -318.464434764625</f>
        <v>-1030.1759073822273</v>
      </c>
      <c r="R413" t="s">
        <v>8010</v>
      </c>
      <c r="S413" t="s">
        <v>8011</v>
      </c>
      <c r="T413" t="s">
        <v>8012</v>
      </c>
      <c r="U413" t="s">
        <v>8013</v>
      </c>
      <c r="V413">
        <f>-735.936926489011 -13.6790251362745 -68.1379215804725</f>
        <v>-817.75387320575794</v>
      </c>
      <c r="W413" t="s">
        <v>8014</v>
      </c>
      <c r="X413" t="s">
        <v>8015</v>
      </c>
      <c r="Y413" t="s">
        <v>8016</v>
      </c>
    </row>
    <row r="414" spans="1:25" x14ac:dyDescent="0.3">
      <c r="A414">
        <v>20650</v>
      </c>
      <c r="B414" t="s">
        <v>8017</v>
      </c>
      <c r="C414" t="s">
        <v>8018</v>
      </c>
      <c r="D414" t="s">
        <v>8019</v>
      </c>
      <c r="E414" t="s">
        <v>8020</v>
      </c>
      <c r="F414" t="s">
        <v>8021</v>
      </c>
      <c r="G414" t="s">
        <v>8022</v>
      </c>
      <c r="H414" t="s">
        <v>8023</v>
      </c>
      <c r="I414" t="s">
        <v>8024</v>
      </c>
      <c r="J414" t="s">
        <v>8025</v>
      </c>
      <c r="K414" t="s">
        <v>8026</v>
      </c>
      <c r="L414" t="s">
        <v>8027</v>
      </c>
      <c r="M414" t="s">
        <v>8028</v>
      </c>
      <c r="N414" t="s">
        <v>8029</v>
      </c>
      <c r="O414">
        <f>-809.158123753201 -96.8212277209302 -494.283316124671</f>
        <v>-1400.2626675988022</v>
      </c>
      <c r="P414">
        <f>-847.892992358238 -121.885814124006 -203.65884504726</f>
        <v>-1173.4376515295039</v>
      </c>
      <c r="Q414">
        <f>-642.421873106416 -69.9265390641331 -318.256968756907</f>
        <v>-1030.6053809274561</v>
      </c>
      <c r="R414" t="s">
        <v>8030</v>
      </c>
      <c r="S414" t="s">
        <v>8031</v>
      </c>
      <c r="T414" t="s">
        <v>8032</v>
      </c>
      <c r="U414" t="s">
        <v>8033</v>
      </c>
      <c r="V414">
        <f>-736.209686485048 -13.3991285243296 -68.1101153356951</f>
        <v>-817.71893034507275</v>
      </c>
      <c r="W414" t="s">
        <v>8034</v>
      </c>
      <c r="X414" t="s">
        <v>8035</v>
      </c>
      <c r="Y414" t="s">
        <v>8036</v>
      </c>
    </row>
    <row r="415" spans="1:25" x14ac:dyDescent="0.3">
      <c r="A415">
        <v>20700</v>
      </c>
      <c r="B415" t="s">
        <v>8037</v>
      </c>
      <c r="C415" t="s">
        <v>8038</v>
      </c>
      <c r="D415" t="s">
        <v>8039</v>
      </c>
      <c r="E415" t="s">
        <v>8040</v>
      </c>
      <c r="F415" t="s">
        <v>8041</v>
      </c>
      <c r="G415" t="s">
        <v>8042</v>
      </c>
      <c r="H415" t="s">
        <v>8043</v>
      </c>
      <c r="I415" t="s">
        <v>8044</v>
      </c>
      <c r="J415" t="s">
        <v>8045</v>
      </c>
      <c r="K415" t="s">
        <v>8046</v>
      </c>
      <c r="L415" t="s">
        <v>8047</v>
      </c>
      <c r="M415" t="s">
        <v>8048</v>
      </c>
      <c r="N415" t="s">
        <v>8049</v>
      </c>
      <c r="O415">
        <f>-809.490959400026 -96.7597638639975 -493.821360565272</f>
        <v>-1400.0720838292955</v>
      </c>
      <c r="P415">
        <f>-848.777328160993 -120.712145818045 -203.177034945464</f>
        <v>-1172.6665089245018</v>
      </c>
      <c r="Q415">
        <f>-642.92089379344 -70.4906121153033 -317.858484907788</f>
        <v>-1031.2699908165314</v>
      </c>
      <c r="R415" t="s">
        <v>8050</v>
      </c>
      <c r="S415" t="s">
        <v>8051</v>
      </c>
      <c r="T415" t="s">
        <v>8052</v>
      </c>
      <c r="U415" t="s">
        <v>8053</v>
      </c>
      <c r="V415">
        <f>-736.614049606607 -12.8115770769782 -68.037509341854</f>
        <v>-817.46313602543921</v>
      </c>
      <c r="W415" t="s">
        <v>8054</v>
      </c>
      <c r="X415" t="s">
        <v>8055</v>
      </c>
      <c r="Y415" t="s">
        <v>8056</v>
      </c>
    </row>
    <row r="416" spans="1:25" x14ac:dyDescent="0.3">
      <c r="A416">
        <v>20750</v>
      </c>
      <c r="B416" t="s">
        <v>8057</v>
      </c>
      <c r="C416" t="s">
        <v>8058</v>
      </c>
      <c r="D416" t="s">
        <v>8059</v>
      </c>
      <c r="E416" t="s">
        <v>8060</v>
      </c>
      <c r="F416" t="s">
        <v>8061</v>
      </c>
      <c r="G416" t="s">
        <v>8062</v>
      </c>
      <c r="H416" t="s">
        <v>8063</v>
      </c>
      <c r="I416" t="s">
        <v>8064</v>
      </c>
      <c r="J416" t="s">
        <v>8065</v>
      </c>
      <c r="K416" t="s">
        <v>8066</v>
      </c>
      <c r="L416" t="s">
        <v>8067</v>
      </c>
      <c r="M416" t="s">
        <v>8068</v>
      </c>
      <c r="N416" t="s">
        <v>8069</v>
      </c>
      <c r="O416">
        <f>-809.756524806959 -96.7855404175987 -493.552183370429</f>
        <v>-1400.0942485949868</v>
      </c>
      <c r="P416">
        <f>-849.179651071272 -120.329359176771 -202.893137503965</f>
        <v>-1172.402147752008</v>
      </c>
      <c r="Q416">
        <f>-643.187854257591 -70.5741149544074 -317.534456573866</f>
        <v>-1031.2964257858644</v>
      </c>
      <c r="R416" t="s">
        <v>8070</v>
      </c>
      <c r="S416" t="s">
        <v>8071</v>
      </c>
      <c r="T416" t="s">
        <v>8072</v>
      </c>
      <c r="U416" t="s">
        <v>8073</v>
      </c>
      <c r="V416">
        <f>-736.742862374038 -12.480832572041 -68.0041227065276</f>
        <v>-817.22781765260663</v>
      </c>
      <c r="W416" t="s">
        <v>8074</v>
      </c>
      <c r="X416" t="s">
        <v>8075</v>
      </c>
      <c r="Y416" t="s">
        <v>8076</v>
      </c>
    </row>
    <row r="417" spans="1:25" x14ac:dyDescent="0.3">
      <c r="A417">
        <v>20800</v>
      </c>
      <c r="B417" t="s">
        <v>8077</v>
      </c>
      <c r="C417" t="s">
        <v>8078</v>
      </c>
      <c r="D417" t="s">
        <v>8079</v>
      </c>
      <c r="E417" t="s">
        <v>8080</v>
      </c>
      <c r="F417" t="s">
        <v>8081</v>
      </c>
      <c r="G417" t="s">
        <v>8082</v>
      </c>
      <c r="H417" t="s">
        <v>8083</v>
      </c>
      <c r="I417" t="s">
        <v>8084</v>
      </c>
      <c r="J417" t="s">
        <v>8085</v>
      </c>
      <c r="K417" t="s">
        <v>8086</v>
      </c>
      <c r="L417" t="s">
        <v>8087</v>
      </c>
      <c r="M417" t="s">
        <v>8088</v>
      </c>
      <c r="N417" t="s">
        <v>8089</v>
      </c>
      <c r="O417">
        <f>-810.617941347593 -96.686268193208 -493.00425942192</f>
        <v>-1400.308468962721</v>
      </c>
      <c r="P417">
        <f>-850.028861476956 -119.112841537823 -202.255131854087</f>
        <v>-1171.3968348688659</v>
      </c>
      <c r="Q417">
        <f>-643.41409336023 -71.2768638611435 -316.591937247018</f>
        <v>-1031.2828944683915</v>
      </c>
      <c r="R417" t="s">
        <v>8090</v>
      </c>
      <c r="S417" t="s">
        <v>8091</v>
      </c>
      <c r="T417" t="s">
        <v>8092</v>
      </c>
      <c r="U417" t="s">
        <v>8093</v>
      </c>
      <c r="V417">
        <f>-736.974949484658 -11.6327025517321 -67.9129859273635</f>
        <v>-816.52063796375364</v>
      </c>
      <c r="W417" t="s">
        <v>8094</v>
      </c>
      <c r="X417" t="s">
        <v>8095</v>
      </c>
      <c r="Y417" t="s">
        <v>8096</v>
      </c>
    </row>
    <row r="418" spans="1:25" x14ac:dyDescent="0.3">
      <c r="A418">
        <v>20850</v>
      </c>
      <c r="B418" t="s">
        <v>8097</v>
      </c>
      <c r="C418" t="s">
        <v>8098</v>
      </c>
      <c r="D418" t="s">
        <v>8099</v>
      </c>
      <c r="E418" t="s">
        <v>8100</v>
      </c>
      <c r="F418" t="s">
        <v>8101</v>
      </c>
      <c r="G418" t="s">
        <v>8102</v>
      </c>
      <c r="H418" t="s">
        <v>8103</v>
      </c>
      <c r="I418" t="s">
        <v>8104</v>
      </c>
      <c r="J418" t="s">
        <v>8105</v>
      </c>
      <c r="K418" t="s">
        <v>8106</v>
      </c>
      <c r="L418" t="s">
        <v>8107</v>
      </c>
      <c r="M418" t="s">
        <v>8108</v>
      </c>
      <c r="N418" t="s">
        <v>8109</v>
      </c>
      <c r="O418">
        <f>-811.11468405086 -96.5804183214566 -492.706392284916</f>
        <v>-1400.4014946572324</v>
      </c>
      <c r="P418">
        <f>-850.546825995183 -118.505084784555 -201.921858262576</f>
        <v>-1170.973769042314</v>
      </c>
      <c r="Q418">
        <f>-643.709270241442 -71.9956450995969 -316.403163414946</f>
        <v>-1032.1080787559849</v>
      </c>
      <c r="R418" t="s">
        <v>8110</v>
      </c>
      <c r="S418" t="s">
        <v>8111</v>
      </c>
      <c r="T418" t="s">
        <v>8112</v>
      </c>
      <c r="U418" t="s">
        <v>8113</v>
      </c>
      <c r="V418">
        <f>-737.050987618941 -11.2240425631812 -67.8732655115275</f>
        <v>-816.14829569364974</v>
      </c>
      <c r="W418" t="s">
        <v>8114</v>
      </c>
      <c r="X418" t="s">
        <v>8115</v>
      </c>
      <c r="Y418" t="s">
        <v>8116</v>
      </c>
    </row>
    <row r="419" spans="1:25" x14ac:dyDescent="0.3">
      <c r="A419">
        <v>20900</v>
      </c>
      <c r="B419" t="s">
        <v>8117</v>
      </c>
      <c r="C419" t="s">
        <v>8118</v>
      </c>
      <c r="D419" t="s">
        <v>8119</v>
      </c>
      <c r="E419" t="s">
        <v>8120</v>
      </c>
      <c r="F419" t="s">
        <v>8121</v>
      </c>
      <c r="G419" t="s">
        <v>8122</v>
      </c>
      <c r="H419" t="s">
        <v>8123</v>
      </c>
      <c r="I419" t="s">
        <v>8124</v>
      </c>
      <c r="J419" t="s">
        <v>8125</v>
      </c>
      <c r="K419" t="s">
        <v>8126</v>
      </c>
      <c r="L419" t="s">
        <v>8127</v>
      </c>
      <c r="M419" t="s">
        <v>8128</v>
      </c>
      <c r="N419" t="s">
        <v>8129</v>
      </c>
      <c r="O419">
        <f>-812.231463176376 -96.483598683815 -492.077398578355</f>
        <v>-1400.792460438546</v>
      </c>
      <c r="P419">
        <f>-851.402664422549 -117.154674615675 -201.165930277654</f>
        <v>-1169.723269315878</v>
      </c>
      <c r="Q419">
        <f>-644.295721628743 -73.8046062441072 -316.397524121701</f>
        <v>-1034.4978519945512</v>
      </c>
      <c r="R419" t="s">
        <v>8130</v>
      </c>
      <c r="S419" t="s">
        <v>8131</v>
      </c>
      <c r="T419" t="s">
        <v>8132</v>
      </c>
      <c r="U419" t="s">
        <v>8133</v>
      </c>
      <c r="V419">
        <f>-736.971768692101 -10.4513940070592 -67.8061921500301</f>
        <v>-815.22935484919037</v>
      </c>
      <c r="W419" t="s">
        <v>8134</v>
      </c>
      <c r="X419" t="s">
        <v>8135</v>
      </c>
      <c r="Y419" t="s">
        <v>8136</v>
      </c>
    </row>
    <row r="420" spans="1:25" x14ac:dyDescent="0.3">
      <c r="A420">
        <v>20950</v>
      </c>
      <c r="B420" t="s">
        <v>8137</v>
      </c>
      <c r="C420" t="s">
        <v>8138</v>
      </c>
      <c r="D420" t="s">
        <v>8139</v>
      </c>
      <c r="E420" t="s">
        <v>8140</v>
      </c>
      <c r="F420" t="s">
        <v>8141</v>
      </c>
      <c r="G420" t="s">
        <v>8142</v>
      </c>
      <c r="H420" t="s">
        <v>8143</v>
      </c>
      <c r="I420" t="s">
        <v>8144</v>
      </c>
      <c r="J420" t="s">
        <v>8145</v>
      </c>
      <c r="K420" t="s">
        <v>8146</v>
      </c>
      <c r="L420" t="s">
        <v>8147</v>
      </c>
      <c r="M420" t="s">
        <v>8148</v>
      </c>
      <c r="N420" t="s">
        <v>8149</v>
      </c>
      <c r="O420">
        <f>-812.957499047919 -96.5374018229998 -491.77360876498</f>
        <v>-1401.2685096358987</v>
      </c>
      <c r="P420">
        <f>-851.903897607215 -116.5952135939 -200.789054547177</f>
        <v>-1169.2881657482919</v>
      </c>
      <c r="Q420">
        <f>-644.675496736595 -74.6338675099962 -316.316359091375</f>
        <v>-1035.6257233379663</v>
      </c>
      <c r="R420" t="s">
        <v>8150</v>
      </c>
      <c r="S420" t="s">
        <v>8151</v>
      </c>
      <c r="T420" t="s">
        <v>8152</v>
      </c>
      <c r="U420" t="s">
        <v>8153</v>
      </c>
      <c r="V420">
        <f>-736.908998874092 -10.2203528115019 -67.7694906753745</f>
        <v>-814.8988423609685</v>
      </c>
      <c r="W420" t="s">
        <v>8154</v>
      </c>
      <c r="X420" t="s">
        <v>8155</v>
      </c>
      <c r="Y420" t="s">
        <v>8156</v>
      </c>
    </row>
    <row r="421" spans="1:25" x14ac:dyDescent="0.3">
      <c r="A421">
        <v>21000</v>
      </c>
      <c r="B421" t="s">
        <v>8157</v>
      </c>
      <c r="C421" t="s">
        <v>8158</v>
      </c>
      <c r="D421" t="s">
        <v>8159</v>
      </c>
      <c r="E421" t="s">
        <v>8160</v>
      </c>
      <c r="F421" t="s">
        <v>8161</v>
      </c>
      <c r="G421" t="s">
        <v>8162</v>
      </c>
      <c r="H421" t="s">
        <v>8163</v>
      </c>
      <c r="I421" t="s">
        <v>8164</v>
      </c>
      <c r="J421" t="s">
        <v>8165</v>
      </c>
      <c r="K421" t="s">
        <v>8166</v>
      </c>
      <c r="L421" t="s">
        <v>8167</v>
      </c>
      <c r="M421" t="s">
        <v>8168</v>
      </c>
      <c r="N421" t="s">
        <v>8169</v>
      </c>
      <c r="O421">
        <f>-814.460075678078 -96.6326418811891 -491.368120069841</f>
        <v>-1402.460837629108</v>
      </c>
      <c r="P421">
        <f>-853.14650238248 -115.667875794471 -200.280159488305</f>
        <v>-1169.094537665256</v>
      </c>
      <c r="Q421">
        <f>-645.674879086478 -75.9451942992555 -316.161699747134</f>
        <v>-1037.7817731328673</v>
      </c>
      <c r="R421" t="s">
        <v>8170</v>
      </c>
      <c r="S421" t="s">
        <v>8171</v>
      </c>
      <c r="T421" t="s">
        <v>8172</v>
      </c>
      <c r="U421" t="s">
        <v>8173</v>
      </c>
      <c r="V421">
        <f>-736.788891872938 -9.92611981278969 -67.6881959785072</f>
        <v>-814.40320766423497</v>
      </c>
      <c r="W421" t="s">
        <v>8174</v>
      </c>
      <c r="X421" t="s">
        <v>8175</v>
      </c>
      <c r="Y421" t="s">
        <v>8176</v>
      </c>
    </row>
    <row r="422" spans="1:25" x14ac:dyDescent="0.3">
      <c r="A422">
        <v>21050</v>
      </c>
      <c r="B422" t="s">
        <v>8177</v>
      </c>
      <c r="C422" t="s">
        <v>8178</v>
      </c>
      <c r="D422" t="s">
        <v>8179</v>
      </c>
      <c r="E422" t="s">
        <v>8180</v>
      </c>
      <c r="F422" t="s">
        <v>8181</v>
      </c>
      <c r="G422" t="s">
        <v>8182</v>
      </c>
      <c r="H422" t="s">
        <v>8183</v>
      </c>
      <c r="I422" t="s">
        <v>8184</v>
      </c>
      <c r="J422" t="s">
        <v>8185</v>
      </c>
      <c r="K422" t="s">
        <v>8186</v>
      </c>
      <c r="L422" t="s">
        <v>8187</v>
      </c>
      <c r="M422" t="s">
        <v>8188</v>
      </c>
      <c r="N422" t="s">
        <v>8189</v>
      </c>
      <c r="O422">
        <f>-815.117183156518 -96.608311130997 -491.305555472877</f>
        <v>-1403.0310497603919</v>
      </c>
      <c r="P422">
        <f>-853.738895238799 -115.379620113116 -200.19172190188</f>
        <v>-1169.3102372537951</v>
      </c>
      <c r="Q422">
        <f>-646.32937582585 -76.1162207187203 -316.340896674288</f>
        <v>-1038.7864932188584</v>
      </c>
      <c r="R422" t="s">
        <v>8190</v>
      </c>
      <c r="S422" t="s">
        <v>8191</v>
      </c>
      <c r="T422" t="s">
        <v>8192</v>
      </c>
      <c r="U422" t="s">
        <v>8193</v>
      </c>
      <c r="V422">
        <f>-736.712115711144 -9.88541430580699 -67.6638318629477</f>
        <v>-814.26136187989869</v>
      </c>
      <c r="W422" t="s">
        <v>8194</v>
      </c>
      <c r="X422" t="s">
        <v>8195</v>
      </c>
      <c r="Y422" t="s">
        <v>8196</v>
      </c>
    </row>
    <row r="423" spans="1:25" x14ac:dyDescent="0.3">
      <c r="A423">
        <v>21100</v>
      </c>
      <c r="B423" t="s">
        <v>8197</v>
      </c>
      <c r="C423" t="s">
        <v>8198</v>
      </c>
      <c r="D423" t="s">
        <v>8199</v>
      </c>
      <c r="E423" t="s">
        <v>8200</v>
      </c>
      <c r="F423" t="s">
        <v>8201</v>
      </c>
      <c r="G423" t="s">
        <v>8202</v>
      </c>
      <c r="H423" t="s">
        <v>8203</v>
      </c>
      <c r="I423" t="s">
        <v>8204</v>
      </c>
      <c r="J423" t="s">
        <v>8205</v>
      </c>
      <c r="K423" t="s">
        <v>8206</v>
      </c>
      <c r="L423" t="s">
        <v>8207</v>
      </c>
      <c r="M423" t="s">
        <v>8208</v>
      </c>
      <c r="N423" t="s">
        <v>8209</v>
      </c>
      <c r="O423">
        <f>-815.69348316901 -96.5717104167541 -491.28680035172</f>
        <v>-1403.551993937484</v>
      </c>
      <c r="P423">
        <f>-854.360189589883 -115.402047411033 -200.182904766042</f>
        <v>-1169.9451417669579</v>
      </c>
      <c r="Q423">
        <f>-647.099833963368 -76.137551676677 -316.597036692741</f>
        <v>-1039.8344223327861</v>
      </c>
      <c r="R423" t="s">
        <v>8210</v>
      </c>
      <c r="S423" t="s">
        <v>8211</v>
      </c>
      <c r="T423" t="s">
        <v>8212</v>
      </c>
      <c r="U423" t="s">
        <v>8213</v>
      </c>
      <c r="V423">
        <f>-736.666367587133 -9.94811763296684 -67.6424568958959</f>
        <v>-814.25694211599568</v>
      </c>
      <c r="W423" t="s">
        <v>8214</v>
      </c>
      <c r="X423" t="s">
        <v>8215</v>
      </c>
      <c r="Y423" t="s">
        <v>8216</v>
      </c>
    </row>
    <row r="424" spans="1:25" x14ac:dyDescent="0.3">
      <c r="A424">
        <v>21150</v>
      </c>
      <c r="B424" t="s">
        <v>8217</v>
      </c>
      <c r="C424" t="s">
        <v>8218</v>
      </c>
      <c r="D424" t="s">
        <v>8219</v>
      </c>
      <c r="E424" t="s">
        <v>8220</v>
      </c>
      <c r="F424" t="s">
        <v>8221</v>
      </c>
      <c r="G424" t="s">
        <v>8222</v>
      </c>
      <c r="H424" t="s">
        <v>8223</v>
      </c>
      <c r="I424" t="s">
        <v>8224</v>
      </c>
      <c r="J424" t="s">
        <v>8225</v>
      </c>
      <c r="K424" t="s">
        <v>8226</v>
      </c>
      <c r="L424" t="s">
        <v>8227</v>
      </c>
      <c r="M424" t="s">
        <v>8228</v>
      </c>
      <c r="N424" t="s">
        <v>8229</v>
      </c>
      <c r="O424">
        <f>-816.645002604776 -96.4790273876397 -491.36089029948</f>
        <v>-1404.4849202918956</v>
      </c>
      <c r="P424">
        <f>-855.930245268769 -115.988443697797 -200.384481353931</f>
        <v>-1172.303170320497</v>
      </c>
      <c r="Q424">
        <f>-648.978776802705 -75.3974214610653 -316.893756491726</f>
        <v>-1041.2699547554962</v>
      </c>
      <c r="R424" t="s">
        <v>8230</v>
      </c>
      <c r="S424" t="s">
        <v>8231</v>
      </c>
      <c r="T424" t="s">
        <v>8232</v>
      </c>
      <c r="U424" t="s">
        <v>8233</v>
      </c>
      <c r="V424">
        <f>-736.857194844535 -10.1498168442854 -67.630681724772</f>
        <v>-814.63769341359239</v>
      </c>
      <c r="W424" t="s">
        <v>8234</v>
      </c>
      <c r="X424" t="s">
        <v>8235</v>
      </c>
      <c r="Y424" t="s">
        <v>8236</v>
      </c>
    </row>
    <row r="425" spans="1:25" x14ac:dyDescent="0.3">
      <c r="A425">
        <v>21200</v>
      </c>
      <c r="B425" t="s">
        <v>8237</v>
      </c>
      <c r="C425" t="s">
        <v>8238</v>
      </c>
      <c r="D425" t="s">
        <v>8239</v>
      </c>
      <c r="E425" t="s">
        <v>8240</v>
      </c>
      <c r="F425" t="s">
        <v>8241</v>
      </c>
      <c r="G425" t="s">
        <v>8242</v>
      </c>
      <c r="H425" t="s">
        <v>8243</v>
      </c>
      <c r="I425" t="s">
        <v>8244</v>
      </c>
      <c r="J425" t="s">
        <v>8245</v>
      </c>
      <c r="K425" t="s">
        <v>8246</v>
      </c>
      <c r="L425" t="s">
        <v>8247</v>
      </c>
      <c r="M425" t="s">
        <v>8248</v>
      </c>
      <c r="N425" t="s">
        <v>8249</v>
      </c>
      <c r="O425">
        <f>-816.936899805029 -96.3844830849309 -491.477867867538</f>
        <v>-1404.7992507574979</v>
      </c>
      <c r="P425">
        <f>-856.883284358176 -116.520936022164 -200.634225444215</f>
        <v>-1174.0384458245549</v>
      </c>
      <c r="Q425">
        <f>-650.378092409097 -74.3680909067918 -317.380217685799</f>
        <v>-1042.1264010016878</v>
      </c>
      <c r="R425" t="s">
        <v>8250</v>
      </c>
      <c r="S425" t="s">
        <v>8251</v>
      </c>
      <c r="T425" t="s">
        <v>8252</v>
      </c>
      <c r="U425" t="s">
        <v>8253</v>
      </c>
      <c r="V425">
        <f>-737.105112276368 -10.240563917605 -67.6312274778958</f>
        <v>-814.97690367186874</v>
      </c>
      <c r="W425" t="s">
        <v>8254</v>
      </c>
      <c r="X425" t="s">
        <v>8255</v>
      </c>
      <c r="Y425" t="s">
        <v>8256</v>
      </c>
    </row>
    <row r="426" spans="1:25" x14ac:dyDescent="0.3">
      <c r="A426">
        <v>21250</v>
      </c>
      <c r="B426" t="s">
        <v>8257</v>
      </c>
      <c r="C426" t="s">
        <v>8258</v>
      </c>
      <c r="D426" t="s">
        <v>8259</v>
      </c>
      <c r="E426" t="s">
        <v>8260</v>
      </c>
      <c r="F426" t="s">
        <v>8261</v>
      </c>
      <c r="G426" t="s">
        <v>8262</v>
      </c>
      <c r="H426" t="s">
        <v>8263</v>
      </c>
      <c r="I426" t="s">
        <v>8264</v>
      </c>
      <c r="J426" t="s">
        <v>8265</v>
      </c>
      <c r="K426" t="s">
        <v>8266</v>
      </c>
      <c r="L426" t="s">
        <v>8267</v>
      </c>
      <c r="M426" t="s">
        <v>8268</v>
      </c>
      <c r="N426" t="s">
        <v>8269</v>
      </c>
      <c r="O426">
        <f>-817.404087848831 -96.1221535036686 -491.770223390585</f>
        <v>-1405.2964647430845</v>
      </c>
      <c r="P426">
        <f>-857.990266709828 -116.97714696831 -201.065923571441</f>
        <v>-1176.0333372495791</v>
      </c>
      <c r="Q426">
        <f>-652.266715451838 -68.9766590975726 -316.930603305939</f>
        <v>-1038.1739778553494</v>
      </c>
      <c r="R426" t="s">
        <v>8270</v>
      </c>
      <c r="S426" t="s">
        <v>8271</v>
      </c>
      <c r="T426" t="s">
        <v>8272</v>
      </c>
      <c r="U426" t="s">
        <v>8273</v>
      </c>
      <c r="V426">
        <f>-737.748576746972 -10.4298050848397 -67.6719339846412</f>
        <v>-815.85031581645296</v>
      </c>
      <c r="W426" t="s">
        <v>8274</v>
      </c>
      <c r="X426" t="s">
        <v>8275</v>
      </c>
      <c r="Y426" t="s">
        <v>8276</v>
      </c>
    </row>
    <row r="427" spans="1:25" x14ac:dyDescent="0.3">
      <c r="A427">
        <v>21300</v>
      </c>
      <c r="B427" t="s">
        <v>8277</v>
      </c>
      <c r="C427" t="s">
        <v>8278</v>
      </c>
      <c r="D427" t="s">
        <v>8279</v>
      </c>
      <c r="E427" t="s">
        <v>8280</v>
      </c>
      <c r="F427" t="s">
        <v>8281</v>
      </c>
      <c r="G427" t="s">
        <v>8282</v>
      </c>
      <c r="H427" t="s">
        <v>8283</v>
      </c>
      <c r="I427" t="s">
        <v>8284</v>
      </c>
      <c r="J427" t="s">
        <v>8285</v>
      </c>
      <c r="K427" t="s">
        <v>8286</v>
      </c>
      <c r="L427" t="s">
        <v>8287</v>
      </c>
      <c r="M427" t="s">
        <v>8288</v>
      </c>
      <c r="N427" t="s">
        <v>8289</v>
      </c>
      <c r="O427">
        <f>-817.457127432839 -96.1062268850092 -491.774257012162</f>
        <v>-1405.3376113300101</v>
      </c>
      <c r="P427">
        <f>-858.438715676158 -116.878008032782 -201.119506947646</f>
        <v>-1176.4362306565861</v>
      </c>
      <c r="Q427">
        <f>-653.168594539487 -65.7461785805231 -316.447930699459</f>
        <v>-1035.3627038194691</v>
      </c>
      <c r="R427" t="s">
        <v>8290</v>
      </c>
      <c r="S427" t="s">
        <v>8291</v>
      </c>
      <c r="T427" t="s">
        <v>8292</v>
      </c>
      <c r="U427" t="s">
        <v>8293</v>
      </c>
      <c r="V427">
        <f>-738.059043323798 -10.5520149269532 -67.6802168915759</f>
        <v>-816.29127514232721</v>
      </c>
      <c r="W427" t="s">
        <v>8294</v>
      </c>
      <c r="X427" t="s">
        <v>8295</v>
      </c>
      <c r="Y427" t="s">
        <v>8296</v>
      </c>
    </row>
    <row r="428" spans="1:25" x14ac:dyDescent="0.3">
      <c r="A428">
        <v>21350</v>
      </c>
      <c r="B428" t="s">
        <v>8297</v>
      </c>
      <c r="C428" t="s">
        <v>8298</v>
      </c>
      <c r="D428" t="s">
        <v>8299</v>
      </c>
      <c r="E428" t="s">
        <v>8300</v>
      </c>
      <c r="F428" t="s">
        <v>8301</v>
      </c>
      <c r="G428" t="s">
        <v>8302</v>
      </c>
      <c r="H428" t="s">
        <v>8303</v>
      </c>
      <c r="I428" t="s">
        <v>8304</v>
      </c>
      <c r="J428" t="s">
        <v>8305</v>
      </c>
      <c r="K428" t="s">
        <v>8306</v>
      </c>
      <c r="L428" t="s">
        <v>8307</v>
      </c>
      <c r="M428" t="s">
        <v>8308</v>
      </c>
      <c r="N428" t="s">
        <v>8309</v>
      </c>
      <c r="O428">
        <f>-817.717894690791 -95.5976803613839 -491.878725899453</f>
        <v>-1405.1943009516281</v>
      </c>
      <c r="P428">
        <f>-860.116164944941 -117.084171003467 -201.479095357207</f>
        <v>-1178.679431305615</v>
      </c>
      <c r="Q428">
        <f>-655.453872014642 -59.4826623015517 -314.820710675</f>
        <v>-1029.7572449911936</v>
      </c>
      <c r="R428" t="s">
        <v>8310</v>
      </c>
      <c r="S428" t="s">
        <v>8311</v>
      </c>
      <c r="T428" t="s">
        <v>8312</v>
      </c>
      <c r="U428" t="s">
        <v>8313</v>
      </c>
      <c r="V428">
        <f>-738.666740222178 -10.2837517081389 -67.6765276575018</f>
        <v>-816.62701958781861</v>
      </c>
      <c r="W428" t="s">
        <v>8314</v>
      </c>
      <c r="X428" t="s">
        <v>8315</v>
      </c>
      <c r="Y428" t="s">
        <v>8316</v>
      </c>
    </row>
    <row r="429" spans="1:25" x14ac:dyDescent="0.3">
      <c r="A429">
        <v>21400</v>
      </c>
      <c r="B429" t="s">
        <v>8317</v>
      </c>
      <c r="C429" t="s">
        <v>8318</v>
      </c>
      <c r="D429" t="s">
        <v>8319</v>
      </c>
      <c r="E429" t="s">
        <v>8320</v>
      </c>
      <c r="F429" t="s">
        <v>8321</v>
      </c>
      <c r="G429" t="s">
        <v>8322</v>
      </c>
      <c r="H429" t="s">
        <v>8323</v>
      </c>
      <c r="I429" t="s">
        <v>8324</v>
      </c>
      <c r="J429" t="s">
        <v>8325</v>
      </c>
      <c r="K429" t="s">
        <v>8326</v>
      </c>
      <c r="L429" t="s">
        <v>8327</v>
      </c>
      <c r="M429" t="s">
        <v>8328</v>
      </c>
      <c r="N429" t="s">
        <v>8329</v>
      </c>
      <c r="O429">
        <f>-817.889632311074 -95.0202808300578 -492.204369388951</f>
        <v>-1405.1142825300828</v>
      </c>
      <c r="P429">
        <f>-862.329860935846 -116.922068731091 -202.141231186584</f>
        <v>-1181.3931608535211</v>
      </c>
      <c r="Q429">
        <f>-657.317357609563 -55.9618631476719 -313.066987188336</f>
        <v>-1026.346207945571</v>
      </c>
      <c r="R429" t="s">
        <v>8330</v>
      </c>
      <c r="S429" t="s">
        <v>8331</v>
      </c>
      <c r="T429" t="s">
        <v>8332</v>
      </c>
      <c r="U429" t="s">
        <v>8333</v>
      </c>
      <c r="V429">
        <f>-739.016677688097 -10.4369708262284 -67.7089432981946</f>
        <v>-817.16259181252008</v>
      </c>
      <c r="W429" t="s">
        <v>8334</v>
      </c>
      <c r="X429" t="s">
        <v>8335</v>
      </c>
      <c r="Y429" t="s">
        <v>8336</v>
      </c>
    </row>
    <row r="430" spans="1:25" x14ac:dyDescent="0.3">
      <c r="A430">
        <v>21450</v>
      </c>
      <c r="B430" t="s">
        <v>8337</v>
      </c>
      <c r="C430" t="s">
        <v>8338</v>
      </c>
      <c r="D430" t="s">
        <v>8339</v>
      </c>
      <c r="E430" t="s">
        <v>8340</v>
      </c>
      <c r="F430" t="s">
        <v>8341</v>
      </c>
      <c r="G430" t="s">
        <v>8342</v>
      </c>
      <c r="H430" t="s">
        <v>8343</v>
      </c>
      <c r="I430" t="s">
        <v>8344</v>
      </c>
      <c r="J430" t="s">
        <v>8345</v>
      </c>
      <c r="K430" t="s">
        <v>8346</v>
      </c>
      <c r="L430" t="s">
        <v>8347</v>
      </c>
      <c r="M430" t="s">
        <v>8348</v>
      </c>
      <c r="N430" t="s">
        <v>8349</v>
      </c>
      <c r="O430">
        <f>-817.83944852621 -94.7818815797366 -492.388616741694</f>
        <v>-1405.0099468476405</v>
      </c>
      <c r="P430">
        <f>-863.279367644443 -117.271889374598 -202.525436697323</f>
        <v>-1183.0766937163639</v>
      </c>
      <c r="Q430">
        <f>-658.185865461461 -54.9262227766551 -312.528234334805</f>
        <v>-1025.6403225729211</v>
      </c>
      <c r="R430" t="s">
        <v>8350</v>
      </c>
      <c r="S430" t="s">
        <v>8351</v>
      </c>
      <c r="T430" t="s">
        <v>8352</v>
      </c>
      <c r="U430" t="s">
        <v>8353</v>
      </c>
      <c r="V430">
        <f>-739.120183183717 -10.4264149570377 -67.7235448821964</f>
        <v>-817.27014302295106</v>
      </c>
      <c r="W430" t="s">
        <v>8354</v>
      </c>
      <c r="X430" t="s">
        <v>8355</v>
      </c>
      <c r="Y430" t="s">
        <v>8356</v>
      </c>
    </row>
    <row r="431" spans="1:25" x14ac:dyDescent="0.3">
      <c r="A431">
        <v>21500</v>
      </c>
      <c r="B431" t="s">
        <v>8357</v>
      </c>
      <c r="C431" t="s">
        <v>8358</v>
      </c>
      <c r="D431" t="s">
        <v>8359</v>
      </c>
      <c r="E431" t="s">
        <v>8360</v>
      </c>
      <c r="F431" t="s">
        <v>8361</v>
      </c>
      <c r="G431" t="s">
        <v>8362</v>
      </c>
      <c r="H431" t="s">
        <v>8363</v>
      </c>
      <c r="I431" t="s">
        <v>8364</v>
      </c>
      <c r="J431" t="s">
        <v>8365</v>
      </c>
      <c r="K431" t="s">
        <v>8366</v>
      </c>
      <c r="L431" t="s">
        <v>8367</v>
      </c>
      <c r="M431" t="s">
        <v>8368</v>
      </c>
      <c r="N431" t="s">
        <v>8369</v>
      </c>
      <c r="O431">
        <f>-817.639574547842 -94.2468057146175 -492.774595785864</f>
        <v>-1404.6609760483234</v>
      </c>
      <c r="P431">
        <f>-864.245457688609 -117.70693997058 -203.173459201853</f>
        <v>-1185.1258568610419</v>
      </c>
      <c r="Q431">
        <f>-658.823504002811 -54.1676951720742 -311.872145788067</f>
        <v>-1024.8633449629522</v>
      </c>
      <c r="R431" t="s">
        <v>8370</v>
      </c>
      <c r="S431" t="s">
        <v>8371</v>
      </c>
      <c r="T431" t="s">
        <v>8372</v>
      </c>
      <c r="U431" t="s">
        <v>8373</v>
      </c>
      <c r="V431">
        <f>-739.395937383587 -10.5839577907782 -67.7185549701345</f>
        <v>-817.6984501444997</v>
      </c>
      <c r="W431" t="s">
        <v>8374</v>
      </c>
      <c r="X431" t="s">
        <v>8375</v>
      </c>
      <c r="Y431" t="s">
        <v>8376</v>
      </c>
    </row>
    <row r="432" spans="1:25" x14ac:dyDescent="0.3">
      <c r="A432">
        <v>21550</v>
      </c>
      <c r="B432" t="s">
        <v>8377</v>
      </c>
      <c r="C432" t="s">
        <v>8378</v>
      </c>
      <c r="D432" t="s">
        <v>8379</v>
      </c>
      <c r="E432" t="s">
        <v>8380</v>
      </c>
      <c r="F432" t="s">
        <v>8381</v>
      </c>
      <c r="G432" t="s">
        <v>8382</v>
      </c>
      <c r="H432" t="s">
        <v>8383</v>
      </c>
      <c r="I432" t="s">
        <v>8384</v>
      </c>
      <c r="J432" t="s">
        <v>8385</v>
      </c>
      <c r="K432" t="s">
        <v>8386</v>
      </c>
      <c r="L432" t="s">
        <v>8387</v>
      </c>
      <c r="M432" t="s">
        <v>8388</v>
      </c>
      <c r="N432" t="s">
        <v>8389</v>
      </c>
      <c r="O432">
        <f>-817.518768765615 -94.0326439112771 -492.939703997281</f>
        <v>-1404.4911166741731</v>
      </c>
      <c r="P432">
        <f>-864.345396960481 -118.203727908454 -203.43274699513</f>
        <v>-1185.9818718640649</v>
      </c>
      <c r="Q432">
        <f>-658.94005185714 -53.9136569939906 -311.72081541363</f>
        <v>-1024.5745242647606</v>
      </c>
      <c r="R432" t="s">
        <v>8390</v>
      </c>
      <c r="S432" t="s">
        <v>8391</v>
      </c>
      <c r="T432" t="s">
        <v>8392</v>
      </c>
      <c r="U432" t="s">
        <v>8393</v>
      </c>
      <c r="V432">
        <f>-739.527122957295 -10.6730509466502 -67.7126513290438</f>
        <v>-817.91282523298889</v>
      </c>
      <c r="W432" t="s">
        <v>8394</v>
      </c>
      <c r="X432" t="s">
        <v>8395</v>
      </c>
      <c r="Y432" t="s">
        <v>8396</v>
      </c>
    </row>
    <row r="433" spans="1:25" x14ac:dyDescent="0.3">
      <c r="A433">
        <v>21600</v>
      </c>
      <c r="B433" t="s">
        <v>8397</v>
      </c>
      <c r="C433" t="s">
        <v>8398</v>
      </c>
      <c r="D433" t="s">
        <v>8399</v>
      </c>
      <c r="E433" t="s">
        <v>8400</v>
      </c>
      <c r="F433" t="s">
        <v>8401</v>
      </c>
      <c r="G433" t="s">
        <v>8402</v>
      </c>
      <c r="H433" t="s">
        <v>8403</v>
      </c>
      <c r="I433" t="s">
        <v>8404</v>
      </c>
      <c r="J433" t="s">
        <v>8405</v>
      </c>
      <c r="K433" t="s">
        <v>8406</v>
      </c>
      <c r="L433" t="s">
        <v>8407</v>
      </c>
      <c r="M433" t="s">
        <v>8408</v>
      </c>
      <c r="N433" t="s">
        <v>8409</v>
      </c>
      <c r="O433">
        <f>-817.426705722661 -93.4377395556596 -493.133018160048</f>
        <v>-1403.9974634383686</v>
      </c>
      <c r="P433">
        <f>-864.01968291503 -119.218446993287 -203.727253241606</f>
        <v>-1186.9653831499229</v>
      </c>
      <c r="Q433">
        <f>-659.172564391179 -52.6925585397739 -311.72197411993</f>
        <v>-1023.5870970508829</v>
      </c>
      <c r="R433" t="s">
        <v>8410</v>
      </c>
      <c r="S433" t="s">
        <v>8411</v>
      </c>
      <c r="T433" t="s">
        <v>8412</v>
      </c>
      <c r="U433" t="s">
        <v>8413</v>
      </c>
      <c r="V433">
        <f>-740.029661411351 -10.5648715068151 -67.6908290537958</f>
        <v>-818.28536197196183</v>
      </c>
      <c r="W433" t="s">
        <v>8414</v>
      </c>
      <c r="X433" t="s">
        <v>8415</v>
      </c>
      <c r="Y433" t="s">
        <v>8416</v>
      </c>
    </row>
    <row r="434" spans="1:25" x14ac:dyDescent="0.3">
      <c r="A434">
        <v>21650</v>
      </c>
      <c r="B434" t="s">
        <v>8417</v>
      </c>
      <c r="C434" t="s">
        <v>8418</v>
      </c>
      <c r="D434" t="s">
        <v>8419</v>
      </c>
      <c r="E434" t="s">
        <v>8420</v>
      </c>
      <c r="F434" t="s">
        <v>8421</v>
      </c>
      <c r="G434" t="s">
        <v>8422</v>
      </c>
      <c r="H434" t="s">
        <v>8423</v>
      </c>
      <c r="I434" t="s">
        <v>8424</v>
      </c>
      <c r="J434" t="s">
        <v>8425</v>
      </c>
      <c r="K434" t="s">
        <v>8426</v>
      </c>
      <c r="L434" t="s">
        <v>8427</v>
      </c>
      <c r="M434" t="s">
        <v>8428</v>
      </c>
      <c r="N434" t="s">
        <v>8429</v>
      </c>
      <c r="O434">
        <f>-817.489345339825 -93.0772166339136 -493.152703919873</f>
        <v>-1403.7192658936117</v>
      </c>
      <c r="P434">
        <f>-863.731106225664 -119.727693728691 -203.769501113617</f>
        <v>-1187.2283010679719</v>
      </c>
      <c r="Q434">
        <f>-659.330318476955 -51.4991060365676 -311.547418767905</f>
        <v>-1022.3768432814276</v>
      </c>
      <c r="R434" t="s">
        <v>8430</v>
      </c>
      <c r="S434" t="s">
        <v>8431</v>
      </c>
      <c r="T434" t="s">
        <v>8432</v>
      </c>
      <c r="U434" t="s">
        <v>8433</v>
      </c>
      <c r="V434">
        <f>-740.356822386209 -10.4132848479771 -67.678088375932</f>
        <v>-818.4481956101182</v>
      </c>
      <c r="W434" t="s">
        <v>8434</v>
      </c>
      <c r="X434" t="s">
        <v>8435</v>
      </c>
      <c r="Y434" t="s">
        <v>8436</v>
      </c>
    </row>
    <row r="435" spans="1:25" x14ac:dyDescent="0.3">
      <c r="A435">
        <v>21700</v>
      </c>
      <c r="B435" t="s">
        <v>8437</v>
      </c>
      <c r="C435" t="s">
        <v>8438</v>
      </c>
      <c r="D435" t="s">
        <v>8439</v>
      </c>
      <c r="E435" t="s">
        <v>8440</v>
      </c>
      <c r="F435" t="s">
        <v>8441</v>
      </c>
      <c r="G435" t="s">
        <v>8442</v>
      </c>
      <c r="H435" t="s">
        <v>8443</v>
      </c>
      <c r="I435" t="s">
        <v>8444</v>
      </c>
      <c r="J435" t="s">
        <v>8445</v>
      </c>
      <c r="K435" t="s">
        <v>8446</v>
      </c>
      <c r="L435" t="s">
        <v>8447</v>
      </c>
      <c r="M435" t="s">
        <v>8448</v>
      </c>
      <c r="N435" t="s">
        <v>8449</v>
      </c>
      <c r="O435">
        <f>-817.691562824558 -92.5567957937806 -493.032984690855</f>
        <v>-1403.2813433091935</v>
      </c>
      <c r="P435">
        <f>-863.277268438012 -120.986844465545 -203.715033989603</f>
        <v>-1187.9791468931601</v>
      </c>
      <c r="Q435">
        <f>-659.756386833706 -48.7933333459771 -310.570796850831</f>
        <v>-1019.1205170305141</v>
      </c>
      <c r="R435" t="s">
        <v>8450</v>
      </c>
      <c r="S435" t="s">
        <v>8451</v>
      </c>
      <c r="T435" t="s">
        <v>8452</v>
      </c>
      <c r="U435" t="s">
        <v>8453</v>
      </c>
      <c r="V435">
        <f>-740.950492099562 -10.038273530241 -67.638275090825</f>
        <v>-818.62704072062797</v>
      </c>
      <c r="W435" t="s">
        <v>8454</v>
      </c>
      <c r="X435" t="s">
        <v>8455</v>
      </c>
      <c r="Y435" t="s">
        <v>8456</v>
      </c>
    </row>
    <row r="436" spans="1:25" x14ac:dyDescent="0.3">
      <c r="A436">
        <v>21750</v>
      </c>
      <c r="B436" t="s">
        <v>8457</v>
      </c>
      <c r="C436" t="s">
        <v>8458</v>
      </c>
      <c r="D436" t="s">
        <v>8459</v>
      </c>
      <c r="E436" t="s">
        <v>8460</v>
      </c>
      <c r="F436" t="s">
        <v>8461</v>
      </c>
      <c r="G436" t="s">
        <v>8462</v>
      </c>
      <c r="H436" t="s">
        <v>8463</v>
      </c>
      <c r="I436" t="s">
        <v>8464</v>
      </c>
      <c r="J436" t="s">
        <v>8465</v>
      </c>
      <c r="K436" t="s">
        <v>8466</v>
      </c>
      <c r="L436" t="s">
        <v>8467</v>
      </c>
      <c r="M436" t="s">
        <v>8468</v>
      </c>
      <c r="N436" t="s">
        <v>8469</v>
      </c>
      <c r="O436">
        <f>-817.50955553842 -92.4224822359438 -492.935714852202</f>
        <v>-1402.8677526265658</v>
      </c>
      <c r="P436">
        <f>-863.048015900299 -121.681216146957 -203.692897932649</f>
        <v>-1188.4221299799051</v>
      </c>
      <c r="Q436">
        <f>-659.930040919131 -47.4299707367877 -309.903778288403</f>
        <v>-1017.2637899443216</v>
      </c>
      <c r="R436" t="s">
        <v>8470</v>
      </c>
      <c r="S436" t="s">
        <v>8471</v>
      </c>
      <c r="T436" t="s">
        <v>8472</v>
      </c>
      <c r="U436" t="s">
        <v>8473</v>
      </c>
      <c r="V436">
        <f>-741.064973550118 -9.79968596722756 -67.6025285673252</f>
        <v>-818.46718808467074</v>
      </c>
      <c r="W436" t="s">
        <v>8474</v>
      </c>
      <c r="X436" t="s">
        <v>8475</v>
      </c>
      <c r="Y436" t="s">
        <v>8476</v>
      </c>
    </row>
    <row r="437" spans="1:25" x14ac:dyDescent="0.3">
      <c r="A437">
        <v>21800</v>
      </c>
      <c r="B437" t="s">
        <v>8477</v>
      </c>
      <c r="C437" t="s">
        <v>8478</v>
      </c>
      <c r="D437" t="s">
        <v>8479</v>
      </c>
      <c r="E437" t="s">
        <v>8480</v>
      </c>
      <c r="F437" t="s">
        <v>8481</v>
      </c>
      <c r="G437" t="s">
        <v>8482</v>
      </c>
      <c r="H437" t="s">
        <v>8483</v>
      </c>
      <c r="I437" t="s">
        <v>8484</v>
      </c>
      <c r="J437" t="s">
        <v>8485</v>
      </c>
      <c r="K437" t="s">
        <v>8486</v>
      </c>
      <c r="L437" t="s">
        <v>8487</v>
      </c>
      <c r="M437" t="s">
        <v>8488</v>
      </c>
      <c r="N437" t="s">
        <v>8489</v>
      </c>
      <c r="O437">
        <f>-817.096792838802 -92.3276937235783 -492.852996336477</f>
        <v>-1402.2774828988572</v>
      </c>
      <c r="P437">
        <f>-862.803078851307 -122.408723384724 -203.720961838036</f>
        <v>-1188.9327640740669</v>
      </c>
      <c r="Q437">
        <f>-660.262011646246 -45.7556158748287 -309.325446198442</f>
        <v>-1015.3430737195167</v>
      </c>
      <c r="R437" t="s">
        <v>8490</v>
      </c>
      <c r="S437" t="s">
        <v>8491</v>
      </c>
      <c r="T437" t="s">
        <v>8492</v>
      </c>
      <c r="U437" t="s">
        <v>8493</v>
      </c>
      <c r="V437">
        <f>-741.059766091056 -9.59935370155881 -67.5508479327076</f>
        <v>-818.20996772532237</v>
      </c>
      <c r="W437" t="s">
        <v>8494</v>
      </c>
      <c r="X437" t="s">
        <v>8495</v>
      </c>
      <c r="Y437" t="s">
        <v>8496</v>
      </c>
    </row>
    <row r="438" spans="1:25" x14ac:dyDescent="0.3">
      <c r="A438">
        <v>21850</v>
      </c>
      <c r="B438" t="s">
        <v>8497</v>
      </c>
      <c r="C438" t="s">
        <v>8498</v>
      </c>
      <c r="D438" t="s">
        <v>8499</v>
      </c>
      <c r="E438" t="s">
        <v>8500</v>
      </c>
      <c r="F438" t="s">
        <v>8501</v>
      </c>
      <c r="G438" t="s">
        <v>8502</v>
      </c>
      <c r="H438" t="s">
        <v>8503</v>
      </c>
      <c r="I438" t="s">
        <v>8504</v>
      </c>
      <c r="J438" t="s">
        <v>8505</v>
      </c>
      <c r="K438" t="s">
        <v>8506</v>
      </c>
      <c r="L438" t="s">
        <v>8507</v>
      </c>
      <c r="M438" t="s">
        <v>8508</v>
      </c>
      <c r="N438" t="s">
        <v>8509</v>
      </c>
      <c r="O438">
        <f>-816.023150354338 -92.415344345854 -492.68494068974</f>
        <v>-1401.123435389932</v>
      </c>
      <c r="P438">
        <f>-862.219196047436 -123.685701854453 -203.757107855267</f>
        <v>-1189.6620057571558</v>
      </c>
      <c r="Q438">
        <f>-660.77548782584 -42.4626190340603 -308.036081037949</f>
        <v>-1011.2741878978492</v>
      </c>
      <c r="R438" t="s">
        <v>8510</v>
      </c>
      <c r="S438" t="s">
        <v>8511</v>
      </c>
      <c r="T438" t="s">
        <v>8512</v>
      </c>
      <c r="U438" t="s">
        <v>8513</v>
      </c>
      <c r="V438">
        <f>-740.964527088391 -9.54685011963375 -67.4251513415334</f>
        <v>-817.93652854955815</v>
      </c>
      <c r="W438" t="s">
        <v>8514</v>
      </c>
      <c r="X438" t="s">
        <v>8515</v>
      </c>
      <c r="Y438" t="s">
        <v>8516</v>
      </c>
    </row>
    <row r="439" spans="1:25" x14ac:dyDescent="0.3">
      <c r="A439">
        <v>21900</v>
      </c>
      <c r="B439" t="s">
        <v>8517</v>
      </c>
      <c r="C439" t="s">
        <v>8518</v>
      </c>
      <c r="D439" t="s">
        <v>8519</v>
      </c>
      <c r="E439" t="s">
        <v>8520</v>
      </c>
      <c r="F439" t="s">
        <v>8521</v>
      </c>
      <c r="G439" t="s">
        <v>8522</v>
      </c>
      <c r="H439" t="s">
        <v>8523</v>
      </c>
      <c r="I439" t="s">
        <v>8524</v>
      </c>
      <c r="J439" t="s">
        <v>8525</v>
      </c>
      <c r="K439" t="s">
        <v>8526</v>
      </c>
      <c r="L439" t="s">
        <v>8527</v>
      </c>
      <c r="M439" t="s">
        <v>8528</v>
      </c>
      <c r="N439" t="s">
        <v>8529</v>
      </c>
      <c r="O439">
        <f>-814.90434714437 -92.3468035645315 -492.520443329674</f>
        <v>-1399.7715940385756</v>
      </c>
      <c r="P439">
        <f>-861.35483975553 -124.606228240418 -203.742112831372</f>
        <v>-1189.70318082732</v>
      </c>
      <c r="Q439">
        <f>-661.335716449625 -38.2770088289294 -306.652389145097</f>
        <v>-1006.2651144236514</v>
      </c>
      <c r="R439" t="s">
        <v>8530</v>
      </c>
      <c r="S439" t="s">
        <v>8531</v>
      </c>
      <c r="T439" t="s">
        <v>8532</v>
      </c>
      <c r="U439" t="s">
        <v>8533</v>
      </c>
      <c r="V439">
        <f>-740.817103079192 -9.3132390959222 -67.3747929009785</f>
        <v>-817.50513507609264</v>
      </c>
      <c r="W439" t="s">
        <v>8534</v>
      </c>
      <c r="X439" t="s">
        <v>8535</v>
      </c>
      <c r="Y439" t="s">
        <v>8536</v>
      </c>
    </row>
    <row r="440" spans="1:25" x14ac:dyDescent="0.3">
      <c r="A440">
        <v>21950</v>
      </c>
      <c r="B440" t="s">
        <v>8537</v>
      </c>
      <c r="C440" t="s">
        <v>8538</v>
      </c>
      <c r="D440" t="s">
        <v>8539</v>
      </c>
      <c r="E440" t="s">
        <v>8540</v>
      </c>
      <c r="F440" t="s">
        <v>8541</v>
      </c>
      <c r="G440" t="s">
        <v>8542</v>
      </c>
      <c r="H440" t="s">
        <v>8543</v>
      </c>
      <c r="I440" t="s">
        <v>8544</v>
      </c>
      <c r="J440" t="s">
        <v>8545</v>
      </c>
      <c r="K440" t="s">
        <v>8546</v>
      </c>
      <c r="L440" t="s">
        <v>8547</v>
      </c>
      <c r="M440" t="s">
        <v>8548</v>
      </c>
      <c r="N440" t="s">
        <v>8549</v>
      </c>
      <c r="O440">
        <f>-814.503847157127 -92.2725802754003 -492.51022515849</f>
        <v>-1399.2866525910172</v>
      </c>
      <c r="P440">
        <f>-860.659210295661 -125.182689705774 -203.757967486022</f>
        <v>-1189.599867487457</v>
      </c>
      <c r="Q440">
        <f>-661.593411230426 -36.2372660020046 -306.288026546647</f>
        <v>-1004.1187037790776</v>
      </c>
      <c r="R440" t="s">
        <v>8550</v>
      </c>
      <c r="S440" t="s">
        <v>8551</v>
      </c>
      <c r="T440" t="s">
        <v>8552</v>
      </c>
      <c r="U440" t="s">
        <v>8553</v>
      </c>
      <c r="V440">
        <f>-740.84691852018 -9.18252565719786 -67.3562934629236</f>
        <v>-817.3857376403015</v>
      </c>
      <c r="W440" t="s">
        <v>8554</v>
      </c>
      <c r="X440" t="s">
        <v>8555</v>
      </c>
      <c r="Y440" t="s">
        <v>8556</v>
      </c>
    </row>
    <row r="441" spans="1:25" x14ac:dyDescent="0.3">
      <c r="A441">
        <v>22000</v>
      </c>
      <c r="B441" t="s">
        <v>8557</v>
      </c>
      <c r="C441" t="s">
        <v>8558</v>
      </c>
      <c r="D441" t="s">
        <v>8559</v>
      </c>
      <c r="E441" t="s">
        <v>8560</v>
      </c>
      <c r="F441" t="s">
        <v>8561</v>
      </c>
      <c r="G441" t="s">
        <v>8562</v>
      </c>
      <c r="H441" t="s">
        <v>8563</v>
      </c>
      <c r="I441" t="s">
        <v>8564</v>
      </c>
      <c r="J441" t="s">
        <v>8565</v>
      </c>
      <c r="K441" t="s">
        <v>8566</v>
      </c>
      <c r="L441" t="s">
        <v>8567</v>
      </c>
      <c r="M441" t="s">
        <v>8568</v>
      </c>
      <c r="N441" t="s">
        <v>8569</v>
      </c>
      <c r="O441">
        <f>-813.853056929721 -91.8852588462753 -492.557204671076</f>
        <v>-1398.2955204470722</v>
      </c>
      <c r="P441">
        <f>-859.159015983459 -125.366379686754 -203.73613827212</f>
        <v>-1188.261533942333</v>
      </c>
      <c r="Q441">
        <f>-661.353059814089 -32.1919959863462 -304.93987919433</f>
        <v>-998.48493499476513</v>
      </c>
      <c r="R441" t="s">
        <v>8570</v>
      </c>
      <c r="S441" t="s">
        <v>8571</v>
      </c>
      <c r="T441" t="s">
        <v>8572</v>
      </c>
      <c r="U441" t="s">
        <v>8573</v>
      </c>
      <c r="V441">
        <f>-740.986921282004 -8.87875118498414 -67.3087840395236</f>
        <v>-817.17445650651177</v>
      </c>
      <c r="W441" t="s">
        <v>8574</v>
      </c>
      <c r="X441" t="s">
        <v>8575</v>
      </c>
      <c r="Y441" t="s">
        <v>8576</v>
      </c>
    </row>
    <row r="442" spans="1:25" x14ac:dyDescent="0.3">
      <c r="A442">
        <v>22050</v>
      </c>
      <c r="B442" t="s">
        <v>8577</v>
      </c>
      <c r="C442" t="s">
        <v>8578</v>
      </c>
      <c r="D442" t="s">
        <v>8579</v>
      </c>
      <c r="E442" t="s">
        <v>8580</v>
      </c>
      <c r="F442" t="s">
        <v>8581</v>
      </c>
      <c r="G442" t="s">
        <v>8582</v>
      </c>
      <c r="H442" t="s">
        <v>8583</v>
      </c>
      <c r="I442" t="s">
        <v>8584</v>
      </c>
      <c r="J442" t="s">
        <v>8585</v>
      </c>
      <c r="K442" t="s">
        <v>8586</v>
      </c>
      <c r="L442" t="s">
        <v>8587</v>
      </c>
      <c r="M442" t="s">
        <v>8588</v>
      </c>
      <c r="N442" t="s">
        <v>8589</v>
      </c>
      <c r="O442">
        <f>-813.420024781807 -91.7875216895657 -492.569834619999</f>
        <v>-1397.7773810913718</v>
      </c>
      <c r="P442">
        <f>-858.66011005954 -125.185631375664 -203.72890462973</f>
        <v>-1187.5746460649341</v>
      </c>
      <c r="Q442">
        <f>-661.18272042442 -31.030773312666 -304.666160577953</f>
        <v>-996.87965431503903</v>
      </c>
      <c r="R442" t="s">
        <v>8590</v>
      </c>
      <c r="S442" t="s">
        <v>8591</v>
      </c>
      <c r="T442" t="s">
        <v>8592</v>
      </c>
      <c r="U442" t="s">
        <v>8593</v>
      </c>
      <c r="V442">
        <f>-741.042083031331 -8.87948784788387 -67.2665798759377</f>
        <v>-817.18815075515261</v>
      </c>
      <c r="W442" t="s">
        <v>8594</v>
      </c>
      <c r="X442" t="s">
        <v>8595</v>
      </c>
      <c r="Y442" t="s">
        <v>8596</v>
      </c>
    </row>
    <row r="443" spans="1:25" x14ac:dyDescent="0.3">
      <c r="A443">
        <v>22100</v>
      </c>
      <c r="B443" t="s">
        <v>8597</v>
      </c>
      <c r="C443" t="s">
        <v>8598</v>
      </c>
      <c r="D443" t="s">
        <v>8599</v>
      </c>
      <c r="E443" t="s">
        <v>8600</v>
      </c>
      <c r="F443" t="s">
        <v>8601</v>
      </c>
      <c r="G443" t="s">
        <v>8602</v>
      </c>
      <c r="H443" t="s">
        <v>8603</v>
      </c>
      <c r="I443" t="s">
        <v>8604</v>
      </c>
      <c r="J443" t="s">
        <v>8605</v>
      </c>
      <c r="K443" t="s">
        <v>8606</v>
      </c>
      <c r="L443" t="s">
        <v>8607</v>
      </c>
      <c r="M443" t="s">
        <v>8608</v>
      </c>
      <c r="N443" t="s">
        <v>8609</v>
      </c>
      <c r="O443">
        <f>-812.720373955701 -91.5974095662425 -492.562879766964</f>
        <v>-1396.8806632889075</v>
      </c>
      <c r="P443">
        <f>-857.270424843425 -124.958122129558 -203.610375697985</f>
        <v>-1185.838922670968</v>
      </c>
      <c r="Q443">
        <f>-660.507752367959 -29.8703764511042 -305.068122499217</f>
        <v>-995.44625131828025</v>
      </c>
      <c r="R443" t="s">
        <v>8610</v>
      </c>
      <c r="S443" t="s">
        <v>8611</v>
      </c>
      <c r="T443" t="s">
        <v>8612</v>
      </c>
      <c r="U443" t="s">
        <v>8613</v>
      </c>
      <c r="V443">
        <f>-741.22945830672 -9.15014384830874 -67.1938618951583</f>
        <v>-817.573464050187</v>
      </c>
      <c r="W443" t="s">
        <v>8614</v>
      </c>
      <c r="X443" t="s">
        <v>8615</v>
      </c>
      <c r="Y443" t="s">
        <v>8616</v>
      </c>
    </row>
    <row r="444" spans="1:25" x14ac:dyDescent="0.3">
      <c r="A444">
        <v>22150</v>
      </c>
      <c r="B444" t="s">
        <v>8617</v>
      </c>
      <c r="C444" t="s">
        <v>8618</v>
      </c>
      <c r="D444" t="s">
        <v>8619</v>
      </c>
      <c r="E444" t="s">
        <v>8620</v>
      </c>
      <c r="F444" t="s">
        <v>8621</v>
      </c>
      <c r="G444" t="s">
        <v>8622</v>
      </c>
      <c r="H444" t="s">
        <v>8623</v>
      </c>
      <c r="I444" t="s">
        <v>8624</v>
      </c>
      <c r="J444" t="s">
        <v>8625</v>
      </c>
      <c r="K444" t="s">
        <v>8626</v>
      </c>
      <c r="L444" t="s">
        <v>8627</v>
      </c>
      <c r="M444" t="s">
        <v>8628</v>
      </c>
      <c r="N444" t="s">
        <v>8629</v>
      </c>
      <c r="O444">
        <f>-812.457740171356 -91.3726074602255 -492.543456213506</f>
        <v>-1396.3738038450874</v>
      </c>
      <c r="P444">
        <f>-856.74555163896 -124.764339734965 -203.554151151086</f>
        <v>-1185.064042525011</v>
      </c>
      <c r="Q444">
        <f>-660.247349663477 -29.3693160516509 -305.235948813078</f>
        <v>-994.852614528206</v>
      </c>
      <c r="R444" t="s">
        <v>8630</v>
      </c>
      <c r="S444" t="s">
        <v>8631</v>
      </c>
      <c r="T444" t="s">
        <v>8632</v>
      </c>
      <c r="U444" t="s">
        <v>8633</v>
      </c>
      <c r="V444">
        <f>-741.424702943283 -9.22992483764119 -67.1557684559967</f>
        <v>-817.81039623692095</v>
      </c>
      <c r="W444" t="s">
        <v>8634</v>
      </c>
      <c r="X444" t="s">
        <v>8635</v>
      </c>
      <c r="Y444" t="s">
        <v>8636</v>
      </c>
    </row>
    <row r="445" spans="1:25" x14ac:dyDescent="0.3">
      <c r="A445">
        <v>22200</v>
      </c>
      <c r="B445" t="s">
        <v>8637</v>
      </c>
      <c r="C445" t="s">
        <v>8638</v>
      </c>
      <c r="D445" t="s">
        <v>8639</v>
      </c>
      <c r="E445" t="s">
        <v>8640</v>
      </c>
      <c r="F445" t="s">
        <v>8641</v>
      </c>
      <c r="G445" t="s">
        <v>8642</v>
      </c>
      <c r="H445" t="s">
        <v>8643</v>
      </c>
      <c r="I445" t="s">
        <v>8644</v>
      </c>
      <c r="J445" t="s">
        <v>8645</v>
      </c>
      <c r="K445" t="s">
        <v>8646</v>
      </c>
      <c r="L445" t="s">
        <v>8647</v>
      </c>
      <c r="M445" t="s">
        <v>8648</v>
      </c>
      <c r="N445" t="s">
        <v>8649</v>
      </c>
      <c r="O445">
        <f>-812.282147270862 -90.66627325167 -492.58565093782</f>
        <v>-1395.5340714603519</v>
      </c>
      <c r="P445">
        <f>-856.765447319553 -124.044640771546 -203.624907275898</f>
        <v>-1184.4349953669971</v>
      </c>
      <c r="Q445">
        <f>-659.834276310816 -28.9390274620687 -304.737951551909</f>
        <v>-993.51125532479364</v>
      </c>
      <c r="R445" t="s">
        <v>8650</v>
      </c>
      <c r="S445" t="s">
        <v>8651</v>
      </c>
      <c r="T445" t="s">
        <v>8652</v>
      </c>
      <c r="U445" t="s">
        <v>8653</v>
      </c>
      <c r="V445">
        <f>-742.05436981503 -9.11639992828623 -67.0890092582945</f>
        <v>-818.2597790016107</v>
      </c>
      <c r="W445" t="s">
        <v>8654</v>
      </c>
      <c r="X445" t="s">
        <v>8655</v>
      </c>
      <c r="Y445" t="s">
        <v>8656</v>
      </c>
    </row>
    <row r="446" spans="1:25" x14ac:dyDescent="0.3">
      <c r="A446">
        <v>22250</v>
      </c>
      <c r="B446" t="s">
        <v>8657</v>
      </c>
      <c r="C446" t="s">
        <v>8658</v>
      </c>
      <c r="D446" t="s">
        <v>8659</v>
      </c>
      <c r="E446" t="s">
        <v>8660</v>
      </c>
      <c r="F446" t="s">
        <v>8661</v>
      </c>
      <c r="G446" t="s">
        <v>8662</v>
      </c>
      <c r="H446" t="s">
        <v>8663</v>
      </c>
      <c r="I446" t="s">
        <v>8664</v>
      </c>
      <c r="J446" t="s">
        <v>8665</v>
      </c>
      <c r="K446" t="s">
        <v>8666</v>
      </c>
      <c r="L446" t="s">
        <v>8667</v>
      </c>
      <c r="M446" t="s">
        <v>8668</v>
      </c>
      <c r="N446" t="s">
        <v>8669</v>
      </c>
      <c r="O446">
        <f>-812.360768688579 -90.171414911003 -492.61037911965</f>
        <v>-1395.142562719232</v>
      </c>
      <c r="P446">
        <f>-857.221920392506 -123.650613853346 -203.719742041262</f>
        <v>-1184.5922762871141</v>
      </c>
      <c r="Q446">
        <f>-659.885050909746 -29.0335198147159 -304.499771494541</f>
        <v>-993.41834221900285</v>
      </c>
      <c r="R446" t="s">
        <v>8670</v>
      </c>
      <c r="S446" t="s">
        <v>8671</v>
      </c>
      <c r="T446" t="s">
        <v>8672</v>
      </c>
      <c r="U446" t="s">
        <v>8673</v>
      </c>
      <c r="V446">
        <f>-742.410579002735 -8.84903603368548 -67.071421068287</f>
        <v>-818.33103610470744</v>
      </c>
      <c r="W446" t="s">
        <v>8674</v>
      </c>
      <c r="X446" t="s">
        <v>8675</v>
      </c>
      <c r="Y446" t="s">
        <v>8676</v>
      </c>
    </row>
    <row r="447" spans="1:25" x14ac:dyDescent="0.3">
      <c r="A447">
        <v>22300</v>
      </c>
      <c r="B447" t="s">
        <v>8677</v>
      </c>
      <c r="C447" t="s">
        <v>8678</v>
      </c>
      <c r="D447" t="s">
        <v>8679</v>
      </c>
      <c r="E447" t="s">
        <v>8680</v>
      </c>
      <c r="F447" t="s">
        <v>8681</v>
      </c>
      <c r="G447" t="s">
        <v>8682</v>
      </c>
      <c r="H447" t="s">
        <v>8683</v>
      </c>
      <c r="I447" t="s">
        <v>8684</v>
      </c>
      <c r="J447" t="s">
        <v>8685</v>
      </c>
      <c r="K447" t="s">
        <v>8686</v>
      </c>
      <c r="L447" t="s">
        <v>8687</v>
      </c>
      <c r="M447" t="s">
        <v>8688</v>
      </c>
      <c r="N447" t="s">
        <v>8689</v>
      </c>
      <c r="O447">
        <f>-812.675671865546 -88.8649176571105 -492.697003563951</f>
        <v>-1394.2375930866074</v>
      </c>
      <c r="P447">
        <f>-858.635624399144 -121.948512205721 -203.933410215786</f>
        <v>-1184.5175468206512</v>
      </c>
      <c r="Q447">
        <f>-660.415845732539 -29.0027011982052 -304.535980631286</f>
        <v>-993.95452756203008</v>
      </c>
      <c r="R447" t="s">
        <v>8690</v>
      </c>
      <c r="S447" t="s">
        <v>8691</v>
      </c>
      <c r="T447" t="s">
        <v>8692</v>
      </c>
      <c r="U447" t="s">
        <v>8693</v>
      </c>
      <c r="V447">
        <f>-742.77799260472 -7.6514071631459 -67.1028477701074</f>
        <v>-817.53224753797326</v>
      </c>
      <c r="W447" t="s">
        <v>8694</v>
      </c>
      <c r="X447" t="s">
        <v>8695</v>
      </c>
      <c r="Y447" t="s">
        <v>8696</v>
      </c>
    </row>
    <row r="448" spans="1:25" x14ac:dyDescent="0.3">
      <c r="A448">
        <v>22350</v>
      </c>
      <c r="B448" t="s">
        <v>8697</v>
      </c>
      <c r="C448" t="s">
        <v>8698</v>
      </c>
      <c r="D448" t="s">
        <v>8699</v>
      </c>
      <c r="E448" t="s">
        <v>8700</v>
      </c>
      <c r="F448" t="s">
        <v>8701</v>
      </c>
      <c r="G448" t="s">
        <v>8702</v>
      </c>
      <c r="H448" t="s">
        <v>8703</v>
      </c>
      <c r="I448" t="s">
        <v>8704</v>
      </c>
      <c r="J448" t="s">
        <v>8705</v>
      </c>
      <c r="K448" t="s">
        <v>8706</v>
      </c>
      <c r="L448" t="s">
        <v>8707</v>
      </c>
      <c r="M448" t="s">
        <v>8708</v>
      </c>
      <c r="N448" t="s">
        <v>8709</v>
      </c>
      <c r="O448">
        <f>-812.916501057943 -88.2145343291668 -492.766655895976</f>
        <v>-1393.8976912830858</v>
      </c>
      <c r="P448">
        <f>-859.402321636117 -121.15344953986 -204.070813820764</f>
        <v>-1184.626584996741</v>
      </c>
      <c r="Q448">
        <f>-660.95477121388 -28.8973285296042 -304.858407791726</f>
        <v>-994.71050753521024</v>
      </c>
      <c r="R448" t="s">
        <v>8710</v>
      </c>
      <c r="S448" t="s">
        <v>8711</v>
      </c>
      <c r="T448" t="s">
        <v>8712</v>
      </c>
      <c r="U448" t="s">
        <v>8713</v>
      </c>
      <c r="V448">
        <f>-742.719508472289 -6.79688900825249 -67.1393752215015</f>
        <v>-816.65577270204301</v>
      </c>
      <c r="W448" t="s">
        <v>8714</v>
      </c>
      <c r="X448" t="s">
        <v>8715</v>
      </c>
      <c r="Y448" t="s">
        <v>8716</v>
      </c>
    </row>
    <row r="449" spans="1:25" x14ac:dyDescent="0.3">
      <c r="A449">
        <v>22400</v>
      </c>
      <c r="B449" t="s">
        <v>8717</v>
      </c>
      <c r="C449" t="s">
        <v>8718</v>
      </c>
      <c r="D449" t="s">
        <v>8719</v>
      </c>
      <c r="E449" t="s">
        <v>8720</v>
      </c>
      <c r="F449" t="s">
        <v>8721</v>
      </c>
      <c r="G449" t="s">
        <v>8722</v>
      </c>
      <c r="H449" t="s">
        <v>8723</v>
      </c>
      <c r="I449" t="s">
        <v>8724</v>
      </c>
      <c r="J449" t="s">
        <v>8725</v>
      </c>
      <c r="K449" t="s">
        <v>8726</v>
      </c>
      <c r="L449" t="s">
        <v>8727</v>
      </c>
      <c r="M449" t="s">
        <v>8728</v>
      </c>
      <c r="N449" t="s">
        <v>8729</v>
      </c>
      <c r="O449">
        <f>-813.636593119488 -87.9729176192473 -492.906716723423</f>
        <v>-1394.5162274621582</v>
      </c>
      <c r="P449">
        <f>-860.482696501751 -120.353717679174 -204.206045600054</f>
        <v>-1185.042459780979</v>
      </c>
      <c r="Q449">
        <f>-661.335447388625 -30.263285291152 -305.571482454022</f>
        <v>-997.17021513379893</v>
      </c>
      <c r="R449" t="s">
        <v>8730</v>
      </c>
      <c r="S449" t="s">
        <v>8731</v>
      </c>
      <c r="T449" t="s">
        <v>8732</v>
      </c>
      <c r="U449" t="s">
        <v>8733</v>
      </c>
      <c r="V449">
        <f>-741.92326427642 -5.73000185528417 -67.2655742791278</f>
        <v>-814.91884041083199</v>
      </c>
      <c r="W449" t="s">
        <v>8734</v>
      </c>
      <c r="X449" t="s">
        <v>8735</v>
      </c>
      <c r="Y449" t="s">
        <v>8736</v>
      </c>
    </row>
    <row r="450" spans="1:25" x14ac:dyDescent="0.3">
      <c r="A450">
        <v>22450</v>
      </c>
      <c r="B450" t="s">
        <v>8737</v>
      </c>
      <c r="C450" t="s">
        <v>8738</v>
      </c>
      <c r="D450" t="s">
        <v>8739</v>
      </c>
      <c r="E450" t="s">
        <v>8740</v>
      </c>
      <c r="F450" t="s">
        <v>8741</v>
      </c>
      <c r="G450" t="s">
        <v>8742</v>
      </c>
      <c r="H450" t="s">
        <v>8743</v>
      </c>
      <c r="I450" t="s">
        <v>8744</v>
      </c>
      <c r="J450" t="s">
        <v>8745</v>
      </c>
      <c r="K450" t="s">
        <v>8746</v>
      </c>
      <c r="L450" t="s">
        <v>8747</v>
      </c>
      <c r="M450" t="s">
        <v>8748</v>
      </c>
      <c r="N450" t="s">
        <v>8749</v>
      </c>
      <c r="O450">
        <f>-813.438455431276 -88.1266697377482 -493.181617614359</f>
        <v>-1394.7467427833833</v>
      </c>
      <c r="P450">
        <f>-859.885444751475 -120.511493474845 -204.416842718682</f>
        <v>-1184.813780945002</v>
      </c>
      <c r="Q450">
        <f>-660.249485747534 -31.6617831141857 -305.916051481396</f>
        <v>-997.82732034311562</v>
      </c>
      <c r="R450" t="s">
        <v>8750</v>
      </c>
      <c r="S450" t="s">
        <v>8751</v>
      </c>
      <c r="T450" t="s">
        <v>8752</v>
      </c>
      <c r="U450" t="s">
        <v>8753</v>
      </c>
      <c r="V450">
        <f>-741.363564411194 -5.99973139830263 -67.3291298858701</f>
        <v>-814.69242569536675</v>
      </c>
      <c r="W450" t="s">
        <v>8754</v>
      </c>
      <c r="X450" t="s">
        <v>8755</v>
      </c>
      <c r="Y450" t="s">
        <v>8756</v>
      </c>
    </row>
    <row r="451" spans="1:25" x14ac:dyDescent="0.3">
      <c r="A451">
        <v>22500</v>
      </c>
      <c r="B451" t="s">
        <v>8757</v>
      </c>
      <c r="C451" t="s">
        <v>8758</v>
      </c>
      <c r="D451" t="s">
        <v>8759</v>
      </c>
      <c r="E451" t="s">
        <v>8760</v>
      </c>
      <c r="F451" t="s">
        <v>8761</v>
      </c>
      <c r="G451" t="s">
        <v>8762</v>
      </c>
      <c r="H451" t="s">
        <v>8763</v>
      </c>
      <c r="I451" t="s">
        <v>8764</v>
      </c>
      <c r="J451" t="s">
        <v>8765</v>
      </c>
      <c r="K451" t="s">
        <v>8766</v>
      </c>
      <c r="L451" t="s">
        <v>8767</v>
      </c>
      <c r="M451" t="s">
        <v>8768</v>
      </c>
      <c r="N451" t="s">
        <v>8769</v>
      </c>
      <c r="O451">
        <f>-810.935412161475 -88.9034699775455 -494.396909097699</f>
        <v>-1394.2357912367195</v>
      </c>
      <c r="P451">
        <f>-856.646170316884 -122.153459048198 -205.612791842555</f>
        <v>-1184.412421207637</v>
      </c>
      <c r="Q451">
        <f>-655.846452991363 -36.338232438025 -307.427047431776</f>
        <v>-999.611732861164</v>
      </c>
      <c r="R451" t="s">
        <v>8770</v>
      </c>
      <c r="S451" t="s">
        <v>8771</v>
      </c>
      <c r="T451" t="s">
        <v>8772</v>
      </c>
      <c r="U451" t="s">
        <v>8773</v>
      </c>
      <c r="V451">
        <f>-739.947419145742 -7.72007540242475 -67.4223872935431</f>
        <v>-815.08988184170983</v>
      </c>
      <c r="W451" t="s">
        <v>8774</v>
      </c>
      <c r="X451" t="s">
        <v>8775</v>
      </c>
      <c r="Y451" t="s">
        <v>8776</v>
      </c>
    </row>
    <row r="452" spans="1:25" x14ac:dyDescent="0.3">
      <c r="A452">
        <v>22550</v>
      </c>
      <c r="B452" t="s">
        <v>8777</v>
      </c>
      <c r="C452" t="s">
        <v>8778</v>
      </c>
      <c r="D452" t="s">
        <v>8779</v>
      </c>
      <c r="E452" t="s">
        <v>8780</v>
      </c>
      <c r="F452" t="s">
        <v>8781</v>
      </c>
      <c r="G452" t="s">
        <v>8782</v>
      </c>
      <c r="H452" t="s">
        <v>8783</v>
      </c>
      <c r="I452" t="s">
        <v>8784</v>
      </c>
      <c r="J452" t="s">
        <v>8785</v>
      </c>
      <c r="K452" t="s">
        <v>8786</v>
      </c>
      <c r="L452" t="s">
        <v>8787</v>
      </c>
      <c r="M452" t="s">
        <v>8788</v>
      </c>
      <c r="N452" t="s">
        <v>8789</v>
      </c>
      <c r="O452">
        <f>-809.476293836873 -89.1082969714157 -495.226441799913</f>
        <v>-1393.8110326082017</v>
      </c>
      <c r="P452">
        <f>-854.773488888754 -123.283009429092 -206.485272652224</f>
        <v>-1184.54177097007</v>
      </c>
      <c r="Q452">
        <f>-653.524686872111 -39.0306844897746 -308.716918670253</f>
        <v>-1001.2722900321386</v>
      </c>
      <c r="R452" t="s">
        <v>8790</v>
      </c>
      <c r="S452" t="s">
        <v>8791</v>
      </c>
      <c r="T452" t="s">
        <v>8792</v>
      </c>
      <c r="U452" t="s">
        <v>8793</v>
      </c>
      <c r="V452">
        <f>-739.294741907715 -8.40569031098175 -67.4430567302037</f>
        <v>-815.14348894890043</v>
      </c>
      <c r="W452" t="s">
        <v>8794</v>
      </c>
      <c r="X452" t="s">
        <v>8795</v>
      </c>
      <c r="Y452" t="s">
        <v>8796</v>
      </c>
    </row>
    <row r="453" spans="1:25" x14ac:dyDescent="0.3">
      <c r="A453">
        <v>22600</v>
      </c>
      <c r="B453" t="s">
        <v>8797</v>
      </c>
      <c r="C453" t="s">
        <v>8798</v>
      </c>
      <c r="D453" t="s">
        <v>8799</v>
      </c>
      <c r="E453" t="s">
        <v>8800</v>
      </c>
      <c r="F453" t="s">
        <v>8801</v>
      </c>
      <c r="G453" t="s">
        <v>8802</v>
      </c>
      <c r="H453" t="s">
        <v>8803</v>
      </c>
      <c r="I453" t="s">
        <v>8804</v>
      </c>
      <c r="J453" t="s">
        <v>8805</v>
      </c>
      <c r="K453" t="s">
        <v>8806</v>
      </c>
      <c r="L453" t="s">
        <v>8807</v>
      </c>
      <c r="M453" t="s">
        <v>8808</v>
      </c>
      <c r="N453" t="s">
        <v>8809</v>
      </c>
      <c r="O453">
        <f>-806.958447224639 -89.5815186235482 -496.834410040649</f>
        <v>-1393.3743758888363</v>
      </c>
      <c r="P453">
        <f>-850.436766122573 -126.737216231751 -208.181769439857</f>
        <v>-1185.3557517941808</v>
      </c>
      <c r="Q453">
        <f>-649.116650354154 -44.7186167077546 -312.076311922648</f>
        <v>-1005.9115789845566</v>
      </c>
      <c r="R453" t="s">
        <v>8810</v>
      </c>
      <c r="S453" t="s">
        <v>8811</v>
      </c>
      <c r="T453" t="s">
        <v>8812</v>
      </c>
      <c r="U453" t="s">
        <v>8813</v>
      </c>
      <c r="V453">
        <f>-738.308520872133 -10.1958732686808 -67.5287501845041</f>
        <v>-816.03314432531795</v>
      </c>
      <c r="W453" t="s">
        <v>8814</v>
      </c>
      <c r="X453" t="s">
        <v>8815</v>
      </c>
      <c r="Y453" t="s">
        <v>8816</v>
      </c>
    </row>
    <row r="454" spans="1:25" x14ac:dyDescent="0.3">
      <c r="A454">
        <v>22650</v>
      </c>
      <c r="B454" t="s">
        <v>8817</v>
      </c>
      <c r="C454" t="s">
        <v>8818</v>
      </c>
      <c r="D454" t="s">
        <v>8819</v>
      </c>
      <c r="E454" t="s">
        <v>8820</v>
      </c>
      <c r="F454" t="s">
        <v>8821</v>
      </c>
      <c r="G454" t="s">
        <v>8822</v>
      </c>
      <c r="H454" t="s">
        <v>8823</v>
      </c>
      <c r="I454" t="s">
        <v>8824</v>
      </c>
      <c r="J454" t="s">
        <v>8825</v>
      </c>
      <c r="K454" t="s">
        <v>8826</v>
      </c>
      <c r="L454" t="s">
        <v>8827</v>
      </c>
      <c r="M454" t="s">
        <v>8828</v>
      </c>
      <c r="N454" t="s">
        <v>8829</v>
      </c>
      <c r="O454">
        <f>-805.431575005775 -89.7438178689049 -497.575346015163</f>
        <v>-1392.750738889843</v>
      </c>
      <c r="P454">
        <f>-847.77208481833 -128.474981911245 -208.960779202585</f>
        <v>-1185.2078459321599</v>
      </c>
      <c r="Q454">
        <f>-646.571799466515 -47.551823161202 -313.940517276692</f>
        <v>-1008.0641399044091</v>
      </c>
      <c r="R454" t="s">
        <v>8830</v>
      </c>
      <c r="S454" t="s">
        <v>8831</v>
      </c>
      <c r="T454" t="s">
        <v>8832</v>
      </c>
      <c r="U454" t="s">
        <v>8833</v>
      </c>
      <c r="V454">
        <f>-737.853000413307 -11.2143242659736 -67.6246359982421</f>
        <v>-816.69196067752262</v>
      </c>
      <c r="W454" t="s">
        <v>8834</v>
      </c>
      <c r="X454" t="s">
        <v>8835</v>
      </c>
      <c r="Y454" t="s">
        <v>8836</v>
      </c>
    </row>
    <row r="455" spans="1:25" x14ac:dyDescent="0.3">
      <c r="A455">
        <v>22700</v>
      </c>
      <c r="B455" t="s">
        <v>8837</v>
      </c>
      <c r="C455" t="s">
        <v>8838</v>
      </c>
      <c r="D455" t="s">
        <v>8839</v>
      </c>
      <c r="E455" t="s">
        <v>8840</v>
      </c>
      <c r="F455" t="s">
        <v>8841</v>
      </c>
      <c r="G455" t="s">
        <v>8842</v>
      </c>
      <c r="H455" t="s">
        <v>8843</v>
      </c>
      <c r="I455" t="s">
        <v>8844</v>
      </c>
      <c r="J455" t="s">
        <v>8845</v>
      </c>
      <c r="K455" t="s">
        <v>8846</v>
      </c>
      <c r="L455" t="s">
        <v>8847</v>
      </c>
      <c r="M455" t="s">
        <v>8848</v>
      </c>
      <c r="N455" t="s">
        <v>8849</v>
      </c>
      <c r="O455">
        <f>-802.146583839355 -89.9455768833807 -498.844827740384</f>
        <v>-1390.9369884631196</v>
      </c>
      <c r="P455">
        <f>-842.717519633624 -130.171059662312 -210.180473200218</f>
        <v>-1183.069052496154</v>
      </c>
      <c r="Q455">
        <f>-641.595653776432 -52.305727506948 -317.595111805425</f>
        <v>-1011.496493088805</v>
      </c>
      <c r="R455" t="s">
        <v>8850</v>
      </c>
      <c r="S455" t="s">
        <v>8851</v>
      </c>
      <c r="T455" t="s">
        <v>8852</v>
      </c>
      <c r="U455" t="s">
        <v>8853</v>
      </c>
      <c r="V455">
        <f>-737.133077417946 -12.5688178762734 -67.8067785089679</f>
        <v>-817.50867380318732</v>
      </c>
      <c r="W455" t="s">
        <v>8854</v>
      </c>
      <c r="X455" t="s">
        <v>8855</v>
      </c>
      <c r="Y455" t="s">
        <v>8856</v>
      </c>
    </row>
    <row r="456" spans="1:25" x14ac:dyDescent="0.3">
      <c r="A456">
        <v>22750</v>
      </c>
      <c r="B456" t="s">
        <v>8857</v>
      </c>
      <c r="C456" t="s">
        <v>8858</v>
      </c>
      <c r="D456" t="s">
        <v>8859</v>
      </c>
      <c r="E456" t="s">
        <v>8860</v>
      </c>
      <c r="F456" t="s">
        <v>8861</v>
      </c>
      <c r="G456" t="s">
        <v>8862</v>
      </c>
      <c r="H456" t="s">
        <v>8863</v>
      </c>
      <c r="I456" t="s">
        <v>8864</v>
      </c>
      <c r="J456" t="s">
        <v>8865</v>
      </c>
      <c r="K456" t="s">
        <v>8866</v>
      </c>
      <c r="L456" t="s">
        <v>8867</v>
      </c>
      <c r="M456" t="s">
        <v>8868</v>
      </c>
      <c r="N456" t="s">
        <v>8869</v>
      </c>
      <c r="O456">
        <f>-800.672120502833 -89.8678261080781 -499.427169446336</f>
        <v>-1389.967116057247</v>
      </c>
      <c r="P456">
        <f>-840.524230218713 -130.361747722001 -210.700250996654</f>
        <v>-1181.5862289373681</v>
      </c>
      <c r="Q456">
        <f>-639.304030205409 -54.2607837657367 -319.189301331103</f>
        <v>-1012.7541153022488</v>
      </c>
      <c r="R456" t="s">
        <v>8870</v>
      </c>
      <c r="S456" t="s">
        <v>8871</v>
      </c>
      <c r="T456" t="s">
        <v>8872</v>
      </c>
      <c r="U456" t="s">
        <v>8873</v>
      </c>
      <c r="V456">
        <f>-737.016088125492 -13.0167224185038 -67.8634051795202</f>
        <v>-817.89621572351609</v>
      </c>
      <c r="W456" t="s">
        <v>8874</v>
      </c>
      <c r="X456" t="s">
        <v>8875</v>
      </c>
      <c r="Y456" t="s">
        <v>8876</v>
      </c>
    </row>
    <row r="457" spans="1:25" x14ac:dyDescent="0.3">
      <c r="A457">
        <v>22800</v>
      </c>
      <c r="B457" t="s">
        <v>8877</v>
      </c>
      <c r="C457" t="s">
        <v>8878</v>
      </c>
      <c r="D457" t="s">
        <v>8879</v>
      </c>
      <c r="E457" t="s">
        <v>8880</v>
      </c>
      <c r="F457" t="s">
        <v>8881</v>
      </c>
      <c r="G457" t="s">
        <v>8882</v>
      </c>
      <c r="H457" t="s">
        <v>8883</v>
      </c>
      <c r="I457" t="s">
        <v>8884</v>
      </c>
      <c r="J457" t="s">
        <v>8885</v>
      </c>
      <c r="K457" t="s">
        <v>8886</v>
      </c>
      <c r="L457" t="s">
        <v>8887</v>
      </c>
      <c r="M457" t="s">
        <v>8888</v>
      </c>
      <c r="N457" t="s">
        <v>8889</v>
      </c>
      <c r="O457">
        <f>-798.237046242846 -89.6276168860404 -500.642187671254</f>
        <v>-1388.5068508001405</v>
      </c>
      <c r="P457">
        <f>-837.466531582718 -130.526230012013 -211.887070427505</f>
        <v>-1179.8798320222359</v>
      </c>
      <c r="Q457">
        <f>-635.697432713563 -57.1179374087751 -321.208904405345</f>
        <v>-1014.024274527683</v>
      </c>
      <c r="R457" t="s">
        <v>8890</v>
      </c>
      <c r="S457" t="s">
        <v>8891</v>
      </c>
      <c r="T457" t="s">
        <v>8892</v>
      </c>
      <c r="U457" t="s">
        <v>8893</v>
      </c>
      <c r="V457">
        <f>-737.162897162566 -14.187252537376 -67.9737516741689</f>
        <v>-819.32390137411085</v>
      </c>
      <c r="W457" t="s">
        <v>8894</v>
      </c>
      <c r="X457" t="s">
        <v>8895</v>
      </c>
      <c r="Y457" t="s">
        <v>8896</v>
      </c>
    </row>
    <row r="458" spans="1:25" x14ac:dyDescent="0.3">
      <c r="A458">
        <v>22850</v>
      </c>
      <c r="B458" t="s">
        <v>8897</v>
      </c>
      <c r="C458" t="s">
        <v>8898</v>
      </c>
      <c r="D458" t="s">
        <v>8899</v>
      </c>
      <c r="E458" t="s">
        <v>8900</v>
      </c>
      <c r="F458" t="s">
        <v>8901</v>
      </c>
      <c r="G458" t="s">
        <v>8902</v>
      </c>
      <c r="H458" t="s">
        <v>8903</v>
      </c>
      <c r="I458" t="s">
        <v>8904</v>
      </c>
      <c r="J458" t="s">
        <v>8905</v>
      </c>
      <c r="K458" t="s">
        <v>8906</v>
      </c>
      <c r="L458" t="s">
        <v>8907</v>
      </c>
      <c r="M458" t="s">
        <v>8908</v>
      </c>
      <c r="N458" t="s">
        <v>8909</v>
      </c>
      <c r="O458">
        <f>-797.18765625007 -89.879113836229 -501.049889599581</f>
        <v>-1388.1166596858798</v>
      </c>
      <c r="P458">
        <f>-836.578847564503 -131.421922473362 -212.408650259086</f>
        <v>-1180.4094202969509</v>
      </c>
      <c r="Q458">
        <f>-634.370375033786 -58.6972709974277 -321.375311217891</f>
        <v>-1014.4429572491047</v>
      </c>
      <c r="R458" t="s">
        <v>8910</v>
      </c>
      <c r="S458" t="s">
        <v>8911</v>
      </c>
      <c r="T458" t="s">
        <v>8912</v>
      </c>
      <c r="U458" t="s">
        <v>8913</v>
      </c>
      <c r="V458">
        <f>-737.465423549744 -14.7393454931448 -68.0428048899636</f>
        <v>-820.24757393285233</v>
      </c>
      <c r="W458" t="s">
        <v>8914</v>
      </c>
      <c r="X458" t="s">
        <v>8915</v>
      </c>
      <c r="Y458" t="s">
        <v>8916</v>
      </c>
    </row>
    <row r="459" spans="1:25" x14ac:dyDescent="0.3">
      <c r="A459">
        <v>22900</v>
      </c>
      <c r="B459" t="s">
        <v>8917</v>
      </c>
      <c r="C459" t="s">
        <v>8918</v>
      </c>
      <c r="D459" t="s">
        <v>8919</v>
      </c>
      <c r="E459" t="s">
        <v>8920</v>
      </c>
      <c r="F459" t="s">
        <v>8921</v>
      </c>
      <c r="G459" t="s">
        <v>8922</v>
      </c>
      <c r="H459" t="s">
        <v>8923</v>
      </c>
      <c r="I459" t="s">
        <v>8924</v>
      </c>
      <c r="J459" t="s">
        <v>8925</v>
      </c>
      <c r="K459" t="s">
        <v>8926</v>
      </c>
      <c r="L459" t="s">
        <v>8927</v>
      </c>
      <c r="M459" t="s">
        <v>8928</v>
      </c>
      <c r="N459" t="s">
        <v>8929</v>
      </c>
      <c r="O459">
        <f>-796.013230097065 -91.037424102823 -501.127772609271</f>
        <v>-1388.1784268091592</v>
      </c>
      <c r="P459">
        <f>-835.902441519114 -133.658289002574 -212.712222938411</f>
        <v>-1182.272953460099</v>
      </c>
      <c r="Q459">
        <f>-633.020896216781 -61.672801126623 -320.915472081131</f>
        <v>-1015.6091694245349</v>
      </c>
      <c r="R459" t="s">
        <v>8930</v>
      </c>
      <c r="S459" t="s">
        <v>8931</v>
      </c>
      <c r="T459" t="s">
        <v>8932</v>
      </c>
      <c r="U459" t="s">
        <v>8933</v>
      </c>
      <c r="V459">
        <f>-738.65882625915 -15.3251849742483 -68.1527859146323</f>
        <v>-822.13679714803061</v>
      </c>
      <c r="W459" t="s">
        <v>8934</v>
      </c>
      <c r="X459" t="s">
        <v>8935</v>
      </c>
      <c r="Y459" t="s">
        <v>8936</v>
      </c>
    </row>
    <row r="460" spans="1:25" x14ac:dyDescent="0.3">
      <c r="A460">
        <v>22950</v>
      </c>
      <c r="B460" t="s">
        <v>8937</v>
      </c>
      <c r="C460" t="s">
        <v>8938</v>
      </c>
      <c r="D460" t="s">
        <v>8939</v>
      </c>
      <c r="E460" t="s">
        <v>8940</v>
      </c>
      <c r="F460" t="s">
        <v>8941</v>
      </c>
      <c r="G460" t="s">
        <v>8942</v>
      </c>
      <c r="H460" t="s">
        <v>8943</v>
      </c>
      <c r="I460" t="s">
        <v>8944</v>
      </c>
      <c r="J460" t="s">
        <v>8945</v>
      </c>
      <c r="K460" t="s">
        <v>8946</v>
      </c>
      <c r="L460" t="s">
        <v>8947</v>
      </c>
      <c r="M460" t="s">
        <v>8948</v>
      </c>
      <c r="N460" t="s">
        <v>8949</v>
      </c>
      <c r="O460">
        <f>-795.720165128134 -91.5772719887175 -500.847482917581</f>
        <v>-1388.1449200344325</v>
      </c>
      <c r="P460">
        <f>-835.834966978508 -133.89939320944 -212.419247615353</f>
        <v>-1182.1536078033009</v>
      </c>
      <c r="Q460">
        <f>-632.565643861915 -62.865149256829 -320.523999011932</f>
        <v>-1015.954792130676</v>
      </c>
      <c r="R460" t="s">
        <v>8950</v>
      </c>
      <c r="S460" t="s">
        <v>8951</v>
      </c>
      <c r="T460" t="s">
        <v>8952</v>
      </c>
      <c r="U460" t="s">
        <v>8953</v>
      </c>
      <c r="V460">
        <f>-739.334686498219 -15.6233767215417 -68.1535961767097</f>
        <v>-823.11165939647037</v>
      </c>
      <c r="W460" t="s">
        <v>8954</v>
      </c>
      <c r="X460" t="s">
        <v>8955</v>
      </c>
      <c r="Y460" t="s">
        <v>8956</v>
      </c>
    </row>
    <row r="461" spans="1:25" x14ac:dyDescent="0.3">
      <c r="A461">
        <v>23000</v>
      </c>
      <c r="B461" t="s">
        <v>8957</v>
      </c>
      <c r="C461" t="s">
        <v>8958</v>
      </c>
      <c r="D461" t="s">
        <v>8959</v>
      </c>
      <c r="E461" t="s">
        <v>8960</v>
      </c>
      <c r="F461" t="s">
        <v>8961</v>
      </c>
      <c r="G461" t="s">
        <v>8962</v>
      </c>
      <c r="H461" t="s">
        <v>8963</v>
      </c>
      <c r="I461" t="s">
        <v>8964</v>
      </c>
      <c r="J461" t="s">
        <v>8965</v>
      </c>
      <c r="K461" t="s">
        <v>8966</v>
      </c>
      <c r="L461" t="s">
        <v>8967</v>
      </c>
      <c r="M461" t="s">
        <v>8968</v>
      </c>
      <c r="N461" t="s">
        <v>8969</v>
      </c>
      <c r="O461">
        <f>-795.626284120076 -92.6545705779502 -499.880859028965</f>
        <v>-1388.1617137269911</v>
      </c>
      <c r="P461">
        <f>-836.272819497801 -133.347517028717 -211.292742909911</f>
        <v>-1180.9130794364291</v>
      </c>
      <c r="Q461">
        <f>-632.354839116817 -64.6435386584128 -319.681432816516</f>
        <v>-1016.6798105917458</v>
      </c>
      <c r="R461" t="s">
        <v>8970</v>
      </c>
      <c r="S461" t="s">
        <v>8971</v>
      </c>
      <c r="T461" t="s">
        <v>8972</v>
      </c>
      <c r="U461" t="s">
        <v>8973</v>
      </c>
      <c r="V461">
        <f>-740.642623774471 -15.5724463583738 -68.0613030072876</f>
        <v>-824.27637314013236</v>
      </c>
      <c r="W461" t="s">
        <v>8974</v>
      </c>
      <c r="X461" t="s">
        <v>8975</v>
      </c>
      <c r="Y461" t="s">
        <v>8976</v>
      </c>
    </row>
    <row r="462" spans="1:25" x14ac:dyDescent="0.3">
      <c r="A462">
        <v>23050</v>
      </c>
      <c r="B462" t="s">
        <v>8977</v>
      </c>
      <c r="C462" t="s">
        <v>8978</v>
      </c>
      <c r="D462" t="s">
        <v>8979</v>
      </c>
      <c r="E462" t="s">
        <v>8980</v>
      </c>
      <c r="F462" t="s">
        <v>8981</v>
      </c>
      <c r="G462" t="s">
        <v>8982</v>
      </c>
      <c r="H462" t="s">
        <v>8983</v>
      </c>
      <c r="I462" t="s">
        <v>8984</v>
      </c>
      <c r="J462" t="s">
        <v>8985</v>
      </c>
      <c r="K462" t="s">
        <v>8986</v>
      </c>
      <c r="L462" t="s">
        <v>8987</v>
      </c>
      <c r="M462" t="s">
        <v>8988</v>
      </c>
      <c r="N462" t="s">
        <v>8989</v>
      </c>
      <c r="O462">
        <f>-795.850970759229 -93.2031158189336 -499.242724051378</f>
        <v>-1388.2968106295407</v>
      </c>
      <c r="P462">
        <f>-836.672272730973 -132.67290555083 -210.509262382325</f>
        <v>-1179.8544406641281</v>
      </c>
      <c r="Q462">
        <f>-632.446979213651 -65.4647775345466 -319.256922036218</f>
        <v>-1017.1686787844155</v>
      </c>
      <c r="R462" t="s">
        <v>8990</v>
      </c>
      <c r="S462" t="s">
        <v>8991</v>
      </c>
      <c r="T462" t="s">
        <v>8992</v>
      </c>
      <c r="U462" t="s">
        <v>8993</v>
      </c>
      <c r="V462">
        <f>-741.175577481013 -15.3877364900286 -67.9638619093237</f>
        <v>-824.52717588036523</v>
      </c>
      <c r="W462" t="s">
        <v>8994</v>
      </c>
      <c r="X462" t="s">
        <v>8995</v>
      </c>
      <c r="Y462" t="s">
        <v>8996</v>
      </c>
    </row>
    <row r="463" spans="1:25" x14ac:dyDescent="0.3">
      <c r="A463">
        <v>23100</v>
      </c>
      <c r="B463" t="s">
        <v>8997</v>
      </c>
      <c r="C463" t="s">
        <v>8998</v>
      </c>
      <c r="D463" t="s">
        <v>8999</v>
      </c>
      <c r="E463" t="s">
        <v>9000</v>
      </c>
      <c r="F463" t="s">
        <v>9001</v>
      </c>
      <c r="G463" t="s">
        <v>9002</v>
      </c>
      <c r="H463" t="s">
        <v>9003</v>
      </c>
      <c r="I463" t="s">
        <v>9004</v>
      </c>
      <c r="J463" t="s">
        <v>9005</v>
      </c>
      <c r="K463" t="s">
        <v>9006</v>
      </c>
      <c r="L463" t="s">
        <v>9007</v>
      </c>
      <c r="M463" t="s">
        <v>9008</v>
      </c>
      <c r="N463" t="s">
        <v>9009</v>
      </c>
      <c r="O463">
        <f>-796.429643191788 -93.7711199994048 -497.880528371648</f>
        <v>-1388.0812915628408</v>
      </c>
      <c r="P463">
        <f>-837.568746101178 -130.504240042107 -208.831217185752</f>
        <v>-1176.904203329037</v>
      </c>
      <c r="Q463">
        <f>-632.77853563198 -66.2574311618639 -318.303151918099</f>
        <v>-1017.339118711943</v>
      </c>
      <c r="R463" t="s">
        <v>9010</v>
      </c>
      <c r="S463" t="s">
        <v>9011</v>
      </c>
      <c r="T463" t="s">
        <v>9012</v>
      </c>
      <c r="U463" t="s">
        <v>9013</v>
      </c>
      <c r="V463">
        <f>-741.737548546133 -14.8052587788516 -67.751408839383</f>
        <v>-824.29421616436753</v>
      </c>
      <c r="W463" t="s">
        <v>9014</v>
      </c>
      <c r="X463" t="s">
        <v>9015</v>
      </c>
      <c r="Y463" t="s">
        <v>9016</v>
      </c>
    </row>
    <row r="464" spans="1:25" x14ac:dyDescent="0.3">
      <c r="A464">
        <v>23150</v>
      </c>
      <c r="B464" t="s">
        <v>9017</v>
      </c>
      <c r="C464" t="s">
        <v>9018</v>
      </c>
      <c r="D464" t="s">
        <v>9019</v>
      </c>
      <c r="E464" t="s">
        <v>9020</v>
      </c>
      <c r="F464" t="s">
        <v>9021</v>
      </c>
      <c r="G464" t="s">
        <v>9022</v>
      </c>
      <c r="H464" t="s">
        <v>9023</v>
      </c>
      <c r="I464" t="s">
        <v>9024</v>
      </c>
      <c r="J464" t="s">
        <v>9025</v>
      </c>
      <c r="K464" t="s">
        <v>9026</v>
      </c>
      <c r="L464" t="s">
        <v>9027</v>
      </c>
      <c r="M464" t="s">
        <v>9028</v>
      </c>
      <c r="N464" t="s">
        <v>9029</v>
      </c>
      <c r="O464">
        <f>-796.471755355114 -93.7009316219287 -497.3297332946</f>
        <v>-1387.5024202716427</v>
      </c>
      <c r="P464">
        <f>-837.930266759417 -129.457437311078 -208.203665885461</f>
        <v>-1175.591369955956</v>
      </c>
      <c r="Q464">
        <f>-632.864607387292 -66.4259800348575 -317.866440753476</f>
        <v>-1017.1570281756256</v>
      </c>
      <c r="R464" t="s">
        <v>9030</v>
      </c>
      <c r="S464" t="s">
        <v>9031</v>
      </c>
      <c r="T464" t="s">
        <v>9032</v>
      </c>
      <c r="U464" t="s">
        <v>9033</v>
      </c>
      <c r="V464">
        <f>-741.774837785032 -14.3965529535526 -67.6298992462575</f>
        <v>-823.80128998484213</v>
      </c>
      <c r="W464" t="s">
        <v>9034</v>
      </c>
      <c r="X464" t="s">
        <v>9035</v>
      </c>
      <c r="Y464" t="s">
        <v>9036</v>
      </c>
    </row>
    <row r="465" spans="1:25" x14ac:dyDescent="0.3">
      <c r="A465">
        <v>23200</v>
      </c>
      <c r="B465" t="s">
        <v>9037</v>
      </c>
      <c r="C465" t="s">
        <v>9038</v>
      </c>
      <c r="D465" t="s">
        <v>9039</v>
      </c>
      <c r="E465" t="s">
        <v>9040</v>
      </c>
      <c r="F465" t="s">
        <v>9041</v>
      </c>
      <c r="G465" t="s">
        <v>9042</v>
      </c>
      <c r="H465" t="s">
        <v>9043</v>
      </c>
      <c r="I465" t="s">
        <v>9044</v>
      </c>
      <c r="J465" t="s">
        <v>9045</v>
      </c>
      <c r="K465" t="s">
        <v>9046</v>
      </c>
      <c r="L465" t="s">
        <v>9047</v>
      </c>
      <c r="M465" t="s">
        <v>9048</v>
      </c>
      <c r="N465" t="s">
        <v>9049</v>
      </c>
      <c r="O465">
        <f>-795.813786459241 -93.5698067900717 -496.619295196588</f>
        <v>-1386.0028884459007</v>
      </c>
      <c r="P465">
        <f>-838.001952813414 -128.195306032102 -207.461131472066</f>
        <v>-1173.658390317582</v>
      </c>
      <c r="Q465">
        <f>-632.47249184662 -66.5077736079272 -317.020189382327</f>
        <v>-1016.0004548368742</v>
      </c>
      <c r="R465" t="s">
        <v>9050</v>
      </c>
      <c r="S465" t="s">
        <v>9051</v>
      </c>
      <c r="T465" t="s">
        <v>9052</v>
      </c>
      <c r="U465" t="s">
        <v>9053</v>
      </c>
      <c r="V465">
        <f>-741.179815174907 -13.4208229248889 -67.4516520969592</f>
        <v>-822.05229019675505</v>
      </c>
      <c r="W465" t="s">
        <v>9054</v>
      </c>
      <c r="X465" t="s">
        <v>9055</v>
      </c>
      <c r="Y465" t="s">
        <v>9056</v>
      </c>
    </row>
    <row r="466" spans="1:25" x14ac:dyDescent="0.3">
      <c r="A466">
        <v>23250</v>
      </c>
      <c r="B466" t="s">
        <v>9057</v>
      </c>
      <c r="C466" t="s">
        <v>9058</v>
      </c>
      <c r="D466" t="s">
        <v>9059</v>
      </c>
      <c r="E466" t="s">
        <v>9060</v>
      </c>
      <c r="F466" t="s">
        <v>9061</v>
      </c>
      <c r="G466" t="s">
        <v>9062</v>
      </c>
      <c r="H466" t="s">
        <v>9063</v>
      </c>
      <c r="I466" t="s">
        <v>9064</v>
      </c>
      <c r="J466" t="s">
        <v>9065</v>
      </c>
      <c r="K466" t="s">
        <v>9066</v>
      </c>
      <c r="L466" t="s">
        <v>9067</v>
      </c>
      <c r="M466" t="s">
        <v>9068</v>
      </c>
      <c r="N466" t="s">
        <v>9069</v>
      </c>
      <c r="O466">
        <f>-795.112964459548 -93.7518668101247 -496.378726754777</f>
        <v>-1385.2435580244498</v>
      </c>
      <c r="P466">
        <f>-837.389528252134 -128.15793163751 -207.207191894205</f>
        <v>-1172.7546517838489</v>
      </c>
      <c r="Q466">
        <f>-631.731411999299 -66.6314320128347 -316.615187355014</f>
        <v>-1014.9780313671477</v>
      </c>
      <c r="R466" t="s">
        <v>9070</v>
      </c>
      <c r="S466" t="s">
        <v>9071</v>
      </c>
      <c r="T466" t="s">
        <v>9072</v>
      </c>
      <c r="U466" t="s">
        <v>9073</v>
      </c>
      <c r="V466">
        <f>-740.478622066507 -13.414247671692 -67.4157732731643</f>
        <v>-821.3086430113633</v>
      </c>
      <c r="W466" t="s">
        <v>9074</v>
      </c>
      <c r="X466" t="s">
        <v>9075</v>
      </c>
      <c r="Y466" t="s">
        <v>9076</v>
      </c>
    </row>
    <row r="467" spans="1:25" x14ac:dyDescent="0.3">
      <c r="A467">
        <v>23300</v>
      </c>
      <c r="B467" t="s">
        <v>9077</v>
      </c>
      <c r="C467" t="s">
        <v>9078</v>
      </c>
      <c r="D467" t="s">
        <v>9079</v>
      </c>
      <c r="E467" t="s">
        <v>9080</v>
      </c>
      <c r="F467" t="s">
        <v>9081</v>
      </c>
      <c r="G467" t="s">
        <v>9082</v>
      </c>
      <c r="H467" t="s">
        <v>9083</v>
      </c>
      <c r="I467" t="s">
        <v>9084</v>
      </c>
      <c r="J467" t="s">
        <v>9085</v>
      </c>
      <c r="K467" t="s">
        <v>9086</v>
      </c>
      <c r="L467" t="s">
        <v>9087</v>
      </c>
      <c r="M467" t="s">
        <v>9088</v>
      </c>
      <c r="N467" t="s">
        <v>9089</v>
      </c>
      <c r="O467">
        <f>-793.343743170298 -94.0425857678067 -496.082057625256</f>
        <v>-1383.4683865633608</v>
      </c>
      <c r="P467">
        <f>-835.716054250545 -128.083990258206 -206.88150201194</f>
        <v>-1170.681546520691</v>
      </c>
      <c r="Q467">
        <f>-629.889073336088 -66.3074803238392 -315.830004232742</f>
        <v>-1012.0265578926692</v>
      </c>
      <c r="R467" t="s">
        <v>9090</v>
      </c>
      <c r="S467" t="s">
        <v>9091</v>
      </c>
      <c r="T467" t="s">
        <v>9092</v>
      </c>
      <c r="U467" t="s">
        <v>9093</v>
      </c>
      <c r="V467">
        <f>-738.874558673979 -13.5233212975058 -67.3953019830858</f>
        <v>-819.79318195457063</v>
      </c>
      <c r="W467" t="s">
        <v>9094</v>
      </c>
      <c r="X467" t="s">
        <v>9095</v>
      </c>
      <c r="Y467" t="s">
        <v>9096</v>
      </c>
    </row>
    <row r="468" spans="1:25" x14ac:dyDescent="0.3">
      <c r="A468">
        <v>23350</v>
      </c>
      <c r="B468" t="s">
        <v>9097</v>
      </c>
      <c r="C468" t="s">
        <v>9098</v>
      </c>
      <c r="D468" t="s">
        <v>9099</v>
      </c>
      <c r="E468" t="s">
        <v>9100</v>
      </c>
      <c r="F468" t="s">
        <v>9101</v>
      </c>
      <c r="G468" t="s">
        <v>9102</v>
      </c>
      <c r="H468" t="s">
        <v>9103</v>
      </c>
      <c r="I468" t="s">
        <v>9104</v>
      </c>
      <c r="J468" t="s">
        <v>9105</v>
      </c>
      <c r="K468" t="s">
        <v>9106</v>
      </c>
      <c r="L468" t="s">
        <v>9107</v>
      </c>
      <c r="M468" t="s">
        <v>9108</v>
      </c>
      <c r="N468" t="s">
        <v>9109</v>
      </c>
      <c r="O468">
        <f>-792.535089764516 -94.0507326717011 -496.048169246792</f>
        <v>-1382.6339916830091</v>
      </c>
      <c r="P468">
        <f>-835.0056619785 -127.900959114946 -206.83956145553</f>
        <v>-1169.7461825489761</v>
      </c>
      <c r="Q468">
        <f>-629.176545640692 -65.8801529212876 -315.644796727282</f>
        <v>-1010.7014952892616</v>
      </c>
      <c r="R468" t="s">
        <v>9110</v>
      </c>
      <c r="S468" t="s">
        <v>9111</v>
      </c>
      <c r="T468" t="s">
        <v>9112</v>
      </c>
      <c r="U468" t="s">
        <v>9113</v>
      </c>
      <c r="V468">
        <f>-738.345481251177 -13.2537485258599 -67.3742467368022</f>
        <v>-818.97347651383916</v>
      </c>
      <c r="W468" t="s">
        <v>9114</v>
      </c>
      <c r="X468" t="s">
        <v>9115</v>
      </c>
      <c r="Y468" t="s">
        <v>9116</v>
      </c>
    </row>
    <row r="469" spans="1:25" x14ac:dyDescent="0.3">
      <c r="A469">
        <v>23400</v>
      </c>
      <c r="B469" t="s">
        <v>9117</v>
      </c>
      <c r="C469" t="s">
        <v>9118</v>
      </c>
      <c r="D469" t="s">
        <v>9119</v>
      </c>
      <c r="E469" t="s">
        <v>9120</v>
      </c>
      <c r="F469" t="s">
        <v>9121</v>
      </c>
      <c r="G469" t="s">
        <v>9122</v>
      </c>
      <c r="H469" t="s">
        <v>9123</v>
      </c>
      <c r="I469" t="s">
        <v>9124</v>
      </c>
      <c r="J469" t="s">
        <v>9125</v>
      </c>
      <c r="K469" t="s">
        <v>9126</v>
      </c>
      <c r="L469" t="s">
        <v>9127</v>
      </c>
      <c r="M469" t="s">
        <v>9128</v>
      </c>
      <c r="N469" t="s">
        <v>9129</v>
      </c>
      <c r="O469">
        <f>-790.832345841942 -93.7826524531797 -496.036748911349</f>
        <v>-1380.6517472064706</v>
      </c>
      <c r="P469">
        <f>-833.273022735231 -127.525658303531 -206.811276792955</f>
        <v>-1167.6099578317171</v>
      </c>
      <c r="Q469">
        <f>-627.697894889281 -64.4795721930623 -315.507797275994</f>
        <v>-1007.6852643583372</v>
      </c>
      <c r="R469" t="s">
        <v>9130</v>
      </c>
      <c r="S469" t="s">
        <v>9131</v>
      </c>
      <c r="T469" t="s">
        <v>9132</v>
      </c>
      <c r="U469" t="s">
        <v>9133</v>
      </c>
      <c r="V469">
        <f>-737.698977688997 -12.391742992128 -67.3779273887998</f>
        <v>-817.46864806992482</v>
      </c>
      <c r="W469" t="s">
        <v>9134</v>
      </c>
      <c r="X469" t="s">
        <v>9135</v>
      </c>
      <c r="Y469" t="s">
        <v>9136</v>
      </c>
    </row>
    <row r="470" spans="1:25" x14ac:dyDescent="0.3">
      <c r="A470">
        <v>23450</v>
      </c>
      <c r="B470" t="s">
        <v>9137</v>
      </c>
      <c r="C470" t="s">
        <v>9138</v>
      </c>
      <c r="D470" t="s">
        <v>9139</v>
      </c>
      <c r="E470" t="s">
        <v>9140</v>
      </c>
      <c r="F470" t="s">
        <v>9141</v>
      </c>
      <c r="G470" t="s">
        <v>9142</v>
      </c>
      <c r="H470" t="s">
        <v>9143</v>
      </c>
      <c r="I470" t="s">
        <v>9144</v>
      </c>
      <c r="J470" t="s">
        <v>9145</v>
      </c>
      <c r="K470" t="s">
        <v>9146</v>
      </c>
      <c r="L470" t="s">
        <v>9147</v>
      </c>
      <c r="M470" t="s">
        <v>9148</v>
      </c>
      <c r="N470" t="s">
        <v>9149</v>
      </c>
      <c r="O470">
        <f>-789.896557692453 -93.3793814338692 -496.042149329369</f>
        <v>-1379.3180884556912</v>
      </c>
      <c r="P470">
        <f>-832.45667117643 -127.182198183079 -206.841222431033</f>
        <v>-1166.480091790542</v>
      </c>
      <c r="Q470">
        <f>-626.972972420636 -63.6965017777104 -315.454743772738</f>
        <v>-1006.1242179710844</v>
      </c>
      <c r="R470" t="s">
        <v>9150</v>
      </c>
      <c r="S470" t="s">
        <v>9151</v>
      </c>
      <c r="T470" t="s">
        <v>9152</v>
      </c>
      <c r="U470" t="s">
        <v>9153</v>
      </c>
      <c r="V470">
        <f>-737.626106285415 -11.8993113400675 -67.4017808062828</f>
        <v>-816.92719843176519</v>
      </c>
      <c r="W470" t="s">
        <v>9154</v>
      </c>
      <c r="X470" t="s">
        <v>9155</v>
      </c>
      <c r="Y470" t="s">
        <v>9156</v>
      </c>
    </row>
    <row r="471" spans="1:25" x14ac:dyDescent="0.3">
      <c r="A471">
        <v>23500</v>
      </c>
      <c r="B471" t="s">
        <v>9157</v>
      </c>
      <c r="C471" t="s">
        <v>9158</v>
      </c>
      <c r="D471" t="s">
        <v>9159</v>
      </c>
      <c r="E471" t="s">
        <v>9160</v>
      </c>
      <c r="F471" t="s">
        <v>9161</v>
      </c>
      <c r="G471" t="s">
        <v>9162</v>
      </c>
      <c r="H471" t="s">
        <v>9163</v>
      </c>
      <c r="I471" t="s">
        <v>9164</v>
      </c>
      <c r="J471" t="s">
        <v>9165</v>
      </c>
      <c r="K471" t="s">
        <v>9166</v>
      </c>
      <c r="L471" t="s">
        <v>9167</v>
      </c>
      <c r="M471" t="s">
        <v>9168</v>
      </c>
      <c r="N471" t="s">
        <v>9169</v>
      </c>
      <c r="O471">
        <f>-788.212608965209 -92.4829711784771 -496.104546845358</f>
        <v>-1376.8001269890442</v>
      </c>
      <c r="P471">
        <f>-831.207576096627 -126.601018478384 -207.004865668352</f>
        <v>-1164.8134602433631</v>
      </c>
      <c r="Q471">
        <f>-625.648719578032 -62.4435073861439 -315.080023238776</f>
        <v>-1003.1722502029519</v>
      </c>
      <c r="R471" t="s">
        <v>9170</v>
      </c>
      <c r="S471" t="s">
        <v>9171</v>
      </c>
      <c r="T471" t="s">
        <v>9172</v>
      </c>
      <c r="U471" t="s">
        <v>9173</v>
      </c>
      <c r="V471">
        <f>-737.542035989534 -11.0838198873134 -67.4754537366731</f>
        <v>-816.10130961352058</v>
      </c>
      <c r="W471" t="s">
        <v>9174</v>
      </c>
      <c r="X471" t="s">
        <v>9175</v>
      </c>
      <c r="Y471" t="s">
        <v>9176</v>
      </c>
    </row>
    <row r="472" spans="1:25" x14ac:dyDescent="0.3">
      <c r="A472">
        <v>23550</v>
      </c>
      <c r="B472" t="s">
        <v>9177</v>
      </c>
      <c r="C472" t="s">
        <v>9178</v>
      </c>
      <c r="D472" t="s">
        <v>9179</v>
      </c>
      <c r="E472" t="s">
        <v>9180</v>
      </c>
      <c r="F472" t="s">
        <v>9181</v>
      </c>
      <c r="G472" t="s">
        <v>9182</v>
      </c>
      <c r="H472" t="s">
        <v>9183</v>
      </c>
      <c r="I472" t="s">
        <v>9184</v>
      </c>
      <c r="J472" t="s">
        <v>9185</v>
      </c>
      <c r="K472" t="s">
        <v>9186</v>
      </c>
      <c r="L472" t="s">
        <v>9187</v>
      </c>
      <c r="M472" t="s">
        <v>9188</v>
      </c>
      <c r="N472" t="s">
        <v>9189</v>
      </c>
      <c r="O472">
        <f>-787.586357624612 -92.2030210083808 -496.123978051044</f>
        <v>-1375.9133566840369</v>
      </c>
      <c r="P472">
        <f>-830.963795278212 -126.582946867831 -207.112547518241</f>
        <v>-1164.659289664284</v>
      </c>
      <c r="Q472">
        <f>-625.280493567382 -62.1956146484329 -314.81315984508</f>
        <v>-1002.2892680608949</v>
      </c>
      <c r="R472" t="s">
        <v>9190</v>
      </c>
      <c r="S472" t="s">
        <v>9191</v>
      </c>
      <c r="T472" t="s">
        <v>9192</v>
      </c>
      <c r="U472" t="s">
        <v>9193</v>
      </c>
      <c r="V472">
        <f>-737.42427101984 -10.7963106998513 -67.4984390418335</f>
        <v>-815.71902076152492</v>
      </c>
      <c r="W472" t="s">
        <v>9194</v>
      </c>
      <c r="X472" t="s">
        <v>9195</v>
      </c>
      <c r="Y472" t="s">
        <v>9196</v>
      </c>
    </row>
    <row r="473" spans="1:25" x14ac:dyDescent="0.3">
      <c r="A473">
        <v>23600</v>
      </c>
      <c r="B473" t="s">
        <v>9197</v>
      </c>
      <c r="C473" t="s">
        <v>9198</v>
      </c>
      <c r="D473" t="s">
        <v>9199</v>
      </c>
      <c r="E473" t="s">
        <v>9200</v>
      </c>
      <c r="F473" t="s">
        <v>9201</v>
      </c>
      <c r="G473" t="s">
        <v>9202</v>
      </c>
      <c r="H473" t="s">
        <v>9203</v>
      </c>
      <c r="I473" t="s">
        <v>9204</v>
      </c>
      <c r="J473" t="s">
        <v>9205</v>
      </c>
      <c r="K473" t="s">
        <v>9206</v>
      </c>
      <c r="L473" t="s">
        <v>9207</v>
      </c>
      <c r="M473" t="s">
        <v>9208</v>
      </c>
      <c r="N473" t="s">
        <v>9209</v>
      </c>
      <c r="O473">
        <f>-787.181518011858 -91.6755440732197 -496.08673373496</f>
        <v>-1374.9437958200376</v>
      </c>
      <c r="P473">
        <f>-831.303075792553 -126.243535018051 -207.210510551154</f>
        <v>-1164.757121361758</v>
      </c>
      <c r="Q473">
        <f>-625.285593575025 -62.020777752695 -314.3698223882</f>
        <v>-1001.6761937159201</v>
      </c>
      <c r="R473" t="s">
        <v>9210</v>
      </c>
      <c r="S473" t="s">
        <v>9211</v>
      </c>
      <c r="T473" t="s">
        <v>9212</v>
      </c>
      <c r="U473" t="s">
        <v>9213</v>
      </c>
      <c r="V473">
        <f>-737.09199248788 -10.1402469346699 -67.4900221975252</f>
        <v>-814.72226162007519</v>
      </c>
      <c r="W473" t="s">
        <v>9214</v>
      </c>
      <c r="X473" t="s">
        <v>9215</v>
      </c>
      <c r="Y473" t="s">
        <v>9216</v>
      </c>
    </row>
    <row r="474" spans="1:25" x14ac:dyDescent="0.3">
      <c r="A474">
        <v>23650</v>
      </c>
      <c r="B474" t="s">
        <v>9217</v>
      </c>
      <c r="C474" t="s">
        <v>9218</v>
      </c>
      <c r="D474" t="s">
        <v>9219</v>
      </c>
      <c r="E474" t="s">
        <v>9220</v>
      </c>
      <c r="F474" t="s">
        <v>9221</v>
      </c>
      <c r="G474" t="s">
        <v>9222</v>
      </c>
      <c r="H474" t="s">
        <v>9223</v>
      </c>
      <c r="I474" t="s">
        <v>9224</v>
      </c>
      <c r="J474" t="s">
        <v>9225</v>
      </c>
      <c r="K474" t="s">
        <v>9226</v>
      </c>
      <c r="L474" t="s">
        <v>9227</v>
      </c>
      <c r="M474" t="s">
        <v>9228</v>
      </c>
      <c r="N474" t="s">
        <v>9229</v>
      </c>
      <c r="O474">
        <f>-787.15038090244 -91.3620885459666 -496.045013064403</f>
        <v>-1374.5574825128097</v>
      </c>
      <c r="P474">
        <f>-831.544874176754 -125.828960615555 -207.198375720715</f>
        <v>-1164.5722105130239</v>
      </c>
      <c r="Q474">
        <f>-625.361259549753 -61.8875106935893 -314.206464659008</f>
        <v>-1001.4552349023503</v>
      </c>
      <c r="R474" t="s">
        <v>9230</v>
      </c>
      <c r="S474" t="s">
        <v>9231</v>
      </c>
      <c r="T474" t="s">
        <v>9232</v>
      </c>
      <c r="U474" t="s">
        <v>9233</v>
      </c>
      <c r="V474">
        <f>-736.783286200197 -9.91537159876634 -67.4807630002806</f>
        <v>-814.17942079924399</v>
      </c>
      <c r="W474" t="s">
        <v>9234</v>
      </c>
      <c r="X474" t="s">
        <v>9235</v>
      </c>
      <c r="Y474" t="s">
        <v>9236</v>
      </c>
    </row>
    <row r="475" spans="1:25" x14ac:dyDescent="0.3">
      <c r="A475">
        <v>23700</v>
      </c>
      <c r="B475" t="s">
        <v>9237</v>
      </c>
      <c r="C475" t="s">
        <v>9238</v>
      </c>
      <c r="D475" t="s">
        <v>9239</v>
      </c>
      <c r="E475" t="s">
        <v>9240</v>
      </c>
      <c r="F475" t="s">
        <v>9241</v>
      </c>
      <c r="G475" t="s">
        <v>9242</v>
      </c>
      <c r="H475" t="s">
        <v>9243</v>
      </c>
      <c r="I475" t="s">
        <v>9244</v>
      </c>
      <c r="J475" t="s">
        <v>9245</v>
      </c>
      <c r="K475" t="s">
        <v>9246</v>
      </c>
      <c r="L475" t="s">
        <v>9247</v>
      </c>
      <c r="M475" t="s">
        <v>9248</v>
      </c>
      <c r="N475" t="s">
        <v>9249</v>
      </c>
      <c r="O475">
        <f>-786.87411760379 -90.7189048022558 -495.953196189854</f>
        <v>-1373.5462185958997</v>
      </c>
      <c r="P475">
        <f>-831.737368497004 -124.763733247479 -207.129072700217</f>
        <v>-1163.6301744447001</v>
      </c>
      <c r="Q475">
        <f>-625.24533553403 -61.4923678657819 -313.940366784731</f>
        <v>-1000.678070184543</v>
      </c>
      <c r="R475" t="s">
        <v>9250</v>
      </c>
      <c r="S475" t="s">
        <v>9251</v>
      </c>
      <c r="T475" t="s">
        <v>9252</v>
      </c>
      <c r="U475" t="s">
        <v>9253</v>
      </c>
      <c r="V475">
        <f>-735.938789428754 -9.45347710897022 -67.4234972918367</f>
        <v>-812.81576382956098</v>
      </c>
      <c r="W475" t="s">
        <v>9254</v>
      </c>
      <c r="X475" t="s">
        <v>9255</v>
      </c>
      <c r="Y475" t="s">
        <v>9256</v>
      </c>
    </row>
    <row r="476" spans="1:25" x14ac:dyDescent="0.3">
      <c r="A476">
        <v>23750</v>
      </c>
      <c r="B476" t="s">
        <v>9257</v>
      </c>
      <c r="C476" t="s">
        <v>9258</v>
      </c>
      <c r="D476" t="s">
        <v>9259</v>
      </c>
      <c r="E476" t="s">
        <v>9260</v>
      </c>
      <c r="F476" t="s">
        <v>9261</v>
      </c>
      <c r="G476" t="s">
        <v>9262</v>
      </c>
      <c r="H476" t="s">
        <v>9263</v>
      </c>
      <c r="I476" t="s">
        <v>9264</v>
      </c>
      <c r="J476" t="s">
        <v>9265</v>
      </c>
      <c r="K476" t="s">
        <v>9266</v>
      </c>
      <c r="L476" t="s">
        <v>9267</v>
      </c>
      <c r="M476" t="s">
        <v>9268</v>
      </c>
      <c r="N476" t="s">
        <v>9269</v>
      </c>
      <c r="O476">
        <f>-786.886336865939 -90.4308383719358 -495.853381765675</f>
        <v>-1373.1705570035499</v>
      </c>
      <c r="P476">
        <f>-831.748277195112 -124.327928789799 -207.011651159636</f>
        <v>-1163.0878571445469</v>
      </c>
      <c r="Q476">
        <f>-625.182365230648 -61.3001084208352 -313.823857629427</f>
        <v>-1000.3063312809102</v>
      </c>
      <c r="R476" t="s">
        <v>9270</v>
      </c>
      <c r="S476" t="s">
        <v>9271</v>
      </c>
      <c r="T476" t="s">
        <v>9272</v>
      </c>
      <c r="U476" t="s">
        <v>9273</v>
      </c>
      <c r="V476">
        <f>-735.526869998035 -9.1975807682079 -67.3662472819701</f>
        <v>-812.09069804821297</v>
      </c>
      <c r="W476" t="s">
        <v>9274</v>
      </c>
      <c r="X476" t="s">
        <v>9275</v>
      </c>
      <c r="Y476" t="s">
        <v>9276</v>
      </c>
    </row>
    <row r="477" spans="1:25" x14ac:dyDescent="0.3">
      <c r="A477">
        <v>23800</v>
      </c>
      <c r="B477" t="s">
        <v>9277</v>
      </c>
      <c r="C477" t="s">
        <v>9278</v>
      </c>
      <c r="D477" t="s">
        <v>9279</v>
      </c>
      <c r="E477" t="s">
        <v>9280</v>
      </c>
      <c r="F477" t="s">
        <v>9281</v>
      </c>
      <c r="G477" t="s">
        <v>9282</v>
      </c>
      <c r="H477" t="s">
        <v>9283</v>
      </c>
      <c r="I477" t="s">
        <v>9284</v>
      </c>
      <c r="J477" t="s">
        <v>9285</v>
      </c>
      <c r="K477" t="s">
        <v>9286</v>
      </c>
      <c r="L477" t="s">
        <v>9287</v>
      </c>
      <c r="M477" t="s">
        <v>9288</v>
      </c>
      <c r="N477" t="s">
        <v>9289</v>
      </c>
      <c r="O477">
        <f>-787.341510957929 -89.458835091905 -495.604380801987</f>
        <v>-1372.4047268518211</v>
      </c>
      <c r="P477">
        <f>-831.981188066031 -123.149969638316 -206.703968482255</f>
        <v>-1161.8351261866019</v>
      </c>
      <c r="Q477">
        <f>-625.371273665105 -60.5529436558684 -313.684358546061</f>
        <v>-999.60857586703446</v>
      </c>
      <c r="R477" t="s">
        <v>9290</v>
      </c>
      <c r="S477" t="s">
        <v>9291</v>
      </c>
      <c r="T477" t="s">
        <v>9292</v>
      </c>
      <c r="U477" t="s">
        <v>9293</v>
      </c>
      <c r="V477">
        <f>-734.694391905399 -8.44927254699314 -67.2281329824159</f>
        <v>-810.37179743480806</v>
      </c>
      <c r="W477" t="s">
        <v>9294</v>
      </c>
      <c r="X477" t="s">
        <v>9295</v>
      </c>
      <c r="Y477" t="s">
        <v>9296</v>
      </c>
    </row>
    <row r="478" spans="1:25" x14ac:dyDescent="0.3">
      <c r="A478">
        <v>23850</v>
      </c>
      <c r="B478" t="s">
        <v>9297</v>
      </c>
      <c r="C478" t="s">
        <v>9298</v>
      </c>
      <c r="D478" t="s">
        <v>9299</v>
      </c>
      <c r="E478" t="s">
        <v>9300</v>
      </c>
      <c r="F478" t="s">
        <v>9301</v>
      </c>
      <c r="G478" t="s">
        <v>9302</v>
      </c>
      <c r="H478" t="s">
        <v>9303</v>
      </c>
      <c r="I478" t="s">
        <v>9304</v>
      </c>
      <c r="J478" t="s">
        <v>9305</v>
      </c>
      <c r="K478" t="s">
        <v>9306</v>
      </c>
      <c r="L478" t="s">
        <v>9307</v>
      </c>
      <c r="M478" t="s">
        <v>9308</v>
      </c>
      <c r="N478" t="s">
        <v>9309</v>
      </c>
      <c r="O478">
        <f>-787.737420039123 -88.8250996943702 -495.500208752371</f>
        <v>-1372.0627284858642</v>
      </c>
      <c r="P478">
        <f>-832.265896345455 -122.407733017915 -206.570165195062</f>
        <v>-1161.243794558432</v>
      </c>
      <c r="Q478">
        <f>-625.653293961413 -60.0800266167109 -313.702787824479</f>
        <v>-999.43610840260294</v>
      </c>
      <c r="R478" t="s">
        <v>9310</v>
      </c>
      <c r="S478" t="s">
        <v>9311</v>
      </c>
      <c r="T478" t="s">
        <v>9312</v>
      </c>
      <c r="U478" t="s">
        <v>9313</v>
      </c>
      <c r="V478">
        <f>-734.355564099923 -8.05603475100406 -67.156042589432</f>
        <v>-809.56764144035901</v>
      </c>
      <c r="W478" t="s">
        <v>9314</v>
      </c>
      <c r="X478" t="s">
        <v>9315</v>
      </c>
      <c r="Y478" t="s">
        <v>9316</v>
      </c>
    </row>
    <row r="479" spans="1:25" x14ac:dyDescent="0.3">
      <c r="A479">
        <v>23900</v>
      </c>
      <c r="B479" t="s">
        <v>9317</v>
      </c>
      <c r="C479" t="s">
        <v>9318</v>
      </c>
      <c r="D479" t="s">
        <v>9319</v>
      </c>
      <c r="E479" t="s">
        <v>9320</v>
      </c>
      <c r="F479" t="s">
        <v>9321</v>
      </c>
      <c r="G479" t="s">
        <v>9322</v>
      </c>
      <c r="H479" t="s">
        <v>9323</v>
      </c>
      <c r="I479" t="s">
        <v>9324</v>
      </c>
      <c r="J479" t="s">
        <v>9325</v>
      </c>
      <c r="K479" t="s">
        <v>9326</v>
      </c>
      <c r="L479" t="s">
        <v>9327</v>
      </c>
      <c r="M479" t="s">
        <v>9328</v>
      </c>
      <c r="N479" t="s">
        <v>9329</v>
      </c>
      <c r="O479">
        <f>-788.690131411198 -87.7046343991747 -495.39542712727</f>
        <v>-1371.7901929376426</v>
      </c>
      <c r="P479">
        <f>-832.961020645085 -121.028537688609 -206.395662384126</f>
        <v>-1160.3852207178202</v>
      </c>
      <c r="Q479">
        <f>-626.242431360927 -59.3715759319352 -313.711837044338</f>
        <v>-999.32584433720012</v>
      </c>
      <c r="R479" t="s">
        <v>9330</v>
      </c>
      <c r="S479" t="s">
        <v>9331</v>
      </c>
      <c r="T479" t="s">
        <v>9332</v>
      </c>
      <c r="U479" t="s">
        <v>9333</v>
      </c>
      <c r="V479">
        <f>-733.718393027274 -7.32109311624936 -67.0759611192817</f>
        <v>-808.11544726280511</v>
      </c>
      <c r="W479" t="s">
        <v>9334</v>
      </c>
      <c r="X479" t="s">
        <v>9335</v>
      </c>
      <c r="Y479" t="s">
        <v>9336</v>
      </c>
    </row>
    <row r="480" spans="1:25" x14ac:dyDescent="0.3">
      <c r="A480">
        <v>23950</v>
      </c>
      <c r="B480" t="s">
        <v>9337</v>
      </c>
      <c r="C480" t="s">
        <v>9338</v>
      </c>
      <c r="D480" t="s">
        <v>9339</v>
      </c>
      <c r="E480" t="s">
        <v>9340</v>
      </c>
      <c r="F480" t="s">
        <v>9341</v>
      </c>
      <c r="G480" t="s">
        <v>9342</v>
      </c>
      <c r="H480" t="s">
        <v>9343</v>
      </c>
      <c r="I480" t="s">
        <v>9344</v>
      </c>
      <c r="J480" t="s">
        <v>9345</v>
      </c>
      <c r="K480" t="s">
        <v>9346</v>
      </c>
      <c r="L480" t="s">
        <v>9347</v>
      </c>
      <c r="M480" t="s">
        <v>9348</v>
      </c>
      <c r="N480" t="s">
        <v>9349</v>
      </c>
      <c r="O480">
        <f>-788.924569519244 -87.3247782030471 -495.405305449567</f>
        <v>-1371.6546531718582</v>
      </c>
      <c r="P480">
        <f>-833.187731622487 -120.5648421904 -206.394784029668</f>
        <v>-1160.147357842555</v>
      </c>
      <c r="Q480">
        <f>-626.341306179766 -59.2842207109204 -313.679847175866</f>
        <v>-999.3053740665523</v>
      </c>
      <c r="R480" t="s">
        <v>9350</v>
      </c>
      <c r="S480" t="s">
        <v>9351</v>
      </c>
      <c r="T480" t="s">
        <v>9352</v>
      </c>
      <c r="U480" t="s">
        <v>9353</v>
      </c>
      <c r="V480">
        <f>-733.384664558693 -7.15440482439681 -67.0624292596657</f>
        <v>-807.60149864275547</v>
      </c>
      <c r="W480" t="s">
        <v>9354</v>
      </c>
      <c r="X480" t="s">
        <v>9355</v>
      </c>
      <c r="Y480" t="s">
        <v>9356</v>
      </c>
    </row>
    <row r="481" spans="1:25" x14ac:dyDescent="0.3">
      <c r="A481">
        <v>24000</v>
      </c>
      <c r="B481" t="s">
        <v>9357</v>
      </c>
      <c r="C481" t="s">
        <v>9358</v>
      </c>
      <c r="D481" t="s">
        <v>9359</v>
      </c>
      <c r="E481" t="s">
        <v>9360</v>
      </c>
      <c r="F481" t="s">
        <v>9361</v>
      </c>
      <c r="G481" t="s">
        <v>9362</v>
      </c>
      <c r="H481" t="s">
        <v>9363</v>
      </c>
      <c r="I481" t="s">
        <v>9364</v>
      </c>
      <c r="J481" t="s">
        <v>9365</v>
      </c>
      <c r="K481" t="s">
        <v>9366</v>
      </c>
      <c r="L481" t="s">
        <v>9367</v>
      </c>
      <c r="M481" t="s">
        <v>9368</v>
      </c>
      <c r="N481" t="s">
        <v>9369</v>
      </c>
      <c r="O481">
        <f>-788.99817190338 -86.5310089129982 -495.452412185398</f>
        <v>-1370.9815930017762</v>
      </c>
      <c r="P481">
        <f>-833.39310063214 -119.650246392771 -206.448300111094</f>
        <v>-1159.491647136005</v>
      </c>
      <c r="Q481">
        <f>-626.297122355332 -58.9827768699968 -313.600168636523</f>
        <v>-998.88006786185178</v>
      </c>
      <c r="R481" t="s">
        <v>9370</v>
      </c>
      <c r="S481" t="s">
        <v>9371</v>
      </c>
      <c r="T481" t="s">
        <v>9372</v>
      </c>
      <c r="U481" t="s">
        <v>9373</v>
      </c>
      <c r="V481">
        <f>-732.632055508922 -6.58493252279459 -67.0505801844745</f>
        <v>-806.26756821619108</v>
      </c>
      <c r="W481" t="s">
        <v>9374</v>
      </c>
      <c r="X481" t="s">
        <v>9375</v>
      </c>
      <c r="Y481" t="s">
        <v>9376</v>
      </c>
    </row>
    <row r="482" spans="1:25" x14ac:dyDescent="0.3">
      <c r="A482">
        <v>24050</v>
      </c>
      <c r="B482" t="s">
        <v>9377</v>
      </c>
      <c r="C482" t="s">
        <v>9378</v>
      </c>
      <c r="D482" t="s">
        <v>9379</v>
      </c>
      <c r="E482" t="s">
        <v>9380</v>
      </c>
      <c r="F482" t="s">
        <v>9381</v>
      </c>
      <c r="G482" t="s">
        <v>9382</v>
      </c>
      <c r="H482" t="s">
        <v>9383</v>
      </c>
      <c r="I482" t="s">
        <v>9384</v>
      </c>
      <c r="J482" t="s">
        <v>9385</v>
      </c>
      <c r="K482" t="s">
        <v>9386</v>
      </c>
      <c r="L482" t="s">
        <v>9387</v>
      </c>
      <c r="M482" t="s">
        <v>9388</v>
      </c>
      <c r="N482" t="s">
        <v>9389</v>
      </c>
      <c r="O482">
        <f>-788.938858151361 -86.2597614068516 -495.486764547705</f>
        <v>-1370.6853841059176</v>
      </c>
      <c r="P482">
        <f>-833.316076152615 -119.434104575756 -206.486202419313</f>
        <v>-1159.2363831476839</v>
      </c>
      <c r="Q482">
        <f>-626.168986590995 -58.8878033620799 -313.608430704094</f>
        <v>-998.6652206571689</v>
      </c>
      <c r="R482" t="s">
        <v>9390</v>
      </c>
      <c r="S482" t="s">
        <v>9391</v>
      </c>
      <c r="T482" t="s">
        <v>9392</v>
      </c>
      <c r="U482" t="s">
        <v>9393</v>
      </c>
      <c r="V482">
        <f>-732.271087178138 -6.44910648541372 -67.0483652229183</f>
        <v>-805.76855888647003</v>
      </c>
      <c r="W482" t="s">
        <v>9394</v>
      </c>
      <c r="X482" t="s">
        <v>9395</v>
      </c>
      <c r="Y482" t="s">
        <v>9396</v>
      </c>
    </row>
    <row r="483" spans="1:25" x14ac:dyDescent="0.3">
      <c r="A483">
        <v>24100</v>
      </c>
      <c r="B483" t="s">
        <v>9397</v>
      </c>
      <c r="C483" t="s">
        <v>9398</v>
      </c>
      <c r="D483" t="s">
        <v>9399</v>
      </c>
      <c r="E483" t="s">
        <v>9400</v>
      </c>
      <c r="F483" t="s">
        <v>9401</v>
      </c>
      <c r="G483" t="s">
        <v>9402</v>
      </c>
      <c r="H483" t="s">
        <v>9403</v>
      </c>
      <c r="I483" t="s">
        <v>9404</v>
      </c>
      <c r="J483" t="s">
        <v>9405</v>
      </c>
      <c r="K483" t="s">
        <v>9406</v>
      </c>
      <c r="L483" t="s">
        <v>9407</v>
      </c>
      <c r="M483" t="s">
        <v>9408</v>
      </c>
      <c r="N483" t="s">
        <v>9409</v>
      </c>
      <c r="O483">
        <f>-788.896875464291 -85.7286317717803 -495.552513658659</f>
        <v>-1370.1780208947303</v>
      </c>
      <c r="P483">
        <f>-832.969184408262 -118.853350026225 -206.499549971925</f>
        <v>-1158.3220844064119</v>
      </c>
      <c r="Q483">
        <f>-625.890725429951 -58.2520434975643 -313.723110746295</f>
        <v>-997.86587967381024</v>
      </c>
      <c r="R483" t="s">
        <v>9410</v>
      </c>
      <c r="S483" t="s">
        <v>9411</v>
      </c>
      <c r="T483" t="s">
        <v>9412</v>
      </c>
      <c r="U483" t="s">
        <v>9413</v>
      </c>
      <c r="V483">
        <f>-731.580146063316 -6.05885448591425 -67.0547889299746</f>
        <v>-804.69378947920484</v>
      </c>
      <c r="W483" t="s">
        <v>9414</v>
      </c>
      <c r="X483" t="s">
        <v>9415</v>
      </c>
      <c r="Y483" t="s">
        <v>9416</v>
      </c>
    </row>
    <row r="484" spans="1:25" x14ac:dyDescent="0.3">
      <c r="A484">
        <v>24150</v>
      </c>
      <c r="B484" t="s">
        <v>9417</v>
      </c>
      <c r="C484" t="s">
        <v>9418</v>
      </c>
      <c r="D484" t="s">
        <v>9419</v>
      </c>
      <c r="E484" t="s">
        <v>9420</v>
      </c>
      <c r="F484" t="s">
        <v>9421</v>
      </c>
      <c r="G484" t="s">
        <v>9422</v>
      </c>
      <c r="H484" t="s">
        <v>9423</v>
      </c>
      <c r="I484" t="s">
        <v>9424</v>
      </c>
      <c r="J484" t="s">
        <v>9425</v>
      </c>
      <c r="K484" t="s">
        <v>9426</v>
      </c>
      <c r="L484" t="s">
        <v>9427</v>
      </c>
      <c r="M484" t="s">
        <v>9428</v>
      </c>
      <c r="N484" t="s">
        <v>9429</v>
      </c>
      <c r="O484">
        <f>-788.983116762535 -85.4322693121474 -495.527533737993</f>
        <v>-1369.9429198126754</v>
      </c>
      <c r="P484">
        <f>-832.807599242293 -118.572249899471 -206.438627555055</f>
        <v>-1157.8184766968191</v>
      </c>
      <c r="Q484">
        <f>-625.878910638102 -57.6828103723201 -313.787880638337</f>
        <v>-997.34960164875906</v>
      </c>
      <c r="R484" t="s">
        <v>9430</v>
      </c>
      <c r="S484" t="s">
        <v>9431</v>
      </c>
      <c r="T484" t="s">
        <v>9432</v>
      </c>
      <c r="U484" t="s">
        <v>9433</v>
      </c>
      <c r="V484">
        <f>-731.332943991945 -5.84542854024767 -67.0447505638617</f>
        <v>-804.22312309605434</v>
      </c>
      <c r="W484" t="s">
        <v>9434</v>
      </c>
      <c r="X484" t="s">
        <v>9435</v>
      </c>
      <c r="Y484" t="s">
        <v>9436</v>
      </c>
    </row>
    <row r="485" spans="1:25" x14ac:dyDescent="0.3">
      <c r="A485">
        <v>24200</v>
      </c>
      <c r="B485" t="s">
        <v>9437</v>
      </c>
      <c r="C485" t="s">
        <v>9438</v>
      </c>
      <c r="D485" t="s">
        <v>9439</v>
      </c>
      <c r="E485" t="s">
        <v>9440</v>
      </c>
      <c r="F485" t="s">
        <v>9441</v>
      </c>
      <c r="G485" t="s">
        <v>9442</v>
      </c>
      <c r="H485" t="s">
        <v>9443</v>
      </c>
      <c r="I485" t="s">
        <v>9444</v>
      </c>
      <c r="J485" t="s">
        <v>9445</v>
      </c>
      <c r="K485" t="s">
        <v>9446</v>
      </c>
      <c r="L485" t="s">
        <v>9447</v>
      </c>
      <c r="M485" t="s">
        <v>9448</v>
      </c>
      <c r="N485" t="s">
        <v>9449</v>
      </c>
      <c r="O485">
        <f>-789.218916537545 -84.8367722039245 -495.523324127152</f>
        <v>-1369.5790128686217</v>
      </c>
      <c r="P485">
        <f>-832.656898571807 -118.036697215033 -206.382925648964</f>
        <v>-1157.0765214358039</v>
      </c>
      <c r="Q485">
        <f>-626.028696892285 -56.3033787094878 -313.829150724779</f>
        <v>-996.16122632655174</v>
      </c>
      <c r="R485" t="s">
        <v>9450</v>
      </c>
      <c r="S485" t="s">
        <v>9451</v>
      </c>
      <c r="T485" t="s">
        <v>9452</v>
      </c>
      <c r="U485" t="s">
        <v>9453</v>
      </c>
      <c r="V485">
        <f>-730.998504284687 -5.31948020840309 -67.0125231254</f>
        <v>-803.33050761849006</v>
      </c>
      <c r="W485" t="s">
        <v>9454</v>
      </c>
      <c r="X485" t="s">
        <v>9455</v>
      </c>
      <c r="Y485" t="s">
        <v>9456</v>
      </c>
    </row>
    <row r="486" spans="1:25" x14ac:dyDescent="0.3">
      <c r="A486">
        <v>24250</v>
      </c>
      <c r="B486" t="s">
        <v>9457</v>
      </c>
      <c r="C486" t="s">
        <v>9458</v>
      </c>
      <c r="D486" t="s">
        <v>9459</v>
      </c>
      <c r="E486" t="s">
        <v>9460</v>
      </c>
      <c r="F486" t="s">
        <v>9461</v>
      </c>
      <c r="G486" t="s">
        <v>9462</v>
      </c>
      <c r="H486" t="s">
        <v>9463</v>
      </c>
      <c r="I486" t="s">
        <v>9464</v>
      </c>
      <c r="J486" t="s">
        <v>9465</v>
      </c>
      <c r="K486" t="s">
        <v>9466</v>
      </c>
      <c r="L486" t="s">
        <v>9467</v>
      </c>
      <c r="M486" t="s">
        <v>9468</v>
      </c>
      <c r="N486" t="s">
        <v>9469</v>
      </c>
      <c r="O486">
        <f>-789.238817621489 -84.6787525192794 -495.555443277466</f>
        <v>-1369.4730134182346</v>
      </c>
      <c r="P486">
        <f>-832.543117812138 -117.895434082656 -206.397069938717</f>
        <v>-1156.8356218335111</v>
      </c>
      <c r="Q486">
        <f>-626.036437416127 -55.6899533475944 -313.804146440272</f>
        <v>-995.53053720399339</v>
      </c>
      <c r="R486" t="s">
        <v>9470</v>
      </c>
      <c r="S486" t="s">
        <v>9471</v>
      </c>
      <c r="T486" t="s">
        <v>9472</v>
      </c>
      <c r="U486" t="s">
        <v>9473</v>
      </c>
      <c r="V486">
        <f>-730.881552116943 -5.16216106648199 -67.0161127997073</f>
        <v>-803.05982598313233</v>
      </c>
      <c r="W486" t="s">
        <v>9474</v>
      </c>
      <c r="X486" t="s">
        <v>9475</v>
      </c>
      <c r="Y486" t="s">
        <v>9476</v>
      </c>
    </row>
    <row r="487" spans="1:25" x14ac:dyDescent="0.3">
      <c r="A487">
        <v>24300</v>
      </c>
      <c r="B487" t="s">
        <v>9477</v>
      </c>
      <c r="C487" t="s">
        <v>9478</v>
      </c>
      <c r="D487" t="s">
        <v>9479</v>
      </c>
      <c r="E487" t="s">
        <v>9480</v>
      </c>
      <c r="F487" t="s">
        <v>9481</v>
      </c>
      <c r="G487" t="s">
        <v>9482</v>
      </c>
      <c r="H487" t="s">
        <v>9483</v>
      </c>
      <c r="I487" t="s">
        <v>9484</v>
      </c>
      <c r="J487" t="s">
        <v>9485</v>
      </c>
      <c r="K487" t="s">
        <v>9486</v>
      </c>
      <c r="L487" t="s">
        <v>9487</v>
      </c>
      <c r="M487" t="s">
        <v>9488</v>
      </c>
      <c r="N487" t="s">
        <v>9489</v>
      </c>
      <c r="O487">
        <f>-788.833767569576 -84.5325833225015 -495.580618092549</f>
        <v>-1368.9469689846264</v>
      </c>
      <c r="P487">
        <f>-832.089407942503 -117.8270055148 -206.423757764473</f>
        <v>-1156.340171221776</v>
      </c>
      <c r="Q487">
        <f>-625.779340968801 -54.4075698519666 -313.498663155006</f>
        <v>-993.68557397577365</v>
      </c>
      <c r="R487" t="s">
        <v>9490</v>
      </c>
      <c r="S487" t="s">
        <v>9491</v>
      </c>
      <c r="T487" t="s">
        <v>9492</v>
      </c>
      <c r="U487" t="s">
        <v>9493</v>
      </c>
      <c r="V487">
        <f>-730.642717685596 -4.90499838789628 -67.0427099277274</f>
        <v>-802.59042600121973</v>
      </c>
      <c r="W487" t="s">
        <v>9494</v>
      </c>
      <c r="X487" t="s">
        <v>9495</v>
      </c>
      <c r="Y487" t="s">
        <v>9496</v>
      </c>
    </row>
    <row r="488" spans="1:25" x14ac:dyDescent="0.3">
      <c r="A488">
        <v>24350</v>
      </c>
      <c r="B488" t="s">
        <v>9497</v>
      </c>
      <c r="C488" t="s">
        <v>9498</v>
      </c>
      <c r="D488" t="s">
        <v>9499</v>
      </c>
      <c r="E488" t="s">
        <v>9500</v>
      </c>
      <c r="F488" t="s">
        <v>9501</v>
      </c>
      <c r="G488" t="s">
        <v>9502</v>
      </c>
      <c r="H488" t="s">
        <v>9503</v>
      </c>
      <c r="I488" t="s">
        <v>9504</v>
      </c>
      <c r="J488" t="s">
        <v>9505</v>
      </c>
      <c r="K488" t="s">
        <v>9506</v>
      </c>
      <c r="L488" t="s">
        <v>9507</v>
      </c>
      <c r="M488" t="s">
        <v>9508</v>
      </c>
      <c r="N488" t="s">
        <v>9509</v>
      </c>
      <c r="O488">
        <f>-788.563787865301 -84.5313389317494 -495.578352839208</f>
        <v>-1368.6734796362584</v>
      </c>
      <c r="P488">
        <f>-831.863476752662 -117.88165752981 -206.434594524277</f>
        <v>-1156.1797288067489</v>
      </c>
      <c r="Q488">
        <f>-625.684030738623 -53.7928723570035 -313.362073941801</f>
        <v>-992.83897703742753</v>
      </c>
      <c r="R488" t="s">
        <v>9510</v>
      </c>
      <c r="S488" t="s">
        <v>9511</v>
      </c>
      <c r="T488" t="s">
        <v>9512</v>
      </c>
      <c r="U488" t="s">
        <v>9513</v>
      </c>
      <c r="V488">
        <f>-730.622216332095 -4.84497353348524 -67.0530166818737</f>
        <v>-802.52020654745399</v>
      </c>
      <c r="W488" t="s">
        <v>9514</v>
      </c>
      <c r="X488" t="s">
        <v>9515</v>
      </c>
      <c r="Y488" t="s">
        <v>9516</v>
      </c>
    </row>
    <row r="489" spans="1:25" x14ac:dyDescent="0.3">
      <c r="A489">
        <v>24400</v>
      </c>
      <c r="B489" t="s">
        <v>9517</v>
      </c>
      <c r="C489" t="s">
        <v>9518</v>
      </c>
      <c r="D489" t="s">
        <v>9519</v>
      </c>
      <c r="E489" t="s">
        <v>9520</v>
      </c>
      <c r="F489" t="s">
        <v>9521</v>
      </c>
      <c r="G489" t="s">
        <v>9522</v>
      </c>
      <c r="H489" t="s">
        <v>9523</v>
      </c>
      <c r="I489" t="s">
        <v>9524</v>
      </c>
      <c r="J489" t="s">
        <v>9525</v>
      </c>
      <c r="K489" t="s">
        <v>9526</v>
      </c>
      <c r="L489" t="s">
        <v>9527</v>
      </c>
      <c r="M489" t="s">
        <v>9528</v>
      </c>
      <c r="N489" t="s">
        <v>9529</v>
      </c>
      <c r="O489">
        <f>-787.886787266633 -84.2259069457307 -495.617529141536</f>
        <v>-1367.7302233538996</v>
      </c>
      <c r="P489">
        <f>-831.471687059039 -118.034455313705 -206.569912364967</f>
        <v>-1156.076054737711</v>
      </c>
      <c r="Q489">
        <f>-625.509932454626 -52.516472428538 -313.05036771293</f>
        <v>-991.07677259609397</v>
      </c>
      <c r="R489" t="s">
        <v>9530</v>
      </c>
      <c r="S489" t="s">
        <v>9531</v>
      </c>
      <c r="T489" t="s">
        <v>9532</v>
      </c>
      <c r="U489" t="s">
        <v>9533</v>
      </c>
      <c r="V489">
        <f>-730.658512573065 -4.37486588196316 -67.0628582218371</f>
        <v>-802.09623667686526</v>
      </c>
      <c r="W489" t="s">
        <v>9534</v>
      </c>
      <c r="X489" t="s">
        <v>9535</v>
      </c>
      <c r="Y489" t="s">
        <v>9536</v>
      </c>
    </row>
    <row r="490" spans="1:25" x14ac:dyDescent="0.3">
      <c r="A490">
        <v>24450</v>
      </c>
      <c r="B490" t="s">
        <v>9537</v>
      </c>
      <c r="C490" t="s">
        <v>9538</v>
      </c>
      <c r="D490" t="s">
        <v>9539</v>
      </c>
      <c r="E490" t="s">
        <v>9540</v>
      </c>
      <c r="F490" t="s">
        <v>9541</v>
      </c>
      <c r="G490" t="s">
        <v>9542</v>
      </c>
      <c r="H490" t="s">
        <v>9543</v>
      </c>
      <c r="I490" t="s">
        <v>9544</v>
      </c>
      <c r="J490" t="s">
        <v>9545</v>
      </c>
      <c r="K490" t="s">
        <v>9546</v>
      </c>
      <c r="L490" t="s">
        <v>9547</v>
      </c>
      <c r="M490" t="s">
        <v>9548</v>
      </c>
      <c r="N490" t="s">
        <v>9549</v>
      </c>
      <c r="O490">
        <f>-787.550051867823 -84.1416656550659 -495.6588427868</f>
        <v>-1367.3505603096889</v>
      </c>
      <c r="P490">
        <f>-831.221220276988 -118.207956145909 -206.65457959723</f>
        <v>-1156.0837560201269</v>
      </c>
      <c r="Q490">
        <f>-625.374401842744 -52.0903554189697 -312.985966009218</f>
        <v>-990.45072327093158</v>
      </c>
      <c r="R490" t="s">
        <v>9550</v>
      </c>
      <c r="S490" t="s">
        <v>9551</v>
      </c>
      <c r="T490" t="s">
        <v>9552</v>
      </c>
      <c r="U490" t="s">
        <v>9553</v>
      </c>
      <c r="V490">
        <f>-730.71283019139 -4.30316050367401 -67.0734015674567</f>
        <v>-802.08939226252073</v>
      </c>
      <c r="W490" t="s">
        <v>9554</v>
      </c>
      <c r="X490" t="s">
        <v>9555</v>
      </c>
      <c r="Y490" t="s">
        <v>9556</v>
      </c>
    </row>
    <row r="491" spans="1:25" x14ac:dyDescent="0.3">
      <c r="A491">
        <v>24500</v>
      </c>
      <c r="B491" t="s">
        <v>9557</v>
      </c>
      <c r="C491" t="s">
        <v>9558</v>
      </c>
      <c r="D491" t="s">
        <v>9559</v>
      </c>
      <c r="E491" t="s">
        <v>9560</v>
      </c>
      <c r="F491" t="s">
        <v>9561</v>
      </c>
      <c r="G491" t="s">
        <v>9562</v>
      </c>
      <c r="H491" t="s">
        <v>9563</v>
      </c>
      <c r="I491" t="s">
        <v>9564</v>
      </c>
      <c r="J491" t="s">
        <v>9565</v>
      </c>
      <c r="K491" t="s">
        <v>9566</v>
      </c>
      <c r="L491" t="s">
        <v>9567</v>
      </c>
      <c r="M491" t="s">
        <v>9568</v>
      </c>
      <c r="N491" t="s">
        <v>9569</v>
      </c>
      <c r="O491">
        <f>-786.71573296683 -83.9528118159831 -495.70396914204</f>
        <v>-1366.3725139248531</v>
      </c>
      <c r="P491">
        <f>-830.615304601713 -118.134948100401 -206.747910426608</f>
        <v>-1155.4981631287221</v>
      </c>
      <c r="Q491">
        <f>-624.771809206528 -51.5912150691061 -312.819685372159</f>
        <v>-989.18270964779299</v>
      </c>
      <c r="R491" t="s">
        <v>9570</v>
      </c>
      <c r="S491" t="s">
        <v>9571</v>
      </c>
      <c r="T491" t="s">
        <v>9572</v>
      </c>
      <c r="U491" t="s">
        <v>9573</v>
      </c>
      <c r="V491">
        <f>-730.81240316985 -4.11830924234846 -67.09007405604</f>
        <v>-802.02078646823838</v>
      </c>
      <c r="W491" t="s">
        <v>9574</v>
      </c>
      <c r="X491" t="s">
        <v>9575</v>
      </c>
      <c r="Y491" t="s">
        <v>9576</v>
      </c>
    </row>
    <row r="492" spans="1:25" x14ac:dyDescent="0.3">
      <c r="A492">
        <v>24550</v>
      </c>
      <c r="B492" t="s">
        <v>9577</v>
      </c>
      <c r="C492" t="s">
        <v>9578</v>
      </c>
      <c r="D492" t="s">
        <v>9579</v>
      </c>
      <c r="E492" t="s">
        <v>9580</v>
      </c>
      <c r="F492" t="s">
        <v>9581</v>
      </c>
      <c r="G492" t="s">
        <v>9582</v>
      </c>
      <c r="H492" t="s">
        <v>9583</v>
      </c>
      <c r="I492" t="s">
        <v>9584</v>
      </c>
      <c r="J492" t="s">
        <v>9585</v>
      </c>
      <c r="K492" t="s">
        <v>9586</v>
      </c>
      <c r="L492" t="s">
        <v>9587</v>
      </c>
      <c r="M492" t="s">
        <v>9588</v>
      </c>
      <c r="N492" t="s">
        <v>9589</v>
      </c>
      <c r="O492">
        <f>-786.218769808167 -83.8395078582894 -495.745970692562</f>
        <v>-1365.8042483590184</v>
      </c>
      <c r="P492">
        <f>-830.492195393141 -117.906402048169 -206.833421617572</f>
        <v>-1155.2320190588819</v>
      </c>
      <c r="Q492">
        <f>-624.557431428875 -51.4979568881995 -312.8127140817</f>
        <v>-988.86810239877445</v>
      </c>
      <c r="R492" t="s">
        <v>9590</v>
      </c>
      <c r="S492" t="s">
        <v>9591</v>
      </c>
      <c r="T492" t="s">
        <v>9592</v>
      </c>
      <c r="U492" t="s">
        <v>9593</v>
      </c>
      <c r="V492">
        <f>-730.919978494682 -4.03142713953639 -67.1015094753752</f>
        <v>-802.05291510959364</v>
      </c>
      <c r="W492" t="s">
        <v>9594</v>
      </c>
      <c r="X492" t="s">
        <v>9595</v>
      </c>
      <c r="Y492" t="s">
        <v>9596</v>
      </c>
    </row>
    <row r="493" spans="1:25" x14ac:dyDescent="0.3">
      <c r="A493">
        <v>24600</v>
      </c>
      <c r="B493" t="s">
        <v>9597</v>
      </c>
      <c r="C493" t="s">
        <v>9598</v>
      </c>
      <c r="D493" t="s">
        <v>9599</v>
      </c>
      <c r="E493" t="s">
        <v>9600</v>
      </c>
      <c r="F493" t="s">
        <v>9601</v>
      </c>
      <c r="G493" t="s">
        <v>9602</v>
      </c>
      <c r="H493" t="s">
        <v>9603</v>
      </c>
      <c r="I493" t="s">
        <v>9604</v>
      </c>
      <c r="J493" t="s">
        <v>9605</v>
      </c>
      <c r="K493" t="s">
        <v>9606</v>
      </c>
      <c r="L493" t="s">
        <v>9607</v>
      </c>
      <c r="M493" t="s">
        <v>9608</v>
      </c>
      <c r="N493" t="s">
        <v>9609</v>
      </c>
      <c r="O493">
        <f>-785.255075193687 -83.6141024780507 -495.834997124438</f>
        <v>-1364.7041747961757</v>
      </c>
      <c r="P493">
        <f>-830.345772978729 -117.608810137487 -207.040315258927</f>
        <v>-1154.9948983751431</v>
      </c>
      <c r="Q493">
        <f>-624.007197384333 -51.5894390432945 -312.475748523656</f>
        <v>-988.07238495128354</v>
      </c>
      <c r="R493" t="s">
        <v>9610</v>
      </c>
      <c r="S493" t="s">
        <v>9611</v>
      </c>
      <c r="T493" t="s">
        <v>9612</v>
      </c>
      <c r="U493" t="s">
        <v>9613</v>
      </c>
      <c r="V493">
        <f>-731.277539074684 -3.78671348467242 -67.1353092052182</f>
        <v>-802.19956176457458</v>
      </c>
      <c r="W493" t="s">
        <v>9614</v>
      </c>
      <c r="X493" t="s">
        <v>9615</v>
      </c>
      <c r="Y493" t="s">
        <v>9616</v>
      </c>
    </row>
    <row r="494" spans="1:25" x14ac:dyDescent="0.3">
      <c r="A494">
        <v>24650</v>
      </c>
      <c r="B494" t="s">
        <v>9617</v>
      </c>
      <c r="C494" t="s">
        <v>9618</v>
      </c>
      <c r="D494" t="s">
        <v>9619</v>
      </c>
      <c r="E494" t="s">
        <v>9620</v>
      </c>
      <c r="F494" t="s">
        <v>9621</v>
      </c>
      <c r="G494" t="s">
        <v>9622</v>
      </c>
      <c r="H494" t="s">
        <v>9623</v>
      </c>
      <c r="I494" t="s">
        <v>9624</v>
      </c>
      <c r="J494" t="s">
        <v>9625</v>
      </c>
      <c r="K494" t="s">
        <v>9626</v>
      </c>
      <c r="L494" t="s">
        <v>9627</v>
      </c>
      <c r="M494" t="s">
        <v>9628</v>
      </c>
      <c r="N494" t="s">
        <v>9629</v>
      </c>
      <c r="O494">
        <f>-784.736763888021 -83.4006459740474 -495.844634859263</f>
        <v>-1363.9820447213315</v>
      </c>
      <c r="P494">
        <f>-830.408528098359 -117.407158309789 -207.142622849734</f>
        <v>-1154.9583092578821</v>
      </c>
      <c r="Q494">
        <f>-623.681721395356 -51.6431334676108 -311.975948685447</f>
        <v>-987.3008035484138</v>
      </c>
      <c r="R494" t="s">
        <v>9630</v>
      </c>
      <c r="S494" t="s">
        <v>9631</v>
      </c>
      <c r="T494" t="s">
        <v>9632</v>
      </c>
      <c r="U494" t="s">
        <v>9633</v>
      </c>
      <c r="V494">
        <f>-731.537006208286 -3.63229064987127 -67.1330671116382</f>
        <v>-802.30236396979546</v>
      </c>
      <c r="W494" t="s">
        <v>9634</v>
      </c>
      <c r="X494" t="s">
        <v>9635</v>
      </c>
      <c r="Y494" t="s">
        <v>9636</v>
      </c>
    </row>
    <row r="495" spans="1:25" x14ac:dyDescent="0.3">
      <c r="A495">
        <v>24700</v>
      </c>
      <c r="B495" t="s">
        <v>9637</v>
      </c>
      <c r="C495" t="s">
        <v>9638</v>
      </c>
      <c r="D495" t="s">
        <v>9639</v>
      </c>
      <c r="E495" t="s">
        <v>9640</v>
      </c>
      <c r="F495" t="s">
        <v>9641</v>
      </c>
      <c r="G495" t="s">
        <v>9642</v>
      </c>
      <c r="H495" t="s">
        <v>9643</v>
      </c>
      <c r="I495" t="s">
        <v>9644</v>
      </c>
      <c r="J495" t="s">
        <v>9645</v>
      </c>
      <c r="K495" t="s">
        <v>9646</v>
      </c>
      <c r="L495" t="s">
        <v>9647</v>
      </c>
      <c r="M495" t="s">
        <v>9648</v>
      </c>
      <c r="N495" t="s">
        <v>9649</v>
      </c>
      <c r="O495">
        <f>-783.851060338328 -82.8470162192832 -495.828130459476</f>
        <v>-1362.5262070170872</v>
      </c>
      <c r="P495">
        <f>-830.972575762308 -116.938685247638 -207.369304455926</f>
        <v>-1155.2805654658719</v>
      </c>
      <c r="Q495">
        <f>-623.331438913758 -52.0284579210413 -310.919226793521</f>
        <v>-986.27912362832035</v>
      </c>
      <c r="R495" t="s">
        <v>9650</v>
      </c>
      <c r="S495" t="s">
        <v>9651</v>
      </c>
      <c r="T495" t="s">
        <v>9652</v>
      </c>
      <c r="U495" t="s">
        <v>9653</v>
      </c>
      <c r="V495">
        <f>-732.112600364351 -3.28900292291928 -67.0931109884976</f>
        <v>-802.49471427576793</v>
      </c>
      <c r="W495" t="s">
        <v>9654</v>
      </c>
      <c r="X495" t="s">
        <v>9655</v>
      </c>
      <c r="Y495" t="s">
        <v>9656</v>
      </c>
    </row>
    <row r="496" spans="1:25" x14ac:dyDescent="0.3">
      <c r="A496">
        <v>24750</v>
      </c>
      <c r="B496" t="s">
        <v>9657</v>
      </c>
      <c r="C496" t="s">
        <v>9658</v>
      </c>
      <c r="D496" t="s">
        <v>9659</v>
      </c>
      <c r="E496" t="s">
        <v>9660</v>
      </c>
      <c r="F496" t="s">
        <v>9661</v>
      </c>
      <c r="G496" t="s">
        <v>9662</v>
      </c>
      <c r="H496" t="s">
        <v>9663</v>
      </c>
      <c r="I496" t="s">
        <v>9664</v>
      </c>
      <c r="J496" t="s">
        <v>9665</v>
      </c>
      <c r="K496" t="s">
        <v>9666</v>
      </c>
      <c r="L496" t="s">
        <v>9667</v>
      </c>
      <c r="M496" t="s">
        <v>9668</v>
      </c>
      <c r="N496" t="s">
        <v>9669</v>
      </c>
      <c r="O496">
        <f>-783.612234353104 -82.4259498510082 -495.851764216658</f>
        <v>-1361.8899484207702</v>
      </c>
      <c r="P496">
        <f>-831.603099281298 -116.601658345386 -207.546224761052</f>
        <v>-1155.750982387736</v>
      </c>
      <c r="Q496">
        <f>-623.388704697291 -52.0466486871048 -310.163290501405</f>
        <v>-985.59864388580081</v>
      </c>
      <c r="R496" t="s">
        <v>9670</v>
      </c>
      <c r="S496" t="s">
        <v>9671</v>
      </c>
      <c r="T496" t="s">
        <v>9672</v>
      </c>
      <c r="U496" t="s">
        <v>9673</v>
      </c>
      <c r="V496">
        <f>-732.393043713247 -3.01418216156117 -67.0633240005729</f>
        <v>-802.47054987538115</v>
      </c>
      <c r="W496" t="s">
        <v>9674</v>
      </c>
      <c r="X496" t="s">
        <v>9675</v>
      </c>
      <c r="Y496" t="s">
        <v>9676</v>
      </c>
    </row>
    <row r="497" spans="1:25" x14ac:dyDescent="0.3">
      <c r="A497">
        <v>24800</v>
      </c>
      <c r="B497" t="s">
        <v>9677</v>
      </c>
      <c r="C497" t="s">
        <v>9678</v>
      </c>
      <c r="D497" t="s">
        <v>9679</v>
      </c>
      <c r="E497" t="s">
        <v>9680</v>
      </c>
      <c r="F497" t="s">
        <v>9681</v>
      </c>
      <c r="G497" t="s">
        <v>9682</v>
      </c>
      <c r="H497" t="s">
        <v>9683</v>
      </c>
      <c r="I497" t="s">
        <v>9684</v>
      </c>
      <c r="J497" t="s">
        <v>9685</v>
      </c>
      <c r="K497" t="s">
        <v>9686</v>
      </c>
      <c r="L497" t="s">
        <v>9687</v>
      </c>
      <c r="M497" t="s">
        <v>9688</v>
      </c>
      <c r="N497" t="s">
        <v>9689</v>
      </c>
      <c r="O497">
        <f>-783.195292748535 -81.7229455421464 -495.897545907112</f>
        <v>-1360.8157841977934</v>
      </c>
      <c r="P497">
        <f>-833.039295982886 -116.200591214106 -207.942506885634</f>
        <v>-1157.1823940826259</v>
      </c>
      <c r="Q497">
        <f>-624.005704914005 -51.6674792324038 -308.894354128165</f>
        <v>-984.56753827457385</v>
      </c>
      <c r="R497" t="s">
        <v>9690</v>
      </c>
      <c r="S497" t="s">
        <v>9691</v>
      </c>
      <c r="T497" t="s">
        <v>9692</v>
      </c>
      <c r="U497" t="s">
        <v>9693</v>
      </c>
      <c r="V497">
        <f>-732.848555237303 -2.53406371780329 -67.0112941254311</f>
        <v>-802.39391308053746</v>
      </c>
      <c r="W497" t="s">
        <v>9694</v>
      </c>
      <c r="X497" t="s">
        <v>9695</v>
      </c>
      <c r="Y497" t="s">
        <v>9696</v>
      </c>
    </row>
    <row r="498" spans="1:25" x14ac:dyDescent="0.3">
      <c r="A498">
        <v>24850</v>
      </c>
      <c r="B498" t="s">
        <v>9697</v>
      </c>
      <c r="C498" t="s">
        <v>9698</v>
      </c>
      <c r="D498" t="s">
        <v>9699</v>
      </c>
      <c r="E498" t="s">
        <v>9700</v>
      </c>
      <c r="F498" t="s">
        <v>9701</v>
      </c>
      <c r="G498" t="s">
        <v>9702</v>
      </c>
      <c r="H498" t="s">
        <v>9703</v>
      </c>
      <c r="I498" t="s">
        <v>9704</v>
      </c>
      <c r="J498" t="s">
        <v>9705</v>
      </c>
      <c r="K498" t="s">
        <v>9706</v>
      </c>
      <c r="L498" t="s">
        <v>9707</v>
      </c>
      <c r="M498" t="s">
        <v>9708</v>
      </c>
      <c r="N498" t="s">
        <v>9709</v>
      </c>
      <c r="O498">
        <f>-782.919661202874 -81.5436205452438 -495.852297012414</f>
        <v>-1360.3155787605317</v>
      </c>
      <c r="P498">
        <f>-833.479812767111 -116.1060706803 -208.032420309606</f>
        <v>-1157.618303757017</v>
      </c>
      <c r="Q498">
        <f>-624.174465421605 -51.4462090014083 -308.338179001292</f>
        <v>-983.95885342430529</v>
      </c>
      <c r="R498" t="s">
        <v>9710</v>
      </c>
      <c r="S498" t="s">
        <v>9711</v>
      </c>
      <c r="T498" t="s">
        <v>9712</v>
      </c>
      <c r="U498" t="s">
        <v>9713</v>
      </c>
      <c r="V498">
        <f>-732.906144877132 -2.39061052270154 -66.9951897225809</f>
        <v>-802.2919451224144</v>
      </c>
      <c r="W498" t="s">
        <v>9714</v>
      </c>
      <c r="X498" t="s">
        <v>9715</v>
      </c>
      <c r="Y498" t="s">
        <v>9716</v>
      </c>
    </row>
    <row r="499" spans="1:25" x14ac:dyDescent="0.3">
      <c r="A499">
        <v>24900</v>
      </c>
      <c r="B499" t="s">
        <v>9717</v>
      </c>
      <c r="C499" t="s">
        <v>9718</v>
      </c>
      <c r="D499" t="s">
        <v>9719</v>
      </c>
      <c r="E499" t="s">
        <v>9720</v>
      </c>
      <c r="F499" t="s">
        <v>9721</v>
      </c>
      <c r="G499" t="s">
        <v>9722</v>
      </c>
      <c r="H499" t="s">
        <v>9723</v>
      </c>
      <c r="I499" t="s">
        <v>9724</v>
      </c>
      <c r="J499" t="s">
        <v>9725</v>
      </c>
      <c r="K499" t="s">
        <v>9726</v>
      </c>
      <c r="L499" t="s">
        <v>9727</v>
      </c>
      <c r="M499" t="s">
        <v>9728</v>
      </c>
      <c r="N499" t="s">
        <v>9729</v>
      </c>
      <c r="O499">
        <f>-782.247466715371 -81.3058382914951 -495.627941855813</f>
        <v>-1359.181246862679</v>
      </c>
      <c r="P499">
        <f>-833.669822721269 -115.768989272694 -207.948971704717</f>
        <v>-1157.3877836986801</v>
      </c>
      <c r="Q499">
        <f>-624.063065914445 -50.4247300621751 -307.175986191281</f>
        <v>-981.6637821679011</v>
      </c>
      <c r="R499" t="s">
        <v>9730</v>
      </c>
      <c r="S499" t="s">
        <v>9731</v>
      </c>
      <c r="T499" t="s">
        <v>9732</v>
      </c>
      <c r="U499" t="s">
        <v>9733</v>
      </c>
      <c r="V499">
        <f>-732.845809147748 -2.24336119638656 -66.9047361109676</f>
        <v>-801.99390645510221</v>
      </c>
      <c r="W499" t="s">
        <v>9734</v>
      </c>
      <c r="X499" t="s">
        <v>9735</v>
      </c>
      <c r="Y499" t="s">
        <v>9736</v>
      </c>
    </row>
    <row r="500" spans="1:25" x14ac:dyDescent="0.3">
      <c r="A500">
        <v>24950</v>
      </c>
      <c r="B500" t="s">
        <v>9737</v>
      </c>
      <c r="C500" t="s">
        <v>9738</v>
      </c>
      <c r="D500" t="s">
        <v>9739</v>
      </c>
      <c r="E500" t="s">
        <v>9740</v>
      </c>
      <c r="F500" t="s">
        <v>9741</v>
      </c>
      <c r="G500" t="s">
        <v>9742</v>
      </c>
      <c r="H500" t="s">
        <v>9743</v>
      </c>
      <c r="I500" t="s">
        <v>9744</v>
      </c>
      <c r="J500" t="s">
        <v>9745</v>
      </c>
      <c r="K500" t="s">
        <v>9746</v>
      </c>
      <c r="L500" t="s">
        <v>9747</v>
      </c>
      <c r="M500" t="s">
        <v>9748</v>
      </c>
      <c r="N500" t="s">
        <v>9749</v>
      </c>
      <c r="O500">
        <f>-781.935278490294 -81.0468919482555 -495.533009632797</f>
        <v>-1358.5151800713465</v>
      </c>
      <c r="P500">
        <f>-833.513772902702 -115.36397394992 -207.864489781843</f>
        <v>-1156.7422366344651</v>
      </c>
      <c r="Q500">
        <f>-623.714412874046 -50.0955273216985 -306.733627688951</f>
        <v>-980.54356788469545</v>
      </c>
      <c r="R500" t="s">
        <v>9750</v>
      </c>
      <c r="S500" t="s">
        <v>9751</v>
      </c>
      <c r="T500" t="s">
        <v>9752</v>
      </c>
      <c r="U500" t="s">
        <v>9753</v>
      </c>
      <c r="V500">
        <f>-732.7303791475 -1.93487200922164 -66.8524607665947</f>
        <v>-801.51771192331637</v>
      </c>
      <c r="W500" t="s">
        <v>9754</v>
      </c>
      <c r="X500" t="s">
        <v>9755</v>
      </c>
      <c r="Y500" t="s">
        <v>9756</v>
      </c>
    </row>
    <row r="501" spans="1:25" x14ac:dyDescent="0.3">
      <c r="A501">
        <v>25000</v>
      </c>
      <c r="B501" t="s">
        <v>9757</v>
      </c>
      <c r="C501" t="s">
        <v>9758</v>
      </c>
      <c r="D501" t="s">
        <v>9759</v>
      </c>
      <c r="E501" t="s">
        <v>9760</v>
      </c>
      <c r="F501" t="s">
        <v>9761</v>
      </c>
      <c r="G501" t="s">
        <v>9762</v>
      </c>
      <c r="H501" t="s">
        <v>9763</v>
      </c>
      <c r="I501" t="s">
        <v>9764</v>
      </c>
      <c r="J501" t="s">
        <v>9765</v>
      </c>
      <c r="K501" t="s">
        <v>9766</v>
      </c>
      <c r="L501" t="s">
        <v>9767</v>
      </c>
      <c r="M501" t="s">
        <v>9768</v>
      </c>
      <c r="N501" t="s">
        <v>9769</v>
      </c>
      <c r="O501">
        <f>-781.503572469854 -81.0117414997062 -495.303857205589</f>
        <v>-1357.8191711751492</v>
      </c>
      <c r="P501">
        <f>-833.043900781607 -115.509955812877 -207.650087582948</f>
        <v>-1156.203944177432</v>
      </c>
      <c r="Q501">
        <f>-623.102948837379 -50.1605850707554 -306.164858911354</f>
        <v>-979.42839281948841</v>
      </c>
      <c r="R501" t="s">
        <v>9770</v>
      </c>
      <c r="S501" t="s">
        <v>9771</v>
      </c>
      <c r="T501" t="s">
        <v>9772</v>
      </c>
      <c r="U501" t="s">
        <v>9773</v>
      </c>
      <c r="V501">
        <f>-732.547735981407 -1.77018753254561 -66.715512604631</f>
        <v>-801.03343611858361</v>
      </c>
      <c r="W501" t="s">
        <v>9774</v>
      </c>
      <c r="X501" t="s">
        <v>9775</v>
      </c>
      <c r="Y501" t="s">
        <v>9776</v>
      </c>
    </row>
    <row r="502" spans="1:25" x14ac:dyDescent="0.3">
      <c r="A502">
        <v>25050</v>
      </c>
      <c r="B502" t="s">
        <v>9777</v>
      </c>
      <c r="C502" t="s">
        <v>9778</v>
      </c>
      <c r="D502" t="s">
        <v>9779</v>
      </c>
      <c r="E502" t="s">
        <v>9780</v>
      </c>
      <c r="F502" t="s">
        <v>9781</v>
      </c>
      <c r="G502" t="s">
        <v>9782</v>
      </c>
      <c r="H502" t="s">
        <v>9783</v>
      </c>
      <c r="I502" t="s">
        <v>9784</v>
      </c>
      <c r="J502" t="s">
        <v>9785</v>
      </c>
      <c r="K502" t="s">
        <v>9786</v>
      </c>
      <c r="L502" t="s">
        <v>9787</v>
      </c>
      <c r="M502" t="s">
        <v>9788</v>
      </c>
      <c r="N502" t="s">
        <v>9789</v>
      </c>
      <c r="O502">
        <f>-781.394590847051 -80.8888812741554 -495.114686003433</f>
        <v>-1357.3981581246394</v>
      </c>
      <c r="P502">
        <f>-832.92032926536 -115.375047717376 -207.456833056512</f>
        <v>-1155.752210039248</v>
      </c>
      <c r="Q502">
        <f>-623.003061200544 -50.1214858275584 -306.08536527533</f>
        <v>-979.20991230343247</v>
      </c>
      <c r="R502" t="s">
        <v>9790</v>
      </c>
      <c r="S502" t="s">
        <v>9791</v>
      </c>
      <c r="T502" t="s">
        <v>9792</v>
      </c>
      <c r="U502" t="s">
        <v>9793</v>
      </c>
      <c r="V502">
        <f>-732.545474952741 -1.61485700095955 -66.6730769120019</f>
        <v>-800.83340886570238</v>
      </c>
      <c r="W502" t="s">
        <v>9794</v>
      </c>
      <c r="X502" t="s">
        <v>9795</v>
      </c>
      <c r="Y502" t="s">
        <v>9796</v>
      </c>
    </row>
    <row r="503" spans="1:25" x14ac:dyDescent="0.3">
      <c r="A503">
        <v>25100</v>
      </c>
      <c r="B503" t="s">
        <v>9797</v>
      </c>
      <c r="C503" t="s">
        <v>9798</v>
      </c>
      <c r="D503" t="s">
        <v>9799</v>
      </c>
      <c r="E503" t="s">
        <v>9800</v>
      </c>
      <c r="F503" t="s">
        <v>9801</v>
      </c>
      <c r="G503" t="s">
        <v>9802</v>
      </c>
      <c r="H503" t="s">
        <v>9803</v>
      </c>
      <c r="I503" t="s">
        <v>9804</v>
      </c>
      <c r="J503" t="s">
        <v>9805</v>
      </c>
      <c r="K503" t="s">
        <v>9806</v>
      </c>
      <c r="L503" t="s">
        <v>9807</v>
      </c>
      <c r="M503" t="s">
        <v>9808</v>
      </c>
      <c r="N503" t="s">
        <v>9809</v>
      </c>
      <c r="O503">
        <f>-781.366460462249 -80.6235358515426 -494.700743798269</f>
        <v>-1356.6907401120607</v>
      </c>
      <c r="P503">
        <f>-832.923804358277 -114.557488178687 -206.982813814215</f>
        <v>-1154.464106351179</v>
      </c>
      <c r="Q503">
        <f>-622.868329925336 -50.2305989593078 -305.925519392173</f>
        <v>-979.02444827681677</v>
      </c>
      <c r="R503" t="s">
        <v>9810</v>
      </c>
      <c r="S503" t="s">
        <v>9811</v>
      </c>
      <c r="T503" t="s">
        <v>9812</v>
      </c>
      <c r="U503" t="s">
        <v>9813</v>
      </c>
      <c r="V503">
        <f>-732.834022429819 -1.17353394114116 -66.5801772493691</f>
        <v>-800.58773362032923</v>
      </c>
      <c r="W503" t="s">
        <v>9814</v>
      </c>
      <c r="X503" t="s">
        <v>9815</v>
      </c>
      <c r="Y503" t="s">
        <v>9816</v>
      </c>
    </row>
    <row r="504" spans="1:25" x14ac:dyDescent="0.3">
      <c r="A504">
        <v>25150</v>
      </c>
      <c r="B504" t="s">
        <v>9817</v>
      </c>
      <c r="C504" t="s">
        <v>9818</v>
      </c>
      <c r="D504" t="s">
        <v>9819</v>
      </c>
      <c r="E504" t="s">
        <v>9820</v>
      </c>
      <c r="F504" t="s">
        <v>9821</v>
      </c>
      <c r="G504" t="s">
        <v>9822</v>
      </c>
      <c r="H504" t="s">
        <v>9823</v>
      </c>
      <c r="I504" t="s">
        <v>9824</v>
      </c>
      <c r="J504" t="s">
        <v>9825</v>
      </c>
      <c r="K504" t="s">
        <v>9826</v>
      </c>
      <c r="L504" t="s">
        <v>9827</v>
      </c>
      <c r="M504" t="s">
        <v>9828</v>
      </c>
      <c r="N504" t="s">
        <v>9829</v>
      </c>
      <c r="O504">
        <f>-781.517688090195 -80.5116337965012 -494.545953582166</f>
        <v>-1356.5752754688622</v>
      </c>
      <c r="P504">
        <f>-833.1495981907 -113.997331086749 -206.788954674079</f>
        <v>-1153.935883951528</v>
      </c>
      <c r="Q504">
        <f>-622.868169806774 -50.3864656122259 -305.714378511849</f>
        <v>-978.96901393084886</v>
      </c>
      <c r="R504" t="s">
        <v>9830</v>
      </c>
      <c r="S504" t="s">
        <v>9831</v>
      </c>
      <c r="T504" t="s">
        <v>9832</v>
      </c>
      <c r="U504" t="s">
        <v>9833</v>
      </c>
      <c r="V504">
        <f>-733.045859078791 -0.902619916792446 -66.5310050217039</f>
        <v>-800.47948401728729</v>
      </c>
      <c r="W504" t="s">
        <v>9834</v>
      </c>
      <c r="X504" t="s">
        <v>9835</v>
      </c>
      <c r="Y504" t="s">
        <v>9836</v>
      </c>
    </row>
    <row r="505" spans="1:25" x14ac:dyDescent="0.3">
      <c r="A505">
        <v>25200</v>
      </c>
      <c r="B505" t="s">
        <v>9837</v>
      </c>
      <c r="C505" t="s">
        <v>9838</v>
      </c>
      <c r="D505" t="s">
        <v>9839</v>
      </c>
      <c r="E505" t="s">
        <v>9840</v>
      </c>
      <c r="F505" t="s">
        <v>9841</v>
      </c>
      <c r="G505" t="s">
        <v>9842</v>
      </c>
      <c r="H505" t="s">
        <v>9843</v>
      </c>
      <c r="I505" t="s">
        <v>9844</v>
      </c>
      <c r="J505" t="s">
        <v>9845</v>
      </c>
      <c r="K505" t="s">
        <v>9846</v>
      </c>
      <c r="L505" t="s">
        <v>9847</v>
      </c>
      <c r="M505" t="s">
        <v>9848</v>
      </c>
      <c r="N505" t="s">
        <v>9849</v>
      </c>
      <c r="O505">
        <f>-782.370077075691 -80.182730742144 -494.19809673505</f>
        <v>-1356.750904552885</v>
      </c>
      <c r="P505">
        <f>-834.173472537078 -112.964861410528 -206.390824192822</f>
        <v>-1153.5291581404281</v>
      </c>
      <c r="Q505">
        <f>-623.322053460734 -50.7850593728438 -305.01263760694</f>
        <v>-979.11975044051769</v>
      </c>
      <c r="R505" t="s">
        <v>9850</v>
      </c>
      <c r="S505" t="s">
        <v>9851</v>
      </c>
      <c r="T505" t="s">
        <v>9852</v>
      </c>
      <c r="U505" t="s">
        <v>9853</v>
      </c>
      <c r="V505">
        <f>-733.725811873262 -0.246795452595961 -66.4122543247358</f>
        <v>-800.38486165059385</v>
      </c>
      <c r="W505" t="s">
        <v>9854</v>
      </c>
      <c r="X505" t="s">
        <v>9855</v>
      </c>
      <c r="Y505" t="s">
        <v>9856</v>
      </c>
    </row>
    <row r="506" spans="1:25" x14ac:dyDescent="0.3">
      <c r="A506">
        <v>25250</v>
      </c>
      <c r="B506" t="s">
        <v>9857</v>
      </c>
      <c r="C506" t="s">
        <v>9858</v>
      </c>
      <c r="D506" t="s">
        <v>9859</v>
      </c>
      <c r="E506" t="s">
        <v>9860</v>
      </c>
      <c r="F506" t="s">
        <v>9861</v>
      </c>
      <c r="G506" t="s">
        <v>9862</v>
      </c>
      <c r="H506" t="s">
        <v>9863</v>
      </c>
      <c r="I506" t="s">
        <v>9864</v>
      </c>
      <c r="J506" t="s">
        <v>9865</v>
      </c>
      <c r="K506" t="s">
        <v>9866</v>
      </c>
      <c r="L506" t="s">
        <v>9867</v>
      </c>
      <c r="M506" t="s">
        <v>9868</v>
      </c>
      <c r="N506" t="s">
        <v>9869</v>
      </c>
      <c r="O506">
        <f>-783.08759377452 -79.9391515942657 -493.985558453665</f>
        <v>-1357.0123038224506</v>
      </c>
      <c r="P506">
        <f>-834.942444037166 -112.349361429738 -206.145614121595</f>
        <v>-1153.4374195884989</v>
      </c>
      <c r="Q506">
        <f>-623.839342424043 -50.8115540999838 -304.631281774878</f>
        <v>-979.28217829890491</v>
      </c>
      <c r="R506" t="s">
        <v>9870</v>
      </c>
      <c r="S506" t="s">
        <v>9871</v>
      </c>
      <c r="T506" t="s">
        <v>9872</v>
      </c>
      <c r="U506" t="s">
        <v>9873</v>
      </c>
      <c r="V506" t="s">
        <v>9874</v>
      </c>
      <c r="W506" t="s">
        <v>9875</v>
      </c>
      <c r="X506" t="s">
        <v>9876</v>
      </c>
      <c r="Y506" t="s">
        <v>9877</v>
      </c>
    </row>
    <row r="507" spans="1:25" x14ac:dyDescent="0.3">
      <c r="A507">
        <v>25300</v>
      </c>
      <c r="B507" t="s">
        <v>9878</v>
      </c>
      <c r="C507" t="s">
        <v>9879</v>
      </c>
      <c r="D507" t="s">
        <v>9880</v>
      </c>
      <c r="E507" t="s">
        <v>9881</v>
      </c>
      <c r="F507" t="s">
        <v>9882</v>
      </c>
      <c r="G507" t="s">
        <v>9883</v>
      </c>
      <c r="H507" t="s">
        <v>9884</v>
      </c>
      <c r="I507" t="s">
        <v>9885</v>
      </c>
      <c r="J507" t="s">
        <v>9886</v>
      </c>
      <c r="K507" t="s">
        <v>9887</v>
      </c>
      <c r="L507" t="s">
        <v>9888</v>
      </c>
      <c r="M507" t="s">
        <v>9889</v>
      </c>
      <c r="N507" t="s">
        <v>9890</v>
      </c>
      <c r="O507">
        <f>-785.096538193601 -79.2124898439138 -493.350540608905</f>
        <v>-1357.6595686464198</v>
      </c>
      <c r="P507">
        <f>-837.002680050289 -110.704896814113 -205.417947678168</f>
        <v>-1153.12552454257</v>
      </c>
      <c r="Q507">
        <f>-625.503426071927 -50.4800171968877 -303.865368706808</f>
        <v>-979.84881197562277</v>
      </c>
      <c r="R507" t="s">
        <v>9891</v>
      </c>
      <c r="S507" t="s">
        <v>9892</v>
      </c>
      <c r="T507" t="s">
        <v>9893</v>
      </c>
      <c r="U507" t="s">
        <v>9894</v>
      </c>
      <c r="V507" t="s">
        <v>9895</v>
      </c>
      <c r="W507" t="s">
        <v>9896</v>
      </c>
      <c r="X507" t="s">
        <v>9897</v>
      </c>
      <c r="Y507" t="s">
        <v>9898</v>
      </c>
    </row>
    <row r="508" spans="1:25" x14ac:dyDescent="0.3">
      <c r="A508">
        <v>25350</v>
      </c>
      <c r="B508" t="s">
        <v>9899</v>
      </c>
      <c r="C508" t="s">
        <v>9900</v>
      </c>
      <c r="D508" t="s">
        <v>9901</v>
      </c>
      <c r="E508" t="s">
        <v>9902</v>
      </c>
      <c r="F508" t="s">
        <v>9903</v>
      </c>
      <c r="G508" t="s">
        <v>9904</v>
      </c>
      <c r="H508" t="s">
        <v>9905</v>
      </c>
      <c r="I508" t="s">
        <v>9906</v>
      </c>
      <c r="J508" t="s">
        <v>9907</v>
      </c>
      <c r="K508" t="s">
        <v>9908</v>
      </c>
      <c r="L508" t="s">
        <v>9909</v>
      </c>
      <c r="M508" t="s">
        <v>9910</v>
      </c>
      <c r="N508" t="s">
        <v>9911</v>
      </c>
      <c r="O508">
        <f>-786.22993946269 -78.7787738275895 -492.937142799173</f>
        <v>-1357.9458560894525</v>
      </c>
      <c r="P508">
        <f>-838.329041288175 -109.342232066403 -204.939356765806</f>
        <v>-1152.610630120384</v>
      </c>
      <c r="Q508">
        <f>-626.503616657008 -50.185611815145 -303.333120649443</f>
        <v>-980.02234912159599</v>
      </c>
      <c r="R508" t="s">
        <v>9912</v>
      </c>
      <c r="S508" t="s">
        <v>9913</v>
      </c>
      <c r="T508" t="s">
        <v>9914</v>
      </c>
      <c r="U508" t="s">
        <v>9915</v>
      </c>
      <c r="V508" t="s">
        <v>9916</v>
      </c>
      <c r="W508" t="s">
        <v>9917</v>
      </c>
      <c r="X508" t="s">
        <v>9918</v>
      </c>
      <c r="Y508" t="s">
        <v>9919</v>
      </c>
    </row>
    <row r="509" spans="1:25" x14ac:dyDescent="0.3">
      <c r="A509">
        <v>25400</v>
      </c>
      <c r="B509" t="s">
        <v>9920</v>
      </c>
      <c r="C509" t="s">
        <v>9921</v>
      </c>
      <c r="D509" t="s">
        <v>9922</v>
      </c>
      <c r="E509" t="s">
        <v>9923</v>
      </c>
      <c r="F509" t="s">
        <v>9924</v>
      </c>
      <c r="G509" t="s">
        <v>9925</v>
      </c>
      <c r="H509" t="s">
        <v>9926</v>
      </c>
      <c r="I509" t="s">
        <v>9927</v>
      </c>
      <c r="J509" t="s">
        <v>9928</v>
      </c>
      <c r="K509" t="s">
        <v>9929</v>
      </c>
      <c r="L509" t="s">
        <v>9930</v>
      </c>
      <c r="M509" t="s">
        <v>9931</v>
      </c>
      <c r="N509" t="s">
        <v>9932</v>
      </c>
      <c r="O509">
        <f>-788.860807432874 -77.4663055800772 -492.275267428648</f>
        <v>-1358.6023804415993</v>
      </c>
      <c r="P509">
        <f>-841.751354430111 -106.176471421625 -204.230924184691</f>
        <v>-1152.1587500364269</v>
      </c>
      <c r="Q509">
        <f>-629.321404883801 -48.7768519699903 -302.362100339628</f>
        <v>-980.46035719341933</v>
      </c>
      <c r="R509" t="s">
        <v>9933</v>
      </c>
      <c r="S509" t="s">
        <v>9934</v>
      </c>
      <c r="T509" t="s">
        <v>9935</v>
      </c>
      <c r="U509" t="s">
        <v>9936</v>
      </c>
      <c r="V509" t="s">
        <v>9937</v>
      </c>
      <c r="W509" t="s">
        <v>9938</v>
      </c>
      <c r="X509" t="s">
        <v>9939</v>
      </c>
      <c r="Y509" t="s">
        <v>9940</v>
      </c>
    </row>
    <row r="510" spans="1:25" x14ac:dyDescent="0.3">
      <c r="A510">
        <v>25450</v>
      </c>
      <c r="B510" t="s">
        <v>9941</v>
      </c>
      <c r="C510" t="s">
        <v>9942</v>
      </c>
      <c r="D510" t="s">
        <v>9943</v>
      </c>
      <c r="E510" t="s">
        <v>9944</v>
      </c>
      <c r="F510" t="s">
        <v>9945</v>
      </c>
      <c r="G510" t="s">
        <v>9946</v>
      </c>
      <c r="H510" t="s">
        <v>9947</v>
      </c>
      <c r="I510" t="s">
        <v>9948</v>
      </c>
      <c r="J510" t="s">
        <v>9949</v>
      </c>
      <c r="K510" t="s">
        <v>9950</v>
      </c>
      <c r="L510" t="s">
        <v>9951</v>
      </c>
      <c r="M510" t="s">
        <v>9952</v>
      </c>
      <c r="N510" t="s">
        <v>9953</v>
      </c>
      <c r="O510">
        <f>-789.840914672296 -77.1798227710492 -492.048614079502</f>
        <v>-1359.0693515228472</v>
      </c>
      <c r="P510">
        <f>-842.987814815151 -105.138687474795 -203.977488515441</f>
        <v>-1152.103990805387</v>
      </c>
      <c r="Q510">
        <f>-630.117604320218 -48.8271395574652 -301.784580305895</f>
        <v>-980.72932418357823</v>
      </c>
      <c r="R510" t="s">
        <v>9954</v>
      </c>
      <c r="S510" t="s">
        <v>9955</v>
      </c>
      <c r="T510" t="s">
        <v>9956</v>
      </c>
      <c r="U510" t="s">
        <v>9957</v>
      </c>
      <c r="V510" t="s">
        <v>9958</v>
      </c>
      <c r="W510" t="s">
        <v>9959</v>
      </c>
      <c r="X510" t="s">
        <v>9960</v>
      </c>
      <c r="Y510" t="s">
        <v>9961</v>
      </c>
    </row>
    <row r="511" spans="1:25" x14ac:dyDescent="0.3">
      <c r="A511">
        <v>25500</v>
      </c>
      <c r="B511" t="s">
        <v>9962</v>
      </c>
      <c r="C511" t="s">
        <v>9963</v>
      </c>
      <c r="D511" t="s">
        <v>9964</v>
      </c>
      <c r="E511" t="s">
        <v>9965</v>
      </c>
      <c r="F511" t="s">
        <v>9966</v>
      </c>
      <c r="G511" t="s">
        <v>9967</v>
      </c>
      <c r="H511" t="s">
        <v>9968</v>
      </c>
      <c r="I511" t="s">
        <v>9969</v>
      </c>
      <c r="J511" t="s">
        <v>9970</v>
      </c>
      <c r="K511" t="s">
        <v>9971</v>
      </c>
      <c r="L511" t="s">
        <v>9972</v>
      </c>
      <c r="M511" t="s">
        <v>9973</v>
      </c>
      <c r="N511" t="s">
        <v>9974</v>
      </c>
      <c r="O511">
        <f>-792.364684608194 -77.7402313224841 -491.620889347812</f>
        <v>-1361.72580527849</v>
      </c>
      <c r="P511">
        <f>-845.441196713887 -104.934989537818 -203.463846144555</f>
        <v>-1153.8400323962601</v>
      </c>
      <c r="Q511">
        <f>-631.728872464585 -50.1055399658235 -300.270605003562</f>
        <v>-982.10501743397049</v>
      </c>
      <c r="R511" t="s">
        <v>9975</v>
      </c>
      <c r="S511" t="s">
        <v>9976</v>
      </c>
      <c r="T511" t="s">
        <v>9977</v>
      </c>
      <c r="U511" t="s">
        <v>9978</v>
      </c>
      <c r="V511" t="s">
        <v>9979</v>
      </c>
      <c r="W511" t="s">
        <v>9980</v>
      </c>
      <c r="X511" t="s">
        <v>9981</v>
      </c>
      <c r="Y511" t="s">
        <v>9982</v>
      </c>
    </row>
    <row r="512" spans="1:25" x14ac:dyDescent="0.3">
      <c r="A512">
        <v>25550</v>
      </c>
      <c r="B512" t="s">
        <v>9983</v>
      </c>
      <c r="C512" t="s">
        <v>9984</v>
      </c>
      <c r="D512" t="s">
        <v>9985</v>
      </c>
      <c r="E512" t="s">
        <v>9986</v>
      </c>
      <c r="F512" t="s">
        <v>9987</v>
      </c>
      <c r="G512" t="s">
        <v>9988</v>
      </c>
      <c r="H512" t="s">
        <v>9989</v>
      </c>
      <c r="I512" t="s">
        <v>9990</v>
      </c>
      <c r="J512" t="s">
        <v>9991</v>
      </c>
      <c r="K512" t="s">
        <v>9992</v>
      </c>
      <c r="L512" t="s">
        <v>9993</v>
      </c>
      <c r="M512" t="s">
        <v>9994</v>
      </c>
      <c r="N512" t="s">
        <v>9995</v>
      </c>
      <c r="O512">
        <f>-793.866573861189 -77.8069726024314 -491.568613032831</f>
        <v>-1363.2421594964514</v>
      </c>
      <c r="P512">
        <f>-847.067171230018 -104.352898445524 -203.373956585628</f>
        <v>-1154.7940262611701</v>
      </c>
      <c r="Q512">
        <f>-632.874274545514 -50.7403126067397 -299.799791859201</f>
        <v>-983.41437901145468</v>
      </c>
      <c r="R512" t="s">
        <v>9996</v>
      </c>
      <c r="S512" t="s">
        <v>9997</v>
      </c>
      <c r="T512" t="s">
        <v>9998</v>
      </c>
      <c r="U512" t="s">
        <v>9999</v>
      </c>
      <c r="V512" t="s">
        <v>10000</v>
      </c>
      <c r="W512" t="s">
        <v>10001</v>
      </c>
      <c r="X512" t="s">
        <v>10002</v>
      </c>
      <c r="Y512" t="s">
        <v>10003</v>
      </c>
    </row>
    <row r="513" spans="1:25" x14ac:dyDescent="0.3">
      <c r="A513">
        <v>25600</v>
      </c>
      <c r="B513" t="s">
        <v>10004</v>
      </c>
      <c r="C513" t="s">
        <v>10005</v>
      </c>
      <c r="D513" t="s">
        <v>10006</v>
      </c>
      <c r="E513" t="s">
        <v>10007</v>
      </c>
      <c r="F513" t="s">
        <v>10008</v>
      </c>
      <c r="G513" t="s">
        <v>10009</v>
      </c>
      <c r="H513" t="s">
        <v>10010</v>
      </c>
      <c r="I513" t="s">
        <v>10011</v>
      </c>
      <c r="J513" t="s">
        <v>10012</v>
      </c>
      <c r="K513" t="s">
        <v>10013</v>
      </c>
      <c r="L513" t="s">
        <v>10014</v>
      </c>
      <c r="M513" t="s">
        <v>10015</v>
      </c>
      <c r="N513" t="s">
        <v>10016</v>
      </c>
      <c r="O513">
        <f>-794.89330892744 -77.6166440929692 -491.756453522844</f>
        <v>-1364.2664065432532</v>
      </c>
      <c r="P513">
        <f>-848.397093343311 -103.477896522559 -203.555577059394</f>
        <v>-1155.430566925264</v>
      </c>
      <c r="Q513">
        <f>-633.812246520259 -50.9231868253155 -299.6918095413</f>
        <v>-984.42724288687452</v>
      </c>
      <c r="R513" t="s">
        <v>10017</v>
      </c>
      <c r="S513" t="s">
        <v>10018</v>
      </c>
      <c r="T513" t="s">
        <v>10019</v>
      </c>
      <c r="U513" t="s">
        <v>10020</v>
      </c>
      <c r="V513" t="s">
        <v>10021</v>
      </c>
      <c r="W513" t="s">
        <v>10022</v>
      </c>
      <c r="X513" t="s">
        <v>10023</v>
      </c>
      <c r="Y513" t="s">
        <v>10024</v>
      </c>
    </row>
    <row r="514" spans="1:25" x14ac:dyDescent="0.3">
      <c r="A514">
        <v>25650</v>
      </c>
      <c r="B514" t="s">
        <v>10025</v>
      </c>
      <c r="C514" t="s">
        <v>10026</v>
      </c>
      <c r="D514" t="s">
        <v>10027</v>
      </c>
      <c r="E514" t="s">
        <v>10028</v>
      </c>
      <c r="F514" t="s">
        <v>10029</v>
      </c>
      <c r="G514" t="s">
        <v>10030</v>
      </c>
      <c r="H514" t="s">
        <v>10031</v>
      </c>
      <c r="I514" t="s">
        <v>10032</v>
      </c>
      <c r="J514" t="s">
        <v>10033</v>
      </c>
      <c r="K514" t="s">
        <v>10034</v>
      </c>
      <c r="L514" t="s">
        <v>10035</v>
      </c>
      <c r="M514" t="s">
        <v>10036</v>
      </c>
      <c r="N514" t="s">
        <v>10037</v>
      </c>
      <c r="O514">
        <f>-795.107786756304 -77.2611604522247 -492.69354495287</f>
        <v>-1365.0624921613987</v>
      </c>
      <c r="P514">
        <f>-849.315382837867 -103.200554801297 -204.631234695724</f>
        <v>-1157.147172334888</v>
      </c>
      <c r="Q514">
        <f>-634.032281810333 -51.7748270523116 -299.812147199659</f>
        <v>-985.61925606230352</v>
      </c>
      <c r="R514" t="s">
        <v>10038</v>
      </c>
      <c r="S514" t="s">
        <v>10039</v>
      </c>
      <c r="T514" t="s">
        <v>10040</v>
      </c>
      <c r="U514" t="s">
        <v>10041</v>
      </c>
      <c r="V514" t="s">
        <v>10042</v>
      </c>
      <c r="W514" t="s">
        <v>10043</v>
      </c>
      <c r="X514" t="s">
        <v>10044</v>
      </c>
      <c r="Y514" t="s">
        <v>10045</v>
      </c>
    </row>
    <row r="515" spans="1:25" x14ac:dyDescent="0.3">
      <c r="A515">
        <v>25700</v>
      </c>
      <c r="B515" t="s">
        <v>10046</v>
      </c>
      <c r="C515" t="s">
        <v>10047</v>
      </c>
      <c r="D515" t="s">
        <v>10048</v>
      </c>
      <c r="E515" t="s">
        <v>10049</v>
      </c>
      <c r="F515" t="s">
        <v>10050</v>
      </c>
      <c r="G515" t="s">
        <v>10051</v>
      </c>
      <c r="H515" t="s">
        <v>10052</v>
      </c>
      <c r="I515" t="s">
        <v>10053</v>
      </c>
      <c r="J515" t="s">
        <v>10054</v>
      </c>
      <c r="K515" t="s">
        <v>10055</v>
      </c>
      <c r="L515" t="s">
        <v>10056</v>
      </c>
      <c r="M515" t="s">
        <v>10057</v>
      </c>
      <c r="N515" t="s">
        <v>10058</v>
      </c>
      <c r="O515">
        <f>-795.226757032674 -76.7542596362186 -493.649032928136</f>
        <v>-1365.6300495970286</v>
      </c>
      <c r="P515">
        <f>-849.38164893308 -104.42754741659 -205.738060544564</f>
        <v>-1159.5472568942339</v>
      </c>
      <c r="Q515">
        <f>-633.850733224457 -52.7008628437993 -300.1919956993</f>
        <v>-986.74359176755638</v>
      </c>
      <c r="R515" t="s">
        <v>10059</v>
      </c>
      <c r="S515" t="s">
        <v>10060</v>
      </c>
      <c r="T515" t="s">
        <v>10061</v>
      </c>
      <c r="U515" t="s">
        <v>10062</v>
      </c>
      <c r="V515" t="s">
        <v>10063</v>
      </c>
      <c r="W515" t="s">
        <v>10064</v>
      </c>
      <c r="X515" t="s">
        <v>10065</v>
      </c>
      <c r="Y515" t="s">
        <v>10066</v>
      </c>
    </row>
    <row r="516" spans="1:25" x14ac:dyDescent="0.3">
      <c r="A516">
        <v>25750</v>
      </c>
      <c r="B516" t="s">
        <v>10067</v>
      </c>
      <c r="C516" t="s">
        <v>10068</v>
      </c>
      <c r="D516" t="s">
        <v>10069</v>
      </c>
      <c r="E516" t="s">
        <v>10070</v>
      </c>
      <c r="F516" t="s">
        <v>10071</v>
      </c>
      <c r="G516" t="s">
        <v>10072</v>
      </c>
      <c r="H516" t="s">
        <v>10073</v>
      </c>
      <c r="I516" t="s">
        <v>10074</v>
      </c>
      <c r="J516" t="s">
        <v>10075</v>
      </c>
      <c r="K516" t="s">
        <v>10076</v>
      </c>
      <c r="L516" t="s">
        <v>10077</v>
      </c>
      <c r="M516" t="s">
        <v>10078</v>
      </c>
      <c r="N516" t="s">
        <v>10079</v>
      </c>
      <c r="O516">
        <f>-795.121823253674 -76.4780243727407 -494.047246084393</f>
        <v>-1365.6470937108079</v>
      </c>
      <c r="P516">
        <f>-849.075236438237 -104.967928540116 -206.178237800538</f>
        <v>-1160.2214027788909</v>
      </c>
      <c r="Q516">
        <f>-633.501103258244 -53.109584517166 -300.461689396259</f>
        <v>-987.07237717166902</v>
      </c>
      <c r="R516" t="s">
        <v>10080</v>
      </c>
      <c r="S516" t="s">
        <v>10081</v>
      </c>
      <c r="T516" t="s">
        <v>10082</v>
      </c>
      <c r="U516" t="s">
        <v>10083</v>
      </c>
      <c r="V516" t="s">
        <v>10084</v>
      </c>
      <c r="W516" t="s">
        <v>10085</v>
      </c>
      <c r="X516" t="s">
        <v>10086</v>
      </c>
      <c r="Y516" t="s">
        <v>10087</v>
      </c>
    </row>
    <row r="517" spans="1:25" x14ac:dyDescent="0.3">
      <c r="A517">
        <v>25800</v>
      </c>
      <c r="B517" t="s">
        <v>10088</v>
      </c>
      <c r="C517" t="s">
        <v>10089</v>
      </c>
      <c r="D517" t="s">
        <v>10090</v>
      </c>
      <c r="E517" t="s">
        <v>10091</v>
      </c>
      <c r="F517" t="s">
        <v>10092</v>
      </c>
      <c r="G517" t="s">
        <v>10093</v>
      </c>
      <c r="H517" t="s">
        <v>10094</v>
      </c>
      <c r="I517" t="s">
        <v>10095</v>
      </c>
      <c r="J517" t="s">
        <v>10096</v>
      </c>
      <c r="K517" t="s">
        <v>10097</v>
      </c>
      <c r="L517" t="s">
        <v>10098</v>
      </c>
      <c r="M517" t="s">
        <v>10099</v>
      </c>
      <c r="N517" t="s">
        <v>10100</v>
      </c>
      <c r="O517">
        <f>-794.726395956142 -76.699878554678 -494.64419398657</f>
        <v>-1366.07046849739</v>
      </c>
      <c r="P517">
        <f>-848.170070920967 -106.338876362603 -206.796101505592</f>
        <v>-1161.3050487891619</v>
      </c>
      <c r="Q517">
        <f>-632.6714653372 -54.0200767435861 -300.99798502079</f>
        <v>-987.689527101576</v>
      </c>
      <c r="R517" t="s">
        <v>10101</v>
      </c>
      <c r="S517" t="s">
        <v>10102</v>
      </c>
      <c r="T517" t="s">
        <v>10103</v>
      </c>
      <c r="U517" t="s">
        <v>10104</v>
      </c>
      <c r="V517" t="s">
        <v>10105</v>
      </c>
      <c r="W517" t="s">
        <v>10106</v>
      </c>
      <c r="X517" t="s">
        <v>10107</v>
      </c>
      <c r="Y517" t="s">
        <v>10108</v>
      </c>
    </row>
    <row r="518" spans="1:25" x14ac:dyDescent="0.3">
      <c r="A518">
        <v>25850</v>
      </c>
      <c r="B518" t="s">
        <v>10109</v>
      </c>
      <c r="C518" t="s">
        <v>10110</v>
      </c>
      <c r="D518" t="s">
        <v>10111</v>
      </c>
      <c r="E518" t="s">
        <v>10112</v>
      </c>
      <c r="F518" t="s">
        <v>10113</v>
      </c>
      <c r="G518" t="s">
        <v>10114</v>
      </c>
      <c r="H518" t="s">
        <v>10115</v>
      </c>
      <c r="I518" t="s">
        <v>10116</v>
      </c>
      <c r="J518" t="s">
        <v>10117</v>
      </c>
      <c r="K518" t="s">
        <v>10118</v>
      </c>
      <c r="L518" t="s">
        <v>10119</v>
      </c>
      <c r="M518" t="s">
        <v>10120</v>
      </c>
      <c r="N518" t="s">
        <v>10121</v>
      </c>
      <c r="O518">
        <f>-794.739928288057 -76.942768199282 -494.821429943629</f>
        <v>-1366.504126430968</v>
      </c>
      <c r="P518">
        <f>-848.000106030072 -106.789008971119 -206.96063921929</f>
        <v>-1161.749754220481</v>
      </c>
      <c r="Q518">
        <f>-632.473969670962 -54.3914169990555 -301.05568954227</f>
        <v>-987.92107621228752</v>
      </c>
      <c r="R518" t="s">
        <v>10122</v>
      </c>
      <c r="S518" t="s">
        <v>10123</v>
      </c>
      <c r="T518" t="s">
        <v>10124</v>
      </c>
      <c r="U518" t="s">
        <v>10125</v>
      </c>
      <c r="V518" t="s">
        <v>10126</v>
      </c>
      <c r="W518" t="s">
        <v>10127</v>
      </c>
      <c r="X518" t="s">
        <v>10128</v>
      </c>
      <c r="Y518" t="s">
        <v>10129</v>
      </c>
    </row>
    <row r="519" spans="1:25" x14ac:dyDescent="0.3">
      <c r="A519">
        <v>25900</v>
      </c>
      <c r="B519" t="s">
        <v>10130</v>
      </c>
      <c r="C519" t="s">
        <v>10131</v>
      </c>
      <c r="D519" t="s">
        <v>10132</v>
      </c>
      <c r="E519" t="s">
        <v>10133</v>
      </c>
      <c r="F519" t="s">
        <v>10134</v>
      </c>
      <c r="G519" t="s">
        <v>10135</v>
      </c>
      <c r="H519" t="s">
        <v>10136</v>
      </c>
      <c r="I519" t="s">
        <v>10137</v>
      </c>
      <c r="J519" t="s">
        <v>10138</v>
      </c>
      <c r="K519" t="s">
        <v>10139</v>
      </c>
      <c r="L519" t="s">
        <v>10140</v>
      </c>
      <c r="M519" t="s">
        <v>10141</v>
      </c>
      <c r="N519" t="s">
        <v>10142</v>
      </c>
      <c r="O519">
        <f>-795.163134674271 -77.0523134375026 -495.021572467551</f>
        <v>-1367.2370205793245</v>
      </c>
      <c r="P519">
        <f>-848.27847104644 -106.961635902 -207.140721932603</f>
        <v>-1162.380828881043</v>
      </c>
      <c r="Q519">
        <f>-632.677387986415 -54.4203484142774 -300.983241489782</f>
        <v>-988.08097789047451</v>
      </c>
      <c r="R519" t="s">
        <v>10143</v>
      </c>
      <c r="S519" t="s">
        <v>10144</v>
      </c>
      <c r="T519" t="s">
        <v>10145</v>
      </c>
      <c r="U519" t="s">
        <v>10146</v>
      </c>
      <c r="V519" t="s">
        <v>10147</v>
      </c>
      <c r="W519" t="s">
        <v>10148</v>
      </c>
      <c r="X519" t="s">
        <v>10149</v>
      </c>
      <c r="Y519" t="s">
        <v>10150</v>
      </c>
    </row>
    <row r="520" spans="1:25" x14ac:dyDescent="0.3">
      <c r="A520">
        <v>25950</v>
      </c>
      <c r="B520" t="s">
        <v>10151</v>
      </c>
      <c r="C520" t="s">
        <v>10152</v>
      </c>
      <c r="D520" t="s">
        <v>10153</v>
      </c>
      <c r="E520" t="s">
        <v>10154</v>
      </c>
      <c r="F520" t="s">
        <v>10155</v>
      </c>
      <c r="G520" t="s">
        <v>10156</v>
      </c>
      <c r="H520" t="s">
        <v>10157</v>
      </c>
      <c r="I520" t="s">
        <v>10158</v>
      </c>
      <c r="J520" t="s">
        <v>10159</v>
      </c>
      <c r="K520" t="s">
        <v>10160</v>
      </c>
      <c r="L520" t="s">
        <v>10161</v>
      </c>
      <c r="M520" t="s">
        <v>10162</v>
      </c>
      <c r="N520" t="s">
        <v>10163</v>
      </c>
      <c r="O520">
        <f>-795.703773713851 -76.9757373298703 -495.146036373988</f>
        <v>-1367.8255474177092</v>
      </c>
      <c r="P520">
        <f>-848.853055121119 -106.907590358799 -207.273712912042</f>
        <v>-1163.03435839196</v>
      </c>
      <c r="Q520">
        <f>-633.180741085558 -54.4069590116223 -300.975143537468</f>
        <v>-988.56284363464829</v>
      </c>
      <c r="R520" t="s">
        <v>10164</v>
      </c>
      <c r="S520" t="s">
        <v>10165</v>
      </c>
      <c r="T520" t="s">
        <v>10166</v>
      </c>
      <c r="U520" t="s">
        <v>10167</v>
      </c>
      <c r="V520" t="s">
        <v>10168</v>
      </c>
      <c r="W520" t="s">
        <v>10169</v>
      </c>
      <c r="X520" t="s">
        <v>10170</v>
      </c>
      <c r="Y520" t="s">
        <v>10171</v>
      </c>
    </row>
    <row r="521" spans="1:25" x14ac:dyDescent="0.3">
      <c r="A521">
        <v>26000</v>
      </c>
      <c r="B521" t="s">
        <v>10172</v>
      </c>
      <c r="C521" t="s">
        <v>10173</v>
      </c>
      <c r="D521" t="s">
        <v>10174</v>
      </c>
      <c r="E521" t="s">
        <v>10175</v>
      </c>
      <c r="F521" t="s">
        <v>10176</v>
      </c>
      <c r="G521" t="s">
        <v>10177</v>
      </c>
      <c r="H521" t="s">
        <v>10178</v>
      </c>
      <c r="I521" t="s">
        <v>10179</v>
      </c>
      <c r="J521" t="s">
        <v>10180</v>
      </c>
      <c r="K521" t="s">
        <v>10181</v>
      </c>
      <c r="L521" t="s">
        <v>10182</v>
      </c>
      <c r="M521" t="s">
        <v>10183</v>
      </c>
      <c r="N521" t="s">
        <v>10184</v>
      </c>
      <c r="O521">
        <f>-796.711907611969 -76.9225020355709 -495.436133702838</f>
        <v>-1369.0705433503779</v>
      </c>
      <c r="P521">
        <f>-849.957872821676 -106.976958275243 -207.594459745887</f>
        <v>-1164.5292908428059</v>
      </c>
      <c r="Q521">
        <f>-634.116952358161 -54.6243609839132 -300.990271539436</f>
        <v>-989.73158488151023</v>
      </c>
      <c r="R521" t="s">
        <v>10185</v>
      </c>
      <c r="S521" t="s">
        <v>10186</v>
      </c>
      <c r="T521" t="s">
        <v>10187</v>
      </c>
      <c r="U521" t="s">
        <v>10188</v>
      </c>
      <c r="V521" t="s">
        <v>10189</v>
      </c>
      <c r="W521" t="s">
        <v>10190</v>
      </c>
      <c r="X521" t="s">
        <v>10191</v>
      </c>
      <c r="Y521" t="s">
        <v>10192</v>
      </c>
    </row>
    <row r="522" spans="1:25" x14ac:dyDescent="0.3">
      <c r="A522">
        <v>26050</v>
      </c>
      <c r="B522" t="s">
        <v>10193</v>
      </c>
      <c r="C522" t="s">
        <v>10194</v>
      </c>
      <c r="D522" t="s">
        <v>10195</v>
      </c>
      <c r="E522" t="s">
        <v>10196</v>
      </c>
      <c r="F522" t="s">
        <v>10197</v>
      </c>
      <c r="G522" t="s">
        <v>10198</v>
      </c>
      <c r="H522" t="s">
        <v>10199</v>
      </c>
      <c r="I522" t="s">
        <v>10200</v>
      </c>
      <c r="J522" t="s">
        <v>10201</v>
      </c>
      <c r="K522" t="s">
        <v>10202</v>
      </c>
      <c r="L522" t="s">
        <v>10203</v>
      </c>
      <c r="M522" t="s">
        <v>10204</v>
      </c>
      <c r="N522" t="s">
        <v>10205</v>
      </c>
      <c r="O522">
        <f>-797.020719392585 -76.9316514737407 -495.604359456503</f>
        <v>-1369.5567303228286</v>
      </c>
      <c r="P522">
        <f>-850.293677981164 -107.036745585381 -207.773212942489</f>
        <v>-1165.103636509034</v>
      </c>
      <c r="Q522">
        <f>-634.339409977673 -54.6634089727622 -300.894796448876</f>
        <v>-989.89761539931123</v>
      </c>
      <c r="R522" t="s">
        <v>10206</v>
      </c>
      <c r="S522" t="s">
        <v>10207</v>
      </c>
      <c r="T522" t="s">
        <v>10208</v>
      </c>
      <c r="U522" t="s">
        <v>10209</v>
      </c>
      <c r="V522" t="s">
        <v>10210</v>
      </c>
      <c r="W522" t="s">
        <v>10211</v>
      </c>
      <c r="X522" t="s">
        <v>10212</v>
      </c>
      <c r="Y522" t="s">
        <v>10213</v>
      </c>
    </row>
    <row r="523" spans="1:25" x14ac:dyDescent="0.3">
      <c r="A523">
        <v>26100</v>
      </c>
      <c r="B523" t="s">
        <v>10214</v>
      </c>
      <c r="C523" t="s">
        <v>10215</v>
      </c>
      <c r="D523" t="s">
        <v>10216</v>
      </c>
      <c r="E523" t="s">
        <v>10217</v>
      </c>
      <c r="F523" t="s">
        <v>10218</v>
      </c>
      <c r="G523" t="s">
        <v>10219</v>
      </c>
      <c r="H523" t="s">
        <v>10220</v>
      </c>
      <c r="I523" t="s">
        <v>10221</v>
      </c>
      <c r="J523" t="s">
        <v>10222</v>
      </c>
      <c r="K523" t="s">
        <v>10223</v>
      </c>
      <c r="L523" t="s">
        <v>10224</v>
      </c>
      <c r="M523" t="s">
        <v>10225</v>
      </c>
      <c r="N523" t="s">
        <v>10226</v>
      </c>
      <c r="O523">
        <f>-797.755816112798 -77.3297792130115 -495.640796702063</f>
        <v>-1370.7263920278726</v>
      </c>
      <c r="P523">
        <f>-850.633874916745 -107.967953560866 -207.792963395343</f>
        <v>-1166.3947918729541</v>
      </c>
      <c r="Q523">
        <f>-634.524252806151 -55.3098556657849 -300.392017895845</f>
        <v>-990.22612636778092</v>
      </c>
      <c r="R523" t="s">
        <v>10227</v>
      </c>
      <c r="S523" t="s">
        <v>10228</v>
      </c>
      <c r="T523" t="s">
        <v>10229</v>
      </c>
      <c r="U523" t="s">
        <v>10230</v>
      </c>
      <c r="V523" t="s">
        <v>10231</v>
      </c>
      <c r="W523" t="s">
        <v>10232</v>
      </c>
      <c r="X523" t="s">
        <v>10233</v>
      </c>
      <c r="Y523" t="s">
        <v>10234</v>
      </c>
    </row>
    <row r="524" spans="1:25" x14ac:dyDescent="0.3">
      <c r="A524">
        <v>26150</v>
      </c>
      <c r="B524" t="s">
        <v>10235</v>
      </c>
      <c r="C524" t="s">
        <v>10236</v>
      </c>
      <c r="D524" t="s">
        <v>10237</v>
      </c>
      <c r="E524" t="s">
        <v>10238</v>
      </c>
      <c r="F524" t="s">
        <v>10239</v>
      </c>
      <c r="G524" t="s">
        <v>10240</v>
      </c>
      <c r="H524" t="s">
        <v>10241</v>
      </c>
      <c r="I524" t="s">
        <v>10242</v>
      </c>
      <c r="J524" t="s">
        <v>10243</v>
      </c>
      <c r="K524" t="s">
        <v>10244</v>
      </c>
      <c r="L524" t="s">
        <v>10245</v>
      </c>
      <c r="M524" t="s">
        <v>10246</v>
      </c>
      <c r="N524" t="s">
        <v>10247</v>
      </c>
      <c r="O524">
        <f>-798.154201091505 -77.7468164799875 -495.44820752703</f>
        <v>-1371.3492250985225</v>
      </c>
      <c r="P524">
        <f>-851.12728878333 -108.294093624581 -207.608191901277</f>
        <v>-1167.0295743091879</v>
      </c>
      <c r="Q524">
        <f>-634.672228037051 -56.2166857545715 -299.727290447292</f>
        <v>-990.61620423891441</v>
      </c>
      <c r="R524" t="s">
        <v>10248</v>
      </c>
      <c r="S524" t="s">
        <v>10249</v>
      </c>
      <c r="T524" t="s">
        <v>10250</v>
      </c>
      <c r="U524" t="s">
        <v>10251</v>
      </c>
      <c r="V524" t="s">
        <v>10252</v>
      </c>
      <c r="W524" t="s">
        <v>10253</v>
      </c>
      <c r="X524" t="s">
        <v>10254</v>
      </c>
      <c r="Y524" t="s">
        <v>10255</v>
      </c>
    </row>
    <row r="525" spans="1:25" x14ac:dyDescent="0.3">
      <c r="A525">
        <v>26200</v>
      </c>
      <c r="B525" t="s">
        <v>10256</v>
      </c>
      <c r="C525" t="s">
        <v>10257</v>
      </c>
      <c r="D525" t="s">
        <v>10258</v>
      </c>
      <c r="E525" t="s">
        <v>10259</v>
      </c>
      <c r="F525" t="s">
        <v>10260</v>
      </c>
      <c r="G525" t="s">
        <v>10261</v>
      </c>
      <c r="H525" t="s">
        <v>10262</v>
      </c>
      <c r="I525" t="s">
        <v>10263</v>
      </c>
      <c r="J525" t="s">
        <v>10264</v>
      </c>
      <c r="K525" t="s">
        <v>10265</v>
      </c>
      <c r="L525" t="s">
        <v>10266</v>
      </c>
      <c r="M525" t="s">
        <v>10267</v>
      </c>
      <c r="N525" t="s">
        <v>10268</v>
      </c>
      <c r="O525">
        <f>-798.733786521211 -78.4935852751967 -494.925032446701</f>
        <v>-1372.1524042431085</v>
      </c>
      <c r="P525">
        <f>-852.806072731851 -108.330782279309 -207.21471427357</f>
        <v>-1168.35156928473</v>
      </c>
      <c r="Q525">
        <f>-635.21691041041 -56.8636889286581 -296.975276329022</f>
        <v>-989.05587566809015</v>
      </c>
      <c r="R525" t="s">
        <v>10269</v>
      </c>
      <c r="S525" t="s">
        <v>10270</v>
      </c>
      <c r="T525" t="s">
        <v>10271</v>
      </c>
      <c r="U525" t="s">
        <v>10272</v>
      </c>
      <c r="V525" t="s">
        <v>10273</v>
      </c>
      <c r="W525" t="s">
        <v>10274</v>
      </c>
      <c r="X525" t="s">
        <v>10275</v>
      </c>
      <c r="Y525" t="s">
        <v>10276</v>
      </c>
    </row>
    <row r="526" spans="1:25" x14ac:dyDescent="0.3">
      <c r="A526">
        <v>26250</v>
      </c>
      <c r="B526" t="s">
        <v>10277</v>
      </c>
      <c r="C526" t="s">
        <v>10278</v>
      </c>
      <c r="D526" t="s">
        <v>10279</v>
      </c>
      <c r="E526" t="s">
        <v>10280</v>
      </c>
      <c r="F526" t="s">
        <v>10281</v>
      </c>
      <c r="G526" t="s">
        <v>10282</v>
      </c>
      <c r="H526" t="s">
        <v>10283</v>
      </c>
      <c r="I526" t="s">
        <v>10284</v>
      </c>
      <c r="J526" t="s">
        <v>10285</v>
      </c>
      <c r="K526" t="s">
        <v>10286</v>
      </c>
      <c r="L526" t="s">
        <v>10287</v>
      </c>
      <c r="M526" t="s">
        <v>10288</v>
      </c>
      <c r="N526" t="s">
        <v>10289</v>
      </c>
      <c r="O526">
        <f>-799.16270340556 -78.6754483599577 -494.671261886766</f>
        <v>-1372.5094136522837</v>
      </c>
      <c r="P526">
        <f>-854.039522765972 -108.129646964768 -207.073892457062</f>
        <v>-1169.243062187802</v>
      </c>
      <c r="Q526">
        <f>-635.790320549243 -56.2190816004554 -294.956819839311</f>
        <v>-986.96622198900945</v>
      </c>
      <c r="R526" t="s">
        <v>10290</v>
      </c>
      <c r="S526" t="s">
        <v>10291</v>
      </c>
      <c r="T526" t="s">
        <v>10292</v>
      </c>
      <c r="U526" t="s">
        <v>10293</v>
      </c>
      <c r="V526" t="s">
        <v>10294</v>
      </c>
      <c r="W526" t="s">
        <v>10295</v>
      </c>
      <c r="X526" t="s">
        <v>10296</v>
      </c>
      <c r="Y526" t="s">
        <v>10297</v>
      </c>
    </row>
    <row r="527" spans="1:25" x14ac:dyDescent="0.3">
      <c r="A527">
        <v>26300</v>
      </c>
      <c r="B527" t="s">
        <v>10298</v>
      </c>
      <c r="C527" t="s">
        <v>10299</v>
      </c>
      <c r="D527" t="s">
        <v>10300</v>
      </c>
      <c r="E527" t="s">
        <v>10301</v>
      </c>
      <c r="F527" t="s">
        <v>10302</v>
      </c>
      <c r="G527" t="s">
        <v>10303</v>
      </c>
      <c r="H527" t="s">
        <v>10304</v>
      </c>
      <c r="I527" t="s">
        <v>10305</v>
      </c>
      <c r="J527" t="s">
        <v>10306</v>
      </c>
      <c r="K527" t="s">
        <v>10307</v>
      </c>
      <c r="L527" t="s">
        <v>10308</v>
      </c>
      <c r="M527" t="s">
        <v>10309</v>
      </c>
      <c r="N527" t="s">
        <v>10310</v>
      </c>
      <c r="O527">
        <f>-799.951610714541 -78.7582731766643 -494.143418808861</f>
        <v>-1372.8533027000663</v>
      </c>
      <c r="P527">
        <f>-856.285946846509 -107.750323949104 -206.781187606659</f>
        <v>-1170.817458402272</v>
      </c>
      <c r="Q527">
        <f>-636.896607956635 -54.3136678071326 -290.826769458402</f>
        <v>-982.03704522216958</v>
      </c>
      <c r="R527" t="s">
        <v>10311</v>
      </c>
      <c r="S527" t="s">
        <v>10312</v>
      </c>
      <c r="T527" t="s">
        <v>10313</v>
      </c>
      <c r="U527" t="s">
        <v>10314</v>
      </c>
      <c r="V527" t="s">
        <v>10315</v>
      </c>
      <c r="W527" t="s">
        <v>10316</v>
      </c>
      <c r="X527" t="s">
        <v>10317</v>
      </c>
      <c r="Y527" t="s">
        <v>10318</v>
      </c>
    </row>
    <row r="528" spans="1:25" x14ac:dyDescent="0.3">
      <c r="A528">
        <v>26350</v>
      </c>
      <c r="B528" t="s">
        <v>10319</v>
      </c>
      <c r="C528" t="s">
        <v>10320</v>
      </c>
      <c r="D528" t="s">
        <v>10321</v>
      </c>
      <c r="E528" t="s">
        <v>10322</v>
      </c>
      <c r="F528" t="s">
        <v>10323</v>
      </c>
      <c r="G528" t="s">
        <v>10324</v>
      </c>
      <c r="H528" t="s">
        <v>10325</v>
      </c>
      <c r="I528" t="s">
        <v>10326</v>
      </c>
      <c r="J528" t="s">
        <v>10327</v>
      </c>
      <c r="K528" t="s">
        <v>10328</v>
      </c>
      <c r="L528" t="s">
        <v>10329</v>
      </c>
      <c r="M528" t="s">
        <v>10330</v>
      </c>
      <c r="N528" t="s">
        <v>10331</v>
      </c>
      <c r="O528">
        <f>-800.089561518065 -78.5942506820463 -493.951511284166</f>
        <v>-1372.6353234842773</v>
      </c>
      <c r="P528">
        <f>-857.240484244508 -106.918997375304 -206.683945401239</f>
        <v>-1170.843427021051</v>
      </c>
      <c r="Q528">
        <f>-637.66106874986 -52.0814314132883 -289.318978310127</f>
        <v>-979.06147847327532</v>
      </c>
      <c r="R528" t="s">
        <v>10332</v>
      </c>
      <c r="S528" t="s">
        <v>10333</v>
      </c>
      <c r="T528" t="s">
        <v>10334</v>
      </c>
      <c r="U528" t="s">
        <v>10335</v>
      </c>
      <c r="V528" t="s">
        <v>10336</v>
      </c>
      <c r="W528" t="s">
        <v>10337</v>
      </c>
      <c r="X528" t="s">
        <v>10338</v>
      </c>
      <c r="Y528" t="s">
        <v>10339</v>
      </c>
    </row>
    <row r="529" spans="1:25" x14ac:dyDescent="0.3">
      <c r="A529">
        <v>26400</v>
      </c>
      <c r="B529" t="s">
        <v>10340</v>
      </c>
      <c r="C529" t="s">
        <v>10341</v>
      </c>
      <c r="D529" t="s">
        <v>10342</v>
      </c>
      <c r="E529" t="s">
        <v>10343</v>
      </c>
      <c r="F529" t="s">
        <v>10344</v>
      </c>
      <c r="G529" t="s">
        <v>10345</v>
      </c>
      <c r="H529" t="s">
        <v>10346</v>
      </c>
      <c r="I529" t="s">
        <v>10347</v>
      </c>
      <c r="J529" t="s">
        <v>10348</v>
      </c>
      <c r="K529" t="s">
        <v>10349</v>
      </c>
      <c r="L529" t="s">
        <v>10350</v>
      </c>
      <c r="M529" t="s">
        <v>10351</v>
      </c>
      <c r="N529" t="s">
        <v>10352</v>
      </c>
      <c r="O529">
        <f>-800.020482661648 -77.6806992966162 -493.88850080141</f>
        <v>-1371.5896827596741</v>
      </c>
      <c r="P529">
        <f>-858.51052888383 -104.796309012752 -206.773858679822</f>
        <v>-1170.0806965764041</v>
      </c>
      <c r="Q529">
        <f>-639.022310262026 -46.7090944557356 -287.40722324059</f>
        <v>-973.13862795835166</v>
      </c>
      <c r="R529" t="s">
        <v>10353</v>
      </c>
      <c r="S529" t="s">
        <v>10354</v>
      </c>
      <c r="T529" t="s">
        <v>10355</v>
      </c>
      <c r="U529" t="s">
        <v>10356</v>
      </c>
      <c r="V529" t="s">
        <v>10357</v>
      </c>
      <c r="W529" t="s">
        <v>10358</v>
      </c>
      <c r="X529" t="s">
        <v>10359</v>
      </c>
      <c r="Y529" t="s">
        <v>10360</v>
      </c>
    </row>
    <row r="530" spans="1:25" x14ac:dyDescent="0.3">
      <c r="A530">
        <v>26450</v>
      </c>
      <c r="B530" t="s">
        <v>10361</v>
      </c>
      <c r="C530" t="s">
        <v>10362</v>
      </c>
      <c r="D530" t="s">
        <v>10363</v>
      </c>
      <c r="E530" t="s">
        <v>10364</v>
      </c>
      <c r="F530" t="s">
        <v>10365</v>
      </c>
      <c r="G530" t="s">
        <v>10366</v>
      </c>
      <c r="H530" t="s">
        <v>10367</v>
      </c>
      <c r="I530" t="s">
        <v>10368</v>
      </c>
      <c r="J530" t="s">
        <v>10369</v>
      </c>
      <c r="K530" t="s">
        <v>10370</v>
      </c>
      <c r="L530" t="s">
        <v>10371</v>
      </c>
      <c r="M530" t="s">
        <v>10372</v>
      </c>
      <c r="N530" t="s">
        <v>10373</v>
      </c>
      <c r="O530">
        <f>-799.838240511914 -77.262622317101 -493.823702322294</f>
        <v>-1370.924565151309</v>
      </c>
      <c r="P530">
        <f>-858.972961708042 -103.782622121668 -206.785378810755</f>
        <v>-1169.5409626404651</v>
      </c>
      <c r="Q530">
        <f>-639.420841833846 -44.5066960024276 -286.372968393066</f>
        <v>-970.30050622933959</v>
      </c>
      <c r="R530" t="s">
        <v>10374</v>
      </c>
      <c r="S530" t="s">
        <v>10375</v>
      </c>
      <c r="T530" t="s">
        <v>10376</v>
      </c>
      <c r="U530" t="s">
        <v>10377</v>
      </c>
      <c r="V530" t="s">
        <v>10378</v>
      </c>
      <c r="W530" t="s">
        <v>10379</v>
      </c>
      <c r="X530" t="s">
        <v>10380</v>
      </c>
      <c r="Y530" t="s">
        <v>10381</v>
      </c>
    </row>
    <row r="531" spans="1:25" x14ac:dyDescent="0.3">
      <c r="A531">
        <v>26500</v>
      </c>
      <c r="B531" t="s">
        <v>10382</v>
      </c>
      <c r="C531" t="s">
        <v>10383</v>
      </c>
      <c r="D531" t="s">
        <v>10384</v>
      </c>
      <c r="E531" t="s">
        <v>10385</v>
      </c>
      <c r="F531" t="s">
        <v>10386</v>
      </c>
      <c r="G531" t="s">
        <v>10387</v>
      </c>
      <c r="H531" t="s">
        <v>10388</v>
      </c>
      <c r="I531" t="s">
        <v>10389</v>
      </c>
      <c r="J531" t="s">
        <v>10390</v>
      </c>
      <c r="K531" t="s">
        <v>10391</v>
      </c>
      <c r="L531" t="s">
        <v>10392</v>
      </c>
      <c r="M531" t="s">
        <v>10393</v>
      </c>
      <c r="N531" t="s">
        <v>10394</v>
      </c>
      <c r="O531">
        <f>-799.246424314381 -76.3435088891283 -493.464721236833</f>
        <v>-1369.0546544403423</v>
      </c>
      <c r="P531">
        <f>-859.56001114419 -102.702902265858 -206.656947097345</f>
        <v>-1168.919860507393</v>
      </c>
      <c r="Q531">
        <f>-639.937533034343 -41.5055814867048 -284.577988453586</f>
        <v>-966.02110297463378</v>
      </c>
      <c r="R531" t="s">
        <v>10395</v>
      </c>
      <c r="S531" t="s">
        <v>10396</v>
      </c>
      <c r="T531" t="s">
        <v>10397</v>
      </c>
      <c r="U531" t="s">
        <v>10398</v>
      </c>
      <c r="V531" t="s">
        <v>10399</v>
      </c>
      <c r="W531" t="s">
        <v>10400</v>
      </c>
      <c r="X531" t="s">
        <v>10401</v>
      </c>
      <c r="Y531" t="s">
        <v>10402</v>
      </c>
    </row>
    <row r="532" spans="1:25" x14ac:dyDescent="0.3">
      <c r="A532">
        <v>26550</v>
      </c>
      <c r="B532" t="s">
        <v>10403</v>
      </c>
      <c r="C532" t="s">
        <v>10404</v>
      </c>
      <c r="D532" t="s">
        <v>10405</v>
      </c>
      <c r="E532" t="s">
        <v>10406</v>
      </c>
      <c r="F532" t="s">
        <v>10407</v>
      </c>
      <c r="G532" t="s">
        <v>10408</v>
      </c>
      <c r="H532" t="s">
        <v>10409</v>
      </c>
      <c r="I532" t="s">
        <v>10410</v>
      </c>
      <c r="J532" t="s">
        <v>10411</v>
      </c>
      <c r="K532" t="s">
        <v>10412</v>
      </c>
      <c r="L532" t="s">
        <v>10413</v>
      </c>
      <c r="M532" t="s">
        <v>10414</v>
      </c>
      <c r="N532" t="s">
        <v>10415</v>
      </c>
      <c r="O532">
        <f>-798.759762888435 -75.9034907007454 -493.202165772768</f>
        <v>-1367.8654193619484</v>
      </c>
      <c r="P532">
        <f>-859.562349547687 -101.716134877672 -206.44795508468</f>
        <v>-1167.726439510039</v>
      </c>
      <c r="Q532">
        <f>-639.828410891651 -40.3252427399059 -283.901354494534</f>
        <v>-964.0550081260908</v>
      </c>
      <c r="R532" t="s">
        <v>10416</v>
      </c>
      <c r="S532" t="s">
        <v>10417</v>
      </c>
      <c r="T532" t="s">
        <v>10418</v>
      </c>
      <c r="U532" t="s">
        <v>10419</v>
      </c>
      <c r="V532" t="s">
        <v>10420</v>
      </c>
      <c r="W532" t="s">
        <v>10421</v>
      </c>
      <c r="X532" t="s">
        <v>10422</v>
      </c>
      <c r="Y532" t="s">
        <v>10423</v>
      </c>
    </row>
    <row r="533" spans="1:25" x14ac:dyDescent="0.3">
      <c r="A533">
        <v>26600</v>
      </c>
      <c r="B533" t="s">
        <v>10424</v>
      </c>
      <c r="C533" t="s">
        <v>10425</v>
      </c>
      <c r="D533" t="s">
        <v>10426</v>
      </c>
      <c r="E533" t="s">
        <v>10427</v>
      </c>
      <c r="F533" t="s">
        <v>10428</v>
      </c>
      <c r="G533" t="s">
        <v>10429</v>
      </c>
      <c r="H533" t="s">
        <v>10430</v>
      </c>
      <c r="I533" t="s">
        <v>10431</v>
      </c>
      <c r="J533" t="s">
        <v>10432</v>
      </c>
      <c r="K533" t="s">
        <v>10433</v>
      </c>
      <c r="L533" t="s">
        <v>10434</v>
      </c>
      <c r="M533" t="s">
        <v>10435</v>
      </c>
      <c r="N533" t="s">
        <v>10436</v>
      </c>
      <c r="O533">
        <f>-797.747069040978 -74.9720201908106 -492.673332765043</f>
        <v>-1365.3924219968317</v>
      </c>
      <c r="P533">
        <f>-859.370170589268 -98.615814417072 -205.907232039275</f>
        <v>-1163.8932170456151</v>
      </c>
      <c r="Q533">
        <f>-638.894490709886 -39.3281149477316 -282.889733650307</f>
        <v>-961.11233930792457</v>
      </c>
      <c r="R533" t="s">
        <v>10437</v>
      </c>
      <c r="S533" t="s">
        <v>10438</v>
      </c>
      <c r="T533" t="s">
        <v>10439</v>
      </c>
      <c r="U533" t="s">
        <v>10440</v>
      </c>
      <c r="V533" t="s">
        <v>10441</v>
      </c>
      <c r="W533" t="s">
        <v>10442</v>
      </c>
      <c r="X533" t="s">
        <v>10443</v>
      </c>
      <c r="Y533" t="s">
        <v>10444</v>
      </c>
    </row>
    <row r="534" spans="1:25" x14ac:dyDescent="0.3">
      <c r="A534">
        <v>26650</v>
      </c>
      <c r="B534" t="s">
        <v>10445</v>
      </c>
      <c r="C534" t="s">
        <v>10446</v>
      </c>
      <c r="D534" t="s">
        <v>10447</v>
      </c>
      <c r="E534" t="s">
        <v>10448</v>
      </c>
      <c r="F534" t="s">
        <v>10449</v>
      </c>
      <c r="G534" t="s">
        <v>10450</v>
      </c>
      <c r="H534" t="s">
        <v>10451</v>
      </c>
      <c r="I534" t="s">
        <v>10452</v>
      </c>
      <c r="J534" t="s">
        <v>10453</v>
      </c>
      <c r="K534" t="s">
        <v>10454</v>
      </c>
      <c r="L534" t="s">
        <v>10455</v>
      </c>
      <c r="M534" t="s">
        <v>10456</v>
      </c>
      <c r="N534" t="s">
        <v>10457</v>
      </c>
      <c r="O534">
        <f>-797.221766754631 -74.6308882304911 -492.413989818118</f>
        <v>-1364.2666448032401</v>
      </c>
      <c r="P534">
        <f>-859.116868100656 -97.6565681030477 -205.65616226503</f>
        <v>-1162.4295984687337</v>
      </c>
      <c r="Q534">
        <f>-638.171366108217 -39.887113421478 -282.445619307328</f>
        <v>-960.50409883702298</v>
      </c>
      <c r="R534" t="s">
        <v>10458</v>
      </c>
      <c r="S534" t="s">
        <v>10459</v>
      </c>
      <c r="T534" t="s">
        <v>10460</v>
      </c>
      <c r="U534" t="s">
        <v>10461</v>
      </c>
      <c r="V534" t="s">
        <v>10462</v>
      </c>
      <c r="W534" t="s">
        <v>10463</v>
      </c>
      <c r="X534" t="s">
        <v>10464</v>
      </c>
      <c r="Y534" t="s">
        <v>10465</v>
      </c>
    </row>
    <row r="535" spans="1:25" x14ac:dyDescent="0.3">
      <c r="A535">
        <v>26700</v>
      </c>
      <c r="B535" t="s">
        <v>10466</v>
      </c>
      <c r="C535" t="s">
        <v>10467</v>
      </c>
      <c r="D535" t="s">
        <v>10468</v>
      </c>
      <c r="E535" t="s">
        <v>10469</v>
      </c>
      <c r="F535" t="s">
        <v>10470</v>
      </c>
      <c r="G535" t="s">
        <v>10471</v>
      </c>
      <c r="H535" t="s">
        <v>10472</v>
      </c>
      <c r="I535" t="s">
        <v>10473</v>
      </c>
      <c r="J535" t="s">
        <v>10474</v>
      </c>
      <c r="K535" t="s">
        <v>10475</v>
      </c>
      <c r="L535" t="s">
        <v>10476</v>
      </c>
      <c r="M535" t="s">
        <v>10477</v>
      </c>
      <c r="N535" t="s">
        <v>10478</v>
      </c>
      <c r="O535">
        <f>-796.24160216547 -73.8194932098429 -492.011578327898</f>
        <v>-1362.072673703211</v>
      </c>
      <c r="P535">
        <f>-858.595846739229 -96.3824987001242 -205.316568255561</f>
        <v>-1160.2949136949142</v>
      </c>
      <c r="Q535">
        <f>-636.512272124615 -41.6657508229405 -281.052278206789</f>
        <v>-959.23030115434449</v>
      </c>
      <c r="R535" t="s">
        <v>10479</v>
      </c>
      <c r="S535" t="s">
        <v>10480</v>
      </c>
      <c r="T535" t="s">
        <v>10481</v>
      </c>
      <c r="U535" t="s">
        <v>10482</v>
      </c>
      <c r="V535" t="s">
        <v>10483</v>
      </c>
      <c r="W535" t="s">
        <v>10484</v>
      </c>
      <c r="X535" t="s">
        <v>10485</v>
      </c>
      <c r="Y535" t="s">
        <v>10486</v>
      </c>
    </row>
    <row r="536" spans="1:25" x14ac:dyDescent="0.3">
      <c r="A536">
        <v>26750</v>
      </c>
      <c r="B536" t="s">
        <v>10487</v>
      </c>
      <c r="C536" t="s">
        <v>10488</v>
      </c>
      <c r="D536" t="s">
        <v>10489</v>
      </c>
      <c r="E536" t="s">
        <v>10490</v>
      </c>
      <c r="F536" t="s">
        <v>10491</v>
      </c>
      <c r="G536" t="s">
        <v>10492</v>
      </c>
      <c r="H536" t="s">
        <v>10493</v>
      </c>
      <c r="I536" t="s">
        <v>10494</v>
      </c>
      <c r="J536" t="s">
        <v>10495</v>
      </c>
      <c r="K536" t="s">
        <v>10496</v>
      </c>
      <c r="L536" t="s">
        <v>10497</v>
      </c>
      <c r="M536" t="s">
        <v>10498</v>
      </c>
      <c r="N536" t="s">
        <v>10499</v>
      </c>
      <c r="O536">
        <f>-795.649678379781 -73.3082948591746 -491.802700213848</f>
        <v>-1360.7606734528035</v>
      </c>
      <c r="P536">
        <f>-858.405021139436 -95.936962381749 -205.20032432926</f>
        <v>-1159.542307850445</v>
      </c>
      <c r="Q536">
        <f>-635.839807037929 -42.4293388148462 -280.383672388565</f>
        <v>-958.65281824134013</v>
      </c>
      <c r="R536" t="s">
        <v>10500</v>
      </c>
      <c r="S536" t="s">
        <v>10501</v>
      </c>
      <c r="T536" t="s">
        <v>10502</v>
      </c>
      <c r="U536" t="s">
        <v>10503</v>
      </c>
      <c r="V536" t="s">
        <v>10504</v>
      </c>
      <c r="W536" t="s">
        <v>10505</v>
      </c>
      <c r="X536" t="s">
        <v>10506</v>
      </c>
      <c r="Y536" t="s">
        <v>10507</v>
      </c>
    </row>
    <row r="537" spans="1:25" x14ac:dyDescent="0.3">
      <c r="A537">
        <v>26800</v>
      </c>
      <c r="B537" t="s">
        <v>10508</v>
      </c>
      <c r="C537" t="s">
        <v>10509</v>
      </c>
      <c r="D537" t="s">
        <v>10510</v>
      </c>
      <c r="E537" t="s">
        <v>10511</v>
      </c>
      <c r="F537" t="s">
        <v>10512</v>
      </c>
      <c r="G537" t="s">
        <v>10513</v>
      </c>
      <c r="H537" t="s">
        <v>10514</v>
      </c>
      <c r="I537" t="s">
        <v>10515</v>
      </c>
      <c r="J537" t="s">
        <v>10516</v>
      </c>
      <c r="K537" t="s">
        <v>10517</v>
      </c>
      <c r="L537" t="s">
        <v>10518</v>
      </c>
      <c r="M537" t="s">
        <v>10519</v>
      </c>
      <c r="N537" t="s">
        <v>10520</v>
      </c>
      <c r="O537">
        <f>-794.508959983493 -72.1987225295748 -491.355508529686</f>
        <v>-1358.0631910427537</v>
      </c>
      <c r="P537">
        <f>-858.567292197329 -94.2313564717454 -204.994983987508</f>
        <v>-1157.7936326565823</v>
      </c>
      <c r="Q537">
        <f>-635.097348063736 -42.7948637862969 -278.930120045063</f>
        <v>-956.82233189509589</v>
      </c>
      <c r="R537" t="s">
        <v>10521</v>
      </c>
      <c r="S537" t="s">
        <v>10522</v>
      </c>
      <c r="T537" t="s">
        <v>10523</v>
      </c>
      <c r="U537" t="s">
        <v>10524</v>
      </c>
      <c r="V537" t="s">
        <v>10525</v>
      </c>
      <c r="W537" t="s">
        <v>10526</v>
      </c>
      <c r="X537" t="s">
        <v>10527</v>
      </c>
      <c r="Y537" t="s">
        <v>10528</v>
      </c>
    </row>
    <row r="538" spans="1:25" x14ac:dyDescent="0.3">
      <c r="A538">
        <v>26850</v>
      </c>
      <c r="B538" t="s">
        <v>10529</v>
      </c>
      <c r="C538" t="s">
        <v>10530</v>
      </c>
      <c r="D538" t="s">
        <v>10531</v>
      </c>
      <c r="E538" t="s">
        <v>10532</v>
      </c>
      <c r="F538" t="s">
        <v>10533</v>
      </c>
      <c r="G538" t="s">
        <v>10534</v>
      </c>
      <c r="H538" t="s">
        <v>10535</v>
      </c>
      <c r="I538" t="s">
        <v>10536</v>
      </c>
      <c r="J538" t="s">
        <v>10537</v>
      </c>
      <c r="K538" t="s">
        <v>10538</v>
      </c>
      <c r="L538" t="s">
        <v>10539</v>
      </c>
      <c r="M538" t="s">
        <v>10540</v>
      </c>
      <c r="N538" t="s">
        <v>10541</v>
      </c>
      <c r="O538">
        <f>-794.006579169219 -71.8527987296509 -491.075932643691</f>
        <v>-1356.9353105425607</v>
      </c>
      <c r="P538">
        <f>-858.831836188179 -93.179791649852 -204.834737224602</f>
        <v>-1156.8463650626331</v>
      </c>
      <c r="Q538">
        <f>-634.953602654005 -42.7658264323304 -278.237097683645</f>
        <v>-955.95652676998043</v>
      </c>
      <c r="R538" t="s">
        <v>10542</v>
      </c>
      <c r="S538" t="s">
        <v>10543</v>
      </c>
      <c r="T538" t="s">
        <v>10544</v>
      </c>
      <c r="U538" t="s">
        <v>10545</v>
      </c>
      <c r="V538" t="s">
        <v>10546</v>
      </c>
      <c r="W538" t="s">
        <v>10547</v>
      </c>
      <c r="X538" t="s">
        <v>10548</v>
      </c>
      <c r="Y538" t="s">
        <v>10549</v>
      </c>
    </row>
    <row r="539" spans="1:25" x14ac:dyDescent="0.3">
      <c r="A539">
        <v>26900</v>
      </c>
      <c r="B539" t="s">
        <v>10550</v>
      </c>
      <c r="C539" t="s">
        <v>10551</v>
      </c>
      <c r="D539" t="s">
        <v>10552</v>
      </c>
      <c r="E539" t="s">
        <v>10553</v>
      </c>
      <c r="F539" t="s">
        <v>10554</v>
      </c>
      <c r="G539" t="s">
        <v>10555</v>
      </c>
      <c r="H539" t="s">
        <v>10556</v>
      </c>
      <c r="I539" t="s">
        <v>10557</v>
      </c>
      <c r="J539" t="s">
        <v>10558</v>
      </c>
      <c r="K539" t="s">
        <v>10559</v>
      </c>
      <c r="L539" t="s">
        <v>10560</v>
      </c>
      <c r="M539" t="s">
        <v>10561</v>
      </c>
      <c r="N539" t="s">
        <v>10562</v>
      </c>
      <c r="O539">
        <f>-792.94490099773 -71.5792670355654 -490.314656164145</f>
        <v>-1354.8388241974403</v>
      </c>
      <c r="P539">
        <f>-858.83980732486 -91.3330432202383 -204.204735352436</f>
        <v>-1154.3775858975343</v>
      </c>
      <c r="Q539">
        <f>-634.422890147893 -42.4064549625321 -276.964896336536</f>
        <v>-953.794241446961</v>
      </c>
      <c r="R539" t="s">
        <v>10563</v>
      </c>
      <c r="S539" t="s">
        <v>10564</v>
      </c>
      <c r="T539" t="s">
        <v>10565</v>
      </c>
      <c r="U539" t="s">
        <v>10566</v>
      </c>
      <c r="V539" t="s">
        <v>10567</v>
      </c>
      <c r="W539" t="s">
        <v>10568</v>
      </c>
      <c r="X539" t="s">
        <v>10569</v>
      </c>
      <c r="Y539" t="s">
        <v>10570</v>
      </c>
    </row>
    <row r="540" spans="1:25" x14ac:dyDescent="0.3">
      <c r="A540">
        <v>26950</v>
      </c>
      <c r="B540" t="s">
        <v>10571</v>
      </c>
      <c r="C540" t="s">
        <v>10572</v>
      </c>
      <c r="D540" t="s">
        <v>10573</v>
      </c>
      <c r="E540" t="s">
        <v>10574</v>
      </c>
      <c r="F540" t="s">
        <v>10575</v>
      </c>
      <c r="G540" t="s">
        <v>10576</v>
      </c>
      <c r="H540" t="s">
        <v>10577</v>
      </c>
      <c r="I540" t="s">
        <v>10578</v>
      </c>
      <c r="J540" t="s">
        <v>10579</v>
      </c>
      <c r="K540" t="s">
        <v>10580</v>
      </c>
      <c r="L540" t="s">
        <v>10581</v>
      </c>
      <c r="M540" t="s">
        <v>10582</v>
      </c>
      <c r="N540" t="s">
        <v>10583</v>
      </c>
      <c r="O540">
        <f>-792.411007453532 -71.3695405192129 -489.931690535493</f>
        <v>-1353.712238508238</v>
      </c>
      <c r="P540">
        <f>-858.618610241775 -90.3868374758406 -203.844095061099</f>
        <v>-1152.8495427787145</v>
      </c>
      <c r="Q540">
        <f>-634.091217697803 -41.7160397426355 -276.434850273385</f>
        <v>-952.24210771382354</v>
      </c>
      <c r="R540" t="s">
        <v>10584</v>
      </c>
      <c r="S540" t="s">
        <v>10585</v>
      </c>
      <c r="T540" t="s">
        <v>10586</v>
      </c>
      <c r="U540" t="s">
        <v>10587</v>
      </c>
      <c r="V540" t="s">
        <v>10588</v>
      </c>
      <c r="W540" t="s">
        <v>10589</v>
      </c>
      <c r="X540" t="s">
        <v>10590</v>
      </c>
      <c r="Y540" t="s">
        <v>10591</v>
      </c>
    </row>
    <row r="541" spans="1:25" x14ac:dyDescent="0.3">
      <c r="A541">
        <v>27000</v>
      </c>
      <c r="B541" t="s">
        <v>10592</v>
      </c>
      <c r="C541" t="s">
        <v>10593</v>
      </c>
      <c r="D541" t="s">
        <v>10594</v>
      </c>
      <c r="E541" t="s">
        <v>10595</v>
      </c>
      <c r="F541" t="s">
        <v>10596</v>
      </c>
      <c r="G541" t="s">
        <v>10597</v>
      </c>
      <c r="H541" t="s">
        <v>10598</v>
      </c>
      <c r="I541" t="s">
        <v>10599</v>
      </c>
      <c r="J541" t="s">
        <v>10600</v>
      </c>
      <c r="K541" t="s">
        <v>10601</v>
      </c>
      <c r="L541" t="s">
        <v>10602</v>
      </c>
      <c r="M541" t="s">
        <v>10603</v>
      </c>
      <c r="N541" t="s">
        <v>10604</v>
      </c>
      <c r="O541">
        <f>-791.660231710895 -71.2172626942915 -489.066664947804</f>
        <v>-1351.9441593529905</v>
      </c>
      <c r="P541">
        <f>-858.343610010633 -89.0783793501876 -203.014983658831</f>
        <v>-1150.4369730196515</v>
      </c>
      <c r="Q541">
        <f>-633.773773050157 -40.6155875645193 -275.614117854064</f>
        <v>-950.00347846874024</v>
      </c>
      <c r="R541" t="s">
        <v>10605</v>
      </c>
      <c r="S541" t="s">
        <v>10606</v>
      </c>
      <c r="T541" t="s">
        <v>10607</v>
      </c>
      <c r="U541" t="s">
        <v>10608</v>
      </c>
      <c r="V541" t="s">
        <v>10609</v>
      </c>
      <c r="W541" t="s">
        <v>10610</v>
      </c>
      <c r="X541" t="s">
        <v>10611</v>
      </c>
      <c r="Y541" t="s">
        <v>10612</v>
      </c>
    </row>
    <row r="542" spans="1:25" x14ac:dyDescent="0.3">
      <c r="A542">
        <v>27050</v>
      </c>
      <c r="B542" t="s">
        <v>10613</v>
      </c>
      <c r="C542" t="s">
        <v>10614</v>
      </c>
      <c r="D542" t="s">
        <v>10615</v>
      </c>
      <c r="E542" t="s">
        <v>10616</v>
      </c>
      <c r="F542" t="s">
        <v>10617</v>
      </c>
      <c r="G542" t="s">
        <v>10618</v>
      </c>
      <c r="H542" t="s">
        <v>10619</v>
      </c>
      <c r="I542" t="s">
        <v>10620</v>
      </c>
      <c r="J542" t="s">
        <v>10621</v>
      </c>
      <c r="K542" t="s">
        <v>10622</v>
      </c>
      <c r="L542" t="s">
        <v>10623</v>
      </c>
      <c r="M542" t="s">
        <v>10624</v>
      </c>
      <c r="N542" t="s">
        <v>10625</v>
      </c>
      <c r="O542">
        <f>-791.361926696906 -71.0298831975281 -488.643154631039</f>
        <v>-1351.0349645254732</v>
      </c>
      <c r="P542">
        <f>-858.178934152161 -88.4233379954894 -202.593822143449</f>
        <v>-1149.1960942910994</v>
      </c>
      <c r="Q542">
        <f>-633.645186463913 -39.9135619393132 -275.272993119982</f>
        <v>-948.83174152320817</v>
      </c>
      <c r="R542" t="s">
        <v>10626</v>
      </c>
      <c r="S542" t="s">
        <v>10627</v>
      </c>
      <c r="T542" t="s">
        <v>10628</v>
      </c>
      <c r="U542" t="s">
        <v>10629</v>
      </c>
      <c r="V542" t="s">
        <v>10630</v>
      </c>
      <c r="W542" t="s">
        <v>10631</v>
      </c>
      <c r="X542" t="s">
        <v>10632</v>
      </c>
      <c r="Y542" t="s">
        <v>10633</v>
      </c>
    </row>
    <row r="543" spans="1:25" x14ac:dyDescent="0.3">
      <c r="A543">
        <v>27100</v>
      </c>
      <c r="B543" t="s">
        <v>10634</v>
      </c>
      <c r="C543" t="s">
        <v>10635</v>
      </c>
      <c r="D543" t="s">
        <v>10636</v>
      </c>
      <c r="E543" t="s">
        <v>10637</v>
      </c>
      <c r="F543" t="s">
        <v>10638</v>
      </c>
      <c r="G543" t="s">
        <v>10639</v>
      </c>
      <c r="H543" t="s">
        <v>10640</v>
      </c>
      <c r="I543" t="s">
        <v>10641</v>
      </c>
      <c r="J543" t="s">
        <v>10642</v>
      </c>
      <c r="K543" t="s">
        <v>10643</v>
      </c>
      <c r="L543" t="s">
        <v>10644</v>
      </c>
      <c r="M543" t="s">
        <v>10645</v>
      </c>
      <c r="N543" t="s">
        <v>10646</v>
      </c>
      <c r="O543">
        <f>-791.095219411117 -70.5668740801 -488.088792583458</f>
        <v>-1349.750886074675</v>
      </c>
      <c r="P543">
        <f>-857.923972403634 -87.4640128207718 -202.01255660044</f>
        <v>-1147.4005418248457</v>
      </c>
      <c r="Q543">
        <f>-633.553383685179 -38.7137651186329 -275.034004086361</f>
        <v>-947.30115289017294</v>
      </c>
      <c r="R543" t="s">
        <v>10647</v>
      </c>
      <c r="S543" t="s">
        <v>10648</v>
      </c>
      <c r="T543" t="s">
        <v>10649</v>
      </c>
      <c r="U543" t="s">
        <v>10650</v>
      </c>
      <c r="V543" t="s">
        <v>10651</v>
      </c>
      <c r="W543" t="s">
        <v>10652</v>
      </c>
      <c r="X543" t="s">
        <v>10653</v>
      </c>
      <c r="Y543" t="s">
        <v>10654</v>
      </c>
    </row>
    <row r="544" spans="1:25" x14ac:dyDescent="0.3">
      <c r="A544">
        <v>27150</v>
      </c>
      <c r="B544" t="s">
        <v>10655</v>
      </c>
      <c r="C544" t="s">
        <v>10656</v>
      </c>
      <c r="D544" t="s">
        <v>10657</v>
      </c>
      <c r="E544" t="s">
        <v>10658</v>
      </c>
      <c r="F544" t="s">
        <v>10659</v>
      </c>
      <c r="G544" t="s">
        <v>10660</v>
      </c>
      <c r="H544" t="s">
        <v>10661</v>
      </c>
      <c r="I544" t="s">
        <v>10662</v>
      </c>
      <c r="J544" t="s">
        <v>10663</v>
      </c>
      <c r="K544" t="s">
        <v>10664</v>
      </c>
      <c r="L544" t="s">
        <v>10665</v>
      </c>
      <c r="M544" t="s">
        <v>10666</v>
      </c>
      <c r="N544" t="s">
        <v>10667</v>
      </c>
      <c r="O544">
        <f>-791.008797147878 -70.4154705697401 -487.910892753679</f>
        <v>-1349.3351604712971</v>
      </c>
      <c r="P544">
        <f>-857.786008096607 -87.1522997718828 -201.813124888094</f>
        <v>-1146.7514327565839</v>
      </c>
      <c r="Q544">
        <f>-633.553456362109 -38.2134957911555 -275.132107578572</f>
        <v>-946.89905973183659</v>
      </c>
      <c r="R544" t="s">
        <v>10668</v>
      </c>
      <c r="S544" t="s">
        <v>10669</v>
      </c>
      <c r="T544" t="s">
        <v>10670</v>
      </c>
      <c r="U544" t="s">
        <v>10671</v>
      </c>
      <c r="V544" t="s">
        <v>10672</v>
      </c>
      <c r="W544" t="s">
        <v>10673</v>
      </c>
      <c r="X544" t="s">
        <v>10674</v>
      </c>
      <c r="Y544" t="s">
        <v>10675</v>
      </c>
    </row>
    <row r="545" spans="1:25" x14ac:dyDescent="0.3">
      <c r="A545">
        <v>27200</v>
      </c>
      <c r="B545" t="s">
        <v>10676</v>
      </c>
      <c r="C545" t="s">
        <v>10677</v>
      </c>
      <c r="D545" t="s">
        <v>10678</v>
      </c>
      <c r="E545" t="s">
        <v>10679</v>
      </c>
      <c r="F545" t="s">
        <v>10680</v>
      </c>
      <c r="G545" t="s">
        <v>10681</v>
      </c>
      <c r="H545" t="s">
        <v>10682</v>
      </c>
      <c r="I545" t="s">
        <v>10683</v>
      </c>
      <c r="J545" t="s">
        <v>10684</v>
      </c>
      <c r="K545" t="s">
        <v>10685</v>
      </c>
      <c r="L545" t="s">
        <v>10686</v>
      </c>
      <c r="M545" t="s">
        <v>10687</v>
      </c>
      <c r="N545" t="s">
        <v>10688</v>
      </c>
      <c r="O545">
        <f>-791.056195633726 -69.9477375337758 -487.609337334639</f>
        <v>-1348.6132705021409</v>
      </c>
      <c r="P545">
        <f>-857.674865751773 -86.5034316815525 -201.464228220783</f>
        <v>-1145.6425256541086</v>
      </c>
      <c r="Q545">
        <f>-633.70652535616 -37.0023017546082 -275.211430587646</f>
        <v>-945.92025769841416</v>
      </c>
      <c r="R545" t="s">
        <v>10689</v>
      </c>
      <c r="S545" t="s">
        <v>10690</v>
      </c>
      <c r="T545" t="s">
        <v>10691</v>
      </c>
      <c r="U545" t="s">
        <v>10692</v>
      </c>
      <c r="V545" t="s">
        <v>10693</v>
      </c>
      <c r="W545" t="s">
        <v>10694</v>
      </c>
      <c r="X545" t="s">
        <v>10695</v>
      </c>
      <c r="Y545" t="s">
        <v>10696</v>
      </c>
    </row>
    <row r="546" spans="1:25" x14ac:dyDescent="0.3">
      <c r="A546">
        <v>27250</v>
      </c>
      <c r="B546" t="s">
        <v>10697</v>
      </c>
      <c r="C546" t="s">
        <v>10698</v>
      </c>
      <c r="D546" t="s">
        <v>10699</v>
      </c>
      <c r="E546" t="s">
        <v>10700</v>
      </c>
      <c r="F546" t="s">
        <v>10701</v>
      </c>
      <c r="G546" t="s">
        <v>10702</v>
      </c>
      <c r="H546" t="s">
        <v>10703</v>
      </c>
      <c r="I546" t="s">
        <v>10704</v>
      </c>
      <c r="J546" t="s">
        <v>10705</v>
      </c>
      <c r="K546" t="s">
        <v>10706</v>
      </c>
      <c r="L546" t="s">
        <v>10707</v>
      </c>
      <c r="M546" t="s">
        <v>10708</v>
      </c>
      <c r="N546" t="s">
        <v>10709</v>
      </c>
      <c r="O546">
        <f>-791.12230107304 -69.7977631740075 -487.407012659621</f>
        <v>-1348.3270769066685</v>
      </c>
      <c r="P546">
        <f>-857.638635331915 -86.1656481576049 -201.227178663056</f>
        <v>-1145.0314621525758</v>
      </c>
      <c r="Q546">
        <f>-633.72375351343 -36.4085190099638 -274.964956089122</f>
        <v>-945.09722861251578</v>
      </c>
      <c r="R546" t="s">
        <v>10710</v>
      </c>
      <c r="S546" t="s">
        <v>10711</v>
      </c>
      <c r="T546" t="s">
        <v>10712</v>
      </c>
      <c r="U546" t="s">
        <v>10713</v>
      </c>
      <c r="V546" t="s">
        <v>10714</v>
      </c>
      <c r="W546" t="s">
        <v>10715</v>
      </c>
      <c r="X546" t="s">
        <v>10716</v>
      </c>
      <c r="Y546" t="s">
        <v>10717</v>
      </c>
    </row>
    <row r="547" spans="1:25" x14ac:dyDescent="0.3">
      <c r="A547">
        <v>27300</v>
      </c>
      <c r="B547" t="s">
        <v>10718</v>
      </c>
      <c r="C547" t="s">
        <v>10719</v>
      </c>
      <c r="D547" t="s">
        <v>10720</v>
      </c>
      <c r="E547" t="s">
        <v>10721</v>
      </c>
      <c r="F547" t="s">
        <v>10722</v>
      </c>
      <c r="G547" t="s">
        <v>10723</v>
      </c>
      <c r="H547" t="s">
        <v>10724</v>
      </c>
      <c r="I547" t="s">
        <v>10725</v>
      </c>
      <c r="J547" t="s">
        <v>10726</v>
      </c>
      <c r="K547" t="s">
        <v>10727</v>
      </c>
      <c r="L547" t="s">
        <v>10728</v>
      </c>
      <c r="M547" t="s">
        <v>10729</v>
      </c>
      <c r="N547" t="s">
        <v>10730</v>
      </c>
      <c r="O547">
        <f>-791.592246709966 -69.4969629429197 -486.905422540079</f>
        <v>-1347.9946321929647</v>
      </c>
      <c r="P547">
        <f>-857.96034397576 -85.3539978955594 -200.66235535931</f>
        <v>-1143.9766972306293</v>
      </c>
      <c r="Q547">
        <f>-634.094012741617 -35.4914837001738 -274.47627258291</f>
        <v>-944.06176902470088</v>
      </c>
      <c r="R547" t="s">
        <v>10731</v>
      </c>
      <c r="S547" t="s">
        <v>10732</v>
      </c>
      <c r="T547" t="s">
        <v>10733</v>
      </c>
      <c r="U547" t="s">
        <v>10734</v>
      </c>
      <c r="V547" t="s">
        <v>10735</v>
      </c>
      <c r="W547" t="s">
        <v>10736</v>
      </c>
      <c r="X547" t="s">
        <v>10737</v>
      </c>
      <c r="Y547" t="s">
        <v>10738</v>
      </c>
    </row>
    <row r="548" spans="1:25" x14ac:dyDescent="0.3">
      <c r="A548">
        <v>27350</v>
      </c>
      <c r="B548" t="s">
        <v>10739</v>
      </c>
      <c r="C548" t="s">
        <v>10740</v>
      </c>
      <c r="D548" t="s">
        <v>10741</v>
      </c>
      <c r="E548" t="s">
        <v>10742</v>
      </c>
      <c r="F548" t="s">
        <v>10743</v>
      </c>
      <c r="G548" t="s">
        <v>10744</v>
      </c>
      <c r="H548" t="s">
        <v>10745</v>
      </c>
      <c r="I548" t="s">
        <v>10746</v>
      </c>
      <c r="J548" t="s">
        <v>10747</v>
      </c>
      <c r="K548" t="s">
        <v>10748</v>
      </c>
      <c r="L548" t="s">
        <v>10749</v>
      </c>
      <c r="M548" t="s">
        <v>10750</v>
      </c>
      <c r="N548" t="s">
        <v>10751</v>
      </c>
      <c r="O548">
        <f>-791.997934468419 -69.3155952987481 -486.613191549464</f>
        <v>-1347.9267213166311</v>
      </c>
      <c r="P548">
        <f>-858.197168861701 -84.7742021814943 -200.309265957655</f>
        <v>-1143.2806370008502</v>
      </c>
      <c r="Q548">
        <f>-634.215172043489 -34.9679975447202 -273.809400981196</f>
        <v>-942.99257056940519</v>
      </c>
      <c r="R548" t="s">
        <v>10752</v>
      </c>
      <c r="S548" t="s">
        <v>10753</v>
      </c>
      <c r="T548" t="s">
        <v>10754</v>
      </c>
      <c r="U548" t="s">
        <v>10755</v>
      </c>
      <c r="V548" t="s">
        <v>10756</v>
      </c>
      <c r="W548" t="s">
        <v>10757</v>
      </c>
      <c r="X548" t="s">
        <v>10758</v>
      </c>
      <c r="Y548" t="s">
        <v>10759</v>
      </c>
    </row>
    <row r="549" spans="1:25" x14ac:dyDescent="0.3">
      <c r="A549">
        <v>27400</v>
      </c>
      <c r="B549" t="s">
        <v>10760</v>
      </c>
      <c r="C549" t="s">
        <v>10761</v>
      </c>
      <c r="D549" t="s">
        <v>10762</v>
      </c>
      <c r="E549" t="s">
        <v>10763</v>
      </c>
      <c r="F549" t="s">
        <v>10764</v>
      </c>
      <c r="G549" t="s">
        <v>10765</v>
      </c>
      <c r="H549" t="s">
        <v>10766</v>
      </c>
      <c r="I549" t="s">
        <v>10767</v>
      </c>
      <c r="J549" t="s">
        <v>10768</v>
      </c>
      <c r="K549" t="s">
        <v>10769</v>
      </c>
      <c r="L549" t="s">
        <v>10770</v>
      </c>
      <c r="M549" t="s">
        <v>10771</v>
      </c>
      <c r="N549" t="s">
        <v>10772</v>
      </c>
      <c r="O549">
        <f>-792.596057250628 -69.1244127281955 -485.972857486095</f>
        <v>-1347.6933274649184</v>
      </c>
      <c r="P549">
        <f>-858.667145738126 -83.5805359912079 -199.587064153373</f>
        <v>-1141.8347458827068</v>
      </c>
      <c r="Q549">
        <f>-634.636725889675 -33.8121676897317 -272.965419826783</f>
        <v>-941.41431340618965</v>
      </c>
      <c r="R549" t="s">
        <v>10773</v>
      </c>
      <c r="S549" t="s">
        <v>10774</v>
      </c>
      <c r="T549" t="s">
        <v>10775</v>
      </c>
      <c r="U549" t="s">
        <v>10776</v>
      </c>
      <c r="V549" t="s">
        <v>10777</v>
      </c>
      <c r="W549" t="s">
        <v>10778</v>
      </c>
      <c r="X549" t="s">
        <v>10779</v>
      </c>
      <c r="Y549" t="s">
        <v>10780</v>
      </c>
    </row>
    <row r="550" spans="1:25" x14ac:dyDescent="0.3">
      <c r="A550">
        <v>27450</v>
      </c>
      <c r="B550" t="s">
        <v>10781</v>
      </c>
      <c r="C550" t="s">
        <v>10782</v>
      </c>
      <c r="D550" t="s">
        <v>10783</v>
      </c>
      <c r="E550" t="s">
        <v>10784</v>
      </c>
      <c r="F550" t="s">
        <v>10785</v>
      </c>
      <c r="G550" t="s">
        <v>10786</v>
      </c>
      <c r="H550" t="s">
        <v>10787</v>
      </c>
      <c r="I550" t="s">
        <v>10788</v>
      </c>
      <c r="J550" t="s">
        <v>10789</v>
      </c>
      <c r="K550" t="s">
        <v>10790</v>
      </c>
      <c r="L550" t="s">
        <v>10791</v>
      </c>
      <c r="M550" t="s">
        <v>10792</v>
      </c>
      <c r="N550" t="s">
        <v>10793</v>
      </c>
      <c r="O550">
        <f>-792.793488314035 -69.1368382683013 -485.687571103173</f>
        <v>-1347.6178976855094</v>
      </c>
      <c r="P550">
        <f>-858.851456752141 -83.1374188320337 -199.275969584258</f>
        <v>-1141.2648451684327</v>
      </c>
      <c r="Q550">
        <f>-634.908991424774 -33.309034848181 -272.882173240402</f>
        <v>-941.10019951335698</v>
      </c>
      <c r="R550" t="s">
        <v>10794</v>
      </c>
      <c r="S550" t="s">
        <v>10795</v>
      </c>
      <c r="T550" t="s">
        <v>10796</v>
      </c>
      <c r="U550" t="s">
        <v>10797</v>
      </c>
      <c r="V550" t="s">
        <v>10798</v>
      </c>
      <c r="W550" t="s">
        <v>10799</v>
      </c>
      <c r="X550" t="s">
        <v>10800</v>
      </c>
      <c r="Y550" t="s">
        <v>10801</v>
      </c>
    </row>
    <row r="551" spans="1:25" x14ac:dyDescent="0.3">
      <c r="A551">
        <v>27500</v>
      </c>
      <c r="B551" t="s">
        <v>10802</v>
      </c>
      <c r="C551" t="s">
        <v>10803</v>
      </c>
      <c r="D551" t="s">
        <v>10804</v>
      </c>
      <c r="E551" t="s">
        <v>10805</v>
      </c>
      <c r="F551" t="s">
        <v>10806</v>
      </c>
      <c r="G551" t="s">
        <v>10807</v>
      </c>
      <c r="H551" t="s">
        <v>10808</v>
      </c>
      <c r="I551" t="s">
        <v>10809</v>
      </c>
      <c r="J551" t="s">
        <v>10810</v>
      </c>
      <c r="K551" t="s">
        <v>10811</v>
      </c>
      <c r="L551" t="s">
        <v>10812</v>
      </c>
      <c r="M551" t="s">
        <v>10813</v>
      </c>
      <c r="N551" t="s">
        <v>10814</v>
      </c>
      <c r="O551">
        <f>-793.580356354847 -68.9569913437522 -485.185271939338</f>
        <v>-1347.7226196379372</v>
      </c>
      <c r="P551">
        <f>-859.025248602603 -82.0899233507585 -198.592071608219</f>
        <v>-1139.7072435615805</v>
      </c>
      <c r="Q551">
        <f>-635.304594577568 -32.2913871990381 -272.888916568046</f>
        <v>-940.48489834465204</v>
      </c>
      <c r="R551" t="s">
        <v>10815</v>
      </c>
      <c r="S551" t="s">
        <v>10816</v>
      </c>
      <c r="T551" t="s">
        <v>10817</v>
      </c>
      <c r="U551" t="s">
        <v>10818</v>
      </c>
      <c r="V551" t="s">
        <v>10819</v>
      </c>
      <c r="W551" t="s">
        <v>10820</v>
      </c>
      <c r="X551" t="s">
        <v>10821</v>
      </c>
      <c r="Y551" t="s">
        <v>10822</v>
      </c>
    </row>
    <row r="552" spans="1:25" x14ac:dyDescent="0.3">
      <c r="A552">
        <v>27550</v>
      </c>
      <c r="B552" t="s">
        <v>10823</v>
      </c>
      <c r="C552" t="s">
        <v>10824</v>
      </c>
      <c r="D552" t="s">
        <v>10825</v>
      </c>
      <c r="E552" t="s">
        <v>10826</v>
      </c>
      <c r="F552" t="s">
        <v>10827</v>
      </c>
      <c r="G552" t="s">
        <v>10828</v>
      </c>
      <c r="H552" t="s">
        <v>10829</v>
      </c>
      <c r="I552" t="s">
        <v>10830</v>
      </c>
      <c r="J552" t="s">
        <v>10831</v>
      </c>
      <c r="K552" t="s">
        <v>10832</v>
      </c>
      <c r="L552" t="s">
        <v>10833</v>
      </c>
      <c r="M552" t="s">
        <v>10834</v>
      </c>
      <c r="N552" t="s">
        <v>10835</v>
      </c>
      <c r="O552">
        <f>-794.068353697205 -68.9176289564355 -484.912844954661</f>
        <v>-1347.8988276083014</v>
      </c>
      <c r="P552">
        <f>-859.049291229196 -81.7594336939972 -198.200744539876</f>
        <v>-1139.0094694630691</v>
      </c>
      <c r="Q552">
        <f>-635.359597075662 -32.0453314784122 -272.64729509643</f>
        <v>-940.05222365050417</v>
      </c>
      <c r="R552" t="s">
        <v>10836</v>
      </c>
      <c r="S552" t="s">
        <v>10837</v>
      </c>
      <c r="T552" t="s">
        <v>10838</v>
      </c>
      <c r="U552" t="s">
        <v>10839</v>
      </c>
      <c r="V552" t="s">
        <v>10840</v>
      </c>
      <c r="W552" t="s">
        <v>10841</v>
      </c>
      <c r="X552" t="s">
        <v>10842</v>
      </c>
      <c r="Y552" t="s">
        <v>10843</v>
      </c>
    </row>
    <row r="553" spans="1:25" x14ac:dyDescent="0.3">
      <c r="A553">
        <v>27600</v>
      </c>
      <c r="B553" t="s">
        <v>10844</v>
      </c>
      <c r="C553" t="s">
        <v>10845</v>
      </c>
      <c r="D553" t="s">
        <v>10846</v>
      </c>
      <c r="E553" t="s">
        <v>10847</v>
      </c>
      <c r="F553" t="s">
        <v>10848</v>
      </c>
      <c r="G553" t="s">
        <v>10849</v>
      </c>
      <c r="H553" t="s">
        <v>10850</v>
      </c>
      <c r="I553" t="s">
        <v>10851</v>
      </c>
      <c r="J553" t="s">
        <v>10852</v>
      </c>
      <c r="K553" t="s">
        <v>10853</v>
      </c>
      <c r="L553" t="s">
        <v>10854</v>
      </c>
      <c r="M553" t="s">
        <v>10855</v>
      </c>
      <c r="N553" t="s">
        <v>10856</v>
      </c>
      <c r="O553">
        <f>-794.714222913613 -69.1555122850834 -484.523424103421</f>
        <v>-1348.3931593021175</v>
      </c>
      <c r="P553">
        <f>-858.663281702578 -81.5754277552296 -197.560901299762</f>
        <v>-1137.7996107575696</v>
      </c>
      <c r="Q553">
        <f>-635.071406424583 -32.1298509740873 -272.478750109774</f>
        <v>-939.68000750844431</v>
      </c>
      <c r="R553" t="s">
        <v>10857</v>
      </c>
      <c r="S553" t="s">
        <v>10858</v>
      </c>
      <c r="T553" t="s">
        <v>10859</v>
      </c>
      <c r="U553" t="s">
        <v>10860</v>
      </c>
      <c r="V553" t="s">
        <v>10861</v>
      </c>
      <c r="W553" t="s">
        <v>10862</v>
      </c>
      <c r="X553" t="s">
        <v>10863</v>
      </c>
      <c r="Y553" t="s">
        <v>10864</v>
      </c>
    </row>
    <row r="554" spans="1:25" x14ac:dyDescent="0.3">
      <c r="A554">
        <v>27650</v>
      </c>
      <c r="B554" t="s">
        <v>10865</v>
      </c>
      <c r="C554" t="s">
        <v>10866</v>
      </c>
      <c r="D554" t="s">
        <v>10867</v>
      </c>
      <c r="E554" t="s">
        <v>10868</v>
      </c>
      <c r="F554" t="s">
        <v>10869</v>
      </c>
      <c r="G554" t="s">
        <v>10870</v>
      </c>
      <c r="H554" t="s">
        <v>10871</v>
      </c>
      <c r="I554" t="s">
        <v>10872</v>
      </c>
      <c r="J554" t="s">
        <v>10873</v>
      </c>
      <c r="K554" t="s">
        <v>10874</v>
      </c>
      <c r="L554" t="s">
        <v>10875</v>
      </c>
      <c r="M554" t="s">
        <v>10876</v>
      </c>
      <c r="N554" t="s">
        <v>10877</v>
      </c>
      <c r="O554">
        <f>-794.804956923145 -69.3697303940687 -484.429863828384</f>
        <v>-1348.6045511455977</v>
      </c>
      <c r="P554">
        <f>-858.417484324457 -81.6536392124972 -197.386752639702</f>
        <v>-1137.4578761766561</v>
      </c>
      <c r="Q554">
        <f>-634.80289725322 -32.3813033387692 -272.350771414135</f>
        <v>-939.53497200612412</v>
      </c>
      <c r="R554" t="s">
        <v>10878</v>
      </c>
      <c r="S554" t="s">
        <v>10879</v>
      </c>
      <c r="T554" t="s">
        <v>10880</v>
      </c>
      <c r="U554" t="s">
        <v>10881</v>
      </c>
      <c r="V554" t="s">
        <v>10882</v>
      </c>
      <c r="W554" t="s">
        <v>10883</v>
      </c>
      <c r="X554" t="s">
        <v>10884</v>
      </c>
      <c r="Y554" t="s">
        <v>10885</v>
      </c>
    </row>
    <row r="555" spans="1:25" x14ac:dyDescent="0.3">
      <c r="A555">
        <v>27700</v>
      </c>
      <c r="B555" t="s">
        <v>10886</v>
      </c>
      <c r="C555" t="s">
        <v>10887</v>
      </c>
      <c r="D555" t="s">
        <v>10888</v>
      </c>
      <c r="E555" t="s">
        <v>10889</v>
      </c>
      <c r="F555" t="s">
        <v>10890</v>
      </c>
      <c r="G555" t="s">
        <v>10891</v>
      </c>
      <c r="H555" t="s">
        <v>10892</v>
      </c>
      <c r="I555" t="s">
        <v>10893</v>
      </c>
      <c r="J555" t="s">
        <v>10894</v>
      </c>
      <c r="K555" t="s">
        <v>10895</v>
      </c>
      <c r="L555" t="s">
        <v>10896</v>
      </c>
      <c r="M555" t="s">
        <v>10897</v>
      </c>
      <c r="N555" t="s">
        <v>10898</v>
      </c>
      <c r="O555">
        <f>-794.523004179559 -69.6573203640294 -484.260786359935</f>
        <v>-1348.4411109035234</v>
      </c>
      <c r="P555">
        <f>-858.068157237793 -81.6583917818959 -197.190646277871</f>
        <v>-1136.9171952975598</v>
      </c>
      <c r="Q555">
        <f>-634.308131986224 -33.4690187963924 -272.423978488442</f>
        <v>-940.20112927105845</v>
      </c>
      <c r="R555" t="s">
        <v>10899</v>
      </c>
      <c r="S555" t="s">
        <v>10900</v>
      </c>
      <c r="T555" t="s">
        <v>10901</v>
      </c>
      <c r="U555" t="s">
        <v>10902</v>
      </c>
      <c r="V555" t="s">
        <v>10903</v>
      </c>
      <c r="W555" t="s">
        <v>10904</v>
      </c>
      <c r="X555" t="s">
        <v>10905</v>
      </c>
      <c r="Y555" t="s">
        <v>10906</v>
      </c>
    </row>
    <row r="556" spans="1:25" x14ac:dyDescent="0.3">
      <c r="A556">
        <v>27750</v>
      </c>
      <c r="B556" t="s">
        <v>10907</v>
      </c>
      <c r="C556" t="s">
        <v>10908</v>
      </c>
      <c r="D556" t="s">
        <v>10909</v>
      </c>
      <c r="E556" t="s">
        <v>10910</v>
      </c>
      <c r="F556" t="s">
        <v>10911</v>
      </c>
      <c r="G556" t="s">
        <v>10912</v>
      </c>
      <c r="H556" t="s">
        <v>10913</v>
      </c>
      <c r="I556" t="s">
        <v>10914</v>
      </c>
      <c r="J556" t="s">
        <v>10915</v>
      </c>
      <c r="K556" t="s">
        <v>10916</v>
      </c>
      <c r="L556" t="s">
        <v>10917</v>
      </c>
      <c r="M556" t="s">
        <v>10918</v>
      </c>
      <c r="N556" t="s">
        <v>10919</v>
      </c>
      <c r="O556">
        <f>-794.567242289501 -69.6913031771651 -484.135496729543</f>
        <v>-1348.3940421962091</v>
      </c>
      <c r="P556">
        <f>-858.231195354801 -81.6060488373394 -197.088115658261</f>
        <v>-1136.9253598504013</v>
      </c>
      <c r="Q556">
        <f>-634.419557417454 -33.8509079336186 -272.445095157923</f>
        <v>-940.71556050899562</v>
      </c>
      <c r="R556" t="s">
        <v>10920</v>
      </c>
      <c r="S556" t="s">
        <v>10921</v>
      </c>
      <c r="T556" t="s">
        <v>10922</v>
      </c>
      <c r="U556" t="s">
        <v>10923</v>
      </c>
      <c r="V556" t="s">
        <v>10924</v>
      </c>
      <c r="W556" t="s">
        <v>10925</v>
      </c>
      <c r="X556" t="s">
        <v>10926</v>
      </c>
      <c r="Y556" t="s">
        <v>10927</v>
      </c>
    </row>
    <row r="557" spans="1:25" x14ac:dyDescent="0.3">
      <c r="A557">
        <v>27800</v>
      </c>
      <c r="B557" t="s">
        <v>10928</v>
      </c>
      <c r="C557" t="s">
        <v>10929</v>
      </c>
      <c r="D557" t="s">
        <v>10930</v>
      </c>
      <c r="E557" t="s">
        <v>10931</v>
      </c>
      <c r="F557" t="s">
        <v>10932</v>
      </c>
      <c r="G557" t="s">
        <v>10933</v>
      </c>
      <c r="H557" t="s">
        <v>10934</v>
      </c>
      <c r="I557" t="s">
        <v>10935</v>
      </c>
      <c r="J557" t="s">
        <v>10936</v>
      </c>
      <c r="K557" t="s">
        <v>10937</v>
      </c>
      <c r="L557" t="s">
        <v>10938</v>
      </c>
      <c r="M557" t="s">
        <v>10939</v>
      </c>
      <c r="N557" t="s">
        <v>10940</v>
      </c>
      <c r="O557">
        <f>-795.520189626657 -69.5617264655216 -483.815425752195</f>
        <v>-1348.8973418443736</v>
      </c>
      <c r="P557">
        <f>-859.340685761379 -80.9834539920478 -196.782796475338</f>
        <v>-1137.1069362287647</v>
      </c>
      <c r="Q557">
        <f>-635.247907167616 -34.4058525280388 -272.041191276984</f>
        <v>-941.69495097263882</v>
      </c>
      <c r="R557" t="s">
        <v>10941</v>
      </c>
      <c r="S557" t="s">
        <v>10942</v>
      </c>
      <c r="T557" t="s">
        <v>10943</v>
      </c>
      <c r="U557" t="s">
        <v>10944</v>
      </c>
      <c r="V557" t="s">
        <v>10945</v>
      </c>
      <c r="W557" t="s">
        <v>10946</v>
      </c>
      <c r="X557" t="s">
        <v>10947</v>
      </c>
      <c r="Y557" t="s">
        <v>10948</v>
      </c>
    </row>
    <row r="558" spans="1:25" x14ac:dyDescent="0.3">
      <c r="A558">
        <v>27850</v>
      </c>
      <c r="B558" t="s">
        <v>10949</v>
      </c>
      <c r="C558" t="s">
        <v>10950</v>
      </c>
      <c r="D558" t="s">
        <v>10951</v>
      </c>
      <c r="E558" t="s">
        <v>10952</v>
      </c>
      <c r="F558" t="s">
        <v>10953</v>
      </c>
      <c r="G558" t="s">
        <v>10954</v>
      </c>
      <c r="H558" t="s">
        <v>10955</v>
      </c>
      <c r="I558" t="s">
        <v>10956</v>
      </c>
      <c r="J558" t="s">
        <v>10957</v>
      </c>
      <c r="K558" t="s">
        <v>10958</v>
      </c>
      <c r="L558" t="s">
        <v>10959</v>
      </c>
      <c r="M558" t="s">
        <v>10960</v>
      </c>
      <c r="N558" t="s">
        <v>10961</v>
      </c>
      <c r="O558">
        <f>-796.034599091777 -69.4061027240507 -483.617123123376</f>
        <v>-1349.0578249392038</v>
      </c>
      <c r="P558">
        <f>-859.987242624149 -80.3183054754602 -196.594147629382</f>
        <v>-1136.8996957289912</v>
      </c>
      <c r="Q558">
        <f>-635.746051485105 -34.3478500991132 -271.78315997196</f>
        <v>-941.87706155617821</v>
      </c>
      <c r="R558" t="s">
        <v>10962</v>
      </c>
      <c r="S558" t="s">
        <v>10963</v>
      </c>
      <c r="T558" t="s">
        <v>10964</v>
      </c>
      <c r="U558" t="s">
        <v>10965</v>
      </c>
      <c r="V558" t="s">
        <v>10966</v>
      </c>
      <c r="W558" t="s">
        <v>10967</v>
      </c>
      <c r="X558" t="s">
        <v>10968</v>
      </c>
      <c r="Y558" t="s">
        <v>10969</v>
      </c>
    </row>
    <row r="559" spans="1:25" x14ac:dyDescent="0.3">
      <c r="A559">
        <v>27900</v>
      </c>
      <c r="B559" t="s">
        <v>10970</v>
      </c>
      <c r="C559" t="s">
        <v>10971</v>
      </c>
      <c r="D559" t="s">
        <v>10972</v>
      </c>
      <c r="E559" t="s">
        <v>10973</v>
      </c>
      <c r="F559" t="s">
        <v>10974</v>
      </c>
      <c r="G559" t="s">
        <v>10975</v>
      </c>
      <c r="H559" t="s">
        <v>10976</v>
      </c>
      <c r="I559" t="s">
        <v>10977</v>
      </c>
      <c r="J559" t="s">
        <v>10978</v>
      </c>
      <c r="K559" t="s">
        <v>10979</v>
      </c>
      <c r="L559" t="s">
        <v>10980</v>
      </c>
      <c r="M559" t="s">
        <v>10981</v>
      </c>
      <c r="N559" t="s">
        <v>10982</v>
      </c>
      <c r="O559">
        <f>-797.221423436014 -68.755608003491 -483.201285929446</f>
        <v>-1349.178317368951</v>
      </c>
      <c r="P559">
        <f>-861.209728148565 -78.7437261075718 -196.152705723603</f>
        <v>-1136.1061599797397</v>
      </c>
      <c r="Q559">
        <f>-636.831807517964 -33.8499773497197 -271.584733160487</f>
        <v>-942.26651802817059</v>
      </c>
      <c r="R559" t="s">
        <v>10983</v>
      </c>
      <c r="S559" t="s">
        <v>10984</v>
      </c>
      <c r="T559" t="s">
        <v>10985</v>
      </c>
      <c r="U559" t="s">
        <v>10986</v>
      </c>
      <c r="V559" t="s">
        <v>10987</v>
      </c>
      <c r="W559" t="s">
        <v>10988</v>
      </c>
      <c r="X559" t="s">
        <v>10989</v>
      </c>
      <c r="Y559" t="s">
        <v>10990</v>
      </c>
    </row>
    <row r="560" spans="1:25" x14ac:dyDescent="0.3">
      <c r="A560">
        <v>27950</v>
      </c>
      <c r="B560" t="s">
        <v>10991</v>
      </c>
      <c r="C560" t="s">
        <v>10992</v>
      </c>
      <c r="D560" t="s">
        <v>10993</v>
      </c>
      <c r="E560" t="s">
        <v>10994</v>
      </c>
      <c r="F560" t="s">
        <v>10995</v>
      </c>
      <c r="G560" t="s">
        <v>10996</v>
      </c>
      <c r="H560" t="s">
        <v>10997</v>
      </c>
      <c r="I560" t="s">
        <v>10998</v>
      </c>
      <c r="J560" t="s">
        <v>10999</v>
      </c>
      <c r="K560" t="s">
        <v>11000</v>
      </c>
      <c r="L560" t="s">
        <v>11001</v>
      </c>
      <c r="M560" t="s">
        <v>11002</v>
      </c>
      <c r="N560" t="s">
        <v>11003</v>
      </c>
      <c r="O560">
        <f>-797.830421693285 -68.3221303181933 -482.989233617754</f>
        <v>-1349.1417856292323</v>
      </c>
      <c r="P560">
        <f>-861.830379364015 -77.857651297034 -195.927836339635</f>
        <v>-1135.6158670006839</v>
      </c>
      <c r="Q560">
        <f>-637.379620741774 -33.8004569109189 -271.635465923923</f>
        <v>-942.81554357661594</v>
      </c>
      <c r="R560" t="s">
        <v>11004</v>
      </c>
      <c r="S560" t="s">
        <v>11005</v>
      </c>
      <c r="T560" t="s">
        <v>11006</v>
      </c>
      <c r="U560" t="s">
        <v>11007</v>
      </c>
      <c r="V560" t="s">
        <v>11008</v>
      </c>
      <c r="W560" t="s">
        <v>11009</v>
      </c>
      <c r="X560" t="s">
        <v>11010</v>
      </c>
      <c r="Y560" t="s">
        <v>11011</v>
      </c>
    </row>
    <row r="561" spans="1:25" x14ac:dyDescent="0.3">
      <c r="A561">
        <v>28000</v>
      </c>
      <c r="B561" t="s">
        <v>11012</v>
      </c>
      <c r="C561" t="s">
        <v>11013</v>
      </c>
      <c r="D561" t="s">
        <v>11014</v>
      </c>
      <c r="E561" t="s">
        <v>11015</v>
      </c>
      <c r="F561" t="s">
        <v>11016</v>
      </c>
      <c r="G561" t="s">
        <v>11017</v>
      </c>
      <c r="H561" t="s">
        <v>11018</v>
      </c>
      <c r="I561" t="s">
        <v>11019</v>
      </c>
      <c r="J561" t="s">
        <v>11020</v>
      </c>
      <c r="K561" t="s">
        <v>11021</v>
      </c>
      <c r="L561" t="s">
        <v>11022</v>
      </c>
      <c r="M561" t="s">
        <v>11023</v>
      </c>
      <c r="N561" t="s">
        <v>11024</v>
      </c>
      <c r="O561">
        <f>-799.057535300219 -67.5847225242892 -482.75029558806</f>
        <v>-1349.3925534125683</v>
      </c>
      <c r="P561">
        <f>-863.027008838868 -76.5007272753205 -195.662079489765</f>
        <v>-1135.1898156039535</v>
      </c>
      <c r="Q561">
        <f>-638.348246919085 -34.470535295744 -271.844530054902</f>
        <v>-944.66331226973102</v>
      </c>
      <c r="R561" t="s">
        <v>11025</v>
      </c>
      <c r="S561" t="s">
        <v>11026</v>
      </c>
      <c r="T561" t="s">
        <v>11027</v>
      </c>
      <c r="U561" t="s">
        <v>11028</v>
      </c>
      <c r="V561" t="s">
        <v>11029</v>
      </c>
      <c r="W561" t="s">
        <v>11030</v>
      </c>
      <c r="X561" t="s">
        <v>11031</v>
      </c>
      <c r="Y561" t="s">
        <v>11032</v>
      </c>
    </row>
    <row r="562" spans="1:25" x14ac:dyDescent="0.3">
      <c r="A562">
        <v>28050</v>
      </c>
      <c r="B562" t="s">
        <v>11033</v>
      </c>
      <c r="C562" t="s">
        <v>11034</v>
      </c>
      <c r="D562" t="s">
        <v>11035</v>
      </c>
      <c r="E562" t="s">
        <v>11036</v>
      </c>
      <c r="F562" t="s">
        <v>11037</v>
      </c>
      <c r="G562" t="s">
        <v>11038</v>
      </c>
      <c r="H562" t="s">
        <v>11039</v>
      </c>
      <c r="I562" t="s">
        <v>11040</v>
      </c>
      <c r="J562" t="s">
        <v>11041</v>
      </c>
      <c r="K562" t="s">
        <v>11042</v>
      </c>
      <c r="L562" t="s">
        <v>11043</v>
      </c>
      <c r="M562" t="s">
        <v>11044</v>
      </c>
      <c r="N562" t="s">
        <v>11045</v>
      </c>
      <c r="O562">
        <f>-799.676475219052 -67.4114428827859 -482.702964048274</f>
        <v>-1349.7908821501119</v>
      </c>
      <c r="P562">
        <f>-863.465214305455 -76.2154872042127 -195.571136380788</f>
        <v>-1135.2518378904556</v>
      </c>
      <c r="Q562">
        <f>-638.629979386895 -35.1776660807732 -271.832940010674</f>
        <v>-945.64058547834225</v>
      </c>
      <c r="R562" t="s">
        <v>11046</v>
      </c>
      <c r="S562" t="s">
        <v>11047</v>
      </c>
      <c r="T562" t="s">
        <v>11048</v>
      </c>
      <c r="U562" t="s">
        <v>11049</v>
      </c>
      <c r="V562" t="s">
        <v>11050</v>
      </c>
      <c r="W562" t="s">
        <v>11051</v>
      </c>
      <c r="X562" t="s">
        <v>11052</v>
      </c>
      <c r="Y562" t="s">
        <v>11053</v>
      </c>
    </row>
    <row r="563" spans="1:25" x14ac:dyDescent="0.3">
      <c r="A563">
        <v>28100</v>
      </c>
      <c r="B563" t="s">
        <v>11054</v>
      </c>
      <c r="C563" t="s">
        <v>11055</v>
      </c>
      <c r="D563" t="s">
        <v>11056</v>
      </c>
      <c r="E563" t="s">
        <v>11057</v>
      </c>
      <c r="F563" t="s">
        <v>11058</v>
      </c>
      <c r="G563" t="s">
        <v>11059</v>
      </c>
      <c r="H563" t="s">
        <v>11060</v>
      </c>
      <c r="I563" t="s">
        <v>11061</v>
      </c>
      <c r="J563" t="s">
        <v>11062</v>
      </c>
      <c r="K563" t="s">
        <v>11063</v>
      </c>
      <c r="L563" t="s">
        <v>11064</v>
      </c>
      <c r="M563" t="s">
        <v>11065</v>
      </c>
      <c r="N563" t="s">
        <v>11066</v>
      </c>
      <c r="O563">
        <f>-800.650247216856 -67.0499591258947 -482.624736035013</f>
        <v>-1350.3249423777636</v>
      </c>
      <c r="P563">
        <f>-863.87987636772 -75.6876007973872 -195.364269585017</f>
        <v>-1134.9317467501241</v>
      </c>
      <c r="Q563">
        <f>-638.797753945938 -36.2540663349662 -271.744230372579</f>
        <v>-946.79605065348323</v>
      </c>
      <c r="R563" t="s">
        <v>11067</v>
      </c>
      <c r="S563" t="s">
        <v>11068</v>
      </c>
      <c r="T563" t="s">
        <v>11069</v>
      </c>
      <c r="U563" t="s">
        <v>11070</v>
      </c>
      <c r="V563" t="s">
        <v>11071</v>
      </c>
      <c r="W563" t="s">
        <v>11072</v>
      </c>
      <c r="X563" t="s">
        <v>11073</v>
      </c>
      <c r="Y563" t="s">
        <v>11074</v>
      </c>
    </row>
    <row r="564" spans="1:25" x14ac:dyDescent="0.3">
      <c r="A564">
        <v>28150</v>
      </c>
      <c r="B564" t="s">
        <v>11075</v>
      </c>
      <c r="C564" t="s">
        <v>11076</v>
      </c>
      <c r="D564" t="s">
        <v>11077</v>
      </c>
      <c r="E564" t="s">
        <v>11078</v>
      </c>
      <c r="F564" t="s">
        <v>11079</v>
      </c>
      <c r="G564" t="s">
        <v>11080</v>
      </c>
      <c r="H564" t="s">
        <v>11081</v>
      </c>
      <c r="I564" t="s">
        <v>11082</v>
      </c>
      <c r="J564" t="s">
        <v>11083</v>
      </c>
      <c r="K564" t="s">
        <v>11084</v>
      </c>
      <c r="L564" t="s">
        <v>11085</v>
      </c>
      <c r="M564" t="s">
        <v>11086</v>
      </c>
      <c r="N564" t="s">
        <v>11087</v>
      </c>
      <c r="O564">
        <f>-801.008217344642 -66.742900390243 -482.62448871784</f>
        <v>-1350.3756064527252</v>
      </c>
      <c r="P564">
        <f>-864.062452924331 -75.211360763318 -195.320399150986</f>
        <v>-1134.594212838635</v>
      </c>
      <c r="Q564">
        <f>-638.876176252302 -36.4824253929103 -271.75338726071</f>
        <v>-947.11198890592232</v>
      </c>
      <c r="R564" t="s">
        <v>11088</v>
      </c>
      <c r="S564" t="s">
        <v>11089</v>
      </c>
      <c r="T564" t="s">
        <v>11090</v>
      </c>
      <c r="U564" t="s">
        <v>11091</v>
      </c>
      <c r="V564" t="s">
        <v>11092</v>
      </c>
      <c r="W564" t="s">
        <v>11093</v>
      </c>
      <c r="X564" t="s">
        <v>11094</v>
      </c>
      <c r="Y564" t="s">
        <v>11095</v>
      </c>
    </row>
    <row r="565" spans="1:25" x14ac:dyDescent="0.3">
      <c r="A565">
        <v>28200</v>
      </c>
      <c r="B565" t="s">
        <v>11096</v>
      </c>
      <c r="C565" t="s">
        <v>11097</v>
      </c>
      <c r="D565" t="s">
        <v>11098</v>
      </c>
      <c r="E565" t="s">
        <v>11099</v>
      </c>
      <c r="F565" t="s">
        <v>11100</v>
      </c>
      <c r="G565" t="s">
        <v>11101</v>
      </c>
      <c r="H565" t="s">
        <v>11102</v>
      </c>
      <c r="I565" t="s">
        <v>11103</v>
      </c>
      <c r="J565" t="s">
        <v>11104</v>
      </c>
      <c r="K565" t="s">
        <v>11105</v>
      </c>
      <c r="L565" t="s">
        <v>11106</v>
      </c>
      <c r="M565" t="s">
        <v>11107</v>
      </c>
      <c r="N565" t="s">
        <v>11108</v>
      </c>
      <c r="O565">
        <f>-801.515422174361 -66.263438970266 -482.722080057646</f>
        <v>-1350.500941202273</v>
      </c>
      <c r="P565">
        <f>-864.231513163021 -74.701002743627 -195.342956463524</f>
        <v>-1134.2754723701719</v>
      </c>
      <c r="Q565">
        <f>-638.994503542635 -36.5664792189336 -271.926196070753</f>
        <v>-947.48717883232166</v>
      </c>
      <c r="R565" t="s">
        <v>11109</v>
      </c>
      <c r="S565" t="s">
        <v>11110</v>
      </c>
      <c r="T565" t="s">
        <v>11111</v>
      </c>
      <c r="U565" t="s">
        <v>11112</v>
      </c>
      <c r="V565" t="s">
        <v>11113</v>
      </c>
      <c r="W565" t="s">
        <v>11114</v>
      </c>
      <c r="X565" t="s">
        <v>11115</v>
      </c>
      <c r="Y565" t="s">
        <v>11116</v>
      </c>
    </row>
    <row r="566" spans="1:25" x14ac:dyDescent="0.3">
      <c r="A566">
        <v>28250</v>
      </c>
      <c r="B566" t="s">
        <v>11117</v>
      </c>
      <c r="C566" t="s">
        <v>11118</v>
      </c>
      <c r="D566" t="s">
        <v>11119</v>
      </c>
      <c r="E566" t="s">
        <v>11120</v>
      </c>
      <c r="F566" t="s">
        <v>11121</v>
      </c>
      <c r="G566" t="s">
        <v>11122</v>
      </c>
      <c r="H566" t="s">
        <v>11123</v>
      </c>
      <c r="I566" t="s">
        <v>11124</v>
      </c>
      <c r="J566" t="s">
        <v>11125</v>
      </c>
      <c r="K566" t="s">
        <v>11126</v>
      </c>
      <c r="L566" t="s">
        <v>11127</v>
      </c>
      <c r="M566" t="s">
        <v>11128</v>
      </c>
      <c r="N566" t="s">
        <v>11129</v>
      </c>
      <c r="O566">
        <f>-801.734273198266 -66.0899986715549 -482.804926818986</f>
        <v>-1350.6291986888068</v>
      </c>
      <c r="P566">
        <f>-864.166819153033 -74.6399728006186 -195.367477704928</f>
        <v>-1134.1742696585795</v>
      </c>
      <c r="Q566">
        <f>-638.966431773447 -36.5338234436047 -272.072758840686</f>
        <v>-947.57301405773762</v>
      </c>
      <c r="R566" t="s">
        <v>11130</v>
      </c>
      <c r="S566" t="s">
        <v>11131</v>
      </c>
      <c r="T566" t="s">
        <v>11132</v>
      </c>
      <c r="U566" t="s">
        <v>11133</v>
      </c>
      <c r="V566" t="s">
        <v>11134</v>
      </c>
      <c r="W566" t="s">
        <v>11135</v>
      </c>
      <c r="X566" t="s">
        <v>11136</v>
      </c>
      <c r="Y566" t="s">
        <v>11137</v>
      </c>
    </row>
    <row r="567" spans="1:25" x14ac:dyDescent="0.3">
      <c r="A567">
        <v>28300</v>
      </c>
      <c r="B567" t="s">
        <v>11138</v>
      </c>
      <c r="C567" t="s">
        <v>11139</v>
      </c>
      <c r="D567" t="s">
        <v>11140</v>
      </c>
      <c r="E567" t="s">
        <v>11141</v>
      </c>
      <c r="F567" t="s">
        <v>11142</v>
      </c>
      <c r="G567" t="s">
        <v>11143</v>
      </c>
      <c r="H567" t="s">
        <v>11144</v>
      </c>
      <c r="I567" t="s">
        <v>11145</v>
      </c>
      <c r="J567" t="s">
        <v>11146</v>
      </c>
      <c r="K567" t="s">
        <v>11147</v>
      </c>
      <c r="L567" t="s">
        <v>11148</v>
      </c>
      <c r="M567" t="s">
        <v>11149</v>
      </c>
      <c r="N567" t="s">
        <v>11150</v>
      </c>
      <c r="O567">
        <f>-802.421747205249 -66.2105418244842 -482.892323615028</f>
        <v>-1351.524612644761</v>
      </c>
      <c r="P567">
        <f>-864.051502225996 -75.0180639769744 -195.289457154255</f>
        <v>-1134.3590233572254</v>
      </c>
      <c r="Q567">
        <f>-639.015875175342 -36.6193299874583 -272.330900167281</f>
        <v>-947.96610533008129</v>
      </c>
      <c r="R567" t="s">
        <v>11151</v>
      </c>
      <c r="S567" t="s">
        <v>11152</v>
      </c>
      <c r="T567" t="s">
        <v>11153</v>
      </c>
      <c r="U567" t="s">
        <v>11154</v>
      </c>
      <c r="V567" t="s">
        <v>11155</v>
      </c>
      <c r="W567" t="s">
        <v>11156</v>
      </c>
      <c r="X567" t="s">
        <v>11157</v>
      </c>
      <c r="Y567" t="s">
        <v>11158</v>
      </c>
    </row>
    <row r="568" spans="1:25" x14ac:dyDescent="0.3">
      <c r="A568">
        <v>28350</v>
      </c>
      <c r="B568" t="s">
        <v>11159</v>
      </c>
      <c r="C568" t="s">
        <v>11160</v>
      </c>
      <c r="D568" t="s">
        <v>11161</v>
      </c>
      <c r="E568" t="s">
        <v>11162</v>
      </c>
      <c r="F568" t="s">
        <v>11163</v>
      </c>
      <c r="G568" t="s">
        <v>11164</v>
      </c>
      <c r="H568" t="s">
        <v>11165</v>
      </c>
      <c r="I568" t="s">
        <v>11166</v>
      </c>
      <c r="J568" t="s">
        <v>11167</v>
      </c>
      <c r="K568" t="s">
        <v>11168</v>
      </c>
      <c r="L568" t="s">
        <v>11169</v>
      </c>
      <c r="M568" t="s">
        <v>11170</v>
      </c>
      <c r="N568" t="s">
        <v>11171</v>
      </c>
      <c r="O568">
        <f>-802.813843604511 -66.4482479119922 -482.935498800605</f>
        <v>-1352.1975903171083</v>
      </c>
      <c r="P568">
        <f>-864.107257198278 -75.2566893350802 -195.260790588265</f>
        <v>-1134.6247371216232</v>
      </c>
      <c r="Q568">
        <f>-639.125604269863 -36.7795990226912 -272.420776186485</f>
        <v>-948.32597947903912</v>
      </c>
      <c r="R568" t="s">
        <v>11172</v>
      </c>
      <c r="S568" t="s">
        <v>11173</v>
      </c>
      <c r="T568" t="s">
        <v>11174</v>
      </c>
      <c r="U568" t="s">
        <v>11175</v>
      </c>
      <c r="V568" t="s">
        <v>11176</v>
      </c>
      <c r="W568" t="s">
        <v>11177</v>
      </c>
      <c r="X568" t="s">
        <v>11178</v>
      </c>
      <c r="Y568" t="s">
        <v>11179</v>
      </c>
    </row>
    <row r="569" spans="1:25" x14ac:dyDescent="0.3">
      <c r="A569">
        <v>28400</v>
      </c>
      <c r="B569" t="s">
        <v>11180</v>
      </c>
      <c r="C569" t="s">
        <v>11181</v>
      </c>
      <c r="D569" t="s">
        <v>11182</v>
      </c>
      <c r="E569" t="s">
        <v>11183</v>
      </c>
      <c r="F569" t="s">
        <v>11184</v>
      </c>
      <c r="G569" t="s">
        <v>11185</v>
      </c>
      <c r="H569" t="s">
        <v>11186</v>
      </c>
      <c r="I569" t="s">
        <v>11187</v>
      </c>
      <c r="J569" t="s">
        <v>11188</v>
      </c>
      <c r="K569" t="s">
        <v>11189</v>
      </c>
      <c r="L569" t="s">
        <v>11190</v>
      </c>
      <c r="M569" t="s">
        <v>11191</v>
      </c>
      <c r="N569" t="s">
        <v>11192</v>
      </c>
      <c r="O569">
        <f>-804.032178271701 -66.9626586726888 -483.049834536454</f>
        <v>-1354.0446714808438</v>
      </c>
      <c r="P569">
        <f>-864.882116235878 -75.6172938800707 -195.27622802915</f>
        <v>-1135.7756381450988</v>
      </c>
      <c r="Q569">
        <f>-640.007179247827 -36.8882958818426 -272.621539524872</f>
        <v>-949.51701465454164</v>
      </c>
      <c r="R569" t="s">
        <v>11193</v>
      </c>
      <c r="S569" t="s">
        <v>11194</v>
      </c>
      <c r="T569" t="s">
        <v>11195</v>
      </c>
      <c r="U569" t="s">
        <v>11196</v>
      </c>
      <c r="V569" t="s">
        <v>11197</v>
      </c>
      <c r="W569" t="s">
        <v>11198</v>
      </c>
      <c r="X569" t="s">
        <v>11199</v>
      </c>
      <c r="Y569" t="s">
        <v>11200</v>
      </c>
    </row>
    <row r="570" spans="1:25" x14ac:dyDescent="0.3">
      <c r="A570">
        <v>28450</v>
      </c>
      <c r="B570" t="s">
        <v>11201</v>
      </c>
      <c r="C570" t="s">
        <v>11202</v>
      </c>
      <c r="D570" t="s">
        <v>11203</v>
      </c>
      <c r="E570" t="s">
        <v>11204</v>
      </c>
      <c r="F570" t="s">
        <v>11205</v>
      </c>
      <c r="G570" t="s">
        <v>11206</v>
      </c>
      <c r="H570" t="s">
        <v>11207</v>
      </c>
      <c r="I570" t="s">
        <v>11208</v>
      </c>
      <c r="J570" t="s">
        <v>11209</v>
      </c>
      <c r="K570" t="s">
        <v>11210</v>
      </c>
      <c r="L570" t="s">
        <v>11211</v>
      </c>
      <c r="M570" t="s">
        <v>11212</v>
      </c>
      <c r="N570" t="s">
        <v>11213</v>
      </c>
      <c r="O570">
        <f>-804.99410846042 -67.144066790343 -483.15474569693</f>
        <v>-1355.2929209476929</v>
      </c>
      <c r="P570">
        <f>-865.655415572436 -75.844618986755 -195.34286862902</f>
        <v>-1136.842903188211</v>
      </c>
      <c r="Q570">
        <f>-640.779330993857 -37.0262831032678 -272.639940340462</f>
        <v>-950.44555443758679</v>
      </c>
      <c r="R570" t="s">
        <v>11214</v>
      </c>
      <c r="S570" t="s">
        <v>11215</v>
      </c>
      <c r="T570" t="s">
        <v>11216</v>
      </c>
      <c r="U570" t="s">
        <v>11217</v>
      </c>
      <c r="V570" t="s">
        <v>11218</v>
      </c>
      <c r="W570" t="s">
        <v>11219</v>
      </c>
      <c r="X570" t="s">
        <v>11220</v>
      </c>
      <c r="Y570" t="s">
        <v>11221</v>
      </c>
    </row>
    <row r="571" spans="1:25" x14ac:dyDescent="0.3">
      <c r="A571">
        <v>28500</v>
      </c>
      <c r="B571" t="s">
        <v>11222</v>
      </c>
      <c r="C571" t="s">
        <v>11223</v>
      </c>
      <c r="D571" t="s">
        <v>11224</v>
      </c>
      <c r="E571" t="s">
        <v>11225</v>
      </c>
      <c r="F571" t="s">
        <v>11226</v>
      </c>
      <c r="G571" t="s">
        <v>11227</v>
      </c>
      <c r="H571" t="s">
        <v>11228</v>
      </c>
      <c r="I571" t="s">
        <v>11229</v>
      </c>
      <c r="J571" t="s">
        <v>11230</v>
      </c>
      <c r="K571" t="s">
        <v>11231</v>
      </c>
      <c r="L571" t="s">
        <v>11232</v>
      </c>
      <c r="M571" t="s">
        <v>11233</v>
      </c>
      <c r="N571" t="s">
        <v>11234</v>
      </c>
      <c r="O571">
        <f>-806.836557238624 -67.3191708708755 -483.535229236599</f>
        <v>-1357.6909573460985</v>
      </c>
      <c r="P571">
        <f>-867.262731391191 -76.2944719879283 -195.682219845474</f>
        <v>-1139.2394232245933</v>
      </c>
      <c r="Q571">
        <f>-642.425403259103 -37.2762943139901 -272.99100202693</f>
        <v>-952.69269960002305</v>
      </c>
      <c r="R571" t="s">
        <v>11235</v>
      </c>
      <c r="S571" t="s">
        <v>11236</v>
      </c>
      <c r="T571" t="s">
        <v>11237</v>
      </c>
      <c r="U571" t="s">
        <v>11238</v>
      </c>
      <c r="V571" t="s">
        <v>11239</v>
      </c>
      <c r="W571" t="s">
        <v>11240</v>
      </c>
      <c r="X571" t="s">
        <v>11241</v>
      </c>
      <c r="Y571" t="s">
        <v>11242</v>
      </c>
    </row>
    <row r="572" spans="1:25" x14ac:dyDescent="0.3">
      <c r="A572">
        <v>28550</v>
      </c>
      <c r="B572" t="s">
        <v>11243</v>
      </c>
      <c r="C572" t="s">
        <v>11244</v>
      </c>
      <c r="D572" t="s">
        <v>11245</v>
      </c>
      <c r="E572" t="s">
        <v>11246</v>
      </c>
      <c r="F572" t="s">
        <v>11247</v>
      </c>
      <c r="G572" t="s">
        <v>11248</v>
      </c>
      <c r="H572" t="s">
        <v>11249</v>
      </c>
      <c r="I572" t="s">
        <v>11250</v>
      </c>
      <c r="J572" t="s">
        <v>11251</v>
      </c>
      <c r="K572" t="s">
        <v>11252</v>
      </c>
      <c r="L572" t="s">
        <v>11253</v>
      </c>
      <c r="M572" t="s">
        <v>11254</v>
      </c>
      <c r="N572" t="s">
        <v>11255</v>
      </c>
      <c r="O572">
        <f>-807.731811458633 -67.5288494130871 -483.775324083903</f>
        <v>-1359.035984955623</v>
      </c>
      <c r="P572">
        <f>-867.972540949362 -76.6983887724914 -195.889597718139</f>
        <v>-1140.5605274399925</v>
      </c>
      <c r="Q572">
        <f>-643.147364312675 -37.6365492211205 -273.211483657128</f>
        <v>-953.99539719092354</v>
      </c>
      <c r="R572" t="s">
        <v>11256</v>
      </c>
      <c r="S572" t="s">
        <v>11257</v>
      </c>
      <c r="T572" t="s">
        <v>11258</v>
      </c>
      <c r="U572" t="s">
        <v>11259</v>
      </c>
      <c r="V572" t="s">
        <v>11260</v>
      </c>
      <c r="W572" t="s">
        <v>11261</v>
      </c>
      <c r="X572" t="s">
        <v>11262</v>
      </c>
      <c r="Y572" t="s">
        <v>11263</v>
      </c>
    </row>
    <row r="573" spans="1:25" x14ac:dyDescent="0.3">
      <c r="A573">
        <v>28600</v>
      </c>
      <c r="B573" t="s">
        <v>11264</v>
      </c>
      <c r="C573" t="s">
        <v>11265</v>
      </c>
      <c r="D573" t="s">
        <v>11266</v>
      </c>
      <c r="E573" t="s">
        <v>11267</v>
      </c>
      <c r="F573" t="s">
        <v>11268</v>
      </c>
      <c r="G573" t="s">
        <v>11269</v>
      </c>
      <c r="H573" t="s">
        <v>11270</v>
      </c>
      <c r="I573" t="s">
        <v>11271</v>
      </c>
      <c r="J573" t="s">
        <v>11272</v>
      </c>
      <c r="K573" t="s">
        <v>11273</v>
      </c>
      <c r="L573" t="s">
        <v>11274</v>
      </c>
      <c r="M573" t="s">
        <v>11275</v>
      </c>
      <c r="N573" t="s">
        <v>11276</v>
      </c>
      <c r="O573">
        <f>-809.846839386632 -68.1474815251361 -484.225625231308</f>
        <v>-1362.2199461430762</v>
      </c>
      <c r="P573">
        <f>-869.017843556085 -77.9860408966674 -196.14028629173</f>
        <v>-1143.1441707444824</v>
      </c>
      <c r="Q573">
        <f>-644.463184796375 -38.370189131949 -273.964499091443</f>
        <v>-956.79787301976694</v>
      </c>
      <c r="R573" t="s">
        <v>11277</v>
      </c>
      <c r="S573" t="s">
        <v>11278</v>
      </c>
      <c r="T573" t="s">
        <v>11279</v>
      </c>
      <c r="U573" t="s">
        <v>11280</v>
      </c>
      <c r="V573" t="s">
        <v>11281</v>
      </c>
      <c r="W573" t="s">
        <v>11282</v>
      </c>
      <c r="X573" t="s">
        <v>11283</v>
      </c>
      <c r="Y573" t="s">
        <v>11284</v>
      </c>
    </row>
    <row r="574" spans="1:25" x14ac:dyDescent="0.3">
      <c r="A574">
        <v>28650</v>
      </c>
      <c r="B574" t="s">
        <v>11285</v>
      </c>
      <c r="C574" t="s">
        <v>11286</v>
      </c>
      <c r="D574" t="s">
        <v>11287</v>
      </c>
      <c r="E574" t="s">
        <v>11288</v>
      </c>
      <c r="F574" t="s">
        <v>11289</v>
      </c>
      <c r="G574" t="s">
        <v>11290</v>
      </c>
      <c r="H574" t="s">
        <v>11291</v>
      </c>
      <c r="I574" t="s">
        <v>11292</v>
      </c>
      <c r="J574" t="s">
        <v>11293</v>
      </c>
      <c r="K574" t="s">
        <v>11294</v>
      </c>
      <c r="L574" t="s">
        <v>11295</v>
      </c>
      <c r="M574" t="s">
        <v>11296</v>
      </c>
      <c r="N574" t="s">
        <v>11297</v>
      </c>
      <c r="O574">
        <f>-810.881674290272 -68.4599494984518 -484.404207213801</f>
        <v>-1363.7458310025249</v>
      </c>
      <c r="P574">
        <f>-869.345032702286 -78.5746271508997 -196.184005884108</f>
        <v>-1144.1036657372936</v>
      </c>
      <c r="Q574">
        <f>-644.979212244208 -38.6554562977458 -274.396827891787</f>
        <v>-958.03149643374081</v>
      </c>
      <c r="R574" t="s">
        <v>11298</v>
      </c>
      <c r="S574" t="s">
        <v>11299</v>
      </c>
      <c r="T574" t="s">
        <v>11300</v>
      </c>
      <c r="U574" t="s">
        <v>11301</v>
      </c>
      <c r="V574" t="s">
        <v>11302</v>
      </c>
      <c r="W574" t="s">
        <v>11303</v>
      </c>
      <c r="X574" t="s">
        <v>11304</v>
      </c>
      <c r="Y574" t="s">
        <v>11305</v>
      </c>
    </row>
    <row r="575" spans="1:25" x14ac:dyDescent="0.3">
      <c r="A575">
        <v>28700</v>
      </c>
      <c r="B575" t="s">
        <v>11306</v>
      </c>
      <c r="C575" t="s">
        <v>11307</v>
      </c>
      <c r="D575" t="s">
        <v>11308</v>
      </c>
      <c r="E575" t="s">
        <v>11309</v>
      </c>
      <c r="F575" t="s">
        <v>11310</v>
      </c>
      <c r="G575" t="s">
        <v>11311</v>
      </c>
      <c r="H575" t="s">
        <v>11312</v>
      </c>
      <c r="I575" t="s">
        <v>11313</v>
      </c>
      <c r="J575" t="s">
        <v>11314</v>
      </c>
      <c r="K575" t="s">
        <v>11315</v>
      </c>
      <c r="L575" t="s">
        <v>11316</v>
      </c>
      <c r="M575" t="s">
        <v>11317</v>
      </c>
      <c r="N575" t="s">
        <v>11318</v>
      </c>
      <c r="O575">
        <f>-812.378155469438 -68.7981659075315 -484.787666178172</f>
        <v>-1365.9639875551416</v>
      </c>
      <c r="P575">
        <f>-870.081933074532 -79.1027177717758 -196.421005598278</f>
        <v>-1145.6056564445857</v>
      </c>
      <c r="Q575">
        <f>-645.996238995631 -38.7532392999231 -275.214660196466</f>
        <v>-959.96413849202008</v>
      </c>
      <c r="R575" t="s">
        <v>11319</v>
      </c>
      <c r="S575" t="s">
        <v>11320</v>
      </c>
      <c r="T575" t="s">
        <v>11321</v>
      </c>
      <c r="U575" t="s">
        <v>11322</v>
      </c>
      <c r="V575" t="s">
        <v>11323</v>
      </c>
      <c r="W575" t="s">
        <v>11324</v>
      </c>
      <c r="X575" t="s">
        <v>11325</v>
      </c>
      <c r="Y575" t="s">
        <v>11326</v>
      </c>
    </row>
    <row r="576" spans="1:25" x14ac:dyDescent="0.3">
      <c r="A576">
        <v>28750</v>
      </c>
      <c r="B576" t="s">
        <v>11327</v>
      </c>
      <c r="C576" t="s">
        <v>11328</v>
      </c>
      <c r="D576" t="s">
        <v>11329</v>
      </c>
      <c r="E576" t="s">
        <v>11330</v>
      </c>
      <c r="F576" t="s">
        <v>11331</v>
      </c>
      <c r="G576" t="s">
        <v>11332</v>
      </c>
      <c r="H576" t="s">
        <v>11333</v>
      </c>
      <c r="I576" t="s">
        <v>11334</v>
      </c>
      <c r="J576" t="s">
        <v>11335</v>
      </c>
      <c r="K576" t="s">
        <v>11336</v>
      </c>
      <c r="L576" t="s">
        <v>11337</v>
      </c>
      <c r="M576" t="s">
        <v>11338</v>
      </c>
      <c r="N576" t="s">
        <v>11339</v>
      </c>
      <c r="O576">
        <f>-812.820872860767 -68.830267341529 -484.994882208842</f>
        <v>-1366.6460224111379</v>
      </c>
      <c r="P576">
        <f>-870.397445358569 -79.2106875887296 -196.605522876121</f>
        <v>-1146.2136558234197</v>
      </c>
      <c r="Q576">
        <f>-646.380898192041 -38.5611600093657 -275.441107061166</f>
        <v>-960.38316526257267</v>
      </c>
      <c r="R576" t="s">
        <v>11340</v>
      </c>
      <c r="S576" t="s">
        <v>11341</v>
      </c>
      <c r="T576" t="s">
        <v>11342</v>
      </c>
      <c r="U576" t="s">
        <v>11343</v>
      </c>
      <c r="V576" t="s">
        <v>11344</v>
      </c>
      <c r="W576" t="s">
        <v>11345</v>
      </c>
      <c r="X576" t="s">
        <v>11346</v>
      </c>
      <c r="Y576" t="s">
        <v>11347</v>
      </c>
    </row>
    <row r="577" spans="1:25" x14ac:dyDescent="0.3">
      <c r="A577">
        <v>28800</v>
      </c>
      <c r="B577" t="s">
        <v>11348</v>
      </c>
      <c r="C577" t="s">
        <v>11349</v>
      </c>
      <c r="D577" t="s">
        <v>11350</v>
      </c>
      <c r="E577" t="s">
        <v>11351</v>
      </c>
      <c r="F577" t="s">
        <v>11352</v>
      </c>
      <c r="G577" t="s">
        <v>11353</v>
      </c>
      <c r="H577" t="s">
        <v>11354</v>
      </c>
      <c r="I577" t="s">
        <v>11355</v>
      </c>
      <c r="J577" t="s">
        <v>11356</v>
      </c>
      <c r="K577" t="s">
        <v>11357</v>
      </c>
      <c r="L577" t="s">
        <v>11358</v>
      </c>
      <c r="M577" t="s">
        <v>11359</v>
      </c>
      <c r="N577" t="s">
        <v>11360</v>
      </c>
      <c r="O577">
        <f>-813.04968811143 -69.0508637786247 -485.47450256821</f>
        <v>-1367.5750544582647</v>
      </c>
      <c r="P577">
        <f>-870.785513817495 -79.8120823574691 -197.13100644327</f>
        <v>-1147.7286026182342</v>
      </c>
      <c r="Q577">
        <f>-646.733854364997 -38.2534413441674 -275.390590235692</f>
        <v>-960.37788594485642</v>
      </c>
      <c r="R577" t="s">
        <v>11361</v>
      </c>
      <c r="S577" t="s">
        <v>11362</v>
      </c>
      <c r="T577" t="s">
        <v>11363</v>
      </c>
      <c r="U577" t="s">
        <v>11364</v>
      </c>
      <c r="V577" t="s">
        <v>11365</v>
      </c>
      <c r="W577" t="s">
        <v>11366</v>
      </c>
      <c r="X577" t="s">
        <v>11367</v>
      </c>
      <c r="Y577" t="s">
        <v>11368</v>
      </c>
    </row>
    <row r="578" spans="1:25" x14ac:dyDescent="0.3">
      <c r="A578">
        <v>28850</v>
      </c>
      <c r="B578" t="s">
        <v>11369</v>
      </c>
      <c r="C578" t="s">
        <v>11370</v>
      </c>
      <c r="D578" t="s">
        <v>11371</v>
      </c>
      <c r="E578" t="s">
        <v>11372</v>
      </c>
      <c r="F578" t="s">
        <v>11373</v>
      </c>
      <c r="G578" t="s">
        <v>11374</v>
      </c>
      <c r="H578" t="s">
        <v>11375</v>
      </c>
      <c r="I578" t="s">
        <v>11376</v>
      </c>
      <c r="J578" t="s">
        <v>11377</v>
      </c>
      <c r="K578" t="s">
        <v>11378</v>
      </c>
      <c r="L578" t="s">
        <v>11379</v>
      </c>
      <c r="M578" t="s">
        <v>11380</v>
      </c>
      <c r="N578" t="s">
        <v>11381</v>
      </c>
      <c r="O578">
        <f>-813.163700503941 -69.5763925118081 -485.595265362995</f>
        <v>-1368.3353583787441</v>
      </c>
      <c r="P578">
        <f>-870.957237286803 -80.8739614137894 -197.283821103797</f>
        <v>-1149.1150198043895</v>
      </c>
      <c r="Q578">
        <f>-646.851378531608 -38.7447106754021 -275.082599894283</f>
        <v>-960.67868910129312</v>
      </c>
      <c r="R578" t="s">
        <v>11382</v>
      </c>
      <c r="S578" t="s">
        <v>11383</v>
      </c>
      <c r="T578" t="s">
        <v>11384</v>
      </c>
      <c r="U578" t="s">
        <v>11385</v>
      </c>
      <c r="V578" t="s">
        <v>11386</v>
      </c>
      <c r="W578" t="s">
        <v>11387</v>
      </c>
      <c r="X578" t="s">
        <v>11388</v>
      </c>
      <c r="Y578" t="s">
        <v>11389</v>
      </c>
    </row>
    <row r="579" spans="1:25" x14ac:dyDescent="0.3">
      <c r="A579">
        <v>28900</v>
      </c>
      <c r="B579" t="s">
        <v>11390</v>
      </c>
      <c r="C579" t="s">
        <v>11391</v>
      </c>
      <c r="D579" t="s">
        <v>11392</v>
      </c>
      <c r="E579" t="s">
        <v>11393</v>
      </c>
      <c r="F579" t="s">
        <v>11394</v>
      </c>
      <c r="G579" t="s">
        <v>11395</v>
      </c>
      <c r="H579" t="s">
        <v>11396</v>
      </c>
      <c r="I579" t="s">
        <v>11397</v>
      </c>
      <c r="J579" t="s">
        <v>11398</v>
      </c>
      <c r="K579" t="s">
        <v>11399</v>
      </c>
      <c r="L579" t="s">
        <v>11400</v>
      </c>
      <c r="M579" t="s">
        <v>11401</v>
      </c>
      <c r="N579" t="s">
        <v>11402</v>
      </c>
      <c r="O579">
        <f>-814.012441633575 -71.0426665906441 -485.398346336345</f>
        <v>-1370.4534545605641</v>
      </c>
      <c r="P579">
        <f>-871.441278536602 -83.0570751970308 -197.042925805005</f>
        <v>-1151.5412795386378</v>
      </c>
      <c r="Q579">
        <f>-647.332827844198 -40.2424980322235 -274.458870922043</f>
        <v>-962.03419679846456</v>
      </c>
      <c r="R579" t="s">
        <v>11403</v>
      </c>
      <c r="S579" t="s">
        <v>11404</v>
      </c>
      <c r="T579" t="s">
        <v>11405</v>
      </c>
      <c r="U579" t="s">
        <v>11406</v>
      </c>
      <c r="V579" t="s">
        <v>11407</v>
      </c>
      <c r="W579" t="s">
        <v>11408</v>
      </c>
      <c r="X579" t="s">
        <v>11409</v>
      </c>
      <c r="Y579" t="s">
        <v>11410</v>
      </c>
    </row>
    <row r="580" spans="1:25" x14ac:dyDescent="0.3">
      <c r="A580">
        <v>28950</v>
      </c>
      <c r="B580" t="s">
        <v>11411</v>
      </c>
      <c r="C580" t="s">
        <v>11412</v>
      </c>
      <c r="D580" t="s">
        <v>11413</v>
      </c>
      <c r="E580" t="s">
        <v>11414</v>
      </c>
      <c r="F580" t="s">
        <v>11415</v>
      </c>
      <c r="G580" t="s">
        <v>11416</v>
      </c>
      <c r="H580" t="s">
        <v>11417</v>
      </c>
      <c r="I580" t="s">
        <v>11418</v>
      </c>
      <c r="J580" t="s">
        <v>11419</v>
      </c>
      <c r="K580" t="s">
        <v>11420</v>
      </c>
      <c r="L580" t="s">
        <v>11421</v>
      </c>
      <c r="M580" t="s">
        <v>11422</v>
      </c>
      <c r="N580" t="s">
        <v>11423</v>
      </c>
      <c r="O580">
        <f>-814.47864141591 -71.5012238159386 -485.201152138808</f>
        <v>-1371.1810173706567</v>
      </c>
      <c r="P580">
        <f>-872.011593154896 -83.0646307193786 -196.848094095381</f>
        <v>-1151.9243179696555</v>
      </c>
      <c r="Q580">
        <f>-647.77751999091 -40.5443449432555 -274.061844819881</f>
        <v>-962.38370975404655</v>
      </c>
      <c r="R580" t="s">
        <v>11424</v>
      </c>
      <c r="S580" t="s">
        <v>11425</v>
      </c>
      <c r="T580" t="s">
        <v>11426</v>
      </c>
      <c r="U580" t="s">
        <v>11427</v>
      </c>
      <c r="V580" t="s">
        <v>11428</v>
      </c>
      <c r="W580" t="s">
        <v>11429</v>
      </c>
      <c r="X580" t="s">
        <v>11430</v>
      </c>
      <c r="Y580" t="s">
        <v>11431</v>
      </c>
    </row>
    <row r="581" spans="1:25" x14ac:dyDescent="0.3">
      <c r="A581">
        <v>29000</v>
      </c>
      <c r="B581" t="s">
        <v>11432</v>
      </c>
      <c r="C581" t="s">
        <v>11433</v>
      </c>
      <c r="D581" t="s">
        <v>11434</v>
      </c>
      <c r="E581" t="s">
        <v>11435</v>
      </c>
      <c r="F581" t="s">
        <v>11436</v>
      </c>
      <c r="G581" t="s">
        <v>11437</v>
      </c>
      <c r="H581" t="s">
        <v>11438</v>
      </c>
      <c r="I581" t="s">
        <v>11439</v>
      </c>
      <c r="J581" t="s">
        <v>11440</v>
      </c>
      <c r="K581" t="s">
        <v>11441</v>
      </c>
      <c r="L581" t="s">
        <v>11442</v>
      </c>
      <c r="M581" t="s">
        <v>11443</v>
      </c>
      <c r="N581" t="s">
        <v>11444</v>
      </c>
      <c r="O581">
        <f>-815.153596013793 -71.9257058857074 -484.794308113301</f>
        <v>-1371.8736100128015</v>
      </c>
      <c r="P581">
        <f>-873.679325711537 -81.8198578614736 -196.579021430478</f>
        <v>-1152.0782050034886</v>
      </c>
      <c r="Q581">
        <f>-649.030504769997 -40.0785139204434 -273.007999901563</f>
        <v>-962.11701859200343</v>
      </c>
      <c r="R581" t="s">
        <v>11445</v>
      </c>
      <c r="S581" t="s">
        <v>11446</v>
      </c>
      <c r="T581" t="s">
        <v>11447</v>
      </c>
      <c r="U581" t="s">
        <v>11448</v>
      </c>
      <c r="V581" t="s">
        <v>11449</v>
      </c>
      <c r="W581" t="s">
        <v>11450</v>
      </c>
      <c r="X581" t="s">
        <v>11451</v>
      </c>
      <c r="Y581" t="s">
        <v>11452</v>
      </c>
    </row>
    <row r="582" spans="1:25" x14ac:dyDescent="0.3">
      <c r="A582">
        <v>29050</v>
      </c>
      <c r="B582" t="s">
        <v>11453</v>
      </c>
      <c r="C582" t="s">
        <v>11454</v>
      </c>
      <c r="D582" t="s">
        <v>11455</v>
      </c>
      <c r="E582" t="s">
        <v>11456</v>
      </c>
      <c r="F582" t="s">
        <v>11457</v>
      </c>
      <c r="G582" t="s">
        <v>11458</v>
      </c>
      <c r="H582" t="s">
        <v>11459</v>
      </c>
      <c r="I582" t="s">
        <v>11460</v>
      </c>
      <c r="J582" t="s">
        <v>11461</v>
      </c>
      <c r="K582" t="s">
        <v>11462</v>
      </c>
      <c r="L582" t="s">
        <v>11463</v>
      </c>
      <c r="M582" t="s">
        <v>11464</v>
      </c>
      <c r="N582" t="s">
        <v>11465</v>
      </c>
      <c r="O582">
        <f>-815.452938421206 -72.0081347867012 -484.61261517185</f>
        <v>-1372.0736883797572</v>
      </c>
      <c r="P582">
        <f>-874.551045173376 -81.2208100539804 -196.49146513041</f>
        <v>-1152.2633203577664</v>
      </c>
      <c r="Q582">
        <f>-649.692931355718 -39.5821872534773 -272.359306035386</f>
        <v>-961.63442464458126</v>
      </c>
      <c r="R582" t="s">
        <v>11466</v>
      </c>
      <c r="S582" t="s">
        <v>11467</v>
      </c>
      <c r="T582" t="s">
        <v>11468</v>
      </c>
      <c r="U582" t="s">
        <v>11469</v>
      </c>
      <c r="V582" t="s">
        <v>11470</v>
      </c>
      <c r="W582" t="s">
        <v>11471</v>
      </c>
      <c r="X582" t="s">
        <v>11472</v>
      </c>
      <c r="Y582" t="s">
        <v>11473</v>
      </c>
    </row>
    <row r="583" spans="1:25" x14ac:dyDescent="0.3">
      <c r="A583">
        <v>29100</v>
      </c>
      <c r="B583" t="s">
        <v>11474</v>
      </c>
      <c r="C583" t="s">
        <v>11475</v>
      </c>
      <c r="D583" t="s">
        <v>11476</v>
      </c>
      <c r="E583" t="s">
        <v>11477</v>
      </c>
      <c r="F583" t="s">
        <v>11478</v>
      </c>
      <c r="G583" t="s">
        <v>11479</v>
      </c>
      <c r="H583" t="s">
        <v>11480</v>
      </c>
      <c r="I583" t="s">
        <v>11481</v>
      </c>
      <c r="J583" t="s">
        <v>11482</v>
      </c>
      <c r="K583" t="s">
        <v>11483</v>
      </c>
      <c r="L583" t="s">
        <v>11484</v>
      </c>
      <c r="M583" t="s">
        <v>11485</v>
      </c>
      <c r="N583" t="s">
        <v>11486</v>
      </c>
      <c r="O583">
        <f>-815.520238561995 -71.8969313947084 -484.313023512984</f>
        <v>-1371.7301934696875</v>
      </c>
      <c r="P583">
        <f>-875.449734799132 -80.2832576989488 -196.33865445976</f>
        <v>-1152.0716469578408</v>
      </c>
      <c r="Q583">
        <f>-650.342925441571 -38.3560789252886 -271.30489354904</f>
        <v>-960.00389791589953</v>
      </c>
      <c r="R583" t="s">
        <v>11487</v>
      </c>
      <c r="S583" t="s">
        <v>11488</v>
      </c>
      <c r="T583" t="s">
        <v>11489</v>
      </c>
      <c r="U583" t="s">
        <v>11490</v>
      </c>
      <c r="V583" t="s">
        <v>11491</v>
      </c>
      <c r="W583" t="s">
        <v>11492</v>
      </c>
      <c r="X583" t="s">
        <v>11493</v>
      </c>
      <c r="Y583" t="s">
        <v>11494</v>
      </c>
    </row>
    <row r="584" spans="1:25" x14ac:dyDescent="0.3">
      <c r="A584">
        <v>29150</v>
      </c>
      <c r="B584" t="s">
        <v>11495</v>
      </c>
      <c r="C584" t="s">
        <v>11496</v>
      </c>
      <c r="D584" t="s">
        <v>11497</v>
      </c>
      <c r="E584" t="s">
        <v>11498</v>
      </c>
      <c r="F584" t="s">
        <v>11499</v>
      </c>
      <c r="G584" t="s">
        <v>11500</v>
      </c>
      <c r="H584" t="s">
        <v>11501</v>
      </c>
      <c r="I584" t="s">
        <v>11502</v>
      </c>
      <c r="J584" t="s">
        <v>11503</v>
      </c>
      <c r="K584" t="s">
        <v>11504</v>
      </c>
      <c r="L584" t="s">
        <v>11505</v>
      </c>
      <c r="M584" t="s">
        <v>11506</v>
      </c>
      <c r="N584" t="s">
        <v>11507</v>
      </c>
      <c r="O584">
        <f>-815.207255530054 -71.9773935345529 -484.126750165209</f>
        <v>-1371.3113992298158</v>
      </c>
      <c r="P584">
        <f>-875.393100340495 -80.1837657375997 -196.200476813639</f>
        <v>-1151.7773428917337</v>
      </c>
      <c r="Q584">
        <f>-650.291901353945 -37.9000778799534 -270.982909891081</f>
        <v>-959.17488912497947</v>
      </c>
      <c r="R584" t="s">
        <v>11508</v>
      </c>
      <c r="S584" t="s">
        <v>11509</v>
      </c>
      <c r="T584" t="s">
        <v>11510</v>
      </c>
      <c r="U584" t="s">
        <v>11511</v>
      </c>
      <c r="V584" t="s">
        <v>11512</v>
      </c>
      <c r="W584" t="s">
        <v>11513</v>
      </c>
      <c r="X584" t="s">
        <v>11514</v>
      </c>
      <c r="Y584" t="s">
        <v>11515</v>
      </c>
    </row>
    <row r="585" spans="1:25" x14ac:dyDescent="0.3">
      <c r="A585">
        <v>29200</v>
      </c>
      <c r="B585" t="s">
        <v>11516</v>
      </c>
      <c r="C585" t="s">
        <v>11517</v>
      </c>
      <c r="D585" t="s">
        <v>11518</v>
      </c>
      <c r="E585" t="s">
        <v>11519</v>
      </c>
      <c r="F585" t="s">
        <v>11520</v>
      </c>
      <c r="G585" t="s">
        <v>11521</v>
      </c>
      <c r="H585" t="s">
        <v>11522</v>
      </c>
      <c r="I585" t="s">
        <v>11523</v>
      </c>
      <c r="J585" t="s">
        <v>11524</v>
      </c>
      <c r="K585" t="s">
        <v>11525</v>
      </c>
      <c r="L585" t="s">
        <v>11526</v>
      </c>
      <c r="M585" t="s">
        <v>11527</v>
      </c>
      <c r="N585" t="s">
        <v>11528</v>
      </c>
      <c r="O585">
        <f>-814.543514454011 -72.4930470846843 -483.535490293806</f>
        <v>-1370.5720518325013</v>
      </c>
      <c r="P585">
        <f>-874.550330389532 -80.4472541140913 -195.564814323393</f>
        <v>-1150.5623988270163</v>
      </c>
      <c r="Q585">
        <f>-649.666363441531 -37.1352246642036 -270.412289331135</f>
        <v>-957.21387743686955</v>
      </c>
      <c r="R585" t="s">
        <v>11529</v>
      </c>
      <c r="S585" t="s">
        <v>11530</v>
      </c>
      <c r="T585" t="s">
        <v>11531</v>
      </c>
      <c r="U585" t="s">
        <v>11532</v>
      </c>
      <c r="V585" t="s">
        <v>11533</v>
      </c>
      <c r="W585" t="s">
        <v>11534</v>
      </c>
      <c r="X585" t="s">
        <v>11535</v>
      </c>
      <c r="Y585" t="s">
        <v>11536</v>
      </c>
    </row>
    <row r="586" spans="1:25" x14ac:dyDescent="0.3">
      <c r="A586">
        <v>29250</v>
      </c>
      <c r="B586" t="s">
        <v>11537</v>
      </c>
      <c r="C586" t="s">
        <v>11538</v>
      </c>
      <c r="D586" t="s">
        <v>11539</v>
      </c>
      <c r="E586" t="s">
        <v>11540</v>
      </c>
      <c r="F586" t="s">
        <v>11541</v>
      </c>
      <c r="G586" t="s">
        <v>11542</v>
      </c>
      <c r="H586" t="s">
        <v>11543</v>
      </c>
      <c r="I586" t="s">
        <v>11544</v>
      </c>
      <c r="J586" t="s">
        <v>11545</v>
      </c>
      <c r="K586" t="s">
        <v>11546</v>
      </c>
      <c r="L586" t="s">
        <v>11547</v>
      </c>
      <c r="M586" t="s">
        <v>11548</v>
      </c>
      <c r="N586" t="s">
        <v>11549</v>
      </c>
      <c r="O586">
        <f>-814.17819908818 -72.7602984142325 -483.160037183031</f>
        <v>-1370.0985346854436</v>
      </c>
      <c r="P586">
        <f>-873.936014024777 -80.4936694474732 -195.131610496276</f>
        <v>-1149.5612939685261</v>
      </c>
      <c r="Q586">
        <f>-649.172949407799 -36.6084778342788 -270.007913289689</f>
        <v>-955.78934053176681</v>
      </c>
      <c r="R586" t="s">
        <v>11550</v>
      </c>
      <c r="S586" t="s">
        <v>11551</v>
      </c>
      <c r="T586" t="s">
        <v>11552</v>
      </c>
      <c r="U586" t="s">
        <v>11553</v>
      </c>
      <c r="V586" t="s">
        <v>11554</v>
      </c>
      <c r="W586" t="s">
        <v>11555</v>
      </c>
      <c r="X586" t="s">
        <v>11556</v>
      </c>
      <c r="Y586" t="s">
        <v>11557</v>
      </c>
    </row>
    <row r="587" spans="1:25" x14ac:dyDescent="0.3">
      <c r="A587">
        <v>29300</v>
      </c>
      <c r="B587" t="s">
        <v>11558</v>
      </c>
      <c r="C587" t="s">
        <v>11559</v>
      </c>
      <c r="D587" t="s">
        <v>11560</v>
      </c>
      <c r="E587" t="s">
        <v>11561</v>
      </c>
      <c r="F587" t="s">
        <v>11562</v>
      </c>
      <c r="G587" t="s">
        <v>11563</v>
      </c>
      <c r="H587" t="s">
        <v>11564</v>
      </c>
      <c r="I587" t="s">
        <v>11565</v>
      </c>
      <c r="J587" t="s">
        <v>11566</v>
      </c>
      <c r="K587" t="s">
        <v>11567</v>
      </c>
      <c r="L587" t="s">
        <v>11568</v>
      </c>
      <c r="M587" t="s">
        <v>11569</v>
      </c>
      <c r="N587" t="s">
        <v>11570</v>
      </c>
      <c r="O587">
        <f>-813.546768802906 -73.5358312013047 -482.312543227982</f>
        <v>-1369.3951432321928</v>
      </c>
      <c r="P587">
        <f>-873.07834057815 -80.3988686925161 -194.215157327246</f>
        <v>-1147.692366597912</v>
      </c>
      <c r="Q587">
        <f>-648.521103376741 -35.746063164002 -269.255733597271</f>
        <v>-953.52290013801394</v>
      </c>
      <c r="R587" t="s">
        <v>11571</v>
      </c>
      <c r="S587" t="s">
        <v>11572</v>
      </c>
      <c r="T587" t="s">
        <v>11573</v>
      </c>
      <c r="U587" t="s">
        <v>11574</v>
      </c>
      <c r="V587" t="s">
        <v>11575</v>
      </c>
      <c r="W587" t="s">
        <v>11576</v>
      </c>
      <c r="X587" t="s">
        <v>11577</v>
      </c>
      <c r="Y587" t="s">
        <v>11578</v>
      </c>
    </row>
    <row r="588" spans="1:25" x14ac:dyDescent="0.3">
      <c r="A588">
        <v>29350</v>
      </c>
      <c r="B588" t="s">
        <v>11579</v>
      </c>
      <c r="C588" t="s">
        <v>11580</v>
      </c>
      <c r="D588" t="s">
        <v>11581</v>
      </c>
      <c r="E588" t="s">
        <v>11582</v>
      </c>
      <c r="F588" t="s">
        <v>11583</v>
      </c>
      <c r="G588" t="s">
        <v>11584</v>
      </c>
      <c r="H588" t="s">
        <v>11585</v>
      </c>
      <c r="I588" t="s">
        <v>11586</v>
      </c>
      <c r="J588" t="s">
        <v>11587</v>
      </c>
      <c r="K588" t="s">
        <v>11588</v>
      </c>
      <c r="L588" t="s">
        <v>11589</v>
      </c>
      <c r="M588" t="s">
        <v>11590</v>
      </c>
      <c r="N588" t="s">
        <v>11591</v>
      </c>
      <c r="O588">
        <f>-813.274358725667 -73.8408894562276 -481.892601043471</f>
        <v>-1369.0078492253656</v>
      </c>
      <c r="P588">
        <f>-872.882534103446 -79.8899500216467 -193.792738227492</f>
        <v>-1146.5652223525847</v>
      </c>
      <c r="Q588">
        <f>-648.348088146647 -35.2976712288669 -268.93721595105</f>
        <v>-952.58297532656388</v>
      </c>
      <c r="R588" t="s">
        <v>11592</v>
      </c>
      <c r="S588" t="s">
        <v>11593</v>
      </c>
      <c r="T588" t="s">
        <v>11594</v>
      </c>
      <c r="U588" t="s">
        <v>11595</v>
      </c>
      <c r="V588" t="s">
        <v>11596</v>
      </c>
      <c r="W588" t="s">
        <v>11597</v>
      </c>
      <c r="X588" t="s">
        <v>11598</v>
      </c>
      <c r="Y588" t="s">
        <v>11599</v>
      </c>
    </row>
    <row r="589" spans="1:25" x14ac:dyDescent="0.3">
      <c r="A589">
        <v>29400</v>
      </c>
      <c r="B589" t="s">
        <v>11600</v>
      </c>
      <c r="C589" t="s">
        <v>11601</v>
      </c>
      <c r="D589" t="s">
        <v>11602</v>
      </c>
      <c r="E589" t="s">
        <v>11603</v>
      </c>
      <c r="F589" t="s">
        <v>11604</v>
      </c>
      <c r="G589" t="s">
        <v>11605</v>
      </c>
      <c r="H589" t="s">
        <v>11606</v>
      </c>
      <c r="I589" t="s">
        <v>11607</v>
      </c>
      <c r="J589" t="s">
        <v>11608</v>
      </c>
      <c r="K589" t="s">
        <v>11609</v>
      </c>
      <c r="L589" t="s">
        <v>11610</v>
      </c>
      <c r="M589" t="s">
        <v>11611</v>
      </c>
      <c r="N589" t="s">
        <v>11612</v>
      </c>
      <c r="O589">
        <f>-812.852486387854 -74.1731924918531 -481.14097378604</f>
        <v>-1368.1666526657471</v>
      </c>
      <c r="P589">
        <f>-872.589087039936 -78.9390800070207 -193.043756685984</f>
        <v>-1144.5719237329406</v>
      </c>
      <c r="Q589">
        <f>-648.165740599563 -34.3080878325404 -268.496370626857</f>
        <v>-950.97019905896047</v>
      </c>
      <c r="R589" t="s">
        <v>11613</v>
      </c>
      <c r="S589" t="s">
        <v>11614</v>
      </c>
      <c r="T589" t="s">
        <v>11615</v>
      </c>
      <c r="U589" t="s">
        <v>11616</v>
      </c>
      <c r="V589" t="s">
        <v>11617</v>
      </c>
      <c r="W589" t="s">
        <v>11618</v>
      </c>
      <c r="X589" t="s">
        <v>11619</v>
      </c>
      <c r="Y589" t="s">
        <v>11620</v>
      </c>
    </row>
    <row r="590" spans="1:25" x14ac:dyDescent="0.3">
      <c r="A590">
        <v>29450</v>
      </c>
      <c r="B590" t="s">
        <v>11621</v>
      </c>
      <c r="C590" t="s">
        <v>11622</v>
      </c>
      <c r="D590" t="s">
        <v>11623</v>
      </c>
      <c r="E590" t="s">
        <v>11624</v>
      </c>
      <c r="F590" t="s">
        <v>11625</v>
      </c>
      <c r="G590" t="s">
        <v>11626</v>
      </c>
      <c r="H590" t="s">
        <v>11627</v>
      </c>
      <c r="I590" t="s">
        <v>11628</v>
      </c>
      <c r="J590" t="s">
        <v>11629</v>
      </c>
      <c r="K590" t="s">
        <v>11630</v>
      </c>
      <c r="L590" t="s">
        <v>11631</v>
      </c>
      <c r="M590" t="s">
        <v>11632</v>
      </c>
      <c r="N590" t="s">
        <v>11633</v>
      </c>
      <c r="O590">
        <f>-812.757968135418 -74.2412360422704 -480.75078041817</f>
        <v>-1367.7499845958585</v>
      </c>
      <c r="P590">
        <f>-872.399730165277 -78.5252533286434 -192.626243866781</f>
        <v>-1143.5512273607014</v>
      </c>
      <c r="Q590">
        <f>-648.013103039393 -33.9068919315159 -268.195537760578</f>
        <v>-950.11553273148684</v>
      </c>
      <c r="R590" t="s">
        <v>11634</v>
      </c>
      <c r="S590" t="s">
        <v>11635</v>
      </c>
      <c r="T590" t="s">
        <v>11636</v>
      </c>
      <c r="U590" t="s">
        <v>11637</v>
      </c>
      <c r="V590" t="s">
        <v>11638</v>
      </c>
      <c r="W590" t="s">
        <v>11639</v>
      </c>
      <c r="X590" t="s">
        <v>11640</v>
      </c>
      <c r="Y590" t="s">
        <v>11641</v>
      </c>
    </row>
    <row r="591" spans="1:25" x14ac:dyDescent="0.3">
      <c r="A591">
        <v>29500</v>
      </c>
      <c r="B591" t="s">
        <v>11642</v>
      </c>
      <c r="C591" t="s">
        <v>11643</v>
      </c>
      <c r="D591" t="s">
        <v>11644</v>
      </c>
      <c r="E591" t="s">
        <v>11645</v>
      </c>
      <c r="F591" t="s">
        <v>11646</v>
      </c>
      <c r="G591" t="s">
        <v>11647</v>
      </c>
      <c r="H591" t="s">
        <v>11648</v>
      </c>
      <c r="I591" t="s">
        <v>11649</v>
      </c>
      <c r="J591" t="s">
        <v>11650</v>
      </c>
      <c r="K591" t="s">
        <v>11651</v>
      </c>
      <c r="L591" t="s">
        <v>11652</v>
      </c>
      <c r="M591" t="s">
        <v>11653</v>
      </c>
      <c r="N591" t="s">
        <v>11654</v>
      </c>
      <c r="O591">
        <f>-812.919592002333 -74.5532693268308 -479.887378955844</f>
        <v>-1367.3602402850079</v>
      </c>
      <c r="P591">
        <f>-872.134357169129 -77.9406412405212 -191.662808924472</f>
        <v>-1141.7378073341222</v>
      </c>
      <c r="Q591">
        <f>-647.768263742051 -33.5301523112521 -267.414958404212</f>
        <v>-948.7133744575151</v>
      </c>
      <c r="R591" t="s">
        <v>11655</v>
      </c>
      <c r="S591" t="s">
        <v>11656</v>
      </c>
      <c r="T591" t="s">
        <v>11657</v>
      </c>
      <c r="U591" t="s">
        <v>11658</v>
      </c>
      <c r="V591" t="s">
        <v>11659</v>
      </c>
      <c r="W591" t="s">
        <v>11660</v>
      </c>
      <c r="X591" t="s">
        <v>11661</v>
      </c>
      <c r="Y591" t="s">
        <v>11662</v>
      </c>
    </row>
    <row r="592" spans="1:25" x14ac:dyDescent="0.3">
      <c r="A592">
        <v>29550</v>
      </c>
      <c r="B592" t="s">
        <v>11663</v>
      </c>
      <c r="C592" t="s">
        <v>11664</v>
      </c>
      <c r="D592" t="s">
        <v>11665</v>
      </c>
      <c r="E592" t="s">
        <v>11666</v>
      </c>
      <c r="F592" t="s">
        <v>11667</v>
      </c>
      <c r="G592" t="s">
        <v>11668</v>
      </c>
      <c r="H592" t="s">
        <v>11669</v>
      </c>
      <c r="I592" t="s">
        <v>11670</v>
      </c>
      <c r="J592" t="s">
        <v>11671</v>
      </c>
      <c r="K592" t="s">
        <v>11672</v>
      </c>
      <c r="L592" t="s">
        <v>11673</v>
      </c>
      <c r="M592" t="s">
        <v>11674</v>
      </c>
      <c r="N592" t="s">
        <v>11675</v>
      </c>
      <c r="O592">
        <f>-813.181657128479 -74.6601943075764 -479.48817502179</f>
        <v>-1367.3300264578454</v>
      </c>
      <c r="P592">
        <f>-872.226028515381 -77.5973569939986 -191.22385751301</f>
        <v>-1141.0472430223895</v>
      </c>
      <c r="Q592">
        <f>-647.90062125218 -33.3394993627949 -267.185531547218</f>
        <v>-948.42565216219282</v>
      </c>
      <c r="R592" t="s">
        <v>11676</v>
      </c>
      <c r="S592" t="s">
        <v>11677</v>
      </c>
      <c r="T592" t="s">
        <v>11678</v>
      </c>
      <c r="U592" t="s">
        <v>11679</v>
      </c>
      <c r="V592" t="s">
        <v>11680</v>
      </c>
      <c r="W592" t="s">
        <v>11681</v>
      </c>
      <c r="X592" t="s">
        <v>11682</v>
      </c>
      <c r="Y592" t="s">
        <v>11683</v>
      </c>
    </row>
    <row r="593" spans="1:25" x14ac:dyDescent="0.3">
      <c r="A593">
        <v>29600</v>
      </c>
      <c r="B593" t="s">
        <v>11684</v>
      </c>
      <c r="C593" t="s">
        <v>11685</v>
      </c>
      <c r="D593" t="s">
        <v>11686</v>
      </c>
      <c r="E593" t="s">
        <v>11687</v>
      </c>
      <c r="F593" t="s">
        <v>11688</v>
      </c>
      <c r="G593" t="s">
        <v>11689</v>
      </c>
      <c r="H593" t="s">
        <v>11690</v>
      </c>
      <c r="I593" t="s">
        <v>11691</v>
      </c>
      <c r="J593" t="s">
        <v>11692</v>
      </c>
      <c r="K593" t="s">
        <v>11693</v>
      </c>
      <c r="L593" t="s">
        <v>11694</v>
      </c>
      <c r="M593" t="s">
        <v>11695</v>
      </c>
      <c r="N593" t="s">
        <v>11696</v>
      </c>
      <c r="O593">
        <f>-813.77975753539 -74.8634845217803 -478.973832876489</f>
        <v>-1367.6170749336593</v>
      </c>
      <c r="P593">
        <f>-872.684211709359 -76.6584460992942 -190.671422996274</f>
        <v>-1140.0140808049273</v>
      </c>
      <c r="Q593">
        <f>-648.439727875599 -32.9788987196739 -267.205186904623</f>
        <v>-948.62381349989596</v>
      </c>
      <c r="R593" t="s">
        <v>11697</v>
      </c>
      <c r="S593" t="s">
        <v>11698</v>
      </c>
      <c r="T593" t="s">
        <v>11699</v>
      </c>
      <c r="U593" t="s">
        <v>11700</v>
      </c>
      <c r="V593" t="s">
        <v>11701</v>
      </c>
      <c r="W593" t="s">
        <v>11702</v>
      </c>
      <c r="X593" t="s">
        <v>11703</v>
      </c>
      <c r="Y593" t="s">
        <v>11704</v>
      </c>
    </row>
    <row r="594" spans="1:25" x14ac:dyDescent="0.3">
      <c r="A594">
        <v>29650</v>
      </c>
      <c r="B594" t="s">
        <v>11705</v>
      </c>
      <c r="C594" t="s">
        <v>11706</v>
      </c>
      <c r="D594" t="s">
        <v>11707</v>
      </c>
      <c r="E594" t="s">
        <v>11708</v>
      </c>
      <c r="F594" t="s">
        <v>11709</v>
      </c>
      <c r="G594" t="s">
        <v>11710</v>
      </c>
      <c r="H594" t="s">
        <v>11711</v>
      </c>
      <c r="I594" t="s">
        <v>11712</v>
      </c>
      <c r="J594" t="s">
        <v>11713</v>
      </c>
      <c r="K594" t="s">
        <v>11714</v>
      </c>
      <c r="L594" t="s">
        <v>11715</v>
      </c>
      <c r="M594" t="s">
        <v>11716</v>
      </c>
      <c r="N594" t="s">
        <v>11717</v>
      </c>
      <c r="O594">
        <f>-813.824313808377 -74.9933316204192 -478.82859778329</f>
        <v>-1367.6462432120861</v>
      </c>
      <c r="P594">
        <f>-872.65739920066 -76.454489482305 -190.509950734603</f>
        <v>-1139.621839417568</v>
      </c>
      <c r="Q594">
        <f>-648.43238238284 -33.0268383112302 -267.243737777567</f>
        <v>-948.7029584716372</v>
      </c>
      <c r="R594" t="s">
        <v>11718</v>
      </c>
      <c r="S594" t="s">
        <v>11719</v>
      </c>
      <c r="T594" t="s">
        <v>11720</v>
      </c>
      <c r="U594" t="s">
        <v>11721</v>
      </c>
      <c r="V594" t="s">
        <v>11722</v>
      </c>
      <c r="W594" t="s">
        <v>11723</v>
      </c>
      <c r="X594" t="s">
        <v>11724</v>
      </c>
      <c r="Y594" t="s">
        <v>11725</v>
      </c>
    </row>
    <row r="595" spans="1:25" x14ac:dyDescent="0.3">
      <c r="A595">
        <v>29700</v>
      </c>
      <c r="B595" t="s">
        <v>11726</v>
      </c>
      <c r="C595" t="s">
        <v>11727</v>
      </c>
      <c r="D595" t="s">
        <v>11728</v>
      </c>
      <c r="E595" t="s">
        <v>11729</v>
      </c>
      <c r="F595" t="s">
        <v>11730</v>
      </c>
      <c r="G595" t="s">
        <v>11731</v>
      </c>
      <c r="H595" t="s">
        <v>11732</v>
      </c>
      <c r="I595" t="s">
        <v>11733</v>
      </c>
      <c r="J595" t="s">
        <v>11734</v>
      </c>
      <c r="K595" t="s">
        <v>11735</v>
      </c>
      <c r="L595" t="s">
        <v>11736</v>
      </c>
      <c r="M595" t="s">
        <v>11737</v>
      </c>
      <c r="N595" t="s">
        <v>11738</v>
      </c>
      <c r="O595">
        <f>-813.547912095997 -75.5047180258707 -478.717763729888</f>
        <v>-1367.7703938517557</v>
      </c>
      <c r="P595">
        <f>-872.388780955192 -76.8861033128078 -190.399936863867</f>
        <v>-1139.6748211318668</v>
      </c>
      <c r="Q595">
        <f>-648.475682641318 -32.9109569791722 -267.730479422444</f>
        <v>-949.11711904293418</v>
      </c>
      <c r="R595" t="s">
        <v>11739</v>
      </c>
      <c r="S595" t="s">
        <v>11740</v>
      </c>
      <c r="T595" t="s">
        <v>11741</v>
      </c>
      <c r="U595" t="s">
        <v>11742</v>
      </c>
      <c r="V595" t="s">
        <v>11743</v>
      </c>
      <c r="W595" t="s">
        <v>11744</v>
      </c>
      <c r="X595" t="s">
        <v>11745</v>
      </c>
      <c r="Y595" t="s">
        <v>11746</v>
      </c>
    </row>
    <row r="596" spans="1:25" x14ac:dyDescent="0.3">
      <c r="A596">
        <v>29750</v>
      </c>
      <c r="B596" t="s">
        <v>11747</v>
      </c>
      <c r="C596" t="s">
        <v>11748</v>
      </c>
      <c r="D596" t="s">
        <v>11749</v>
      </c>
      <c r="E596" t="s">
        <v>11750</v>
      </c>
      <c r="F596" t="s">
        <v>11751</v>
      </c>
      <c r="G596" t="s">
        <v>11752</v>
      </c>
      <c r="H596" t="s">
        <v>11753</v>
      </c>
      <c r="I596" t="s">
        <v>11754</v>
      </c>
      <c r="J596" t="s">
        <v>11755</v>
      </c>
      <c r="K596" t="s">
        <v>11756</v>
      </c>
      <c r="L596" t="s">
        <v>11757</v>
      </c>
      <c r="M596" t="s">
        <v>11758</v>
      </c>
      <c r="N596" t="s">
        <v>11759</v>
      </c>
      <c r="O596">
        <f>-813.369975842978 -75.8176247508211 -478.755929215922</f>
        <v>-1367.943529809721</v>
      </c>
      <c r="P596">
        <f>-872.298953257842 -77.4485407660675 -190.457522414811</f>
        <v>-1140.2050164387203</v>
      </c>
      <c r="Q596">
        <f>-648.558041706649 -32.8540582814671 -267.931444795672</f>
        <v>-949.34354478378805</v>
      </c>
      <c r="R596" t="s">
        <v>11760</v>
      </c>
      <c r="S596" t="s">
        <v>11761</v>
      </c>
      <c r="T596" t="s">
        <v>11762</v>
      </c>
      <c r="U596" t="s">
        <v>11763</v>
      </c>
      <c r="V596" t="s">
        <v>11764</v>
      </c>
      <c r="W596" t="s">
        <v>11765</v>
      </c>
      <c r="X596" t="s">
        <v>11766</v>
      </c>
      <c r="Y596" t="s">
        <v>11767</v>
      </c>
    </row>
    <row r="597" spans="1:25" x14ac:dyDescent="0.3">
      <c r="A597">
        <v>29800</v>
      </c>
      <c r="B597" t="s">
        <v>11768</v>
      </c>
      <c r="C597" t="s">
        <v>11769</v>
      </c>
      <c r="D597" t="s">
        <v>11770</v>
      </c>
      <c r="E597" t="s">
        <v>11771</v>
      </c>
      <c r="F597" t="s">
        <v>11772</v>
      </c>
      <c r="G597" t="s">
        <v>11773</v>
      </c>
      <c r="H597" t="s">
        <v>11774</v>
      </c>
      <c r="I597" t="s">
        <v>11775</v>
      </c>
      <c r="J597" t="s">
        <v>11776</v>
      </c>
      <c r="K597" t="s">
        <v>11777</v>
      </c>
      <c r="L597" t="s">
        <v>11778</v>
      </c>
      <c r="M597" t="s">
        <v>11779</v>
      </c>
      <c r="N597" t="s">
        <v>11780</v>
      </c>
      <c r="O597">
        <f>-813.187246918065 -76.7441755869456 -478.96951782886</f>
        <v>-1368.9009403338705</v>
      </c>
      <c r="P597">
        <f>-871.929220793771 -78.9137608989943 -190.636515804319</f>
        <v>-1141.4794974970844</v>
      </c>
      <c r="Q597">
        <f>-648.396679390743 -33.1921242862227 -268.054921214334</f>
        <v>-949.6437248912996</v>
      </c>
      <c r="R597" t="s">
        <v>11781</v>
      </c>
      <c r="S597" t="s">
        <v>11782</v>
      </c>
      <c r="T597" t="s">
        <v>11783</v>
      </c>
      <c r="U597" t="s">
        <v>11784</v>
      </c>
      <c r="V597" t="s">
        <v>11785</v>
      </c>
      <c r="W597" t="s">
        <v>11786</v>
      </c>
      <c r="X597" t="s">
        <v>11787</v>
      </c>
      <c r="Y597" t="s">
        <v>11788</v>
      </c>
    </row>
    <row r="598" spans="1:25" x14ac:dyDescent="0.3">
      <c r="A598">
        <v>29850</v>
      </c>
      <c r="B598" t="s">
        <v>11789</v>
      </c>
      <c r="C598" t="s">
        <v>11790</v>
      </c>
      <c r="D598" t="s">
        <v>11791</v>
      </c>
      <c r="E598" t="s">
        <v>11792</v>
      </c>
      <c r="F598" t="s">
        <v>11793</v>
      </c>
      <c r="G598" t="s">
        <v>11794</v>
      </c>
      <c r="H598" t="s">
        <v>11795</v>
      </c>
      <c r="I598" t="s">
        <v>11796</v>
      </c>
      <c r="J598" t="s">
        <v>11797</v>
      </c>
      <c r="K598" t="s">
        <v>11798</v>
      </c>
      <c r="L598" t="s">
        <v>11799</v>
      </c>
      <c r="M598" t="s">
        <v>11800</v>
      </c>
      <c r="N598" t="s">
        <v>11801</v>
      </c>
      <c r="O598">
        <f>-813.234347281169 -77.145721635866 -479.111284574643</f>
        <v>-1369.491353491678</v>
      </c>
      <c r="P598">
        <f>-871.659669300291 -80.0287222975364 -190.720126297695</f>
        <v>-1142.4085178955224</v>
      </c>
      <c r="Q598">
        <f>-648.512444053615 -33.0383044431869 -268.489596117472</f>
        <v>-950.04034461427386</v>
      </c>
      <c r="R598" t="s">
        <v>11802</v>
      </c>
      <c r="S598" t="s">
        <v>11803</v>
      </c>
      <c r="T598" t="s">
        <v>11804</v>
      </c>
      <c r="U598" t="s">
        <v>11805</v>
      </c>
      <c r="V598" t="s">
        <v>11806</v>
      </c>
      <c r="W598" t="s">
        <v>11807</v>
      </c>
      <c r="X598" t="s">
        <v>11808</v>
      </c>
      <c r="Y598" t="s">
        <v>11809</v>
      </c>
    </row>
    <row r="599" spans="1:25" x14ac:dyDescent="0.3">
      <c r="A599">
        <v>29900</v>
      </c>
      <c r="B599" t="s">
        <v>11810</v>
      </c>
      <c r="C599" t="s">
        <v>11811</v>
      </c>
      <c r="D599" t="s">
        <v>11812</v>
      </c>
      <c r="E599" t="s">
        <v>11813</v>
      </c>
      <c r="F599" t="s">
        <v>11814</v>
      </c>
      <c r="G599" t="s">
        <v>11815</v>
      </c>
      <c r="H599" t="s">
        <v>11816</v>
      </c>
      <c r="I599" t="s">
        <v>11817</v>
      </c>
      <c r="J599" t="s">
        <v>11818</v>
      </c>
      <c r="K599" t="s">
        <v>11819</v>
      </c>
      <c r="L599" t="s">
        <v>11820</v>
      </c>
      <c r="M599" t="s">
        <v>11821</v>
      </c>
      <c r="N599" t="s">
        <v>11822</v>
      </c>
      <c r="O599">
        <f>-813.573260286836 -77.2131238613624 -479.543513545622</f>
        <v>-1370.3298976938204</v>
      </c>
      <c r="P599">
        <f>-870.990565444799 -81.5243348713527 -190.967974199595</f>
        <v>-1143.4828745157467</v>
      </c>
      <c r="Q599">
        <f>-648.724361736098 -32.2658428157479 -269.849073406187</f>
        <v>-950.83927795803288</v>
      </c>
      <c r="R599" t="s">
        <v>11823</v>
      </c>
      <c r="S599" t="s">
        <v>11824</v>
      </c>
      <c r="T599" t="s">
        <v>11825</v>
      </c>
      <c r="U599" t="s">
        <v>11826</v>
      </c>
      <c r="V599" t="s">
        <v>11827</v>
      </c>
      <c r="W599" t="s">
        <v>11828</v>
      </c>
      <c r="X599" t="s">
        <v>11829</v>
      </c>
      <c r="Y599" t="s">
        <v>11830</v>
      </c>
    </row>
    <row r="600" spans="1:25" x14ac:dyDescent="0.3">
      <c r="A600">
        <v>29950</v>
      </c>
      <c r="B600" t="s">
        <v>11831</v>
      </c>
      <c r="C600" t="s">
        <v>11832</v>
      </c>
      <c r="D600" t="s">
        <v>11833</v>
      </c>
      <c r="E600" t="s">
        <v>11834</v>
      </c>
      <c r="F600" t="s">
        <v>11835</v>
      </c>
      <c r="G600" t="s">
        <v>11836</v>
      </c>
      <c r="H600" t="s">
        <v>11837</v>
      </c>
      <c r="I600" t="s">
        <v>11838</v>
      </c>
      <c r="J600" t="s">
        <v>11839</v>
      </c>
      <c r="K600" t="s">
        <v>11840</v>
      </c>
      <c r="L600" t="s">
        <v>11841</v>
      </c>
      <c r="M600" t="s">
        <v>11842</v>
      </c>
      <c r="N600" t="s">
        <v>11843</v>
      </c>
      <c r="O600">
        <f>-813.880614823805 -77.0150811595545 -479.819113865849</f>
        <v>-1370.7148098492085</v>
      </c>
      <c r="P600">
        <f>-870.711645427299 -81.8090869821524 -191.134980406788</f>
        <v>-1143.6557128162394</v>
      </c>
      <c r="Q600">
        <f>-648.870855806756 -31.5544509280171 -270.583167471495</f>
        <v>-951.00847420626815</v>
      </c>
      <c r="R600" t="s">
        <v>11844</v>
      </c>
      <c r="S600" t="s">
        <v>11845</v>
      </c>
      <c r="T600" t="s">
        <v>11846</v>
      </c>
      <c r="U600" t="s">
        <v>11847</v>
      </c>
      <c r="V600" t="s">
        <v>11848</v>
      </c>
      <c r="W600" t="s">
        <v>11849</v>
      </c>
      <c r="X600" t="s">
        <v>11850</v>
      </c>
      <c r="Y600" t="s">
        <v>11851</v>
      </c>
    </row>
    <row r="601" spans="1:25" x14ac:dyDescent="0.3">
      <c r="A601">
        <v>30000</v>
      </c>
      <c r="B601" t="s">
        <v>11852</v>
      </c>
      <c r="C601" t="s">
        <v>11853</v>
      </c>
      <c r="D601" t="s">
        <v>11854</v>
      </c>
      <c r="E601" t="s">
        <v>11855</v>
      </c>
      <c r="F601" t="s">
        <v>11856</v>
      </c>
      <c r="G601" t="s">
        <v>11857</v>
      </c>
      <c r="H601" t="s">
        <v>11858</v>
      </c>
      <c r="I601" t="s">
        <v>11859</v>
      </c>
      <c r="J601" t="s">
        <v>11860</v>
      </c>
      <c r="K601" t="s">
        <v>11861</v>
      </c>
      <c r="L601" t="s">
        <v>11862</v>
      </c>
      <c r="M601" t="s">
        <v>11863</v>
      </c>
      <c r="N601" t="s">
        <v>11864</v>
      </c>
      <c r="O601">
        <f>-814.400172631329 -76.7564007194171 -480.291600302856</f>
        <v>-1371.4481736536022</v>
      </c>
      <c r="P601">
        <f>-869.797717073 -83.1463917391682 -191.359937370921</f>
        <v>-1144.3040461830901</v>
      </c>
      <c r="Q601">
        <f>-648.805734137733 -30.2996029929727 -271.488572243887</f>
        <v>-950.59390937459273</v>
      </c>
      <c r="R601" t="s">
        <v>11865</v>
      </c>
      <c r="S601" t="s">
        <v>11866</v>
      </c>
      <c r="T601" t="s">
        <v>11867</v>
      </c>
      <c r="U601" t="s">
        <v>11868</v>
      </c>
      <c r="V601" t="s">
        <v>11869</v>
      </c>
      <c r="W601" t="s">
        <v>11870</v>
      </c>
      <c r="X601" t="s">
        <v>11871</v>
      </c>
      <c r="Y601" t="s">
        <v>11872</v>
      </c>
    </row>
    <row r="602" spans="1:25" x14ac:dyDescent="0.3">
      <c r="A602">
        <v>30050</v>
      </c>
      <c r="B602" t="s">
        <v>11873</v>
      </c>
      <c r="C602" t="s">
        <v>11874</v>
      </c>
      <c r="D602" t="s">
        <v>11875</v>
      </c>
      <c r="E602" t="s">
        <v>11876</v>
      </c>
      <c r="F602" t="s">
        <v>11877</v>
      </c>
      <c r="G602" t="s">
        <v>11878</v>
      </c>
      <c r="H602" t="s">
        <v>11879</v>
      </c>
      <c r="I602" t="s">
        <v>11880</v>
      </c>
      <c r="J602" t="s">
        <v>11881</v>
      </c>
      <c r="K602" t="s">
        <v>11882</v>
      </c>
      <c r="L602" t="s">
        <v>11883</v>
      </c>
      <c r="M602" t="s">
        <v>11884</v>
      </c>
      <c r="N602" t="s">
        <v>11885</v>
      </c>
      <c r="O602">
        <f>-814.630214867885 -76.5609641527067 -480.461463796889</f>
        <v>-1371.6526428174807</v>
      </c>
      <c r="P602">
        <f>-869.359576421161 -83.5909513085201 -191.417298853361</f>
        <v>-1144.3678265830422</v>
      </c>
      <c r="Q602">
        <f>-648.6854679301 -29.6505188042015 -271.694091218111</f>
        <v>-950.03007795241251</v>
      </c>
      <c r="R602" t="s">
        <v>11886</v>
      </c>
      <c r="S602" t="s">
        <v>11887</v>
      </c>
      <c r="T602" t="s">
        <v>11888</v>
      </c>
      <c r="U602" t="s">
        <v>11889</v>
      </c>
      <c r="V602" t="s">
        <v>11890</v>
      </c>
      <c r="W602" t="s">
        <v>11891</v>
      </c>
      <c r="X602" t="s">
        <v>11892</v>
      </c>
      <c r="Y602" t="s">
        <v>11893</v>
      </c>
    </row>
    <row r="603" spans="1:25" x14ac:dyDescent="0.3">
      <c r="A603">
        <v>30100</v>
      </c>
      <c r="B603" t="s">
        <v>11894</v>
      </c>
      <c r="C603" t="s">
        <v>11895</v>
      </c>
      <c r="D603" t="s">
        <v>11896</v>
      </c>
      <c r="E603" t="s">
        <v>11897</v>
      </c>
      <c r="F603" t="s">
        <v>11898</v>
      </c>
      <c r="G603" t="s">
        <v>11899</v>
      </c>
      <c r="H603" t="s">
        <v>11900</v>
      </c>
      <c r="I603" t="s">
        <v>11901</v>
      </c>
      <c r="J603" t="s">
        <v>11902</v>
      </c>
      <c r="K603" t="s">
        <v>11903</v>
      </c>
      <c r="L603" t="s">
        <v>11904</v>
      </c>
      <c r="M603" t="s">
        <v>11905</v>
      </c>
      <c r="N603" t="s">
        <v>11906</v>
      </c>
      <c r="O603">
        <f>-815.028694646768 -76.166759262492 -480.736225103679</f>
        <v>-1371.931679012939</v>
      </c>
      <c r="P603">
        <f>-868.927977745404 -83.8247323680316 -191.552152919386</f>
        <v>-1144.3048630328217</v>
      </c>
      <c r="Q603">
        <f>-648.443869454341 -29.3081720974437 -271.96111771849</f>
        <v>-949.71315927027467</v>
      </c>
      <c r="R603" t="s">
        <v>11907</v>
      </c>
      <c r="S603" t="s">
        <v>11908</v>
      </c>
      <c r="T603" t="s">
        <v>11909</v>
      </c>
      <c r="U603" t="s">
        <v>11910</v>
      </c>
      <c r="V603" t="s">
        <v>11911</v>
      </c>
      <c r="W603" t="s">
        <v>11912</v>
      </c>
      <c r="X603" t="s">
        <v>11913</v>
      </c>
      <c r="Y603" t="s">
        <v>11914</v>
      </c>
    </row>
    <row r="604" spans="1:25" x14ac:dyDescent="0.3">
      <c r="A604">
        <v>30150</v>
      </c>
      <c r="B604" t="s">
        <v>11915</v>
      </c>
      <c r="C604" t="s">
        <v>11916</v>
      </c>
      <c r="D604" t="s">
        <v>11917</v>
      </c>
      <c r="E604" t="s">
        <v>11918</v>
      </c>
      <c r="F604" t="s">
        <v>11919</v>
      </c>
      <c r="G604" t="s">
        <v>11920</v>
      </c>
      <c r="H604" t="s">
        <v>11921</v>
      </c>
      <c r="I604" t="s">
        <v>11922</v>
      </c>
      <c r="J604" t="s">
        <v>11923</v>
      </c>
      <c r="K604" t="s">
        <v>11924</v>
      </c>
      <c r="L604" t="s">
        <v>11925</v>
      </c>
      <c r="M604" t="s">
        <v>11926</v>
      </c>
      <c r="N604" t="s">
        <v>11927</v>
      </c>
      <c r="O604">
        <f>-815.214653619112 -75.6730988653212 -480.902691161321</f>
        <v>-1371.7904436457543</v>
      </c>
      <c r="P604">
        <f>-868.96848707542 -83.4240267728096 -191.693941355434</f>
        <v>-1144.0864552036635</v>
      </c>
      <c r="Q604">
        <f>-648.466915820222 -29.0763308066498 -272.169159445618</f>
        <v>-949.71240607248978</v>
      </c>
      <c r="R604" t="s">
        <v>11928</v>
      </c>
      <c r="S604" t="s">
        <v>11929</v>
      </c>
      <c r="T604" t="s">
        <v>11930</v>
      </c>
      <c r="U604" t="s">
        <v>11931</v>
      </c>
      <c r="V604" t="s">
        <v>11932</v>
      </c>
      <c r="W604" t="s">
        <v>11933</v>
      </c>
      <c r="X604" t="s">
        <v>11934</v>
      </c>
      <c r="Y604" t="s">
        <v>11935</v>
      </c>
    </row>
    <row r="605" spans="1:25" x14ac:dyDescent="0.3">
      <c r="A605">
        <v>30200</v>
      </c>
      <c r="B605" t="s">
        <v>11936</v>
      </c>
      <c r="C605" t="s">
        <v>11937</v>
      </c>
      <c r="D605" t="s">
        <v>11938</v>
      </c>
      <c r="E605" t="s">
        <v>11939</v>
      </c>
      <c r="F605" t="s">
        <v>11940</v>
      </c>
      <c r="G605" t="s">
        <v>11941</v>
      </c>
      <c r="H605" t="s">
        <v>11942</v>
      </c>
      <c r="I605" t="s">
        <v>11943</v>
      </c>
      <c r="J605" t="s">
        <v>11944</v>
      </c>
      <c r="K605" t="s">
        <v>11945</v>
      </c>
      <c r="L605" t="s">
        <v>11946</v>
      </c>
      <c r="M605" t="s">
        <v>11947</v>
      </c>
      <c r="N605" t="s">
        <v>11948</v>
      </c>
      <c r="O605">
        <f>-815.263698345083 -74.5273673185627 -481.394701827466</f>
        <v>-1371.1857674911116</v>
      </c>
      <c r="P605">
        <f>-869.716775247922 -82.1394968765867 -192.313235024156</f>
        <v>-1144.1695071486647</v>
      </c>
      <c r="Q605">
        <f>-648.82152411255 -29.136268180865 -272.604932014964</f>
        <v>-950.56272430837907</v>
      </c>
      <c r="R605" t="s">
        <v>11949</v>
      </c>
      <c r="S605" t="s">
        <v>11950</v>
      </c>
      <c r="T605" t="s">
        <v>11951</v>
      </c>
      <c r="U605" t="s">
        <v>11952</v>
      </c>
      <c r="V605" t="s">
        <v>11953</v>
      </c>
      <c r="W605" t="s">
        <v>11954</v>
      </c>
      <c r="X605" t="s">
        <v>11955</v>
      </c>
      <c r="Y605" t="s">
        <v>11956</v>
      </c>
    </row>
    <row r="606" spans="1:25" x14ac:dyDescent="0.3">
      <c r="A606">
        <v>30250</v>
      </c>
      <c r="B606" t="s">
        <v>11957</v>
      </c>
      <c r="C606" t="s">
        <v>11958</v>
      </c>
      <c r="D606" t="s">
        <v>11959</v>
      </c>
      <c r="E606" t="s">
        <v>11960</v>
      </c>
      <c r="F606" t="s">
        <v>11961</v>
      </c>
      <c r="G606" t="s">
        <v>11962</v>
      </c>
      <c r="H606" t="s">
        <v>11963</v>
      </c>
      <c r="I606" t="s">
        <v>11964</v>
      </c>
      <c r="J606" t="s">
        <v>11965</v>
      </c>
      <c r="K606" t="s">
        <v>11966</v>
      </c>
      <c r="L606" t="s">
        <v>11967</v>
      </c>
      <c r="M606" t="s">
        <v>11968</v>
      </c>
      <c r="N606" t="s">
        <v>11969</v>
      </c>
      <c r="O606">
        <f>-815.501359178225 -74.0699971588606 -481.650844325488</f>
        <v>-1371.2222006625736</v>
      </c>
      <c r="P606">
        <f>-870.5203293677 -81.9922891654483 -192.684739653637</f>
        <v>-1145.1973581867853</v>
      </c>
      <c r="Q606">
        <f>-648.9005987623 -30.5080046072676 -271.962785473917</f>
        <v>-951.37138884348451</v>
      </c>
      <c r="R606" t="s">
        <v>11970</v>
      </c>
      <c r="S606" t="s">
        <v>11971</v>
      </c>
      <c r="T606" t="s">
        <v>11972</v>
      </c>
      <c r="U606" t="s">
        <v>11973</v>
      </c>
      <c r="V606" t="s">
        <v>11974</v>
      </c>
      <c r="W606" t="s">
        <v>11975</v>
      </c>
      <c r="X606" t="s">
        <v>11976</v>
      </c>
      <c r="Y606" t="s">
        <v>11977</v>
      </c>
    </row>
    <row r="607" spans="1:25" x14ac:dyDescent="0.3">
      <c r="A607">
        <v>30300</v>
      </c>
      <c r="B607" t="s">
        <v>11978</v>
      </c>
      <c r="C607" t="s">
        <v>11979</v>
      </c>
      <c r="D607" t="s">
        <v>11980</v>
      </c>
      <c r="E607" t="s">
        <v>11981</v>
      </c>
      <c r="F607" t="s">
        <v>11982</v>
      </c>
      <c r="G607" t="s">
        <v>11983</v>
      </c>
      <c r="H607" t="s">
        <v>11984</v>
      </c>
      <c r="I607" t="s">
        <v>11985</v>
      </c>
      <c r="J607" t="s">
        <v>11986</v>
      </c>
      <c r="K607" t="s">
        <v>11987</v>
      </c>
      <c r="L607" t="s">
        <v>11988</v>
      </c>
      <c r="M607" t="s">
        <v>11989</v>
      </c>
      <c r="N607" t="s">
        <v>11990</v>
      </c>
      <c r="O607">
        <f>-815.963165490233 -73.9800739546663 -481.55846258867</f>
        <v>-1371.5017020335692</v>
      </c>
      <c r="P607">
        <f>-871.304114641916 -82.1572814888727 -192.661021841472</f>
        <v>-1146.1224179722608</v>
      </c>
      <c r="Q607">
        <f>-648.98121034728 -32.1695797921934 -270.920697199628</f>
        <v>-952.0714873391014</v>
      </c>
      <c r="R607" t="s">
        <v>11991</v>
      </c>
      <c r="S607" t="s">
        <v>11992</v>
      </c>
      <c r="T607" t="s">
        <v>11993</v>
      </c>
      <c r="U607" t="s">
        <v>11994</v>
      </c>
      <c r="V607" t="s">
        <v>11995</v>
      </c>
      <c r="W607" t="s">
        <v>11996</v>
      </c>
      <c r="X607" t="s">
        <v>11997</v>
      </c>
      <c r="Y607" t="s">
        <v>11998</v>
      </c>
    </row>
    <row r="608" spans="1:25" x14ac:dyDescent="0.3">
      <c r="A608">
        <v>30350</v>
      </c>
      <c r="B608" t="s">
        <v>11999</v>
      </c>
      <c r="C608" t="s">
        <v>12000</v>
      </c>
      <c r="D608" t="s">
        <v>12001</v>
      </c>
      <c r="E608" t="s">
        <v>12002</v>
      </c>
      <c r="F608" t="s">
        <v>12003</v>
      </c>
      <c r="G608" t="s">
        <v>12004</v>
      </c>
      <c r="H608" t="s">
        <v>12005</v>
      </c>
      <c r="I608" t="s">
        <v>12006</v>
      </c>
      <c r="J608" t="s">
        <v>12007</v>
      </c>
      <c r="K608" t="s">
        <v>12008</v>
      </c>
      <c r="L608" t="s">
        <v>12009</v>
      </c>
      <c r="M608" t="s">
        <v>12010</v>
      </c>
      <c r="N608" t="s">
        <v>12011</v>
      </c>
      <c r="O608">
        <f>-816.253442980712 -73.921913775717 -481.385650095879</f>
        <v>-1371.5610068523079</v>
      </c>
      <c r="P608">
        <f>-871.720127849985 -81.8600450879064 -192.505657940647</f>
        <v>-1146.0858308785384</v>
      </c>
      <c r="Q608">
        <f>-648.950388459688 -32.9089531072391 -270.147667448911</f>
        <v>-952.00700901583809</v>
      </c>
      <c r="R608" t="s">
        <v>12012</v>
      </c>
      <c r="S608" t="s">
        <v>12013</v>
      </c>
      <c r="T608" t="s">
        <v>12014</v>
      </c>
      <c r="U608" t="s">
        <v>12015</v>
      </c>
      <c r="V608" t="s">
        <v>12016</v>
      </c>
      <c r="W608" t="s">
        <v>12017</v>
      </c>
      <c r="X608" t="s">
        <v>12018</v>
      </c>
      <c r="Y608" t="s">
        <v>12019</v>
      </c>
    </row>
    <row r="609" spans="1:25" x14ac:dyDescent="0.3">
      <c r="A609">
        <v>30400</v>
      </c>
      <c r="B609" t="s">
        <v>12020</v>
      </c>
      <c r="C609" t="s">
        <v>12021</v>
      </c>
      <c r="D609" t="s">
        <v>12022</v>
      </c>
      <c r="E609" t="s">
        <v>12023</v>
      </c>
      <c r="F609" t="s">
        <v>12024</v>
      </c>
      <c r="G609" t="s">
        <v>12025</v>
      </c>
      <c r="H609" t="s">
        <v>12026</v>
      </c>
      <c r="I609" t="s">
        <v>12027</v>
      </c>
      <c r="J609" t="s">
        <v>12028</v>
      </c>
      <c r="K609" t="s">
        <v>12029</v>
      </c>
      <c r="L609" t="s">
        <v>12030</v>
      </c>
      <c r="M609" t="s">
        <v>12031</v>
      </c>
      <c r="N609" t="s">
        <v>12032</v>
      </c>
      <c r="O609">
        <f>-817.058899969526 -73.3669109108014 -481.027603039161</f>
        <v>-1371.4534139194884</v>
      </c>
      <c r="P609">
        <f>-873.147151626756 -79.7447677474993 -192.229104097641</f>
        <v>-1145.1210234718963</v>
      </c>
      <c r="Q609">
        <f>-649.524569895361 -33.08690755512 -268.824229785297</f>
        <v>-951.43570723577795</v>
      </c>
      <c r="R609" t="s">
        <v>12033</v>
      </c>
      <c r="S609" t="s">
        <v>12034</v>
      </c>
      <c r="T609" t="s">
        <v>12035</v>
      </c>
      <c r="U609" t="s">
        <v>12036</v>
      </c>
      <c r="V609" t="s">
        <v>12037</v>
      </c>
      <c r="W609" t="s">
        <v>12038</v>
      </c>
      <c r="X609" t="s">
        <v>12039</v>
      </c>
      <c r="Y609" t="s">
        <v>12040</v>
      </c>
    </row>
    <row r="610" spans="1:25" x14ac:dyDescent="0.3">
      <c r="A610">
        <v>30450</v>
      </c>
      <c r="B610" t="s">
        <v>12041</v>
      </c>
      <c r="C610" t="s">
        <v>12042</v>
      </c>
      <c r="D610" t="s">
        <v>12043</v>
      </c>
      <c r="E610" t="s">
        <v>12044</v>
      </c>
      <c r="F610" t="s">
        <v>12045</v>
      </c>
      <c r="G610" t="s">
        <v>12046</v>
      </c>
      <c r="H610" t="s">
        <v>12047</v>
      </c>
      <c r="I610" t="s">
        <v>12048</v>
      </c>
      <c r="J610" t="s">
        <v>12049</v>
      </c>
      <c r="K610" t="s">
        <v>12050</v>
      </c>
      <c r="L610" t="s">
        <v>12051</v>
      </c>
      <c r="M610" t="s">
        <v>12052</v>
      </c>
      <c r="N610" t="s">
        <v>12053</v>
      </c>
      <c r="O610">
        <f>-817.534777192682 -72.9210432437105 -480.91177409862</f>
        <v>-1371.3675945350126</v>
      </c>
      <c r="P610">
        <f>-874.173964508306 -78.1936019254911 -192.198347538459</f>
        <v>-1144.5659139722561</v>
      </c>
      <c r="Q610">
        <f>-650.186038229283 -32.9411995136584 -268.569596947978</f>
        <v>-951.69683469091933</v>
      </c>
      <c r="R610" t="s">
        <v>12054</v>
      </c>
      <c r="S610" t="s">
        <v>12055</v>
      </c>
      <c r="T610" t="s">
        <v>12056</v>
      </c>
      <c r="U610" t="s">
        <v>12057</v>
      </c>
      <c r="V610" t="s">
        <v>12058</v>
      </c>
      <c r="W610" t="s">
        <v>12059</v>
      </c>
      <c r="X610" t="s">
        <v>12060</v>
      </c>
      <c r="Y610" t="s">
        <v>12061</v>
      </c>
    </row>
    <row r="611" spans="1:25" x14ac:dyDescent="0.3">
      <c r="A611">
        <v>30500</v>
      </c>
      <c r="B611" t="s">
        <v>12062</v>
      </c>
      <c r="C611" t="s">
        <v>12063</v>
      </c>
      <c r="D611" t="s">
        <v>12064</v>
      </c>
      <c r="E611" t="s">
        <v>12065</v>
      </c>
      <c r="F611" t="s">
        <v>12066</v>
      </c>
      <c r="G611" t="s">
        <v>12067</v>
      </c>
      <c r="H611" t="s">
        <v>12068</v>
      </c>
      <c r="I611" t="s">
        <v>12069</v>
      </c>
      <c r="J611" t="s">
        <v>12070</v>
      </c>
      <c r="K611" t="s">
        <v>12071</v>
      </c>
      <c r="L611" t="s">
        <v>12072</v>
      </c>
      <c r="M611" t="s">
        <v>12073</v>
      </c>
      <c r="N611" t="s">
        <v>12074</v>
      </c>
      <c r="O611">
        <f>-818.205436221964 -71.7910466709377 -480.821234919904</f>
        <v>-1370.8177178128058</v>
      </c>
      <c r="P611">
        <f>-876.418840635022 -76.1975552904271 -192.406764983017</f>
        <v>-1145.023160908466</v>
      </c>
      <c r="Q611">
        <f>-651.371852795189 -33.2274536109994 -266.959942707589</f>
        <v>-951.55924911377747</v>
      </c>
      <c r="R611" t="s">
        <v>12075</v>
      </c>
      <c r="S611" t="s">
        <v>12076</v>
      </c>
      <c r="T611" t="s">
        <v>12077</v>
      </c>
      <c r="U611" t="s">
        <v>12078</v>
      </c>
      <c r="V611" t="s">
        <v>12079</v>
      </c>
      <c r="W611" t="s">
        <v>12080</v>
      </c>
      <c r="X611" t="s">
        <v>12081</v>
      </c>
      <c r="Y611" t="s">
        <v>12082</v>
      </c>
    </row>
    <row r="612" spans="1:25" x14ac:dyDescent="0.3">
      <c r="A612">
        <v>30550</v>
      </c>
      <c r="B612" t="s">
        <v>12083</v>
      </c>
      <c r="C612" t="s">
        <v>12084</v>
      </c>
      <c r="D612" t="s">
        <v>12085</v>
      </c>
      <c r="E612" t="s">
        <v>12086</v>
      </c>
      <c r="F612" t="s">
        <v>12087</v>
      </c>
      <c r="G612" t="s">
        <v>12088</v>
      </c>
      <c r="H612" t="s">
        <v>12089</v>
      </c>
      <c r="I612" t="s">
        <v>12090</v>
      </c>
      <c r="J612" t="s">
        <v>12091</v>
      </c>
      <c r="K612" t="s">
        <v>12092</v>
      </c>
      <c r="L612" t="s">
        <v>12093</v>
      </c>
      <c r="M612" t="s">
        <v>12094</v>
      </c>
      <c r="N612" t="s">
        <v>12095</v>
      </c>
      <c r="O612">
        <f>-818.418919030156 -71.3202114119754 -480.843107877507</f>
        <v>-1370.5822383196382</v>
      </c>
      <c r="P612">
        <f>-877.881621068611 -75.6788435153164 -192.682809012302</f>
        <v>-1146.2432735962295</v>
      </c>
      <c r="Q612">
        <f>-651.993646644298 -34.3722488789208 -265.615759335629</f>
        <v>-951.98165485884783</v>
      </c>
      <c r="R612" t="s">
        <v>12096</v>
      </c>
      <c r="S612" t="s">
        <v>12097</v>
      </c>
      <c r="T612" t="s">
        <v>12098</v>
      </c>
      <c r="U612" t="s">
        <v>12099</v>
      </c>
      <c r="V612" t="s">
        <v>12100</v>
      </c>
      <c r="W612" t="s">
        <v>12101</v>
      </c>
      <c r="X612" t="s">
        <v>12102</v>
      </c>
      <c r="Y612" t="s">
        <v>12103</v>
      </c>
    </row>
    <row r="613" spans="1:25" x14ac:dyDescent="0.3">
      <c r="A613">
        <v>30600</v>
      </c>
      <c r="B613" t="s">
        <v>12104</v>
      </c>
      <c r="C613" t="s">
        <v>12105</v>
      </c>
      <c r="D613" t="s">
        <v>12106</v>
      </c>
      <c r="E613" t="s">
        <v>12107</v>
      </c>
      <c r="F613" t="s">
        <v>12108</v>
      </c>
      <c r="G613" t="s">
        <v>12109</v>
      </c>
      <c r="H613" t="s">
        <v>12110</v>
      </c>
      <c r="I613" t="s">
        <v>12111</v>
      </c>
      <c r="J613" t="s">
        <v>12112</v>
      </c>
      <c r="K613" t="s">
        <v>12113</v>
      </c>
      <c r="L613" t="s">
        <v>12114</v>
      </c>
      <c r="M613" t="s">
        <v>12115</v>
      </c>
      <c r="N613" t="s">
        <v>12116</v>
      </c>
      <c r="O613">
        <f>-818.976460259852 -70.7091240011266 -480.944597242569</f>
        <v>-1370.6301815035476</v>
      </c>
      <c r="P613">
        <f>-881.531269689337 -74.2893645641939 -193.428830417574</f>
        <v>-1149.249464671105</v>
      </c>
      <c r="Q613">
        <f>-653.835471265556 -37.7631229192496 -263.223421735195</f>
        <v>-954.82201592000047</v>
      </c>
      <c r="R613" t="s">
        <v>12117</v>
      </c>
      <c r="S613" t="s">
        <v>12118</v>
      </c>
      <c r="T613" t="s">
        <v>12119</v>
      </c>
      <c r="U613" t="s">
        <v>12120</v>
      </c>
      <c r="V613" t="s">
        <v>12121</v>
      </c>
      <c r="W613" t="s">
        <v>12122</v>
      </c>
      <c r="X613" t="s">
        <v>12123</v>
      </c>
      <c r="Y613" t="s">
        <v>12124</v>
      </c>
    </row>
    <row r="614" spans="1:25" x14ac:dyDescent="0.3">
      <c r="A614">
        <v>30650</v>
      </c>
      <c r="B614" t="s">
        <v>12125</v>
      </c>
      <c r="C614" t="s">
        <v>12126</v>
      </c>
      <c r="D614" t="s">
        <v>12127</v>
      </c>
      <c r="E614" t="s">
        <v>12128</v>
      </c>
      <c r="F614" t="s">
        <v>12129</v>
      </c>
      <c r="G614" t="s">
        <v>12130</v>
      </c>
      <c r="H614" t="s">
        <v>12131</v>
      </c>
      <c r="I614" t="s">
        <v>12132</v>
      </c>
      <c r="J614" t="s">
        <v>12133</v>
      </c>
      <c r="K614" t="s">
        <v>12134</v>
      </c>
      <c r="L614" t="s">
        <v>12135</v>
      </c>
      <c r="M614" t="s">
        <v>12136</v>
      </c>
      <c r="N614" t="s">
        <v>12137</v>
      </c>
      <c r="O614">
        <f>-819.314485996841 -70.5366855721536 -480.975115909777</f>
        <v>-1370.8262874787715</v>
      </c>
      <c r="P614">
        <f>-883.615422246114 -73.359143926159 -193.836282141278</f>
        <v>-1150.8108483135511</v>
      </c>
      <c r="Q614">
        <f>-655.204824321254 -39.3101676372939 -262.53936305956</f>
        <v>-957.05435501810803</v>
      </c>
      <c r="R614" t="s">
        <v>12138</v>
      </c>
      <c r="S614" t="s">
        <v>12139</v>
      </c>
      <c r="T614" t="s">
        <v>12140</v>
      </c>
      <c r="U614" t="s">
        <v>12141</v>
      </c>
      <c r="V614" t="s">
        <v>12142</v>
      </c>
      <c r="W614" t="s">
        <v>12143</v>
      </c>
      <c r="X614" t="s">
        <v>12144</v>
      </c>
      <c r="Y614" t="s">
        <v>12145</v>
      </c>
    </row>
    <row r="615" spans="1:25" x14ac:dyDescent="0.3">
      <c r="A615">
        <v>30700</v>
      </c>
      <c r="B615" t="s">
        <v>12146</v>
      </c>
      <c r="C615" t="s">
        <v>12147</v>
      </c>
      <c r="D615" t="s">
        <v>12148</v>
      </c>
      <c r="E615" t="s">
        <v>12149</v>
      </c>
      <c r="F615" t="s">
        <v>12150</v>
      </c>
      <c r="G615" t="s">
        <v>12151</v>
      </c>
      <c r="H615" t="s">
        <v>12152</v>
      </c>
      <c r="I615" t="s">
        <v>12153</v>
      </c>
      <c r="J615" t="s">
        <v>12154</v>
      </c>
      <c r="K615" t="s">
        <v>12155</v>
      </c>
      <c r="L615" t="s">
        <v>12156</v>
      </c>
      <c r="M615" t="s">
        <v>12157</v>
      </c>
      <c r="N615" t="s">
        <v>12158</v>
      </c>
      <c r="O615">
        <f>-820.135706589428 -70.0073271572976 -480.932707741242</f>
        <v>-1371.0757414879677</v>
      </c>
      <c r="P615">
        <f>-887.256060828502 -70.6620428487072 -194.426870057913</f>
        <v>-1152.344973735122</v>
      </c>
      <c r="Q615">
        <f>-657.866207284564 -40.755118546411 -261.781738160364</f>
        <v>-960.40306399133897</v>
      </c>
      <c r="R615" t="s">
        <v>12159</v>
      </c>
      <c r="S615" t="s">
        <v>12160</v>
      </c>
      <c r="T615" t="s">
        <v>12161</v>
      </c>
      <c r="U615" t="s">
        <v>12162</v>
      </c>
      <c r="V615" t="s">
        <v>12163</v>
      </c>
      <c r="W615" t="s">
        <v>12164</v>
      </c>
      <c r="X615" t="s">
        <v>12165</v>
      </c>
      <c r="Y615" t="s">
        <v>12166</v>
      </c>
    </row>
    <row r="616" spans="1:25" x14ac:dyDescent="0.3">
      <c r="A616">
        <v>30750</v>
      </c>
      <c r="B616" t="s">
        <v>12167</v>
      </c>
      <c r="C616" t="s">
        <v>12168</v>
      </c>
      <c r="D616" t="s">
        <v>12169</v>
      </c>
      <c r="E616" t="s">
        <v>12170</v>
      </c>
      <c r="F616" t="s">
        <v>12171</v>
      </c>
      <c r="G616" t="s">
        <v>12172</v>
      </c>
      <c r="H616" t="s">
        <v>12173</v>
      </c>
      <c r="I616" t="s">
        <v>12174</v>
      </c>
      <c r="J616" t="s">
        <v>12175</v>
      </c>
      <c r="K616" t="s">
        <v>12176</v>
      </c>
      <c r="L616" t="s">
        <v>12177</v>
      </c>
      <c r="M616" t="s">
        <v>12178</v>
      </c>
      <c r="N616" t="s">
        <v>12179</v>
      </c>
      <c r="O616">
        <f>-820.750664371802 -69.692793082668 -480.848766077952</f>
        <v>-1371.292223532422</v>
      </c>
      <c r="P616">
        <f>-888.727637405886 -69.0471501725788 -194.544873370208</f>
        <v>-1152.3196609486727</v>
      </c>
      <c r="Q616">
        <f>-659.052148348978 -40.9121061218234 -261.690037188908</f>
        <v>-961.65429165970932</v>
      </c>
      <c r="R616" t="s">
        <v>12180</v>
      </c>
      <c r="S616" t="s">
        <v>12181</v>
      </c>
      <c r="T616" t="s">
        <v>12182</v>
      </c>
      <c r="U616" t="s">
        <v>12183</v>
      </c>
      <c r="V616" t="s">
        <v>12184</v>
      </c>
      <c r="W616" t="s">
        <v>12185</v>
      </c>
      <c r="X616" t="s">
        <v>12186</v>
      </c>
      <c r="Y616" t="s">
        <v>12187</v>
      </c>
    </row>
    <row r="617" spans="1:25" x14ac:dyDescent="0.3">
      <c r="A617">
        <v>30800</v>
      </c>
      <c r="B617" t="s">
        <v>12188</v>
      </c>
      <c r="C617" t="s">
        <v>12189</v>
      </c>
      <c r="D617" t="s">
        <v>12190</v>
      </c>
      <c r="E617" t="s">
        <v>12191</v>
      </c>
      <c r="F617" t="s">
        <v>12192</v>
      </c>
      <c r="G617" t="s">
        <v>12193</v>
      </c>
      <c r="H617" t="s">
        <v>12194</v>
      </c>
      <c r="I617" t="s">
        <v>12195</v>
      </c>
      <c r="J617" t="s">
        <v>12196</v>
      </c>
      <c r="K617" t="s">
        <v>12197</v>
      </c>
      <c r="L617" t="s">
        <v>12198</v>
      </c>
      <c r="M617" t="s">
        <v>12199</v>
      </c>
      <c r="N617" t="s">
        <v>12200</v>
      </c>
      <c r="O617">
        <f>-821.351138073851 -69.5613319803008 -480.686575164887</f>
        <v>-1371.5990452190388</v>
      </c>
      <c r="P617">
        <f>-889.827667101119 -67.7106619484027 -194.50705076779</f>
        <v>-1152.0453798173116</v>
      </c>
      <c r="Q617">
        <f>-660.109754737287 -40.7354756312811 -261.981295993984</f>
        <v>-962.82652636255216</v>
      </c>
      <c r="R617" t="s">
        <v>12201</v>
      </c>
      <c r="S617" t="s">
        <v>12202</v>
      </c>
      <c r="T617" t="s">
        <v>12203</v>
      </c>
      <c r="U617" t="s">
        <v>12204</v>
      </c>
      <c r="V617" t="s">
        <v>12205</v>
      </c>
      <c r="W617" t="s">
        <v>12206</v>
      </c>
      <c r="X617" t="s">
        <v>12207</v>
      </c>
      <c r="Y617" t="s">
        <v>12208</v>
      </c>
    </row>
    <row r="618" spans="1:25" x14ac:dyDescent="0.3">
      <c r="A618">
        <v>30850</v>
      </c>
      <c r="B618" t="s">
        <v>12209</v>
      </c>
      <c r="C618" t="s">
        <v>12210</v>
      </c>
      <c r="D618" t="s">
        <v>12211</v>
      </c>
      <c r="E618" t="s">
        <v>12212</v>
      </c>
      <c r="F618" t="s">
        <v>12213</v>
      </c>
      <c r="G618" t="s">
        <v>12214</v>
      </c>
      <c r="H618" t="s">
        <v>12215</v>
      </c>
      <c r="I618" t="s">
        <v>12216</v>
      </c>
      <c r="J618" t="s">
        <v>12217</v>
      </c>
      <c r="K618" t="s">
        <v>12218</v>
      </c>
      <c r="L618" t="s">
        <v>12219</v>
      </c>
      <c r="M618" t="s">
        <v>12220</v>
      </c>
      <c r="N618" t="s">
        <v>12221</v>
      </c>
      <c r="O618">
        <f>-822.750395876591 -69.491866478349 -480.371800699338</f>
        <v>-1372.6140630542782</v>
      </c>
      <c r="P618">
        <f>-891.680961459453 -65.9524088712908 -194.317093630931</f>
        <v>-1151.9504639616748</v>
      </c>
      <c r="Q618">
        <f>-662.47350052079 -39.6275098586314 -263.756755595827</f>
        <v>-965.85776597524841</v>
      </c>
      <c r="R618" t="s">
        <v>12222</v>
      </c>
      <c r="S618" t="s">
        <v>12223</v>
      </c>
      <c r="T618" t="s">
        <v>12224</v>
      </c>
      <c r="U618" t="s">
        <v>12225</v>
      </c>
      <c r="V618" t="s">
        <v>12226</v>
      </c>
      <c r="W618" t="s">
        <v>12227</v>
      </c>
      <c r="X618" t="s">
        <v>12228</v>
      </c>
      <c r="Y618" t="s">
        <v>12229</v>
      </c>
    </row>
    <row r="619" spans="1:25" x14ac:dyDescent="0.3">
      <c r="A619">
        <v>30900</v>
      </c>
      <c r="B619" t="s">
        <v>12230</v>
      </c>
      <c r="C619" t="s">
        <v>12231</v>
      </c>
      <c r="D619" t="s">
        <v>12232</v>
      </c>
      <c r="E619" t="s">
        <v>12233</v>
      </c>
      <c r="F619" t="s">
        <v>12234</v>
      </c>
      <c r="G619" t="s">
        <v>12235</v>
      </c>
      <c r="H619" t="s">
        <v>12236</v>
      </c>
      <c r="I619" t="s">
        <v>12237</v>
      </c>
      <c r="J619" t="s">
        <v>12238</v>
      </c>
      <c r="K619" t="s">
        <v>12239</v>
      </c>
      <c r="L619" t="s">
        <v>12240</v>
      </c>
      <c r="M619" t="s">
        <v>12241</v>
      </c>
      <c r="N619" t="s">
        <v>12242</v>
      </c>
      <c r="O619">
        <f>-824.578334376273 -69.0927822680828 -480.171664040776</f>
        <v>-1373.8427806851319</v>
      </c>
      <c r="P619">
        <f>-893.888493629801 -65.0938426064015 -194.214854187044</f>
        <v>-1153.1971904232464</v>
      </c>
      <c r="Q619">
        <f>-665.919664021825 -35.609460357015 -266.407384766033</f>
        <v>-967.93650914487307</v>
      </c>
      <c r="R619" t="s">
        <v>12243</v>
      </c>
      <c r="S619" t="s">
        <v>12244</v>
      </c>
      <c r="T619" t="s">
        <v>12245</v>
      </c>
      <c r="U619" t="s">
        <v>12246</v>
      </c>
      <c r="V619" t="s">
        <v>12247</v>
      </c>
      <c r="W619" t="s">
        <v>12248</v>
      </c>
      <c r="X619" t="s">
        <v>12249</v>
      </c>
      <c r="Y619" t="s">
        <v>12250</v>
      </c>
    </row>
    <row r="620" spans="1:25" x14ac:dyDescent="0.3">
      <c r="A620">
        <v>30950</v>
      </c>
      <c r="B620" t="s">
        <v>12251</v>
      </c>
      <c r="C620" t="s">
        <v>12252</v>
      </c>
      <c r="D620" t="s">
        <v>12253</v>
      </c>
      <c r="E620" t="s">
        <v>12254</v>
      </c>
      <c r="F620" t="s">
        <v>12255</v>
      </c>
      <c r="G620" t="s">
        <v>12256</v>
      </c>
      <c r="H620" t="s">
        <v>12257</v>
      </c>
      <c r="I620" t="s">
        <v>12258</v>
      </c>
      <c r="J620" t="s">
        <v>12259</v>
      </c>
      <c r="K620" t="s">
        <v>12260</v>
      </c>
      <c r="L620" t="s">
        <v>12261</v>
      </c>
      <c r="M620" t="s">
        <v>12262</v>
      </c>
      <c r="N620" t="s">
        <v>12263</v>
      </c>
      <c r="O620">
        <f>-825.444603482307 -68.8123203575162 -480.109754080885</f>
        <v>-1374.3666779207083</v>
      </c>
      <c r="P620">
        <f>-894.767218051302 -64.1907160400242 -194.165388182311</f>
        <v>-1153.1233222736373</v>
      </c>
      <c r="Q620">
        <f>-667.007443295466 -33.0404796551916 -266.318216705297</f>
        <v>-966.36613965595461</v>
      </c>
      <c r="R620" t="s">
        <v>12264</v>
      </c>
      <c r="S620" t="s">
        <v>12265</v>
      </c>
      <c r="T620" t="s">
        <v>12266</v>
      </c>
      <c r="U620" t="s">
        <v>12267</v>
      </c>
      <c r="V620" t="s">
        <v>12268</v>
      </c>
      <c r="W620" t="s">
        <v>12269</v>
      </c>
      <c r="X620" t="s">
        <v>12270</v>
      </c>
      <c r="Y620" t="s">
        <v>12271</v>
      </c>
    </row>
    <row r="621" spans="1:25" x14ac:dyDescent="0.3">
      <c r="A621">
        <v>31000</v>
      </c>
      <c r="B621" t="s">
        <v>12272</v>
      </c>
      <c r="C621" t="s">
        <v>12273</v>
      </c>
      <c r="D621" t="s">
        <v>12274</v>
      </c>
      <c r="E621" t="s">
        <v>12275</v>
      </c>
      <c r="F621" t="s">
        <v>12276</v>
      </c>
      <c r="G621" t="s">
        <v>12277</v>
      </c>
      <c r="H621" t="s">
        <v>12278</v>
      </c>
      <c r="I621" t="s">
        <v>12279</v>
      </c>
      <c r="J621" t="s">
        <v>12280</v>
      </c>
      <c r="K621" t="s">
        <v>12281</v>
      </c>
      <c r="L621" t="s">
        <v>12282</v>
      </c>
      <c r="M621" t="s">
        <v>12283</v>
      </c>
      <c r="N621" t="s">
        <v>12284</v>
      </c>
      <c r="O621">
        <f>-827.117942001671 -68.8427347602772 -479.749242267714</f>
        <v>-1375.7099190296622</v>
      </c>
      <c r="P621">
        <f>-896.398216005545 -64.6217044098596 -193.788390822216</f>
        <v>-1154.8083112376207</v>
      </c>
      <c r="Q621">
        <f>-670.093931662783 -25.8427719696051 -266.818966912818</f>
        <v>-962.75567054520616</v>
      </c>
      <c r="R621" t="s">
        <v>12285</v>
      </c>
      <c r="S621" t="s">
        <v>12286</v>
      </c>
      <c r="T621" t="s">
        <v>12287</v>
      </c>
      <c r="U621" t="s">
        <v>12288</v>
      </c>
      <c r="V621" t="s">
        <v>12289</v>
      </c>
      <c r="W621" t="s">
        <v>12290</v>
      </c>
      <c r="X621" t="s">
        <v>12291</v>
      </c>
      <c r="Y621" t="s">
        <v>12292</v>
      </c>
    </row>
    <row r="622" spans="1:25" x14ac:dyDescent="0.3">
      <c r="A622">
        <v>31050</v>
      </c>
      <c r="B622" t="s">
        <v>12293</v>
      </c>
      <c r="C622" t="s">
        <v>12294</v>
      </c>
      <c r="D622" t="s">
        <v>12295</v>
      </c>
      <c r="E622" t="s">
        <v>12296</v>
      </c>
      <c r="F622" t="s">
        <v>12297</v>
      </c>
      <c r="G622" t="s">
        <v>12298</v>
      </c>
      <c r="H622" t="s">
        <v>12299</v>
      </c>
      <c r="I622" t="s">
        <v>12300</v>
      </c>
      <c r="J622" t="s">
        <v>12301</v>
      </c>
      <c r="K622" t="s">
        <v>12302</v>
      </c>
      <c r="L622" t="s">
        <v>12303</v>
      </c>
      <c r="M622" t="s">
        <v>12304</v>
      </c>
      <c r="N622" t="s">
        <v>12305</v>
      </c>
      <c r="O622">
        <f>-828.162140871323 -68.6718714296194 -479.878450015404</f>
        <v>-1376.7124623163463</v>
      </c>
      <c r="P622">
        <f>-896.519799838199 -66.4918174870941 -193.672877517208</f>
        <v>-1156.684494842501</v>
      </c>
      <c r="Q622">
        <f>-671.246357983919 -21.4852840165199 -266.316687417213</f>
        <v>-959.04832941765198</v>
      </c>
      <c r="R622" t="s">
        <v>12306</v>
      </c>
      <c r="S622" t="s">
        <v>12307</v>
      </c>
      <c r="T622" t="s">
        <v>12308</v>
      </c>
      <c r="U622" t="s">
        <v>12309</v>
      </c>
      <c r="V622" t="s">
        <v>12310</v>
      </c>
      <c r="W622" t="s">
        <v>12311</v>
      </c>
      <c r="X622" t="s">
        <v>12312</v>
      </c>
      <c r="Y622" t="s">
        <v>12313</v>
      </c>
    </row>
    <row r="623" spans="1:25" x14ac:dyDescent="0.3">
      <c r="A623">
        <v>31100</v>
      </c>
      <c r="B623" t="s">
        <v>12314</v>
      </c>
      <c r="C623" t="s">
        <v>12315</v>
      </c>
      <c r="D623" t="s">
        <v>12316</v>
      </c>
      <c r="E623" t="s">
        <v>12317</v>
      </c>
      <c r="F623" t="s">
        <v>12318</v>
      </c>
      <c r="G623" t="s">
        <v>12319</v>
      </c>
      <c r="H623" t="s">
        <v>12320</v>
      </c>
      <c r="I623" t="s">
        <v>12321</v>
      </c>
      <c r="J623" t="s">
        <v>12322</v>
      </c>
      <c r="K623" t="s">
        <v>12323</v>
      </c>
      <c r="L623" t="s">
        <v>12324</v>
      </c>
      <c r="M623" t="s">
        <v>12325</v>
      </c>
      <c r="N623" t="s">
        <v>12326</v>
      </c>
      <c r="O623">
        <f>-829.567090442287 -68.4048932448366 -480.087812673083</f>
        <v>-1378.0597963602067</v>
      </c>
      <c r="P623">
        <f>-896.925962850172 -70.2918689140979 -193.643380398723</f>
        <v>-1160.8612121629928</v>
      </c>
      <c r="Q623">
        <f>-672.301509584346 -17.6978065215294 -263.131545421534</f>
        <v>-953.13086152740948</v>
      </c>
      <c r="R623" t="s">
        <v>12327</v>
      </c>
      <c r="S623" t="s">
        <v>12328</v>
      </c>
      <c r="T623" t="s">
        <v>12329</v>
      </c>
      <c r="U623" t="s">
        <v>12330</v>
      </c>
      <c r="V623" t="s">
        <v>12331</v>
      </c>
      <c r="W623" t="s">
        <v>12332</v>
      </c>
      <c r="X623" t="s">
        <v>12333</v>
      </c>
      <c r="Y623" t="s">
        <v>12334</v>
      </c>
    </row>
    <row r="624" spans="1:25" x14ac:dyDescent="0.3">
      <c r="A624">
        <v>31150</v>
      </c>
      <c r="B624" t="s">
        <v>12335</v>
      </c>
      <c r="C624" t="s">
        <v>12336</v>
      </c>
      <c r="D624" t="s">
        <v>12337</v>
      </c>
      <c r="E624" t="s">
        <v>12338</v>
      </c>
      <c r="F624" t="s">
        <v>12339</v>
      </c>
      <c r="G624" t="s">
        <v>12340</v>
      </c>
      <c r="H624" t="s">
        <v>12341</v>
      </c>
      <c r="I624" t="s">
        <v>12342</v>
      </c>
      <c r="J624" t="s">
        <v>12343</v>
      </c>
      <c r="K624" t="s">
        <v>12344</v>
      </c>
      <c r="L624" t="s">
        <v>12345</v>
      </c>
      <c r="M624" t="s">
        <v>12346</v>
      </c>
      <c r="N624" t="s">
        <v>12347</v>
      </c>
      <c r="O624">
        <f>-829.89509821603 -68.3338428356672 -480.193913504771</f>
        <v>-1378.4228545564681</v>
      </c>
      <c r="P624">
        <f>-897.196099119146 -71.3307035003018 -193.745301643119</f>
        <v>-1162.2721042625667</v>
      </c>
      <c r="Q624">
        <f>-672.283867515281 -17.9337702891166 -261.672567873373</f>
        <v>-951.89020567777061</v>
      </c>
      <c r="R624" t="s">
        <v>12348</v>
      </c>
      <c r="S624" t="s">
        <v>12349</v>
      </c>
      <c r="T624" t="s">
        <v>12350</v>
      </c>
      <c r="U624" t="s">
        <v>12351</v>
      </c>
      <c r="V624" t="s">
        <v>12352</v>
      </c>
      <c r="W624" t="s">
        <v>12353</v>
      </c>
      <c r="X624" t="s">
        <v>12354</v>
      </c>
      <c r="Y624" t="s">
        <v>12355</v>
      </c>
    </row>
    <row r="625" spans="1:25" x14ac:dyDescent="0.3">
      <c r="A625">
        <v>31200</v>
      </c>
      <c r="B625" t="s">
        <v>12356</v>
      </c>
      <c r="C625" t="s">
        <v>12357</v>
      </c>
      <c r="D625" t="s">
        <v>12358</v>
      </c>
      <c r="E625" t="s">
        <v>12359</v>
      </c>
      <c r="F625" t="s">
        <v>12360</v>
      </c>
      <c r="G625" t="s">
        <v>12361</v>
      </c>
      <c r="H625" t="s">
        <v>12362</v>
      </c>
      <c r="I625" t="s">
        <v>12363</v>
      </c>
      <c r="J625" t="s">
        <v>12364</v>
      </c>
      <c r="K625" t="s">
        <v>12365</v>
      </c>
      <c r="L625" t="s">
        <v>12366</v>
      </c>
      <c r="M625" t="s">
        <v>12367</v>
      </c>
      <c r="N625" t="s">
        <v>12368</v>
      </c>
      <c r="O625">
        <f>-831.143377455495 -67.6785045841489 -480.588429691549</f>
        <v>-1379.4103117311929</v>
      </c>
      <c r="P625">
        <f>-898.146831059164 -69.1703120002906 -194.058299776496</f>
        <v>-1161.3754428359505</v>
      </c>
      <c r="Q625">
        <f>-672.324130089208 -20.9307313788122 -262.818343988447</f>
        <v>-956.07320545646712</v>
      </c>
      <c r="R625" t="s">
        <v>12369</v>
      </c>
      <c r="S625" t="s">
        <v>12370</v>
      </c>
      <c r="T625" t="s">
        <v>12371</v>
      </c>
      <c r="U625" t="s">
        <v>12372</v>
      </c>
      <c r="V625" t="s">
        <v>12373</v>
      </c>
      <c r="W625" t="s">
        <v>12374</v>
      </c>
      <c r="X625" t="s">
        <v>12375</v>
      </c>
      <c r="Y625" t="s">
        <v>12376</v>
      </c>
    </row>
    <row r="626" spans="1:25" x14ac:dyDescent="0.3">
      <c r="A626">
        <v>31250</v>
      </c>
      <c r="B626" t="s">
        <v>12377</v>
      </c>
      <c r="C626" t="s">
        <v>12378</v>
      </c>
      <c r="D626" t="s">
        <v>12379</v>
      </c>
      <c r="E626" t="s">
        <v>12380</v>
      </c>
      <c r="F626" t="s">
        <v>12381</v>
      </c>
      <c r="G626" t="s">
        <v>12382</v>
      </c>
      <c r="H626" t="s">
        <v>12383</v>
      </c>
      <c r="I626" t="s">
        <v>12384</v>
      </c>
      <c r="J626" t="s">
        <v>12385</v>
      </c>
      <c r="K626" t="s">
        <v>12386</v>
      </c>
      <c r="L626" t="s">
        <v>12387</v>
      </c>
      <c r="M626" t="s">
        <v>12388</v>
      </c>
      <c r="N626" t="s">
        <v>12389</v>
      </c>
      <c r="O626">
        <f>-832.038236476834 -67.2586422354987 -480.821669857955</f>
        <v>-1380.1185485702877</v>
      </c>
      <c r="P626">
        <f>-898.312816657497 -67.4843730619373 -194.118337908355</f>
        <v>-1159.9155276277893</v>
      </c>
      <c r="Q626">
        <f>-672.14856791456 -22.0593256612738 -263.667223486593</f>
        <v>-957.87511706242674</v>
      </c>
      <c r="R626" t="s">
        <v>12390</v>
      </c>
      <c r="S626" t="s">
        <v>12391</v>
      </c>
      <c r="T626" t="s">
        <v>12392</v>
      </c>
      <c r="U626" t="s">
        <v>12393</v>
      </c>
      <c r="V626" t="s">
        <v>12394</v>
      </c>
      <c r="W626" t="s">
        <v>12395</v>
      </c>
      <c r="X626" t="s">
        <v>12396</v>
      </c>
      <c r="Y626" t="s">
        <v>12397</v>
      </c>
    </row>
    <row r="627" spans="1:25" x14ac:dyDescent="0.3">
      <c r="A627">
        <v>31300</v>
      </c>
      <c r="B627" t="s">
        <v>12398</v>
      </c>
      <c r="C627" t="s">
        <v>12399</v>
      </c>
      <c r="D627" t="s">
        <v>12400</v>
      </c>
      <c r="E627" t="s">
        <v>12401</v>
      </c>
      <c r="F627" t="s">
        <v>12402</v>
      </c>
      <c r="G627" t="s">
        <v>12403</v>
      </c>
      <c r="H627" t="s">
        <v>12404</v>
      </c>
      <c r="I627" t="s">
        <v>12405</v>
      </c>
      <c r="J627" t="s">
        <v>12406</v>
      </c>
      <c r="K627" t="s">
        <v>12407</v>
      </c>
      <c r="L627" t="s">
        <v>12408</v>
      </c>
      <c r="M627" t="s">
        <v>12409</v>
      </c>
      <c r="N627" t="s">
        <v>12410</v>
      </c>
      <c r="O627">
        <f>-833.545335978672 -67.0134786634258 -480.912202493015</f>
        <v>-1381.4710171351128</v>
      </c>
      <c r="P627">
        <f>-898.890012589989 -66.8900002655239 -193.995385290318</f>
        <v>-1159.7753981458309</v>
      </c>
      <c r="Q627">
        <f>-673.269567678975 -20.0033436311091 -264.33667829685</f>
        <v>-957.60958960693415</v>
      </c>
      <c r="R627" t="s">
        <v>12411</v>
      </c>
      <c r="S627" t="s">
        <v>12412</v>
      </c>
      <c r="T627" t="s">
        <v>12413</v>
      </c>
      <c r="U627" t="s">
        <v>12414</v>
      </c>
      <c r="V627" t="s">
        <v>12415</v>
      </c>
      <c r="W627" t="s">
        <v>12416</v>
      </c>
      <c r="X627" t="s">
        <v>12417</v>
      </c>
      <c r="Y627" t="s">
        <v>12418</v>
      </c>
    </row>
    <row r="628" spans="1:25" x14ac:dyDescent="0.3">
      <c r="A628">
        <v>31350</v>
      </c>
      <c r="B628" t="s">
        <v>12419</v>
      </c>
      <c r="C628" t="s">
        <v>12420</v>
      </c>
      <c r="D628" t="s">
        <v>12421</v>
      </c>
      <c r="E628" t="s">
        <v>12422</v>
      </c>
      <c r="F628" t="s">
        <v>12423</v>
      </c>
      <c r="G628" t="s">
        <v>12424</v>
      </c>
      <c r="H628" t="s">
        <v>12425</v>
      </c>
      <c r="I628" t="s">
        <v>12426</v>
      </c>
      <c r="J628" t="s">
        <v>12427</v>
      </c>
      <c r="K628" t="s">
        <v>12428</v>
      </c>
      <c r="L628" t="s">
        <v>12429</v>
      </c>
      <c r="M628" t="s">
        <v>12430</v>
      </c>
      <c r="N628" t="s">
        <v>12431</v>
      </c>
      <c r="O628">
        <f>-834.028090443395 -67.1944772272809 -480.950417506747</f>
        <v>-1382.1729851774228</v>
      </c>
      <c r="P628">
        <f>-899.599291531426 -67.8879581589729 -194.086136402307</f>
        <v>-1161.573386092706</v>
      </c>
      <c r="Q628">
        <f>-674.507566031364 -18.3730627214654 -264.320511477962</f>
        <v>-957.20114023079145</v>
      </c>
      <c r="R628" t="s">
        <v>12432</v>
      </c>
      <c r="S628" t="s">
        <v>12433</v>
      </c>
      <c r="T628" t="s">
        <v>12434</v>
      </c>
      <c r="U628" t="s">
        <v>12435</v>
      </c>
      <c r="V628" t="s">
        <v>12436</v>
      </c>
      <c r="W628" t="s">
        <v>12437</v>
      </c>
      <c r="X628" t="s">
        <v>12438</v>
      </c>
      <c r="Y628" t="s">
        <v>12439</v>
      </c>
    </row>
    <row r="629" spans="1:25" x14ac:dyDescent="0.3">
      <c r="A629">
        <v>31400</v>
      </c>
      <c r="B629" t="s">
        <v>12440</v>
      </c>
      <c r="C629" t="s">
        <v>12441</v>
      </c>
      <c r="D629" t="s">
        <v>12442</v>
      </c>
      <c r="E629" t="s">
        <v>12443</v>
      </c>
      <c r="F629" t="s">
        <v>12444</v>
      </c>
      <c r="G629" t="s">
        <v>12445</v>
      </c>
      <c r="H629" t="s">
        <v>12446</v>
      </c>
      <c r="I629" t="s">
        <v>12447</v>
      </c>
      <c r="J629" t="s">
        <v>12448</v>
      </c>
      <c r="K629" t="s">
        <v>12449</v>
      </c>
      <c r="L629" t="s">
        <v>12450</v>
      </c>
      <c r="M629" t="s">
        <v>12451</v>
      </c>
      <c r="N629" t="s">
        <v>12452</v>
      </c>
      <c r="O629">
        <f>-834.524544119038 -67.4187026502038 -481.179289536197</f>
        <v>-1383.1225363054389</v>
      </c>
      <c r="P629">
        <f>-902.015463455953 -70.9521348138305 -194.781441089727</f>
        <v>-1167.7490393595106</v>
      </c>
      <c r="Q629">
        <f>-677.453189682447 -15.7765321901079 -262.444832668727</f>
        <v>-955.67455454128185</v>
      </c>
      <c r="R629" t="s">
        <v>12453</v>
      </c>
      <c r="S629" t="s">
        <v>12454</v>
      </c>
      <c r="T629" t="s">
        <v>12455</v>
      </c>
      <c r="U629" t="s">
        <v>12456</v>
      </c>
      <c r="V629" t="s">
        <v>12457</v>
      </c>
      <c r="W629" t="s">
        <v>12458</v>
      </c>
      <c r="X629" t="s">
        <v>12459</v>
      </c>
      <c r="Y629" t="s">
        <v>12460</v>
      </c>
    </row>
    <row r="630" spans="1:25" x14ac:dyDescent="0.3">
      <c r="A630">
        <v>31450</v>
      </c>
      <c r="B630" t="s">
        <v>12461</v>
      </c>
      <c r="C630" t="s">
        <v>12462</v>
      </c>
      <c r="D630" t="s">
        <v>12463</v>
      </c>
      <c r="E630" t="s">
        <v>12464</v>
      </c>
      <c r="F630" t="s">
        <v>12465</v>
      </c>
      <c r="G630" t="s">
        <v>12466</v>
      </c>
      <c r="H630" t="s">
        <v>12467</v>
      </c>
      <c r="I630" t="s">
        <v>12468</v>
      </c>
      <c r="J630" t="s">
        <v>12469</v>
      </c>
      <c r="K630" t="s">
        <v>12470</v>
      </c>
      <c r="L630" t="s">
        <v>12471</v>
      </c>
      <c r="M630" t="s">
        <v>12472</v>
      </c>
      <c r="N630" t="s">
        <v>12473</v>
      </c>
      <c r="O630">
        <f>-834.451541537777 -67.2930187099307 -481.373067633976</f>
        <v>-1383.1176278816838</v>
      </c>
      <c r="P630">
        <f>-902.585980611385 -71.8540136285967 -195.142198057168</f>
        <v>-1169.5821922971497</v>
      </c>
      <c r="Q630">
        <f>-678.124474860037 -15.0423777061751 -261.778665104772</f>
        <v>-954.94551767098415</v>
      </c>
      <c r="R630" t="s">
        <v>12474</v>
      </c>
      <c r="S630" t="s">
        <v>12475</v>
      </c>
      <c r="T630" t="s">
        <v>12476</v>
      </c>
      <c r="U630" t="s">
        <v>12477</v>
      </c>
      <c r="V630" t="s">
        <v>12478</v>
      </c>
      <c r="W630" t="s">
        <v>12479</v>
      </c>
      <c r="X630" t="s">
        <v>12480</v>
      </c>
      <c r="Y630" t="s">
        <v>12481</v>
      </c>
    </row>
    <row r="631" spans="1:25" x14ac:dyDescent="0.3">
      <c r="A631">
        <v>31500</v>
      </c>
      <c r="B631" t="s">
        <v>12482</v>
      </c>
      <c r="C631" t="s">
        <v>12483</v>
      </c>
      <c r="D631" t="s">
        <v>12484</v>
      </c>
      <c r="E631" t="s">
        <v>12485</v>
      </c>
      <c r="F631" t="s">
        <v>12486</v>
      </c>
      <c r="G631" t="s">
        <v>12487</v>
      </c>
      <c r="H631" t="s">
        <v>12488</v>
      </c>
      <c r="I631" t="s">
        <v>12489</v>
      </c>
      <c r="J631" t="s">
        <v>12490</v>
      </c>
      <c r="K631" t="s">
        <v>12491</v>
      </c>
      <c r="L631" t="s">
        <v>12492</v>
      </c>
      <c r="M631" t="s">
        <v>12493</v>
      </c>
      <c r="N631" t="s">
        <v>12494</v>
      </c>
      <c r="O631">
        <f>-834.501265214355 -67.3046392211324 -481.583275156315</f>
        <v>-1383.3891795918025</v>
      </c>
      <c r="P631">
        <f>-901.500019591019 -73.8890906040424 -195.123865727741</f>
        <v>-1170.5129759228025</v>
      </c>
      <c r="Q631">
        <f>-678.124735761805 -11.6576882972495 -260.557855113932</f>
        <v>-950.34027917298658</v>
      </c>
      <c r="R631" t="s">
        <v>12495</v>
      </c>
      <c r="S631" t="s">
        <v>12496</v>
      </c>
      <c r="T631" t="s">
        <v>12497</v>
      </c>
      <c r="U631" t="s">
        <v>12498</v>
      </c>
      <c r="V631" t="s">
        <v>12499</v>
      </c>
      <c r="W631" t="s">
        <v>12500</v>
      </c>
      <c r="X631" t="s">
        <v>12501</v>
      </c>
      <c r="Y631" t="s">
        <v>12502</v>
      </c>
    </row>
    <row r="632" spans="1:25" x14ac:dyDescent="0.3">
      <c r="A632">
        <v>31550</v>
      </c>
      <c r="B632" t="s">
        <v>12503</v>
      </c>
      <c r="C632" t="s">
        <v>12504</v>
      </c>
      <c r="D632" t="s">
        <v>12505</v>
      </c>
      <c r="E632" t="s">
        <v>12506</v>
      </c>
      <c r="F632" t="s">
        <v>12507</v>
      </c>
      <c r="G632" t="s">
        <v>12508</v>
      </c>
      <c r="H632" t="s">
        <v>12509</v>
      </c>
      <c r="I632" t="s">
        <v>12510</v>
      </c>
      <c r="J632" t="s">
        <v>12511</v>
      </c>
      <c r="K632" t="s">
        <v>12512</v>
      </c>
      <c r="L632" t="s">
        <v>12513</v>
      </c>
      <c r="M632" t="s">
        <v>12514</v>
      </c>
      <c r="N632" t="s">
        <v>12515</v>
      </c>
      <c r="O632">
        <f>-834.795329634486 -67.5291550156342 -481.505695225245</f>
        <v>-1383.8301798753653</v>
      </c>
      <c r="P632">
        <f>-900.135484641393 -75.8399940589024 -194.708137621349</f>
        <v>-1170.6836163216444</v>
      </c>
      <c r="Q632">
        <f>-677.915482486099 -9.87072327760552 -260.413545204761</f>
        <v>-948.19975096846554</v>
      </c>
      <c r="R632" t="s">
        <v>12516</v>
      </c>
      <c r="S632" t="s">
        <v>12517</v>
      </c>
      <c r="T632" t="s">
        <v>12518</v>
      </c>
      <c r="U632" t="s">
        <v>12519</v>
      </c>
      <c r="V632" t="s">
        <v>12520</v>
      </c>
      <c r="W632" t="s">
        <v>12521</v>
      </c>
      <c r="X632" t="s">
        <v>12522</v>
      </c>
      <c r="Y632" t="s">
        <v>12523</v>
      </c>
    </row>
    <row r="633" spans="1:25" x14ac:dyDescent="0.3">
      <c r="A633">
        <v>31600</v>
      </c>
      <c r="B633" t="s">
        <v>12524</v>
      </c>
      <c r="C633" t="s">
        <v>12525</v>
      </c>
      <c r="D633" t="s">
        <v>12526</v>
      </c>
      <c r="E633" t="s">
        <v>12527</v>
      </c>
      <c r="F633" t="s">
        <v>12528</v>
      </c>
      <c r="G633" t="s">
        <v>12529</v>
      </c>
      <c r="H633" t="s">
        <v>12530</v>
      </c>
      <c r="I633" t="s">
        <v>12531</v>
      </c>
      <c r="J633" t="s">
        <v>12532</v>
      </c>
      <c r="K633" t="s">
        <v>12533</v>
      </c>
      <c r="L633" t="s">
        <v>12534</v>
      </c>
      <c r="M633" t="s">
        <v>12535</v>
      </c>
      <c r="N633" t="s">
        <v>12536</v>
      </c>
      <c r="O633">
        <f>-835.280547066479 -67.5292613077618 -481.389160286961</f>
        <v>-1384.1989686612019</v>
      </c>
      <c r="P633">
        <f>-897.053929939101 -78.6496000215304 -193.897211778265</f>
        <v>-1169.6007417388964</v>
      </c>
      <c r="Q633">
        <f>-676.840408768735 -7.98993372082396 -261.455169810445</f>
        <v>-946.28551230000392</v>
      </c>
      <c r="R633" t="s">
        <v>12537</v>
      </c>
      <c r="S633" t="s">
        <v>12538</v>
      </c>
      <c r="T633" t="s">
        <v>12539</v>
      </c>
      <c r="U633" t="s">
        <v>12540</v>
      </c>
      <c r="V633" t="s">
        <v>12541</v>
      </c>
      <c r="W633" t="s">
        <v>12542</v>
      </c>
      <c r="X633" t="s">
        <v>12543</v>
      </c>
      <c r="Y633" t="s">
        <v>12544</v>
      </c>
    </row>
    <row r="634" spans="1:25" x14ac:dyDescent="0.3">
      <c r="A634">
        <v>31650</v>
      </c>
      <c r="B634" t="s">
        <v>12545</v>
      </c>
      <c r="C634" t="s">
        <v>12546</v>
      </c>
      <c r="D634" t="s">
        <v>12547</v>
      </c>
      <c r="E634" t="s">
        <v>12548</v>
      </c>
      <c r="F634" t="s">
        <v>12549</v>
      </c>
      <c r="G634" t="s">
        <v>12550</v>
      </c>
      <c r="H634" t="s">
        <v>12551</v>
      </c>
      <c r="I634" t="s">
        <v>12552</v>
      </c>
      <c r="J634" t="s">
        <v>12553</v>
      </c>
      <c r="K634" t="s">
        <v>12554</v>
      </c>
      <c r="L634" t="s">
        <v>12555</v>
      </c>
      <c r="M634" t="s">
        <v>12556</v>
      </c>
      <c r="N634" t="s">
        <v>12557</v>
      </c>
      <c r="O634">
        <f>-835.473962391196 -67.4452764253183 -481.381764147042</f>
        <v>-1384.3010029635564</v>
      </c>
      <c r="P634">
        <f>-895.839990891668 -79.1889819464823 -193.615877807746</f>
        <v>-1168.6448506458962</v>
      </c>
      <c r="Q634">
        <f>-676.407811627183 -7.5321616560459 -262.649635111729</f>
        <v>-946.58960839495796</v>
      </c>
      <c r="R634" t="s">
        <v>12558</v>
      </c>
      <c r="S634" t="s">
        <v>12559</v>
      </c>
      <c r="T634" t="s">
        <v>12560</v>
      </c>
      <c r="U634" t="s">
        <v>12561</v>
      </c>
      <c r="V634" t="s">
        <v>12562</v>
      </c>
      <c r="W634" t="s">
        <v>12563</v>
      </c>
      <c r="X634" t="s">
        <v>12564</v>
      </c>
      <c r="Y634" t="s">
        <v>12565</v>
      </c>
    </row>
    <row r="635" spans="1:25" x14ac:dyDescent="0.3">
      <c r="A635">
        <v>31700</v>
      </c>
      <c r="B635" t="s">
        <v>12566</v>
      </c>
      <c r="C635" t="s">
        <v>12567</v>
      </c>
      <c r="D635" t="s">
        <v>12568</v>
      </c>
      <c r="E635" t="s">
        <v>12569</v>
      </c>
      <c r="F635" t="s">
        <v>12570</v>
      </c>
      <c r="G635" t="s">
        <v>12571</v>
      </c>
      <c r="H635" t="s">
        <v>12572</v>
      </c>
      <c r="I635" t="s">
        <v>12573</v>
      </c>
      <c r="J635" t="s">
        <v>12574</v>
      </c>
      <c r="K635" t="s">
        <v>12575</v>
      </c>
      <c r="L635" t="s">
        <v>12576</v>
      </c>
      <c r="M635" t="s">
        <v>12577</v>
      </c>
      <c r="N635" t="s">
        <v>12578</v>
      </c>
      <c r="O635">
        <f>-835.559708056812 -67.6198989041777 -481.399674380217</f>
        <v>-1384.5792813412068</v>
      </c>
      <c r="P635">
        <f>-893.886094139989 -79.0570654079686 -193.201091160911</f>
        <v>-1166.1442507088686</v>
      </c>
      <c r="Q635">
        <f>-675.216205182523 -8.0004159719133 -265.210335654986</f>
        <v>-948.42695680942234</v>
      </c>
      <c r="R635" t="s">
        <v>12579</v>
      </c>
      <c r="S635" t="s">
        <v>12580</v>
      </c>
      <c r="T635" t="s">
        <v>12581</v>
      </c>
      <c r="U635" t="s">
        <v>12582</v>
      </c>
      <c r="V635" t="s">
        <v>12583</v>
      </c>
      <c r="W635" t="s">
        <v>12584</v>
      </c>
      <c r="X635" t="s">
        <v>12585</v>
      </c>
      <c r="Y635" t="s">
        <v>12586</v>
      </c>
    </row>
    <row r="636" spans="1:25" x14ac:dyDescent="0.3">
      <c r="A636">
        <v>31750</v>
      </c>
      <c r="B636" t="s">
        <v>12587</v>
      </c>
      <c r="C636" t="s">
        <v>12588</v>
      </c>
      <c r="D636" t="s">
        <v>12589</v>
      </c>
      <c r="E636" t="s">
        <v>12590</v>
      </c>
      <c r="F636" t="s">
        <v>12591</v>
      </c>
      <c r="G636" t="s">
        <v>12592</v>
      </c>
      <c r="H636" t="s">
        <v>12593</v>
      </c>
      <c r="I636" t="s">
        <v>12594</v>
      </c>
      <c r="J636" t="s">
        <v>12595</v>
      </c>
      <c r="K636" t="s">
        <v>12596</v>
      </c>
      <c r="L636" t="s">
        <v>12597</v>
      </c>
      <c r="M636" t="s">
        <v>12598</v>
      </c>
      <c r="N636" t="s">
        <v>12599</v>
      </c>
      <c r="O636">
        <f>-835.46505710892 -67.878442041361 -481.402779168859</f>
        <v>-1384.7462783191399</v>
      </c>
      <c r="P636">
        <f>-893.284777560334 -78.9327934071184 -193.087193876675</f>
        <v>-1165.3047648441275</v>
      </c>
      <c r="Q636">
        <f>-674.745960682625 -8.31326679670337 -265.918739100366</f>
        <v>-948.97796657969434</v>
      </c>
      <c r="R636" t="s">
        <v>12600</v>
      </c>
      <c r="S636" t="s">
        <v>12601</v>
      </c>
      <c r="T636" t="s">
        <v>12602</v>
      </c>
      <c r="U636" t="s">
        <v>12603</v>
      </c>
      <c r="V636" t="s">
        <v>12604</v>
      </c>
      <c r="W636" t="s">
        <v>12605</v>
      </c>
      <c r="X636" t="s">
        <v>12606</v>
      </c>
      <c r="Y636" t="s">
        <v>12607</v>
      </c>
    </row>
    <row r="637" spans="1:25" x14ac:dyDescent="0.3">
      <c r="A637">
        <v>31800</v>
      </c>
      <c r="B637" t="s">
        <v>12608</v>
      </c>
      <c r="C637" t="s">
        <v>12609</v>
      </c>
      <c r="D637" t="s">
        <v>12610</v>
      </c>
      <c r="E637" t="s">
        <v>12611</v>
      </c>
      <c r="F637" t="s">
        <v>12612</v>
      </c>
      <c r="G637" t="s">
        <v>12613</v>
      </c>
      <c r="H637" t="s">
        <v>12614</v>
      </c>
      <c r="I637" t="s">
        <v>12615</v>
      </c>
      <c r="J637" t="s">
        <v>12616</v>
      </c>
      <c r="K637" t="s">
        <v>12617</v>
      </c>
      <c r="L637" t="s">
        <v>12618</v>
      </c>
      <c r="M637" t="s">
        <v>12619</v>
      </c>
      <c r="N637" t="s">
        <v>12620</v>
      </c>
      <c r="O637">
        <f>-835.08278586068 -68.1677850253052 -481.517814404565</f>
        <v>-1384.7683852905502</v>
      </c>
      <c r="P637">
        <f>-892.220694798958 -80.0425250201233 -193.098872924317</f>
        <v>-1165.3620927433983</v>
      </c>
      <c r="Q637">
        <f>-674.059938026727 -8.44348753948225 -266.107408368204</f>
        <v>-948.61083393441322</v>
      </c>
      <c r="R637" t="s">
        <v>12621</v>
      </c>
      <c r="S637" t="s">
        <v>12622</v>
      </c>
      <c r="T637" t="s">
        <v>12623</v>
      </c>
      <c r="U637" t="s">
        <v>12624</v>
      </c>
      <c r="V637" t="s">
        <v>12625</v>
      </c>
      <c r="W637" t="s">
        <v>12626</v>
      </c>
      <c r="X637" t="s">
        <v>12627</v>
      </c>
      <c r="Y637" t="s">
        <v>12628</v>
      </c>
    </row>
    <row r="638" spans="1:25" x14ac:dyDescent="0.3">
      <c r="A638">
        <v>31850</v>
      </c>
      <c r="B638" t="s">
        <v>12629</v>
      </c>
      <c r="C638" t="s">
        <v>12630</v>
      </c>
      <c r="D638" t="s">
        <v>12631</v>
      </c>
      <c r="E638" t="s">
        <v>12632</v>
      </c>
      <c r="F638" t="s">
        <v>12633</v>
      </c>
      <c r="G638" t="s">
        <v>12634</v>
      </c>
      <c r="H638" t="s">
        <v>12635</v>
      </c>
      <c r="I638" t="s">
        <v>12636</v>
      </c>
      <c r="J638" t="s">
        <v>12637</v>
      </c>
      <c r="K638" t="s">
        <v>12638</v>
      </c>
      <c r="L638" t="s">
        <v>12639</v>
      </c>
      <c r="M638" t="s">
        <v>12640</v>
      </c>
      <c r="N638" t="s">
        <v>12641</v>
      </c>
      <c r="O638">
        <f>-834.715001629308 -68.0945948024951 -481.717923430511</f>
        <v>-1384.527519862314</v>
      </c>
      <c r="P638">
        <f>-891.59060691701 -80.7471973326803 -193.280238925842</f>
        <v>-1165.6180431755324</v>
      </c>
      <c r="Q638">
        <f>-673.659932265633 -8.51221827858899 -266.34977481371</f>
        <v>-948.52192535793188</v>
      </c>
      <c r="R638" t="s">
        <v>12642</v>
      </c>
      <c r="S638" t="s">
        <v>12643</v>
      </c>
      <c r="T638" t="s">
        <v>12644</v>
      </c>
      <c r="U638" t="s">
        <v>12645</v>
      </c>
      <c r="V638" t="s">
        <v>12646</v>
      </c>
      <c r="W638" t="s">
        <v>12647</v>
      </c>
      <c r="X638" t="s">
        <v>12648</v>
      </c>
      <c r="Y638" t="s">
        <v>12649</v>
      </c>
    </row>
    <row r="639" spans="1:25" x14ac:dyDescent="0.3">
      <c r="A639">
        <v>31900</v>
      </c>
      <c r="B639" t="s">
        <v>12650</v>
      </c>
      <c r="C639" t="s">
        <v>12651</v>
      </c>
      <c r="D639" t="s">
        <v>12652</v>
      </c>
      <c r="E639" t="s">
        <v>12653</v>
      </c>
      <c r="F639" t="s">
        <v>12654</v>
      </c>
      <c r="G639" t="s">
        <v>12655</v>
      </c>
      <c r="H639" t="s">
        <v>12656</v>
      </c>
      <c r="I639" t="s">
        <v>12657</v>
      </c>
      <c r="J639" t="s">
        <v>12658</v>
      </c>
      <c r="K639" t="s">
        <v>12659</v>
      </c>
      <c r="L639" t="s">
        <v>12660</v>
      </c>
      <c r="M639" t="s">
        <v>12661</v>
      </c>
      <c r="N639" t="s">
        <v>12662</v>
      </c>
      <c r="O639">
        <f>-833.921672343338 -67.6912460799449 -482.111160305831</f>
        <v>-1383.7240787291139</v>
      </c>
      <c r="P639">
        <f>-890.459939610949 -81.8610069638537 -193.677793888018</f>
        <v>-1165.9987404628207</v>
      </c>
      <c r="Q639">
        <f>-673.157733014079 -7.87974184919813 -266.871609860118</f>
        <v>-947.90908472339515</v>
      </c>
      <c r="R639" t="s">
        <v>12663</v>
      </c>
      <c r="S639" t="s">
        <v>12664</v>
      </c>
      <c r="T639" t="s">
        <v>12665</v>
      </c>
      <c r="U639" t="s">
        <v>12666</v>
      </c>
      <c r="V639" t="s">
        <v>12667</v>
      </c>
      <c r="W639" t="s">
        <v>12668</v>
      </c>
      <c r="X639" t="s">
        <v>12669</v>
      </c>
      <c r="Y639" t="s">
        <v>12670</v>
      </c>
    </row>
    <row r="640" spans="1:25" x14ac:dyDescent="0.3">
      <c r="A640">
        <v>31950</v>
      </c>
      <c r="B640" t="s">
        <v>12671</v>
      </c>
      <c r="C640" t="s">
        <v>12672</v>
      </c>
      <c r="D640" t="s">
        <v>12673</v>
      </c>
      <c r="E640" t="s">
        <v>12674</v>
      </c>
      <c r="F640" t="s">
        <v>12675</v>
      </c>
      <c r="G640" t="s">
        <v>12676</v>
      </c>
      <c r="H640" t="s">
        <v>12677</v>
      </c>
      <c r="I640" t="s">
        <v>12678</v>
      </c>
      <c r="J640" t="s">
        <v>12679</v>
      </c>
      <c r="K640" t="s">
        <v>12680</v>
      </c>
      <c r="L640" t="s">
        <v>12681</v>
      </c>
      <c r="M640" t="s">
        <v>12682</v>
      </c>
      <c r="N640" t="s">
        <v>12683</v>
      </c>
      <c r="O640">
        <f>-833.548485304907 -67.4134847353776 -482.22127302844</f>
        <v>-1383.1832430687246</v>
      </c>
      <c r="P640">
        <f>-890.200438575141 -81.8210863574266 -193.821990959479</f>
        <v>-1165.8435158920465</v>
      </c>
      <c r="Q640">
        <f>-672.93729882009 -7.89320807872036 -267.185413983103</f>
        <v>-948.0159208819133</v>
      </c>
      <c r="R640" t="s">
        <v>12684</v>
      </c>
      <c r="S640" t="s">
        <v>12685</v>
      </c>
      <c r="T640" t="s">
        <v>12686</v>
      </c>
      <c r="U640" t="s">
        <v>12687</v>
      </c>
      <c r="V640" t="s">
        <v>12688</v>
      </c>
      <c r="W640" t="s">
        <v>12689</v>
      </c>
      <c r="X640" t="s">
        <v>12690</v>
      </c>
      <c r="Y640" t="s">
        <v>12691</v>
      </c>
    </row>
    <row r="641" spans="1:25" x14ac:dyDescent="0.3">
      <c r="A641">
        <v>32000</v>
      </c>
      <c r="B641" t="s">
        <v>12692</v>
      </c>
      <c r="C641" t="s">
        <v>12693</v>
      </c>
      <c r="D641" t="s">
        <v>12694</v>
      </c>
      <c r="E641" t="s">
        <v>12695</v>
      </c>
      <c r="F641" t="s">
        <v>12696</v>
      </c>
      <c r="G641" t="s">
        <v>12697</v>
      </c>
      <c r="H641" t="s">
        <v>12698</v>
      </c>
      <c r="I641" t="s">
        <v>12699</v>
      </c>
      <c r="J641" t="s">
        <v>12700</v>
      </c>
      <c r="K641" t="s">
        <v>12701</v>
      </c>
      <c r="L641" t="s">
        <v>12702</v>
      </c>
      <c r="M641" t="s">
        <v>12703</v>
      </c>
      <c r="N641" t="s">
        <v>12704</v>
      </c>
      <c r="O641">
        <f>-832.90475810521 -67.028916334858 -482.273192323681</f>
        <v>-1382.2068667637491</v>
      </c>
      <c r="P641">
        <f>-890.24135246063 -81.2549612950097 -194.00030370145</f>
        <v>-1165.4966174570898</v>
      </c>
      <c r="Q641">
        <f>-672.609997896975 -8.0565501429146 -267.002993627262</f>
        <v>-947.66954166715163</v>
      </c>
      <c r="R641" t="s">
        <v>12705</v>
      </c>
      <c r="S641" t="s">
        <v>12706</v>
      </c>
      <c r="T641" t="s">
        <v>12707</v>
      </c>
      <c r="U641" t="s">
        <v>12708</v>
      </c>
      <c r="V641" t="s">
        <v>12709</v>
      </c>
      <c r="W641" t="s">
        <v>12710</v>
      </c>
      <c r="X641" t="s">
        <v>12711</v>
      </c>
      <c r="Y641" t="s">
        <v>12712</v>
      </c>
    </row>
    <row r="642" spans="1:25" x14ac:dyDescent="0.3">
      <c r="A642">
        <v>32050</v>
      </c>
      <c r="B642" t="s">
        <v>12713</v>
      </c>
      <c r="C642" t="s">
        <v>12714</v>
      </c>
      <c r="D642" t="s">
        <v>12715</v>
      </c>
      <c r="E642" t="s">
        <v>12716</v>
      </c>
      <c r="F642" t="s">
        <v>12717</v>
      </c>
      <c r="G642" t="s">
        <v>12718</v>
      </c>
      <c r="H642" t="s">
        <v>12719</v>
      </c>
      <c r="I642" t="s">
        <v>12720</v>
      </c>
      <c r="J642" t="s">
        <v>12721</v>
      </c>
      <c r="K642" t="s">
        <v>12722</v>
      </c>
      <c r="L642" t="s">
        <v>12723</v>
      </c>
      <c r="M642" t="s">
        <v>12724</v>
      </c>
      <c r="N642" t="s">
        <v>12725</v>
      </c>
      <c r="O642">
        <f>-832.646480482609 -66.9377643648772 -482.234592491222</f>
        <v>-1381.8188373387084</v>
      </c>
      <c r="P642">
        <f>-890.569012353334 -81.012151319643 -194.071267385399</f>
        <v>-1165.6524310583759</v>
      </c>
      <c r="Q642">
        <f>-672.600172454652 -8.5113750707751 -266.763144000534</f>
        <v>-947.87469152596111</v>
      </c>
      <c r="R642" t="s">
        <v>12726</v>
      </c>
      <c r="S642" t="s">
        <v>12727</v>
      </c>
      <c r="T642" t="s">
        <v>12728</v>
      </c>
      <c r="U642" t="s">
        <v>12729</v>
      </c>
      <c r="V642" t="s">
        <v>12730</v>
      </c>
      <c r="W642" t="s">
        <v>12731</v>
      </c>
      <c r="X642" t="s">
        <v>12732</v>
      </c>
      <c r="Y642" t="s">
        <v>12733</v>
      </c>
    </row>
    <row r="643" spans="1:25" x14ac:dyDescent="0.3">
      <c r="A643">
        <v>32100</v>
      </c>
      <c r="B643" t="s">
        <v>12734</v>
      </c>
      <c r="C643" t="s">
        <v>12735</v>
      </c>
      <c r="D643" t="s">
        <v>12736</v>
      </c>
      <c r="E643" t="s">
        <v>12737</v>
      </c>
      <c r="F643" t="s">
        <v>12738</v>
      </c>
      <c r="G643" t="s">
        <v>12739</v>
      </c>
      <c r="H643" t="s">
        <v>12740</v>
      </c>
      <c r="I643" t="s">
        <v>12741</v>
      </c>
      <c r="J643" t="s">
        <v>12742</v>
      </c>
      <c r="K643" t="s">
        <v>12743</v>
      </c>
      <c r="L643" t="s">
        <v>12744</v>
      </c>
      <c r="M643" t="s">
        <v>12745</v>
      </c>
      <c r="N643" t="s">
        <v>12746</v>
      </c>
      <c r="O643">
        <f>-832.162473539805 -66.9127583598145 -482.087170779817</f>
        <v>-1381.1624026794364</v>
      </c>
      <c r="P643">
        <f>-891.41998625853 -80.4642817426445 -194.170245967367</f>
        <v>-1166.0545139685414</v>
      </c>
      <c r="Q643">
        <f>-672.657383810395 -9.92803468238117 -266.409378821704</f>
        <v>-948.99479731448014</v>
      </c>
      <c r="R643" t="s">
        <v>12747</v>
      </c>
      <c r="S643" t="s">
        <v>12748</v>
      </c>
      <c r="T643" t="s">
        <v>12749</v>
      </c>
      <c r="U643" t="s">
        <v>12750</v>
      </c>
      <c r="V643" t="s">
        <v>12751</v>
      </c>
      <c r="W643" t="s">
        <v>12752</v>
      </c>
      <c r="X643" t="s">
        <v>12753</v>
      </c>
      <c r="Y643" t="s">
        <v>12754</v>
      </c>
    </row>
    <row r="644" spans="1:25" x14ac:dyDescent="0.3">
      <c r="A644">
        <v>32150</v>
      </c>
      <c r="B644" t="s">
        <v>12755</v>
      </c>
      <c r="C644" t="s">
        <v>12756</v>
      </c>
      <c r="D644" t="s">
        <v>12757</v>
      </c>
      <c r="E644" t="s">
        <v>12758</v>
      </c>
      <c r="F644" t="s">
        <v>12759</v>
      </c>
      <c r="G644" t="s">
        <v>12760</v>
      </c>
      <c r="H644" t="s">
        <v>12761</v>
      </c>
      <c r="I644" t="s">
        <v>12762</v>
      </c>
      <c r="J644" t="s">
        <v>12763</v>
      </c>
      <c r="K644" t="s">
        <v>12764</v>
      </c>
      <c r="L644" t="s">
        <v>12765</v>
      </c>
      <c r="M644" t="s">
        <v>12766</v>
      </c>
      <c r="N644" t="s">
        <v>12767</v>
      </c>
      <c r="O644">
        <f>-831.985715930208 -66.8789973520659 -482.001557990667</f>
        <v>-1380.8662712729408</v>
      </c>
      <c r="P644">
        <f>-891.85051866219 -79.9994371861026 -194.190253123861</f>
        <v>-1166.0402089721536</v>
      </c>
      <c r="Q644">
        <f>-672.686253157891 -10.3698172236845 -266.089688649072</f>
        <v>-949.14575903064747</v>
      </c>
      <c r="R644" t="s">
        <v>12768</v>
      </c>
      <c r="S644" t="s">
        <v>12769</v>
      </c>
      <c r="T644" t="s">
        <v>12770</v>
      </c>
      <c r="U644" t="s">
        <v>12771</v>
      </c>
      <c r="V644" t="s">
        <v>12772</v>
      </c>
      <c r="W644" t="s">
        <v>12773</v>
      </c>
      <c r="X644" t="s">
        <v>12774</v>
      </c>
      <c r="Y644" t="s">
        <v>12775</v>
      </c>
    </row>
    <row r="645" spans="1:25" x14ac:dyDescent="0.3">
      <c r="A645">
        <v>32200</v>
      </c>
      <c r="B645" t="s">
        <v>12776</v>
      </c>
      <c r="C645" t="s">
        <v>12777</v>
      </c>
      <c r="D645" t="s">
        <v>12778</v>
      </c>
      <c r="E645" t="s">
        <v>12779</v>
      </c>
      <c r="F645" t="s">
        <v>12780</v>
      </c>
      <c r="G645" t="s">
        <v>12781</v>
      </c>
      <c r="H645" t="s">
        <v>12782</v>
      </c>
      <c r="I645" t="s">
        <v>12783</v>
      </c>
      <c r="J645" t="s">
        <v>12784</v>
      </c>
      <c r="K645" t="s">
        <v>12785</v>
      </c>
      <c r="L645" t="s">
        <v>12786</v>
      </c>
      <c r="M645" t="s">
        <v>12787</v>
      </c>
      <c r="N645" t="s">
        <v>12788</v>
      </c>
      <c r="O645">
        <f>-831.66595145143 -66.8231131525827 -481.6850617491</f>
        <v>-1380.1741263531126</v>
      </c>
      <c r="P645">
        <f>-892.445871240068 -78.927583796353 -194.021263820209</f>
        <v>-1165.3947188566299</v>
      </c>
      <c r="Q645">
        <f>-672.770142639969 -10.5070114097402 -265.519664263002</f>
        <v>-948.79681831271125</v>
      </c>
      <c r="R645" t="s">
        <v>12789</v>
      </c>
      <c r="S645" t="s">
        <v>12790</v>
      </c>
      <c r="T645" t="s">
        <v>12791</v>
      </c>
      <c r="U645" t="s">
        <v>12792</v>
      </c>
      <c r="V645" t="s">
        <v>12793</v>
      </c>
      <c r="W645" t="s">
        <v>12794</v>
      </c>
      <c r="X645" t="s">
        <v>12795</v>
      </c>
      <c r="Y645" t="s">
        <v>12796</v>
      </c>
    </row>
    <row r="646" spans="1:25" x14ac:dyDescent="0.3">
      <c r="A646">
        <v>32250</v>
      </c>
      <c r="B646" t="s">
        <v>12797</v>
      </c>
      <c r="C646" t="s">
        <v>12798</v>
      </c>
      <c r="D646" t="s">
        <v>12799</v>
      </c>
      <c r="E646" t="s">
        <v>12800</v>
      </c>
      <c r="F646" t="s">
        <v>12801</v>
      </c>
      <c r="G646" t="s">
        <v>12802</v>
      </c>
      <c r="H646" t="s">
        <v>12803</v>
      </c>
      <c r="I646" t="s">
        <v>12804</v>
      </c>
      <c r="J646" t="s">
        <v>12805</v>
      </c>
      <c r="K646" t="s">
        <v>12806</v>
      </c>
      <c r="L646" t="s">
        <v>12807</v>
      </c>
      <c r="M646" t="s">
        <v>12808</v>
      </c>
      <c r="N646" t="s">
        <v>12809</v>
      </c>
      <c r="O646">
        <f>-831.407011589473 -66.9231695774581 -481.47760576094</f>
        <v>-1379.8077869278711</v>
      </c>
      <c r="P646">
        <f>-892.454884819187 -78.6609381178841 -193.855305019263</f>
        <v>-1164.9711279563342</v>
      </c>
      <c r="Q646">
        <f>-672.703796076067 -10.4818102863765 -265.35325470498</f>
        <v>-948.53886106742334</v>
      </c>
      <c r="R646" t="s">
        <v>12810</v>
      </c>
      <c r="S646" t="s">
        <v>12811</v>
      </c>
      <c r="T646" t="s">
        <v>12812</v>
      </c>
      <c r="U646" t="s">
        <v>12813</v>
      </c>
      <c r="V646" t="s">
        <v>12814</v>
      </c>
      <c r="W646" t="s">
        <v>12815</v>
      </c>
      <c r="X646" t="s">
        <v>12816</v>
      </c>
      <c r="Y646" t="s">
        <v>12817</v>
      </c>
    </row>
    <row r="647" spans="1:25" x14ac:dyDescent="0.3">
      <c r="A647">
        <v>32300</v>
      </c>
      <c r="B647" t="s">
        <v>12818</v>
      </c>
      <c r="C647" t="s">
        <v>12819</v>
      </c>
      <c r="D647" t="s">
        <v>12820</v>
      </c>
      <c r="E647" t="s">
        <v>12821</v>
      </c>
      <c r="F647" t="s">
        <v>12822</v>
      </c>
      <c r="G647" t="s">
        <v>12823</v>
      </c>
      <c r="H647" t="s">
        <v>12824</v>
      </c>
      <c r="I647" t="s">
        <v>12825</v>
      </c>
      <c r="J647" t="s">
        <v>12826</v>
      </c>
      <c r="K647" t="s">
        <v>12827</v>
      </c>
      <c r="L647" t="s">
        <v>12828</v>
      </c>
      <c r="M647" t="s">
        <v>12829</v>
      </c>
      <c r="N647" t="s">
        <v>12830</v>
      </c>
      <c r="O647">
        <f>-830.674825939321 -67.1379736059023 -480.874089303853</f>
        <v>-1378.6868888490762</v>
      </c>
      <c r="P647">
        <f>-892.200538206745 -77.9935076443626 -193.318941362517</f>
        <v>-1163.5129872136247</v>
      </c>
      <c r="Q647">
        <f>-672.250576750466 -10.6531828051502 -264.999341702382</f>
        <v>-947.90310125799829</v>
      </c>
      <c r="R647" t="s">
        <v>12831</v>
      </c>
      <c r="S647" t="s">
        <v>12832</v>
      </c>
      <c r="T647" t="s">
        <v>12833</v>
      </c>
      <c r="U647" t="s">
        <v>12834</v>
      </c>
      <c r="V647" t="s">
        <v>12835</v>
      </c>
      <c r="W647" t="s">
        <v>12836</v>
      </c>
      <c r="X647" t="s">
        <v>12837</v>
      </c>
      <c r="Y647" t="s">
        <v>12838</v>
      </c>
    </row>
    <row r="648" spans="1:25" x14ac:dyDescent="0.3">
      <c r="A648">
        <v>32350</v>
      </c>
      <c r="B648" t="s">
        <v>12839</v>
      </c>
      <c r="C648" t="s">
        <v>12840</v>
      </c>
      <c r="D648" t="s">
        <v>12841</v>
      </c>
      <c r="E648" t="s">
        <v>12842</v>
      </c>
      <c r="F648" t="s">
        <v>12843</v>
      </c>
      <c r="G648" t="s">
        <v>12844</v>
      </c>
      <c r="H648" t="s">
        <v>12845</v>
      </c>
      <c r="I648" t="s">
        <v>12846</v>
      </c>
      <c r="J648" t="s">
        <v>12847</v>
      </c>
      <c r="K648" t="s">
        <v>12848</v>
      </c>
      <c r="L648" t="s">
        <v>12849</v>
      </c>
      <c r="M648" t="s">
        <v>12850</v>
      </c>
      <c r="N648" t="s">
        <v>12851</v>
      </c>
      <c r="O648">
        <f>-830.427245361418 -67.3228059961978 -480.446440000782</f>
        <v>-1378.1964913583979</v>
      </c>
      <c r="P648">
        <f>-892.145998230478 -77.7061468359761 -192.915256461431</f>
        <v>-1162.7674015278851</v>
      </c>
      <c r="Q648">
        <f>-672.136180546412 -10.7325537937668 -264.755817238879</f>
        <v>-947.62455157905777</v>
      </c>
      <c r="R648" t="s">
        <v>12852</v>
      </c>
      <c r="S648" t="s">
        <v>12853</v>
      </c>
      <c r="T648" t="s">
        <v>12854</v>
      </c>
      <c r="U648" t="s">
        <v>12855</v>
      </c>
      <c r="V648" t="s">
        <v>12856</v>
      </c>
      <c r="W648" t="s">
        <v>12857</v>
      </c>
      <c r="X648" t="s">
        <v>12858</v>
      </c>
      <c r="Y648" t="s">
        <v>12859</v>
      </c>
    </row>
    <row r="649" spans="1:25" x14ac:dyDescent="0.3">
      <c r="A649">
        <v>32400</v>
      </c>
      <c r="B649" t="s">
        <v>12860</v>
      </c>
      <c r="C649" t="s">
        <v>12861</v>
      </c>
      <c r="D649" t="s">
        <v>12862</v>
      </c>
      <c r="E649" t="s">
        <v>12863</v>
      </c>
      <c r="F649" t="s">
        <v>12864</v>
      </c>
      <c r="G649" t="s">
        <v>12865</v>
      </c>
      <c r="H649" t="s">
        <v>12866</v>
      </c>
      <c r="I649" t="s">
        <v>12867</v>
      </c>
      <c r="J649" t="s">
        <v>12868</v>
      </c>
      <c r="K649" t="s">
        <v>12869</v>
      </c>
      <c r="L649" t="s">
        <v>12870</v>
      </c>
      <c r="M649" t="s">
        <v>12871</v>
      </c>
      <c r="N649" t="s">
        <v>12872</v>
      </c>
      <c r="O649">
        <f>-830.220284117132 -67.9719523344954 -479.549689802063</f>
        <v>-1377.7419262536905</v>
      </c>
      <c r="P649">
        <f>-892.50249421899 -76.5777626586216 -192.081309080189</f>
        <v>-1161.1615659578006</v>
      </c>
      <c r="Q649">
        <f>-672.088234147933 -11.5171249297268 -264.438751292303</f>
        <v>-948.04411036996282</v>
      </c>
      <c r="R649" t="s">
        <v>12873</v>
      </c>
      <c r="S649" t="s">
        <v>12874</v>
      </c>
      <c r="T649" t="s">
        <v>12875</v>
      </c>
      <c r="U649" t="s">
        <v>12876</v>
      </c>
      <c r="V649" t="s">
        <v>12877</v>
      </c>
      <c r="W649" t="s">
        <v>12878</v>
      </c>
      <c r="X649" t="s">
        <v>12879</v>
      </c>
      <c r="Y649" t="s">
        <v>12880</v>
      </c>
    </row>
    <row r="650" spans="1:25" x14ac:dyDescent="0.3">
      <c r="A650">
        <v>32450</v>
      </c>
      <c r="B650" t="s">
        <v>12881</v>
      </c>
      <c r="C650" t="s">
        <v>12882</v>
      </c>
      <c r="D650" t="s">
        <v>12883</v>
      </c>
      <c r="E650" t="s">
        <v>12884</v>
      </c>
      <c r="F650" t="s">
        <v>12885</v>
      </c>
      <c r="G650" t="s">
        <v>12886</v>
      </c>
      <c r="H650" t="s">
        <v>12887</v>
      </c>
      <c r="I650" t="s">
        <v>12888</v>
      </c>
      <c r="J650" t="s">
        <v>12889</v>
      </c>
      <c r="K650" t="s">
        <v>12890</v>
      </c>
      <c r="L650" t="s">
        <v>12891</v>
      </c>
      <c r="M650" t="s">
        <v>12892</v>
      </c>
      <c r="N650" t="s">
        <v>12893</v>
      </c>
      <c r="O650">
        <f>-830.147487775877 -68.2200952070243 -479.199792186498</f>
        <v>-1377.5673751693994</v>
      </c>
      <c r="P650">
        <f>-892.71999666483 -76.0239101953907 -191.771635831932</f>
        <v>-1160.5155426921526</v>
      </c>
      <c r="Q650">
        <f>-672.108287093064 -11.75335837393 -264.232883962274</f>
        <v>-948.09452942926805</v>
      </c>
      <c r="R650" t="s">
        <v>12894</v>
      </c>
      <c r="S650" t="s">
        <v>12895</v>
      </c>
      <c r="T650" t="s">
        <v>12896</v>
      </c>
      <c r="U650" t="s">
        <v>12897</v>
      </c>
      <c r="V650" t="s">
        <v>12898</v>
      </c>
      <c r="W650" t="s">
        <v>12899</v>
      </c>
      <c r="X650" t="s">
        <v>12900</v>
      </c>
      <c r="Y650" t="s">
        <v>12901</v>
      </c>
    </row>
    <row r="651" spans="1:25" x14ac:dyDescent="0.3">
      <c r="A651">
        <v>32500</v>
      </c>
      <c r="B651" t="s">
        <v>12902</v>
      </c>
      <c r="C651" t="s">
        <v>12903</v>
      </c>
      <c r="D651" t="s">
        <v>12904</v>
      </c>
      <c r="E651" t="s">
        <v>12905</v>
      </c>
      <c r="F651" t="s">
        <v>12906</v>
      </c>
      <c r="G651" t="s">
        <v>12907</v>
      </c>
      <c r="H651" t="s">
        <v>12908</v>
      </c>
      <c r="I651" t="s">
        <v>12909</v>
      </c>
      <c r="J651" t="s">
        <v>12910</v>
      </c>
      <c r="K651" t="s">
        <v>12911</v>
      </c>
      <c r="L651" t="s">
        <v>12912</v>
      </c>
      <c r="M651" t="s">
        <v>12913</v>
      </c>
      <c r="N651" t="s">
        <v>12914</v>
      </c>
      <c r="O651">
        <f>-829.621712814619 -68.7303673634144 -478.746061677983</f>
        <v>-1377.0981418560164</v>
      </c>
      <c r="P651">
        <f>-892.877197537604 -75.2799374098574 -191.436088556708</f>
        <v>-1159.5932235041696</v>
      </c>
      <c r="Q651">
        <f>-671.827307369319 -12.3788932294146 -263.763265182382</f>
        <v>-947.96946578111556</v>
      </c>
      <c r="R651" t="s">
        <v>12915</v>
      </c>
      <c r="S651" t="s">
        <v>12916</v>
      </c>
      <c r="T651" t="s">
        <v>12917</v>
      </c>
      <c r="U651" t="s">
        <v>12918</v>
      </c>
      <c r="V651" t="s">
        <v>12919</v>
      </c>
      <c r="W651" t="s">
        <v>12920</v>
      </c>
      <c r="X651" t="s">
        <v>12921</v>
      </c>
      <c r="Y651" t="s">
        <v>12922</v>
      </c>
    </row>
    <row r="652" spans="1:25" x14ac:dyDescent="0.3">
      <c r="A652">
        <v>32550</v>
      </c>
      <c r="B652" t="s">
        <v>12923</v>
      </c>
      <c r="C652" t="s">
        <v>12924</v>
      </c>
      <c r="D652" t="s">
        <v>12925</v>
      </c>
      <c r="E652" t="s">
        <v>12926</v>
      </c>
      <c r="F652" t="s">
        <v>12927</v>
      </c>
      <c r="G652" t="s">
        <v>12928</v>
      </c>
      <c r="H652" t="s">
        <v>12929</v>
      </c>
      <c r="I652" t="s">
        <v>12930</v>
      </c>
      <c r="J652" t="s">
        <v>12931</v>
      </c>
      <c r="K652" t="s">
        <v>12932</v>
      </c>
      <c r="L652" t="s">
        <v>12933</v>
      </c>
      <c r="M652" t="s">
        <v>12934</v>
      </c>
      <c r="N652" t="s">
        <v>12935</v>
      </c>
      <c r="O652">
        <f>-829.197596898357 -68.7871010514868 -478.657352895369</f>
        <v>-1376.6420508452129</v>
      </c>
      <c r="P652">
        <f>-892.766145291913 -75.0633005454195 -191.41043595033</f>
        <v>-1159.2398817876624</v>
      </c>
      <c r="Q652">
        <f>-671.603928579133 -12.3730835006286 -263.577433100838</f>
        <v>-947.5544451805996</v>
      </c>
      <c r="R652" t="s">
        <v>12936</v>
      </c>
      <c r="S652" t="s">
        <v>12937</v>
      </c>
      <c r="T652" t="s">
        <v>12938</v>
      </c>
      <c r="U652" t="s">
        <v>12939</v>
      </c>
      <c r="V652" t="s">
        <v>12940</v>
      </c>
      <c r="W652" t="s">
        <v>12941</v>
      </c>
      <c r="X652" t="s">
        <v>12942</v>
      </c>
      <c r="Y652" t="s">
        <v>12943</v>
      </c>
    </row>
    <row r="653" spans="1:25" x14ac:dyDescent="0.3">
      <c r="A653">
        <v>32600</v>
      </c>
      <c r="B653" t="s">
        <v>12944</v>
      </c>
      <c r="C653" t="s">
        <v>12945</v>
      </c>
      <c r="D653" t="s">
        <v>12946</v>
      </c>
      <c r="E653" t="s">
        <v>12947</v>
      </c>
      <c r="F653" t="s">
        <v>12948</v>
      </c>
      <c r="G653" t="s">
        <v>12949</v>
      </c>
      <c r="H653" t="s">
        <v>12950</v>
      </c>
      <c r="I653" t="s">
        <v>12951</v>
      </c>
      <c r="J653" t="s">
        <v>12952</v>
      </c>
      <c r="K653" t="s">
        <v>12953</v>
      </c>
      <c r="L653" t="s">
        <v>12954</v>
      </c>
      <c r="M653" t="s">
        <v>12955</v>
      </c>
      <c r="N653" t="s">
        <v>12956</v>
      </c>
      <c r="O653">
        <f>-828.36826227895 -68.8278012613796 -478.793590826165</f>
        <v>-1375.9896543664945</v>
      </c>
      <c r="P653">
        <f>-892.597846935935 -74.9435387971037 -191.690238170514</f>
        <v>-1159.2316239035526</v>
      </c>
      <c r="Q653">
        <f>-671.02366660909 -12.7772403479726 -263.04169275145</f>
        <v>-946.84259970851258</v>
      </c>
      <c r="R653" t="s">
        <v>12957</v>
      </c>
      <c r="S653" t="s">
        <v>12958</v>
      </c>
      <c r="T653" t="s">
        <v>12959</v>
      </c>
      <c r="U653" t="s">
        <v>12960</v>
      </c>
      <c r="V653" t="s">
        <v>12961</v>
      </c>
      <c r="W653" t="s">
        <v>12962</v>
      </c>
      <c r="X653" t="s">
        <v>12963</v>
      </c>
      <c r="Y653" t="s">
        <v>12964</v>
      </c>
    </row>
    <row r="654" spans="1:25" x14ac:dyDescent="0.3">
      <c r="A654">
        <v>32650</v>
      </c>
      <c r="B654" t="s">
        <v>12965</v>
      </c>
      <c r="C654" t="s">
        <v>12966</v>
      </c>
      <c r="D654" t="s">
        <v>12967</v>
      </c>
      <c r="E654" t="s">
        <v>12968</v>
      </c>
      <c r="F654" t="s">
        <v>12969</v>
      </c>
      <c r="G654" t="s">
        <v>12970</v>
      </c>
      <c r="H654" t="s">
        <v>12971</v>
      </c>
      <c r="I654" t="s">
        <v>12972</v>
      </c>
      <c r="J654" t="s">
        <v>12973</v>
      </c>
      <c r="K654" t="s">
        <v>12974</v>
      </c>
      <c r="L654" t="s">
        <v>12975</v>
      </c>
      <c r="M654" t="s">
        <v>12976</v>
      </c>
      <c r="N654" t="s">
        <v>12977</v>
      </c>
      <c r="O654">
        <f>-827.937638380788 -68.6614450725417 -479.007700142707</f>
        <v>-1375.6067835960366</v>
      </c>
      <c r="P654">
        <f>-892.507985936421 -74.8335359386022 -191.981845279396</f>
        <v>-1159.3233671544192</v>
      </c>
      <c r="Q654">
        <f>-670.517443349457 -13.0520487446852 -262.367358646906</f>
        <v>-945.93685074104815</v>
      </c>
      <c r="R654" t="s">
        <v>12978</v>
      </c>
      <c r="S654" t="s">
        <v>12979</v>
      </c>
      <c r="T654" t="s">
        <v>12980</v>
      </c>
      <c r="U654" t="s">
        <v>12981</v>
      </c>
      <c r="V654" t="s">
        <v>12982</v>
      </c>
      <c r="W654" t="s">
        <v>12983</v>
      </c>
      <c r="X654" t="s">
        <v>12984</v>
      </c>
      <c r="Y654" t="s">
        <v>12985</v>
      </c>
    </row>
    <row r="655" spans="1:25" x14ac:dyDescent="0.3">
      <c r="A655">
        <v>32700</v>
      </c>
      <c r="B655" t="s">
        <v>12986</v>
      </c>
      <c r="C655" t="s">
        <v>12987</v>
      </c>
      <c r="D655" t="s">
        <v>12988</v>
      </c>
      <c r="E655" t="s">
        <v>12989</v>
      </c>
      <c r="F655" t="s">
        <v>12990</v>
      </c>
      <c r="G655" t="s">
        <v>12991</v>
      </c>
      <c r="H655" t="s">
        <v>12992</v>
      </c>
      <c r="I655" t="s">
        <v>12993</v>
      </c>
      <c r="J655" t="s">
        <v>12994</v>
      </c>
      <c r="K655" t="s">
        <v>12995</v>
      </c>
      <c r="L655" t="s">
        <v>12996</v>
      </c>
      <c r="M655" t="s">
        <v>12997</v>
      </c>
      <c r="N655" t="s">
        <v>12998</v>
      </c>
      <c r="O655">
        <f>-826.80525169899 -68.5835835885287 -479.737660139236</f>
        <v>-1375.1264954267547</v>
      </c>
      <c r="P655">
        <f>-891.89745483519 -75.7971470583916 -192.854105431301</f>
        <v>-1160.5487073248826</v>
      </c>
      <c r="Q655">
        <f>-669.650552294085 -14.0069333395877 -262.418202165927</f>
        <v>-946.07568779959968</v>
      </c>
      <c r="R655" t="s">
        <v>12999</v>
      </c>
      <c r="S655" t="s">
        <v>13000</v>
      </c>
      <c r="T655" t="s">
        <v>13001</v>
      </c>
      <c r="U655" t="s">
        <v>13002</v>
      </c>
      <c r="V655" t="s">
        <v>13003</v>
      </c>
      <c r="W655" t="s">
        <v>13004</v>
      </c>
      <c r="X655" t="s">
        <v>13005</v>
      </c>
      <c r="Y655" t="s">
        <v>13006</v>
      </c>
    </row>
    <row r="656" spans="1:25" x14ac:dyDescent="0.3">
      <c r="A656">
        <v>32750</v>
      </c>
      <c r="B656" t="s">
        <v>13007</v>
      </c>
      <c r="C656" t="s">
        <v>13008</v>
      </c>
      <c r="D656" t="s">
        <v>13009</v>
      </c>
      <c r="E656" t="s">
        <v>13010</v>
      </c>
      <c r="F656" t="s">
        <v>13011</v>
      </c>
      <c r="G656" t="s">
        <v>13012</v>
      </c>
      <c r="H656" t="s">
        <v>13013</v>
      </c>
      <c r="I656" t="s">
        <v>13014</v>
      </c>
      <c r="J656" t="s">
        <v>13015</v>
      </c>
      <c r="K656" t="s">
        <v>13016</v>
      </c>
      <c r="L656" t="s">
        <v>13017</v>
      </c>
      <c r="M656" t="s">
        <v>13018</v>
      </c>
      <c r="N656" t="s">
        <v>13019</v>
      </c>
      <c r="O656">
        <f>-826.128147677723 -68.7150937717347 -480.268460078277</f>
        <v>-1375.1117015277346</v>
      </c>
      <c r="P656">
        <f>-891.314319484895 -76.5876379999124 -193.423692931008</f>
        <v>-1161.3256504158155</v>
      </c>
      <c r="Q656">
        <f>-669.149560699538 -14.4358109335053 -262.927402768943</f>
        <v>-946.51277440198635</v>
      </c>
      <c r="R656" t="s">
        <v>13020</v>
      </c>
      <c r="S656" t="s">
        <v>13021</v>
      </c>
      <c r="T656" t="s">
        <v>13022</v>
      </c>
      <c r="U656" t="s">
        <v>13023</v>
      </c>
      <c r="V656" t="s">
        <v>13024</v>
      </c>
      <c r="W656" t="s">
        <v>13025</v>
      </c>
      <c r="X656" t="s">
        <v>13026</v>
      </c>
      <c r="Y656" t="s">
        <v>13027</v>
      </c>
    </row>
    <row r="657" spans="1:25" x14ac:dyDescent="0.3">
      <c r="A657">
        <v>32800</v>
      </c>
      <c r="B657" t="s">
        <v>13028</v>
      </c>
      <c r="C657" t="s">
        <v>13029</v>
      </c>
      <c r="D657" t="s">
        <v>13030</v>
      </c>
      <c r="E657" t="s">
        <v>13031</v>
      </c>
      <c r="F657" t="s">
        <v>13032</v>
      </c>
      <c r="G657" t="s">
        <v>13033</v>
      </c>
      <c r="H657" t="s">
        <v>13034</v>
      </c>
      <c r="I657" t="s">
        <v>13035</v>
      </c>
      <c r="J657" t="s">
        <v>13036</v>
      </c>
      <c r="K657" t="s">
        <v>13037</v>
      </c>
      <c r="L657" t="s">
        <v>13038</v>
      </c>
      <c r="M657" t="s">
        <v>13039</v>
      </c>
      <c r="N657" t="s">
        <v>13040</v>
      </c>
      <c r="O657">
        <f>-825.383375273665 -68.8988099998312 -480.860707546103</f>
        <v>-1375.1428928195992</v>
      </c>
      <c r="P657">
        <f>-890.240639212961 -77.9272553294047 -193.975512015826</f>
        <v>-1162.1434065581918</v>
      </c>
      <c r="Q657">
        <f>-668.398396236002 -14.5883009482618 -263.437674884946</f>
        <v>-946.42437206920977</v>
      </c>
      <c r="R657" t="s">
        <v>13041</v>
      </c>
      <c r="S657" t="s">
        <v>13042</v>
      </c>
      <c r="T657" t="s">
        <v>13043</v>
      </c>
      <c r="U657" t="s">
        <v>13044</v>
      </c>
      <c r="V657" t="s">
        <v>13045</v>
      </c>
      <c r="W657" t="s">
        <v>13046</v>
      </c>
      <c r="X657" t="s">
        <v>13047</v>
      </c>
      <c r="Y657" t="s">
        <v>13048</v>
      </c>
    </row>
    <row r="658" spans="1:25" x14ac:dyDescent="0.3">
      <c r="A658">
        <v>32850</v>
      </c>
      <c r="B658" t="s">
        <v>13049</v>
      </c>
      <c r="C658" t="s">
        <v>13050</v>
      </c>
      <c r="D658" t="s">
        <v>13051</v>
      </c>
      <c r="E658" t="s">
        <v>13052</v>
      </c>
      <c r="F658" t="s">
        <v>13053</v>
      </c>
      <c r="G658" t="s">
        <v>13054</v>
      </c>
      <c r="H658" t="s">
        <v>13055</v>
      </c>
      <c r="I658" t="s">
        <v>13056</v>
      </c>
      <c r="J658" t="s">
        <v>13057</v>
      </c>
      <c r="K658" t="s">
        <v>13058</v>
      </c>
      <c r="L658" t="s">
        <v>13059</v>
      </c>
      <c r="M658" t="s">
        <v>13060</v>
      </c>
      <c r="N658" t="s">
        <v>13061</v>
      </c>
      <c r="O658">
        <f>-823.548280366742 -69.5128692436879 -482.091820299369</f>
        <v>-1375.1529699097989</v>
      </c>
      <c r="P658">
        <f>-887.511031131371 -81.3241138205321 -195.106657171174</f>
        <v>-1163.9418021230772</v>
      </c>
      <c r="Q658">
        <f>-666.476287949906 -14.2644381543678 -263.645555233855</f>
        <v>-944.38628133812881</v>
      </c>
      <c r="R658" t="s">
        <v>13062</v>
      </c>
      <c r="S658" t="s">
        <v>13063</v>
      </c>
      <c r="T658" t="s">
        <v>13064</v>
      </c>
      <c r="U658" t="s">
        <v>13065</v>
      </c>
      <c r="V658" t="s">
        <v>13066</v>
      </c>
      <c r="W658" t="s">
        <v>13067</v>
      </c>
      <c r="X658" t="s">
        <v>13068</v>
      </c>
      <c r="Y658" t="s">
        <v>13069</v>
      </c>
    </row>
    <row r="659" spans="1:25" x14ac:dyDescent="0.3">
      <c r="A659">
        <v>32900</v>
      </c>
      <c r="B659" t="s">
        <v>13070</v>
      </c>
      <c r="C659" t="s">
        <v>13071</v>
      </c>
      <c r="D659" t="s">
        <v>13072</v>
      </c>
      <c r="E659" t="s">
        <v>13073</v>
      </c>
      <c r="F659" t="s">
        <v>13074</v>
      </c>
      <c r="G659" t="s">
        <v>13075</v>
      </c>
      <c r="H659" t="s">
        <v>13076</v>
      </c>
      <c r="I659" t="s">
        <v>13077</v>
      </c>
      <c r="J659" t="s">
        <v>13078</v>
      </c>
      <c r="K659" t="s">
        <v>13079</v>
      </c>
      <c r="L659" t="s">
        <v>13080</v>
      </c>
      <c r="M659" t="s">
        <v>13081</v>
      </c>
      <c r="N659" t="s">
        <v>13082</v>
      </c>
      <c r="O659">
        <f>-821.936831746247 -69.91746177857 -483.195607059403</f>
        <v>-1375.04990058422</v>
      </c>
      <c r="P659">
        <f>-884.26779614039 -85.2037318216851 -196.015607913174</f>
        <v>-1165.4871358752491</v>
      </c>
      <c r="Q659">
        <f>-665.150158002227 -12.8305049443638 -265.300958839826</f>
        <v>-943.28162178641696</v>
      </c>
      <c r="R659" t="s">
        <v>13083</v>
      </c>
      <c r="S659" t="s">
        <v>13084</v>
      </c>
      <c r="T659" t="s">
        <v>13085</v>
      </c>
      <c r="U659" t="s">
        <v>13086</v>
      </c>
      <c r="V659" t="s">
        <v>13087</v>
      </c>
      <c r="W659" t="s">
        <v>13088</v>
      </c>
      <c r="X659" t="s">
        <v>13089</v>
      </c>
      <c r="Y659" t="s">
        <v>13090</v>
      </c>
    </row>
    <row r="660" spans="1:25" x14ac:dyDescent="0.3">
      <c r="A660">
        <v>32950</v>
      </c>
      <c r="B660" t="s">
        <v>13091</v>
      </c>
      <c r="C660" t="s">
        <v>13092</v>
      </c>
      <c r="D660" t="s">
        <v>13093</v>
      </c>
      <c r="E660" t="s">
        <v>13094</v>
      </c>
      <c r="F660" t="s">
        <v>13095</v>
      </c>
      <c r="G660" t="s">
        <v>13096</v>
      </c>
      <c r="H660" t="s">
        <v>13097</v>
      </c>
      <c r="I660" t="s">
        <v>13098</v>
      </c>
      <c r="J660" t="s">
        <v>13099</v>
      </c>
      <c r="K660" t="s">
        <v>13100</v>
      </c>
      <c r="L660" t="s">
        <v>13101</v>
      </c>
      <c r="M660" t="s">
        <v>13102</v>
      </c>
      <c r="N660" t="s">
        <v>13103</v>
      </c>
      <c r="O660">
        <f>-821.488930120823 -70.0217347242772 -483.724561172166</f>
        <v>-1375.2352260172661</v>
      </c>
      <c r="P660">
        <f>-882.865436591682 -86.6140594393935 -196.411508020543</f>
        <v>-1165.8910040516184</v>
      </c>
      <c r="Q660">
        <f>-664.537211133121 -12.6316427024767 -266.485264411641</f>
        <v>-943.65411824723878</v>
      </c>
      <c r="R660" t="s">
        <v>13104</v>
      </c>
      <c r="S660" t="s">
        <v>13105</v>
      </c>
      <c r="T660" t="s">
        <v>13106</v>
      </c>
      <c r="U660" t="s">
        <v>13107</v>
      </c>
      <c r="V660" t="s">
        <v>13108</v>
      </c>
      <c r="W660" t="s">
        <v>13109</v>
      </c>
      <c r="X660" t="s">
        <v>13110</v>
      </c>
      <c r="Y660" t="s">
        <v>13111</v>
      </c>
    </row>
    <row r="661" spans="1:25" x14ac:dyDescent="0.3">
      <c r="A661">
        <v>33000</v>
      </c>
      <c r="B661" t="s">
        <v>13112</v>
      </c>
      <c r="C661" t="s">
        <v>13113</v>
      </c>
      <c r="D661" t="s">
        <v>13114</v>
      </c>
      <c r="E661" t="s">
        <v>13115</v>
      </c>
      <c r="F661" t="s">
        <v>13116</v>
      </c>
      <c r="G661" t="s">
        <v>13117</v>
      </c>
      <c r="H661" t="s">
        <v>13118</v>
      </c>
      <c r="I661" t="s">
        <v>13119</v>
      </c>
      <c r="J661" t="s">
        <v>13120</v>
      </c>
      <c r="K661" t="s">
        <v>13121</v>
      </c>
      <c r="L661" t="s">
        <v>13122</v>
      </c>
      <c r="M661" t="s">
        <v>13123</v>
      </c>
      <c r="N661" t="s">
        <v>13124</v>
      </c>
      <c r="O661">
        <f>-821.062947031128 -70.2650794241556 -484.66733609362</f>
        <v>-1375.9953625489036</v>
      </c>
      <c r="P661">
        <f>-880.819721258991 -88.3832687170923 -197.10507649353</f>
        <v>-1166.3080664696133</v>
      </c>
      <c r="Q661">
        <f>-663.053264745647 -13.4565524882573 -267.918885925434</f>
        <v>-944.42870315933828</v>
      </c>
      <c r="R661" t="s">
        <v>13125</v>
      </c>
      <c r="S661" t="s">
        <v>13126</v>
      </c>
      <c r="T661" t="s">
        <v>13127</v>
      </c>
      <c r="U661" t="s">
        <v>13128</v>
      </c>
      <c r="V661" t="s">
        <v>13129</v>
      </c>
      <c r="W661" t="s">
        <v>13130</v>
      </c>
      <c r="X661" t="s">
        <v>13131</v>
      </c>
      <c r="Y661" t="s">
        <v>13132</v>
      </c>
    </row>
    <row r="662" spans="1:25" x14ac:dyDescent="0.3">
      <c r="A662">
        <v>33050</v>
      </c>
      <c r="B662" t="s">
        <v>13133</v>
      </c>
      <c r="C662" t="s">
        <v>13134</v>
      </c>
      <c r="D662" t="s">
        <v>13135</v>
      </c>
      <c r="E662" t="s">
        <v>13136</v>
      </c>
      <c r="F662" t="s">
        <v>13137</v>
      </c>
      <c r="G662" t="s">
        <v>13138</v>
      </c>
      <c r="H662" t="s">
        <v>13139</v>
      </c>
      <c r="I662" t="s">
        <v>13140</v>
      </c>
      <c r="J662" t="s">
        <v>13141</v>
      </c>
      <c r="K662" t="s">
        <v>13142</v>
      </c>
      <c r="L662" t="s">
        <v>13143</v>
      </c>
      <c r="M662" t="s">
        <v>13144</v>
      </c>
      <c r="N662" t="s">
        <v>13145</v>
      </c>
      <c r="O662">
        <f>-821.148425117192 -70.271005123215 -485.103812428009</f>
        <v>-1376.5232426684161</v>
      </c>
      <c r="P662">
        <f>-880.094826364263 -89.0860328264691 -197.419069536503</f>
        <v>-1166.5999287272352</v>
      </c>
      <c r="Q662">
        <f>-662.673257466746 -13.4520259324358 -268.540492633359</f>
        <v>-944.66577603254086</v>
      </c>
      <c r="R662" t="s">
        <v>13146</v>
      </c>
      <c r="S662" t="s">
        <v>13147</v>
      </c>
      <c r="T662" t="s">
        <v>13148</v>
      </c>
      <c r="U662" t="s">
        <v>13149</v>
      </c>
      <c r="V662" t="s">
        <v>13150</v>
      </c>
      <c r="W662" t="s">
        <v>13151</v>
      </c>
      <c r="X662" t="s">
        <v>13152</v>
      </c>
      <c r="Y662" t="s">
        <v>13153</v>
      </c>
    </row>
    <row r="663" spans="1:25" x14ac:dyDescent="0.3">
      <c r="A663">
        <v>33100</v>
      </c>
      <c r="B663" t="s">
        <v>13154</v>
      </c>
      <c r="C663" t="s">
        <v>13155</v>
      </c>
      <c r="D663" t="s">
        <v>13156</v>
      </c>
      <c r="E663" t="s">
        <v>13157</v>
      </c>
      <c r="F663" t="s">
        <v>13158</v>
      </c>
      <c r="G663" t="s">
        <v>13159</v>
      </c>
      <c r="H663" t="s">
        <v>13160</v>
      </c>
      <c r="I663" t="s">
        <v>13161</v>
      </c>
      <c r="J663" t="s">
        <v>13162</v>
      </c>
      <c r="K663" t="s">
        <v>13163</v>
      </c>
      <c r="L663" t="s">
        <v>13164</v>
      </c>
      <c r="M663" t="s">
        <v>13165</v>
      </c>
      <c r="N663" t="s">
        <v>13166</v>
      </c>
      <c r="O663">
        <f>-821.701923652758 -70.3303726138147 -485.894061059835</f>
        <v>-1377.9263573264077</v>
      </c>
      <c r="P663">
        <f>-879.228402191809 -90.9967320967542 -198.048916311913</f>
        <v>-1168.2740506004761</v>
      </c>
      <c r="Q663">
        <f>-662.542430067636 -13.8267690033358 -269.762614597974</f>
        <v>-946.13181366894582</v>
      </c>
      <c r="R663" t="s">
        <v>13167</v>
      </c>
      <c r="S663" t="s">
        <v>13168</v>
      </c>
      <c r="T663" t="s">
        <v>13169</v>
      </c>
      <c r="U663" t="s">
        <v>13170</v>
      </c>
      <c r="V663" t="s">
        <v>13171</v>
      </c>
      <c r="W663" t="s">
        <v>13172</v>
      </c>
      <c r="X663" t="s">
        <v>13173</v>
      </c>
      <c r="Y663" t="s">
        <v>13174</v>
      </c>
    </row>
    <row r="664" spans="1:25" x14ac:dyDescent="0.3">
      <c r="A664">
        <v>33150</v>
      </c>
      <c r="B664" t="s">
        <v>13175</v>
      </c>
      <c r="C664" t="s">
        <v>13176</v>
      </c>
      <c r="D664" t="s">
        <v>13177</v>
      </c>
      <c r="E664" t="s">
        <v>13178</v>
      </c>
      <c r="F664" t="s">
        <v>13179</v>
      </c>
      <c r="G664" t="s">
        <v>13180</v>
      </c>
      <c r="H664" t="s">
        <v>13181</v>
      </c>
      <c r="I664" t="s">
        <v>13182</v>
      </c>
      <c r="J664" t="s">
        <v>13183</v>
      </c>
      <c r="K664" t="s">
        <v>13184</v>
      </c>
      <c r="L664" t="s">
        <v>13185</v>
      </c>
      <c r="M664" t="s">
        <v>13186</v>
      </c>
      <c r="N664" t="s">
        <v>13187</v>
      </c>
      <c r="O664">
        <f>-821.978722363884 -70.5683650033016 -486.225695780941</f>
        <v>-1378.7727831481266</v>
      </c>
      <c r="P664">
        <f>-878.746798561766 -92.1038808604201 -198.293708872592</f>
        <v>-1169.1443882947781</v>
      </c>
      <c r="Q664">
        <f>-662.469295622354 -14.3156938983307 -270.570504134306</f>
        <v>-947.35549365499071</v>
      </c>
      <c r="R664" t="s">
        <v>13188</v>
      </c>
      <c r="S664" t="s">
        <v>13189</v>
      </c>
      <c r="T664" t="s">
        <v>13190</v>
      </c>
      <c r="U664" t="s">
        <v>13191</v>
      </c>
      <c r="V664" t="s">
        <v>13192</v>
      </c>
      <c r="W664" t="s">
        <v>13193</v>
      </c>
      <c r="X664" t="s">
        <v>13194</v>
      </c>
      <c r="Y664" t="s">
        <v>13195</v>
      </c>
    </row>
    <row r="665" spans="1:25" x14ac:dyDescent="0.3">
      <c r="A665">
        <v>33200</v>
      </c>
      <c r="B665" t="s">
        <v>13196</v>
      </c>
      <c r="C665" t="s">
        <v>13197</v>
      </c>
      <c r="D665" t="s">
        <v>13198</v>
      </c>
      <c r="E665" t="s">
        <v>13199</v>
      </c>
      <c r="F665" t="s">
        <v>13200</v>
      </c>
      <c r="G665" t="s">
        <v>13201</v>
      </c>
      <c r="H665" t="s">
        <v>13202</v>
      </c>
      <c r="I665" t="s">
        <v>13203</v>
      </c>
      <c r="J665" t="s">
        <v>13204</v>
      </c>
      <c r="K665" t="s">
        <v>13205</v>
      </c>
      <c r="L665" t="s">
        <v>13206</v>
      </c>
      <c r="M665" t="s">
        <v>13207</v>
      </c>
      <c r="N665" t="s">
        <v>13208</v>
      </c>
      <c r="O665">
        <f>-822.182684106995 -71.1859063843383 -486.739502050322</f>
        <v>-1380.1080925416554</v>
      </c>
      <c r="P665">
        <f>-877.756737363987 -93.7009709812687 -198.64962781063</f>
        <v>-1170.1073361558856</v>
      </c>
      <c r="Q665">
        <f>-661.870367045361 -15.130394438429 -271.248304985617</f>
        <v>-948.24906646940701</v>
      </c>
      <c r="R665" t="s">
        <v>13209</v>
      </c>
      <c r="S665" t="s">
        <v>13210</v>
      </c>
      <c r="T665" t="s">
        <v>13211</v>
      </c>
      <c r="U665" t="s">
        <v>13212</v>
      </c>
      <c r="V665" t="s">
        <v>13213</v>
      </c>
      <c r="W665" t="s">
        <v>13214</v>
      </c>
      <c r="X665" t="s">
        <v>13215</v>
      </c>
      <c r="Y665" t="s">
        <v>13216</v>
      </c>
    </row>
    <row r="666" spans="1:25" x14ac:dyDescent="0.3">
      <c r="A666">
        <v>33250</v>
      </c>
      <c r="B666" t="s">
        <v>13217</v>
      </c>
      <c r="C666" t="s">
        <v>13218</v>
      </c>
      <c r="D666" t="s">
        <v>13219</v>
      </c>
      <c r="E666" t="s">
        <v>13220</v>
      </c>
      <c r="F666" t="s">
        <v>13221</v>
      </c>
      <c r="G666" t="s">
        <v>13222</v>
      </c>
      <c r="H666" t="s">
        <v>13223</v>
      </c>
      <c r="I666" t="s">
        <v>13224</v>
      </c>
      <c r="J666" t="s">
        <v>13225</v>
      </c>
      <c r="K666" t="s">
        <v>13226</v>
      </c>
      <c r="L666" t="s">
        <v>13227</v>
      </c>
      <c r="M666" t="s">
        <v>13228</v>
      </c>
      <c r="N666" t="s">
        <v>13229</v>
      </c>
      <c r="O666">
        <f>-822.35845792311 -71.3023650813527 -486.948976976467</f>
        <v>-1380.6097999809297</v>
      </c>
      <c r="P666">
        <f>-877.384538937284 -94.354287854319 -198.796356360323</f>
        <v>-1170.535183151926</v>
      </c>
      <c r="Q666">
        <f>-661.737896054569 -15.3240859245834 -271.608395470555</f>
        <v>-948.67037744970742</v>
      </c>
      <c r="R666" t="s">
        <v>13230</v>
      </c>
      <c r="S666" t="s">
        <v>13231</v>
      </c>
      <c r="T666" t="s">
        <v>13232</v>
      </c>
      <c r="U666" t="s">
        <v>13233</v>
      </c>
      <c r="V666" t="s">
        <v>13234</v>
      </c>
      <c r="W666" t="s">
        <v>13235</v>
      </c>
      <c r="X666" t="s">
        <v>13236</v>
      </c>
      <c r="Y666" t="s">
        <v>13237</v>
      </c>
    </row>
    <row r="667" spans="1:25" x14ac:dyDescent="0.3">
      <c r="A667">
        <v>33300</v>
      </c>
      <c r="B667" t="s">
        <v>13238</v>
      </c>
      <c r="C667" t="s">
        <v>13239</v>
      </c>
      <c r="D667" t="s">
        <v>13240</v>
      </c>
      <c r="E667" t="s">
        <v>13241</v>
      </c>
      <c r="F667" t="s">
        <v>13242</v>
      </c>
      <c r="G667" t="s">
        <v>13243</v>
      </c>
      <c r="H667" t="s">
        <v>13244</v>
      </c>
      <c r="I667" t="s">
        <v>13245</v>
      </c>
      <c r="J667" t="s">
        <v>13246</v>
      </c>
      <c r="K667" t="s">
        <v>13247</v>
      </c>
      <c r="L667" t="s">
        <v>13248</v>
      </c>
      <c r="M667" t="s">
        <v>13249</v>
      </c>
      <c r="N667" t="s">
        <v>13250</v>
      </c>
      <c r="O667">
        <f>-822.804522867314 -71.215710360018 -487.283599916972</f>
        <v>-1381.303833144304</v>
      </c>
      <c r="P667">
        <f>-876.682145353621 -95.1485449233594 -198.985759353804</f>
        <v>-1170.8164496307843</v>
      </c>
      <c r="Q667">
        <f>-661.560457318601 -15.0808521011472 -272.216044461879</f>
        <v>-948.8573538816272</v>
      </c>
      <c r="R667" t="s">
        <v>13251</v>
      </c>
      <c r="S667" t="s">
        <v>13252</v>
      </c>
      <c r="T667" t="s">
        <v>13253</v>
      </c>
      <c r="U667" t="s">
        <v>13254</v>
      </c>
      <c r="V667" t="s">
        <v>13255</v>
      </c>
      <c r="W667" t="s">
        <v>13256</v>
      </c>
      <c r="X667" t="s">
        <v>13257</v>
      </c>
      <c r="Y667" t="s">
        <v>13258</v>
      </c>
    </row>
    <row r="668" spans="1:25" x14ac:dyDescent="0.3">
      <c r="A668">
        <v>33350</v>
      </c>
      <c r="B668" t="s">
        <v>13259</v>
      </c>
      <c r="C668" t="s">
        <v>13260</v>
      </c>
      <c r="D668" t="s">
        <v>13261</v>
      </c>
      <c r="E668" t="s">
        <v>13262</v>
      </c>
      <c r="F668" t="s">
        <v>13263</v>
      </c>
      <c r="G668" t="s">
        <v>13264</v>
      </c>
      <c r="H668" t="s">
        <v>13265</v>
      </c>
      <c r="I668" t="s">
        <v>13266</v>
      </c>
      <c r="J668" t="s">
        <v>13267</v>
      </c>
      <c r="K668" t="s">
        <v>13268</v>
      </c>
      <c r="L668" t="s">
        <v>13269</v>
      </c>
      <c r="M668" t="s">
        <v>13270</v>
      </c>
      <c r="N668" t="s">
        <v>13271</v>
      </c>
      <c r="O668">
        <f>-823.026487173706 -71.142186539621 -487.404951580433</f>
        <v>-1381.57362529376</v>
      </c>
      <c r="P668">
        <f>-876.376199372089 -95.380520060608 -199.034527694679</f>
        <v>-1170.791247127376</v>
      </c>
      <c r="Q668">
        <f>-661.477856153705 -14.9057466639638 -272.473799017834</f>
        <v>-948.85740183550274</v>
      </c>
      <c r="R668" t="s">
        <v>13272</v>
      </c>
      <c r="S668" t="s">
        <v>13273</v>
      </c>
      <c r="T668" t="s">
        <v>13274</v>
      </c>
      <c r="U668" t="s">
        <v>13275</v>
      </c>
      <c r="V668" t="s">
        <v>13276</v>
      </c>
      <c r="W668" t="s">
        <v>13277</v>
      </c>
      <c r="X668" t="s">
        <v>13278</v>
      </c>
      <c r="Y668" t="s">
        <v>13279</v>
      </c>
    </row>
    <row r="669" spans="1:25" x14ac:dyDescent="0.3">
      <c r="A669">
        <v>33400</v>
      </c>
      <c r="B669" t="s">
        <v>13280</v>
      </c>
      <c r="C669" t="s">
        <v>13281</v>
      </c>
      <c r="D669" t="s">
        <v>13282</v>
      </c>
      <c r="E669" t="s">
        <v>13283</v>
      </c>
      <c r="F669" t="s">
        <v>13284</v>
      </c>
      <c r="G669" t="s">
        <v>13285</v>
      </c>
      <c r="H669" t="s">
        <v>13286</v>
      </c>
      <c r="I669" t="s">
        <v>13287</v>
      </c>
      <c r="J669" t="s">
        <v>13288</v>
      </c>
      <c r="K669" t="s">
        <v>13289</v>
      </c>
      <c r="L669" t="s">
        <v>13290</v>
      </c>
      <c r="M669" t="s">
        <v>13291</v>
      </c>
      <c r="N669" t="s">
        <v>13292</v>
      </c>
      <c r="O669">
        <f>-823.096550864998 -71.3336671288039 -487.523064606163</f>
        <v>-1381.953282599965</v>
      </c>
      <c r="P669">
        <f>-875.472728256529 -95.9141068174379 -199.003099090422</f>
        <v>-1170.3899341643889</v>
      </c>
      <c r="Q669">
        <f>-660.873131158583 -15.125602742758 -272.970345295915</f>
        <v>-948.96907919725595</v>
      </c>
      <c r="R669" t="s">
        <v>13293</v>
      </c>
      <c r="S669" t="s">
        <v>13294</v>
      </c>
      <c r="T669" t="s">
        <v>13295</v>
      </c>
      <c r="U669" t="s">
        <v>13296</v>
      </c>
      <c r="V669" t="s">
        <v>13297</v>
      </c>
      <c r="W669" t="s">
        <v>13298</v>
      </c>
      <c r="X669" t="s">
        <v>13299</v>
      </c>
      <c r="Y669" t="s">
        <v>13300</v>
      </c>
    </row>
    <row r="670" spans="1:25" x14ac:dyDescent="0.3">
      <c r="A670">
        <v>33450</v>
      </c>
      <c r="B670" t="s">
        <v>13301</v>
      </c>
      <c r="C670" t="s">
        <v>13302</v>
      </c>
      <c r="D670" t="s">
        <v>13303</v>
      </c>
      <c r="E670" t="s">
        <v>13304</v>
      </c>
      <c r="F670" t="s">
        <v>13305</v>
      </c>
      <c r="G670" t="s">
        <v>13306</v>
      </c>
      <c r="H670" t="s">
        <v>13307</v>
      </c>
      <c r="I670" t="s">
        <v>13308</v>
      </c>
      <c r="J670" t="s">
        <v>13309</v>
      </c>
      <c r="K670" t="s">
        <v>13310</v>
      </c>
      <c r="L670" t="s">
        <v>13311</v>
      </c>
      <c r="M670" t="s">
        <v>13312</v>
      </c>
      <c r="N670" t="s">
        <v>13313</v>
      </c>
      <c r="O670">
        <f>-822.866452263094 -71.2182365048859 -487.549806287884</f>
        <v>-1381.6344950558639</v>
      </c>
      <c r="P670">
        <f>-875.048592185972 -95.6410212020303 -198.98145612801</f>
        <v>-1169.6710695160123</v>
      </c>
      <c r="Q670">
        <f>-660.46081895841 -15.1118343017224 -273.264639115084</f>
        <v>-948.83729237521629</v>
      </c>
      <c r="R670" t="s">
        <v>13314</v>
      </c>
      <c r="S670" t="s">
        <v>13315</v>
      </c>
      <c r="T670" t="s">
        <v>13316</v>
      </c>
      <c r="U670" t="s">
        <v>13317</v>
      </c>
      <c r="V670" t="s">
        <v>13318</v>
      </c>
      <c r="W670" t="s">
        <v>13319</v>
      </c>
      <c r="X670" t="s">
        <v>13320</v>
      </c>
      <c r="Y670" t="s">
        <v>13321</v>
      </c>
    </row>
    <row r="671" spans="1:25" x14ac:dyDescent="0.3">
      <c r="A671">
        <v>33500</v>
      </c>
      <c r="B671" t="s">
        <v>13322</v>
      </c>
      <c r="C671" t="s">
        <v>13323</v>
      </c>
      <c r="D671" t="s">
        <v>13324</v>
      </c>
      <c r="E671" t="s">
        <v>13325</v>
      </c>
      <c r="F671" t="s">
        <v>13326</v>
      </c>
      <c r="G671" t="s">
        <v>13327</v>
      </c>
      <c r="H671" t="s">
        <v>13328</v>
      </c>
      <c r="I671" t="s">
        <v>13329</v>
      </c>
      <c r="J671" t="s">
        <v>13330</v>
      </c>
      <c r="K671" t="s">
        <v>13331</v>
      </c>
      <c r="L671" t="s">
        <v>13332</v>
      </c>
      <c r="M671" t="s">
        <v>13333</v>
      </c>
      <c r="N671" t="s">
        <v>13334</v>
      </c>
      <c r="O671">
        <f>-822.527300431307 -70.6277719459504 -487.664897336898</f>
        <v>-1380.8199697141554</v>
      </c>
      <c r="P671">
        <f>-874.738192055604 -94.9965572539122 -199.096982946636</f>
        <v>-1168.8317322561522</v>
      </c>
      <c r="Q671">
        <f>-660.031882579565 -14.9033256700336 -273.508919796549</f>
        <v>-948.44412804614763</v>
      </c>
      <c r="R671" t="s">
        <v>13335</v>
      </c>
      <c r="S671" t="s">
        <v>13336</v>
      </c>
      <c r="T671" t="s">
        <v>13337</v>
      </c>
      <c r="U671" t="s">
        <v>13338</v>
      </c>
      <c r="V671" t="s">
        <v>13339</v>
      </c>
      <c r="W671" t="s">
        <v>13340</v>
      </c>
      <c r="X671" t="s">
        <v>13341</v>
      </c>
      <c r="Y671" t="s">
        <v>13342</v>
      </c>
    </row>
    <row r="672" spans="1:25" x14ac:dyDescent="0.3">
      <c r="A672">
        <v>33550</v>
      </c>
      <c r="B672" t="s">
        <v>13343</v>
      </c>
      <c r="C672" t="s">
        <v>13344</v>
      </c>
      <c r="D672" t="s">
        <v>13345</v>
      </c>
      <c r="E672" t="s">
        <v>13346</v>
      </c>
      <c r="F672" t="s">
        <v>13347</v>
      </c>
      <c r="G672" t="s">
        <v>13348</v>
      </c>
      <c r="H672" t="s">
        <v>13349</v>
      </c>
      <c r="I672" t="s">
        <v>13350</v>
      </c>
      <c r="J672" t="s">
        <v>13351</v>
      </c>
      <c r="K672" t="s">
        <v>13352</v>
      </c>
      <c r="L672" t="s">
        <v>13353</v>
      </c>
      <c r="M672" t="s">
        <v>13354</v>
      </c>
      <c r="N672" t="s">
        <v>13355</v>
      </c>
      <c r="O672">
        <f>-822.474100802308 -70.2556568369739 -487.773829703208</f>
        <v>-1380.5035873424899</v>
      </c>
      <c r="P672">
        <f>-874.699708520638 -94.6977232927572 -199.214852808444</f>
        <v>-1168.6122846218391</v>
      </c>
      <c r="Q672">
        <f>-659.830508050234 -14.9931537861853 -273.574487455067</f>
        <v>-948.39814929148633</v>
      </c>
      <c r="R672" t="s">
        <v>13356</v>
      </c>
      <c r="S672" t="s">
        <v>13357</v>
      </c>
      <c r="T672" t="s">
        <v>13358</v>
      </c>
      <c r="U672" t="s">
        <v>13359</v>
      </c>
      <c r="V672" t="s">
        <v>13360</v>
      </c>
      <c r="W672" t="s">
        <v>13361</v>
      </c>
      <c r="X672" t="s">
        <v>13362</v>
      </c>
      <c r="Y672" t="s">
        <v>13363</v>
      </c>
    </row>
    <row r="673" spans="1:25" x14ac:dyDescent="0.3">
      <c r="A673">
        <v>33600</v>
      </c>
      <c r="B673" t="s">
        <v>13364</v>
      </c>
      <c r="C673" t="s">
        <v>13365</v>
      </c>
      <c r="D673" t="s">
        <v>13366</v>
      </c>
      <c r="E673" t="s">
        <v>13367</v>
      </c>
      <c r="F673" t="s">
        <v>13368</v>
      </c>
      <c r="G673" t="s">
        <v>13369</v>
      </c>
      <c r="H673" t="s">
        <v>13370</v>
      </c>
      <c r="I673" t="s">
        <v>13371</v>
      </c>
      <c r="J673" t="s">
        <v>13372</v>
      </c>
      <c r="K673" t="s">
        <v>13373</v>
      </c>
      <c r="L673" t="s">
        <v>13374</v>
      </c>
      <c r="M673" t="s">
        <v>13375</v>
      </c>
      <c r="N673" t="s">
        <v>13376</v>
      </c>
      <c r="O673">
        <f>-821.827776291567 -69.4658078481693 -487.954371452744</f>
        <v>-1379.2479555924804</v>
      </c>
      <c r="P673">
        <f>-874.39588322785 -94.1114877279592 -199.474857068849</f>
        <v>-1167.9822280246583</v>
      </c>
      <c r="Q673">
        <f>-659.225707982995 -15.0330240900093 -273.631546055473</f>
        <v>-947.89027812847735</v>
      </c>
      <c r="R673" t="s">
        <v>13377</v>
      </c>
      <c r="S673" t="s">
        <v>13378</v>
      </c>
      <c r="T673" t="s">
        <v>13379</v>
      </c>
      <c r="U673" t="s">
        <v>13380</v>
      </c>
      <c r="V673" t="s">
        <v>13381</v>
      </c>
      <c r="W673" t="s">
        <v>13382</v>
      </c>
      <c r="X673" t="s">
        <v>13383</v>
      </c>
      <c r="Y673" t="s">
        <v>13384</v>
      </c>
    </row>
    <row r="674" spans="1:25" x14ac:dyDescent="0.3">
      <c r="A674">
        <v>33650</v>
      </c>
      <c r="B674" t="s">
        <v>13385</v>
      </c>
      <c r="C674" t="s">
        <v>13386</v>
      </c>
      <c r="D674" t="s">
        <v>13387</v>
      </c>
      <c r="E674" t="s">
        <v>13388</v>
      </c>
      <c r="F674" t="s">
        <v>13389</v>
      </c>
      <c r="G674" t="s">
        <v>13390</v>
      </c>
      <c r="H674" t="s">
        <v>13391</v>
      </c>
      <c r="I674" t="s">
        <v>13392</v>
      </c>
      <c r="J674" t="s">
        <v>13393</v>
      </c>
      <c r="K674" t="s">
        <v>13394</v>
      </c>
      <c r="L674" t="s">
        <v>13395</v>
      </c>
      <c r="M674" t="s">
        <v>13396</v>
      </c>
      <c r="N674" t="s">
        <v>13397</v>
      </c>
      <c r="O674">
        <f>-821.292091313897 -69.2442538283999 -487.937689727629</f>
        <v>-1378.4740348699258</v>
      </c>
      <c r="P674">
        <f>-874.231174341423 -93.5934614471212 -199.50083380054</f>
        <v>-1167.3254695890842</v>
      </c>
      <c r="Q674">
        <f>-658.766396253818 -15.0794829934489 -273.401610338255</f>
        <v>-947.24748958552186</v>
      </c>
      <c r="R674" t="s">
        <v>13398</v>
      </c>
      <c r="S674" t="s">
        <v>13399</v>
      </c>
      <c r="T674" t="s">
        <v>13400</v>
      </c>
      <c r="U674" t="s">
        <v>13401</v>
      </c>
      <c r="V674" t="s">
        <v>13402</v>
      </c>
      <c r="W674" t="s">
        <v>13403</v>
      </c>
      <c r="X674" t="s">
        <v>13404</v>
      </c>
      <c r="Y674" t="s">
        <v>13405</v>
      </c>
    </row>
    <row r="675" spans="1:25" x14ac:dyDescent="0.3">
      <c r="A675">
        <v>33700</v>
      </c>
      <c r="B675" t="s">
        <v>13406</v>
      </c>
      <c r="C675" t="s">
        <v>13407</v>
      </c>
      <c r="D675" t="s">
        <v>13408</v>
      </c>
      <c r="E675" t="s">
        <v>13409</v>
      </c>
      <c r="F675" t="s">
        <v>13410</v>
      </c>
      <c r="G675" t="s">
        <v>13411</v>
      </c>
      <c r="H675" t="s">
        <v>13412</v>
      </c>
      <c r="I675" t="s">
        <v>13413</v>
      </c>
      <c r="J675" t="s">
        <v>13414</v>
      </c>
      <c r="K675" t="s">
        <v>13415</v>
      </c>
      <c r="L675" t="s">
        <v>13416</v>
      </c>
      <c r="M675" t="s">
        <v>13417</v>
      </c>
      <c r="N675" t="s">
        <v>13418</v>
      </c>
      <c r="O675">
        <f>-820.433486644684 -69.2899771803691 -487.784891910363</f>
        <v>-1377.508355735416</v>
      </c>
      <c r="P675">
        <f>-873.959592580907 -92.9200194695918 -199.39664080879</f>
        <v>-1166.2762528592889</v>
      </c>
      <c r="Q675">
        <f>-658.018311208407 -15.3981084153252 -272.953362087898</f>
        <v>-946.36978171163014</v>
      </c>
      <c r="R675" t="s">
        <v>13419</v>
      </c>
      <c r="S675" t="s">
        <v>13420</v>
      </c>
      <c r="T675" t="s">
        <v>13421</v>
      </c>
      <c r="U675" t="s">
        <v>13422</v>
      </c>
      <c r="V675" t="s">
        <v>13423</v>
      </c>
      <c r="W675" t="s">
        <v>13424</v>
      </c>
      <c r="X675" t="s">
        <v>13425</v>
      </c>
      <c r="Y675" t="s">
        <v>13426</v>
      </c>
    </row>
    <row r="676" spans="1:25" x14ac:dyDescent="0.3">
      <c r="A676">
        <v>33750</v>
      </c>
      <c r="B676" t="s">
        <v>13427</v>
      </c>
      <c r="C676" t="s">
        <v>13428</v>
      </c>
      <c r="D676" t="s">
        <v>13429</v>
      </c>
      <c r="E676" t="s">
        <v>13430</v>
      </c>
      <c r="F676" t="s">
        <v>13431</v>
      </c>
      <c r="G676" t="s">
        <v>13432</v>
      </c>
      <c r="H676" t="s">
        <v>13433</v>
      </c>
      <c r="I676" t="s">
        <v>13434</v>
      </c>
      <c r="J676" t="s">
        <v>13435</v>
      </c>
      <c r="K676" t="s">
        <v>13436</v>
      </c>
      <c r="L676" t="s">
        <v>13437</v>
      </c>
      <c r="M676" t="s">
        <v>13438</v>
      </c>
      <c r="N676" t="s">
        <v>13439</v>
      </c>
      <c r="O676">
        <f>-820.106587920488 -69.254968129685 -487.721050347584</f>
        <v>-1377.082606397757</v>
      </c>
      <c r="P676">
        <f>-873.900042282271 -92.4808690562204 -199.349695686596</f>
        <v>-1165.7306070250875</v>
      </c>
      <c r="Q676">
        <f>-657.630230477092 -15.666239702532 -272.682903502239</f>
        <v>-945.97937368186308</v>
      </c>
      <c r="R676" t="s">
        <v>13440</v>
      </c>
      <c r="S676" t="s">
        <v>13441</v>
      </c>
      <c r="T676" t="s">
        <v>13442</v>
      </c>
      <c r="U676" t="s">
        <v>13443</v>
      </c>
      <c r="V676" t="s">
        <v>13444</v>
      </c>
      <c r="W676" t="s">
        <v>13445</v>
      </c>
      <c r="X676" t="s">
        <v>13446</v>
      </c>
      <c r="Y676" t="s">
        <v>13447</v>
      </c>
    </row>
    <row r="677" spans="1:25" x14ac:dyDescent="0.3">
      <c r="A677">
        <v>33800</v>
      </c>
      <c r="B677" t="s">
        <v>13448</v>
      </c>
      <c r="C677" t="s">
        <v>13449</v>
      </c>
      <c r="D677" t="s">
        <v>13450</v>
      </c>
      <c r="E677" t="s">
        <v>13451</v>
      </c>
      <c r="F677" t="s">
        <v>13452</v>
      </c>
      <c r="G677" t="s">
        <v>13453</v>
      </c>
      <c r="H677" t="s">
        <v>13454</v>
      </c>
      <c r="I677" t="s">
        <v>13455</v>
      </c>
      <c r="J677" t="s">
        <v>13456</v>
      </c>
      <c r="K677" t="s">
        <v>13457</v>
      </c>
      <c r="L677" t="s">
        <v>13458</v>
      </c>
      <c r="M677" t="s">
        <v>13459</v>
      </c>
      <c r="N677" t="s">
        <v>13460</v>
      </c>
      <c r="O677">
        <f>-819.657531488064 -68.8271178483667 -487.671800485018</f>
        <v>-1376.1564498214489</v>
      </c>
      <c r="P677">
        <f>-873.939960662382 -91.7573734735586 -199.368406584629</f>
        <v>-1165.0657407205695</v>
      </c>
      <c r="Q677">
        <f>-657.216444682076 -15.7933827330148 -272.246708776069</f>
        <v>-945.25653619115985</v>
      </c>
      <c r="R677" t="s">
        <v>13461</v>
      </c>
      <c r="S677" t="s">
        <v>13462</v>
      </c>
      <c r="T677" t="s">
        <v>13463</v>
      </c>
      <c r="U677" t="s">
        <v>13464</v>
      </c>
      <c r="V677" t="s">
        <v>13465</v>
      </c>
      <c r="W677" t="s">
        <v>13466</v>
      </c>
      <c r="X677" t="s">
        <v>13467</v>
      </c>
      <c r="Y677" t="s">
        <v>13468</v>
      </c>
    </row>
    <row r="678" spans="1:25" x14ac:dyDescent="0.3">
      <c r="A678">
        <v>33850</v>
      </c>
      <c r="B678" t="s">
        <v>13469</v>
      </c>
      <c r="C678" t="s">
        <v>13470</v>
      </c>
      <c r="D678" t="s">
        <v>13471</v>
      </c>
      <c r="E678" t="s">
        <v>13472</v>
      </c>
      <c r="F678" t="s">
        <v>13473</v>
      </c>
      <c r="G678" t="s">
        <v>13474</v>
      </c>
      <c r="H678" t="s">
        <v>13475</v>
      </c>
      <c r="I678" t="s">
        <v>13476</v>
      </c>
      <c r="J678" t="s">
        <v>13477</v>
      </c>
      <c r="K678" t="s">
        <v>13478</v>
      </c>
      <c r="L678" t="s">
        <v>13479</v>
      </c>
      <c r="M678" t="s">
        <v>13480</v>
      </c>
      <c r="N678" t="s">
        <v>13481</v>
      </c>
      <c r="O678">
        <f>-819.520823070304 -68.5711460143145 -487.702497419035</f>
        <v>-1375.7944665036534</v>
      </c>
      <c r="P678">
        <f>-874.016164323198 -91.3598119159562 -199.428109273407</f>
        <v>-1164.8040855125612</v>
      </c>
      <c r="Q678">
        <f>-656.998631898276 -16.0509158306759 -272.111556389148</f>
        <v>-945.16110411809996</v>
      </c>
      <c r="R678" t="s">
        <v>13482</v>
      </c>
      <c r="S678" t="s">
        <v>13483</v>
      </c>
      <c r="T678" t="s">
        <v>13484</v>
      </c>
      <c r="U678" t="s">
        <v>13485</v>
      </c>
      <c r="V678" t="s">
        <v>13486</v>
      </c>
      <c r="W678" t="s">
        <v>13487</v>
      </c>
      <c r="X678" t="s">
        <v>13488</v>
      </c>
      <c r="Y678" t="s">
        <v>13489</v>
      </c>
    </row>
    <row r="679" spans="1:25" x14ac:dyDescent="0.3">
      <c r="A679">
        <v>33900</v>
      </c>
      <c r="B679" t="s">
        <v>13490</v>
      </c>
      <c r="C679" t="s">
        <v>13491</v>
      </c>
      <c r="D679" t="s">
        <v>13492</v>
      </c>
      <c r="E679" t="s">
        <v>13493</v>
      </c>
      <c r="F679" t="s">
        <v>13494</v>
      </c>
      <c r="G679" t="s">
        <v>13495</v>
      </c>
      <c r="H679" t="s">
        <v>13496</v>
      </c>
      <c r="I679" t="s">
        <v>13497</v>
      </c>
      <c r="J679" t="s">
        <v>13498</v>
      </c>
      <c r="K679" t="s">
        <v>13499</v>
      </c>
      <c r="L679" t="s">
        <v>13500</v>
      </c>
      <c r="M679" t="s">
        <v>13501</v>
      </c>
      <c r="N679" t="s">
        <v>13502</v>
      </c>
      <c r="O679">
        <f>-819.117007707059 -68.3479466052713 -487.790477966616</f>
        <v>-1375.2554322789463</v>
      </c>
      <c r="P679">
        <f>-873.872718902325 -91.1321302473912 -199.565015141444</f>
        <v>-1164.5698642911602</v>
      </c>
      <c r="Q679">
        <f>-656.52271261033 -16.6574652442087 -272.114600791322</f>
        <v>-945.29477864586067</v>
      </c>
      <c r="R679" t="s">
        <v>13503</v>
      </c>
      <c r="S679" t="s">
        <v>13504</v>
      </c>
      <c r="T679" t="s">
        <v>13505</v>
      </c>
      <c r="U679" t="s">
        <v>13506</v>
      </c>
      <c r="V679" t="s">
        <v>13507</v>
      </c>
      <c r="W679" t="s">
        <v>13508</v>
      </c>
      <c r="X679" t="s">
        <v>13509</v>
      </c>
      <c r="Y679" t="s">
        <v>13510</v>
      </c>
    </row>
    <row r="680" spans="1:25" x14ac:dyDescent="0.3">
      <c r="A680">
        <v>33950</v>
      </c>
      <c r="B680" t="s">
        <v>13511</v>
      </c>
      <c r="C680" t="s">
        <v>13512</v>
      </c>
      <c r="D680" t="s">
        <v>13513</v>
      </c>
      <c r="E680" t="s">
        <v>13514</v>
      </c>
      <c r="F680" t="s">
        <v>13515</v>
      </c>
      <c r="G680" t="s">
        <v>13516</v>
      </c>
      <c r="H680" t="s">
        <v>13517</v>
      </c>
      <c r="I680" t="s">
        <v>13518</v>
      </c>
      <c r="J680" t="s">
        <v>13519</v>
      </c>
      <c r="K680" t="s">
        <v>13520</v>
      </c>
      <c r="L680" t="s">
        <v>13521</v>
      </c>
      <c r="M680" t="s">
        <v>13522</v>
      </c>
      <c r="N680" t="s">
        <v>13523</v>
      </c>
      <c r="O680">
        <f>-818.71599753787 -68.4067043973957 -487.847529789838</f>
        <v>-1374.9702317251038</v>
      </c>
      <c r="P680">
        <f>-873.574995307668 -91.3784729778813 -199.656519738553</f>
        <v>-1164.6099880241022</v>
      </c>
      <c r="Q680">
        <f>-656.129652740472 -17.0550049766612 -272.075622687681</f>
        <v>-945.26028040481424</v>
      </c>
      <c r="R680" t="s">
        <v>13524</v>
      </c>
      <c r="S680" t="s">
        <v>13525</v>
      </c>
      <c r="T680" t="s">
        <v>13526</v>
      </c>
      <c r="U680" t="s">
        <v>13527</v>
      </c>
      <c r="V680" t="s">
        <v>13528</v>
      </c>
      <c r="W680" t="s">
        <v>13529</v>
      </c>
      <c r="X680" t="s">
        <v>13530</v>
      </c>
      <c r="Y680" t="s">
        <v>13531</v>
      </c>
    </row>
    <row r="681" spans="1:25" x14ac:dyDescent="0.3">
      <c r="A681">
        <v>34000</v>
      </c>
      <c r="B681" t="s">
        <v>13532</v>
      </c>
      <c r="C681" t="s">
        <v>13533</v>
      </c>
      <c r="D681" t="s">
        <v>13534</v>
      </c>
      <c r="E681" t="s">
        <v>13535</v>
      </c>
      <c r="F681" t="s">
        <v>13536</v>
      </c>
      <c r="G681" t="s">
        <v>13537</v>
      </c>
      <c r="H681" t="s">
        <v>13538</v>
      </c>
      <c r="I681" t="s">
        <v>13539</v>
      </c>
      <c r="J681" t="s">
        <v>13540</v>
      </c>
      <c r="K681" t="s">
        <v>13541</v>
      </c>
      <c r="L681" t="s">
        <v>13542</v>
      </c>
      <c r="M681" t="s">
        <v>13543</v>
      </c>
      <c r="N681" t="s">
        <v>13544</v>
      </c>
      <c r="O681">
        <f>-817.612612896119 -68.6468600895612 -488.048709870604</f>
        <v>-1374.3081828562842</v>
      </c>
      <c r="P681">
        <f>-872.967756073186 -92.0661908796167 -199.988639339872</f>
        <v>-1165.0225862926748</v>
      </c>
      <c r="Q681">
        <f>-655.380939030184 -17.7283226717786 -271.966220800202</f>
        <v>-945.07548250216462</v>
      </c>
      <c r="R681" t="s">
        <v>13545</v>
      </c>
      <c r="S681" t="s">
        <v>13546</v>
      </c>
      <c r="T681" t="s">
        <v>13547</v>
      </c>
      <c r="U681" t="s">
        <v>13548</v>
      </c>
      <c r="V681" t="s">
        <v>13549</v>
      </c>
      <c r="W681" t="s">
        <v>13550</v>
      </c>
      <c r="X681" t="s">
        <v>13551</v>
      </c>
      <c r="Y681" t="s">
        <v>13552</v>
      </c>
    </row>
    <row r="682" spans="1:25" x14ac:dyDescent="0.3">
      <c r="A682">
        <v>34050</v>
      </c>
      <c r="B682" t="s">
        <v>13553</v>
      </c>
      <c r="C682" t="s">
        <v>13554</v>
      </c>
      <c r="D682" t="s">
        <v>13555</v>
      </c>
      <c r="E682" t="s">
        <v>13556</v>
      </c>
      <c r="F682" t="s">
        <v>13557</v>
      </c>
      <c r="G682" t="s">
        <v>13558</v>
      </c>
      <c r="H682" t="s">
        <v>13559</v>
      </c>
      <c r="I682" t="s">
        <v>13560</v>
      </c>
      <c r="J682" t="s">
        <v>13561</v>
      </c>
      <c r="K682" t="s">
        <v>13562</v>
      </c>
      <c r="L682" t="s">
        <v>13563</v>
      </c>
      <c r="M682" t="s">
        <v>13564</v>
      </c>
      <c r="N682" t="s">
        <v>13565</v>
      </c>
      <c r="O682">
        <f>-817.015462155773 -68.9272543894231 -488.150823369256</f>
        <v>-1374.0935399144521</v>
      </c>
      <c r="P682">
        <f>-872.486272974953 -92.6661094917984 -200.139146143183</f>
        <v>-1165.2915286099344</v>
      </c>
      <c r="Q682">
        <f>-654.918889869271 -18.0290951323841 -271.865060380586</f>
        <v>-944.81304538224106</v>
      </c>
      <c r="R682" t="s">
        <v>13566</v>
      </c>
      <c r="S682" t="s">
        <v>13567</v>
      </c>
      <c r="T682" t="s">
        <v>13568</v>
      </c>
      <c r="U682" t="s">
        <v>13569</v>
      </c>
      <c r="V682" t="s">
        <v>13570</v>
      </c>
      <c r="W682" t="s">
        <v>13571</v>
      </c>
      <c r="X682" t="s">
        <v>13572</v>
      </c>
      <c r="Y682" t="s">
        <v>13573</v>
      </c>
    </row>
    <row r="683" spans="1:25" x14ac:dyDescent="0.3">
      <c r="A683">
        <v>34100</v>
      </c>
      <c r="B683" t="s">
        <v>13574</v>
      </c>
      <c r="C683" t="s">
        <v>13575</v>
      </c>
      <c r="D683" t="s">
        <v>13576</v>
      </c>
      <c r="E683" t="s">
        <v>13577</v>
      </c>
      <c r="F683" t="s">
        <v>13578</v>
      </c>
      <c r="G683" t="s">
        <v>13579</v>
      </c>
      <c r="H683" t="s">
        <v>13580</v>
      </c>
      <c r="I683" t="s">
        <v>13581</v>
      </c>
      <c r="J683" t="s">
        <v>13582</v>
      </c>
      <c r="K683" t="s">
        <v>13583</v>
      </c>
      <c r="L683" t="s">
        <v>13584</v>
      </c>
      <c r="M683" t="s">
        <v>13585</v>
      </c>
      <c r="N683" t="s">
        <v>13586</v>
      </c>
      <c r="O683">
        <f>-815.807927284693 -69.6558871262571 -488.188303481474</f>
        <v>-1373.652117892424</v>
      </c>
      <c r="P683">
        <f>-871.255826535405 -93.8530904315894 -200.210589313102</f>
        <v>-1165.3195062800964</v>
      </c>
      <c r="Q683">
        <f>-653.812841775705 -18.7336970552719 -271.809533424429</f>
        <v>-944.35607225540593</v>
      </c>
      <c r="R683" t="s">
        <v>13587</v>
      </c>
      <c r="S683" t="s">
        <v>13588</v>
      </c>
      <c r="T683" t="s">
        <v>13589</v>
      </c>
      <c r="U683" t="s">
        <v>13590</v>
      </c>
      <c r="V683" t="s">
        <v>13591</v>
      </c>
      <c r="W683" t="s">
        <v>13592</v>
      </c>
      <c r="X683" t="s">
        <v>13593</v>
      </c>
      <c r="Y683" t="s">
        <v>13594</v>
      </c>
    </row>
    <row r="684" spans="1:25" x14ac:dyDescent="0.3">
      <c r="A684">
        <v>34150</v>
      </c>
      <c r="B684" t="s">
        <v>13595</v>
      </c>
      <c r="C684" t="s">
        <v>13596</v>
      </c>
      <c r="D684" t="s">
        <v>13597</v>
      </c>
      <c r="E684" t="s">
        <v>13598</v>
      </c>
      <c r="F684" t="s">
        <v>13599</v>
      </c>
      <c r="G684" t="s">
        <v>13600</v>
      </c>
      <c r="H684" t="s">
        <v>13601</v>
      </c>
      <c r="I684" t="s">
        <v>13602</v>
      </c>
      <c r="J684" t="s">
        <v>13603</v>
      </c>
      <c r="K684" t="s">
        <v>13604</v>
      </c>
      <c r="L684" t="s">
        <v>13605</v>
      </c>
      <c r="M684" t="s">
        <v>13606</v>
      </c>
      <c r="N684" t="s">
        <v>13607</v>
      </c>
      <c r="O684">
        <f>-815.310547152969 -69.9111003291409 -488.189678365716</f>
        <v>-1373.411325847826</v>
      </c>
      <c r="P684">
        <f>-870.739000918964 -94.1737128177895 -200.21361269274</f>
        <v>-1165.1263264294935</v>
      </c>
      <c r="Q684">
        <f>-653.37513537992 -18.8121088257972 -271.79884407761</f>
        <v>-943.98608828332726</v>
      </c>
      <c r="R684" t="s">
        <v>13608</v>
      </c>
      <c r="S684" t="s">
        <v>13609</v>
      </c>
      <c r="T684" t="s">
        <v>13610</v>
      </c>
      <c r="U684" t="s">
        <v>13611</v>
      </c>
      <c r="V684" t="s">
        <v>13612</v>
      </c>
      <c r="W684" t="s">
        <v>13613</v>
      </c>
      <c r="X684" t="s">
        <v>13614</v>
      </c>
      <c r="Y684" t="s">
        <v>13615</v>
      </c>
    </row>
    <row r="685" spans="1:25" x14ac:dyDescent="0.3">
      <c r="A685">
        <v>34200</v>
      </c>
      <c r="B685" t="s">
        <v>13616</v>
      </c>
      <c r="C685" t="s">
        <v>13617</v>
      </c>
      <c r="D685" t="s">
        <v>13618</v>
      </c>
      <c r="E685" t="s">
        <v>13619</v>
      </c>
      <c r="F685" t="s">
        <v>13620</v>
      </c>
      <c r="G685" t="s">
        <v>13621</v>
      </c>
      <c r="H685" t="s">
        <v>13622</v>
      </c>
      <c r="I685" t="s">
        <v>13623</v>
      </c>
      <c r="J685" t="s">
        <v>13624</v>
      </c>
      <c r="K685" t="s">
        <v>13625</v>
      </c>
      <c r="L685" t="s">
        <v>13626</v>
      </c>
      <c r="M685" t="s">
        <v>13627</v>
      </c>
      <c r="N685" t="s">
        <v>13628</v>
      </c>
      <c r="O685">
        <f>-814.414121760457 -70.3622677473302 -488.220006553206</f>
        <v>-1372.9963960609932</v>
      </c>
      <c r="P685">
        <f>-869.974271640993 -94.6012294917164 -200.267285038181</f>
        <v>-1164.8427861708903</v>
      </c>
      <c r="Q685">
        <f>-652.798194770663 -18.6747431422823 -271.825533920806</f>
        <v>-943.29847183375136</v>
      </c>
      <c r="R685" t="s">
        <v>13629</v>
      </c>
      <c r="S685" t="s">
        <v>13630</v>
      </c>
      <c r="T685" t="s">
        <v>13631</v>
      </c>
      <c r="U685" t="s">
        <v>13632</v>
      </c>
      <c r="V685" t="s">
        <v>13633</v>
      </c>
      <c r="W685" t="s">
        <v>13634</v>
      </c>
      <c r="X685" t="s">
        <v>13635</v>
      </c>
      <c r="Y685" t="s">
        <v>13636</v>
      </c>
    </row>
    <row r="686" spans="1:25" x14ac:dyDescent="0.3">
      <c r="A686">
        <v>34250</v>
      </c>
      <c r="B686" t="s">
        <v>13637</v>
      </c>
      <c r="C686" t="s">
        <v>13638</v>
      </c>
      <c r="D686" t="s">
        <v>13639</v>
      </c>
      <c r="E686" t="s">
        <v>13640</v>
      </c>
      <c r="F686" t="s">
        <v>13641</v>
      </c>
      <c r="G686" t="s">
        <v>13642</v>
      </c>
      <c r="H686" t="s">
        <v>13643</v>
      </c>
      <c r="I686" t="s">
        <v>13644</v>
      </c>
      <c r="J686" t="s">
        <v>13645</v>
      </c>
      <c r="K686" t="s">
        <v>13646</v>
      </c>
      <c r="L686" t="s">
        <v>13647</v>
      </c>
      <c r="M686" t="s">
        <v>13648</v>
      </c>
      <c r="N686" t="s">
        <v>13649</v>
      </c>
      <c r="O686">
        <f>-814.169246077584 -70.6950551185323 -488.161792086551</f>
        <v>-1373.0260932826673</v>
      </c>
      <c r="P686">
        <f>-869.630333495889 -95.0633446564239 -200.200944382855</f>
        <v>-1164.8946225351679</v>
      </c>
      <c r="Q686">
        <f>-652.571430690517 -18.7789110797012 -271.734391534934</f>
        <v>-943.08473330515221</v>
      </c>
      <c r="R686" t="s">
        <v>13650</v>
      </c>
      <c r="S686" t="s">
        <v>13651</v>
      </c>
      <c r="T686" t="s">
        <v>13652</v>
      </c>
      <c r="U686" t="s">
        <v>13653</v>
      </c>
      <c r="V686" t="s">
        <v>13654</v>
      </c>
      <c r="W686" t="s">
        <v>13655</v>
      </c>
      <c r="X686" t="s">
        <v>13656</v>
      </c>
      <c r="Y686" t="s">
        <v>13657</v>
      </c>
    </row>
    <row r="687" spans="1:25" x14ac:dyDescent="0.3">
      <c r="A687">
        <v>34300</v>
      </c>
      <c r="B687" t="s">
        <v>13658</v>
      </c>
      <c r="C687" t="s">
        <v>13659</v>
      </c>
      <c r="D687" t="s">
        <v>13660</v>
      </c>
      <c r="E687" t="s">
        <v>13661</v>
      </c>
      <c r="F687" t="s">
        <v>13662</v>
      </c>
      <c r="G687" t="s">
        <v>13663</v>
      </c>
      <c r="H687" t="s">
        <v>13664</v>
      </c>
      <c r="I687" t="s">
        <v>13665</v>
      </c>
      <c r="J687" t="s">
        <v>13666</v>
      </c>
      <c r="K687" t="s">
        <v>13667</v>
      </c>
      <c r="L687" t="s">
        <v>13668</v>
      </c>
      <c r="M687" t="s">
        <v>13669</v>
      </c>
      <c r="N687" t="s">
        <v>13670</v>
      </c>
      <c r="O687">
        <f>-814.2162915051 -71.4506884787361 -487.918110006029</f>
        <v>-1373.5850899898651</v>
      </c>
      <c r="P687">
        <f>-869.157610679981 -95.9551266903677 -199.869224067153</f>
        <v>-1164.9819614375017</v>
      </c>
      <c r="Q687">
        <f>-652.388784049866 -19.0406733648288 -271.607070698998</f>
        <v>-943.03652811369273</v>
      </c>
      <c r="R687" t="s">
        <v>13671</v>
      </c>
      <c r="S687" t="s">
        <v>13672</v>
      </c>
      <c r="T687" t="s">
        <v>13673</v>
      </c>
      <c r="U687" t="s">
        <v>13674</v>
      </c>
      <c r="V687" t="s">
        <v>13675</v>
      </c>
      <c r="W687" t="s">
        <v>13676</v>
      </c>
      <c r="X687" t="s">
        <v>13677</v>
      </c>
      <c r="Y687" t="s">
        <v>13678</v>
      </c>
    </row>
    <row r="688" spans="1:25" x14ac:dyDescent="0.3">
      <c r="A688">
        <v>34350</v>
      </c>
      <c r="B688" t="s">
        <v>13679</v>
      </c>
      <c r="C688" t="s">
        <v>13680</v>
      </c>
      <c r="D688" t="s">
        <v>13681</v>
      </c>
      <c r="E688" t="s">
        <v>13682</v>
      </c>
      <c r="F688" t="s">
        <v>13683</v>
      </c>
      <c r="G688" t="s">
        <v>13684</v>
      </c>
      <c r="H688" t="s">
        <v>13685</v>
      </c>
      <c r="I688" t="s">
        <v>13686</v>
      </c>
      <c r="J688" t="s">
        <v>13687</v>
      </c>
      <c r="K688" t="s">
        <v>13688</v>
      </c>
      <c r="L688" t="s">
        <v>13689</v>
      </c>
      <c r="M688" t="s">
        <v>13690</v>
      </c>
      <c r="N688" t="s">
        <v>13691</v>
      </c>
      <c r="O688">
        <f>-814.22012551785 -71.654372753545 -487.834196806503</f>
        <v>-1373.708695077898</v>
      </c>
      <c r="P688">
        <f>-869.157721026818 -96.0077401573387 -199.771657047426</f>
        <v>-1164.9371182315826</v>
      </c>
      <c r="Q688">
        <f>-652.496722322379 -18.9494746044888 -271.680666843902</f>
        <v>-943.12686377076989</v>
      </c>
      <c r="R688" t="s">
        <v>13692</v>
      </c>
      <c r="S688" t="s">
        <v>13693</v>
      </c>
      <c r="T688" t="s">
        <v>13694</v>
      </c>
      <c r="U688" t="s">
        <v>13695</v>
      </c>
      <c r="V688" t="s">
        <v>13696</v>
      </c>
      <c r="W688" t="s">
        <v>13697</v>
      </c>
      <c r="X688" t="s">
        <v>13698</v>
      </c>
      <c r="Y688" t="s">
        <v>13699</v>
      </c>
    </row>
    <row r="689" spans="1:25" x14ac:dyDescent="0.3">
      <c r="A689">
        <v>34400</v>
      </c>
      <c r="B689" t="s">
        <v>13700</v>
      </c>
      <c r="C689" t="s">
        <v>13701</v>
      </c>
      <c r="D689" t="s">
        <v>13702</v>
      </c>
      <c r="E689" t="s">
        <v>13703</v>
      </c>
      <c r="F689" t="s">
        <v>13704</v>
      </c>
      <c r="G689" t="s">
        <v>13705</v>
      </c>
      <c r="H689" t="s">
        <v>13706</v>
      </c>
      <c r="I689" t="s">
        <v>13707</v>
      </c>
      <c r="J689" t="s">
        <v>13708</v>
      </c>
      <c r="K689" t="s">
        <v>13709</v>
      </c>
      <c r="L689" t="s">
        <v>13710</v>
      </c>
      <c r="M689" t="s">
        <v>13711</v>
      </c>
      <c r="N689" t="s">
        <v>13712</v>
      </c>
      <c r="O689">
        <f>-814.313907810516 -72.060389566426 -487.782276628162</f>
        <v>-1374.1565740051039</v>
      </c>
      <c r="P689">
        <f>-869.239078096478 -95.8785292808984 -199.672757451152</f>
        <v>-1164.7903648285285</v>
      </c>
      <c r="Q689">
        <f>-652.604509221198 -19.0781062353194 -271.936205450404</f>
        <v>-943.61882090692143</v>
      </c>
      <c r="R689" t="s">
        <v>13713</v>
      </c>
      <c r="S689" t="s">
        <v>13714</v>
      </c>
      <c r="T689" t="s">
        <v>13715</v>
      </c>
      <c r="U689" t="s">
        <v>13716</v>
      </c>
      <c r="V689" t="s">
        <v>13717</v>
      </c>
      <c r="W689" t="s">
        <v>13718</v>
      </c>
      <c r="X689" t="s">
        <v>13719</v>
      </c>
      <c r="Y689" t="s">
        <v>13720</v>
      </c>
    </row>
    <row r="690" spans="1:25" x14ac:dyDescent="0.3">
      <c r="A690">
        <v>34450</v>
      </c>
      <c r="B690" t="s">
        <v>13721</v>
      </c>
      <c r="C690" t="s">
        <v>13722</v>
      </c>
      <c r="D690" t="s">
        <v>13723</v>
      </c>
      <c r="E690" t="s">
        <v>13724</v>
      </c>
      <c r="F690" t="s">
        <v>13725</v>
      </c>
      <c r="G690" t="s">
        <v>13726</v>
      </c>
      <c r="H690" t="s">
        <v>13727</v>
      </c>
      <c r="I690" t="s">
        <v>13728</v>
      </c>
      <c r="J690" t="s">
        <v>13729</v>
      </c>
      <c r="K690" t="s">
        <v>13730</v>
      </c>
      <c r="L690" t="s">
        <v>13731</v>
      </c>
      <c r="M690" t="s">
        <v>13732</v>
      </c>
      <c r="N690" t="s">
        <v>13733</v>
      </c>
      <c r="O690">
        <f>-814.421958027722 -72.3416299465532 -487.728871982713</f>
        <v>-1374.4924599569881</v>
      </c>
      <c r="P690">
        <f>-869.315010622155 -96.1189896954709 -199.609741214991</f>
        <v>-1165.0437415326169</v>
      </c>
      <c r="Q690">
        <f>-652.731225983913 -19.3573497459261 -272.066690847584</f>
        <v>-944.15526657742305</v>
      </c>
      <c r="R690" t="s">
        <v>13734</v>
      </c>
      <c r="S690" t="s">
        <v>13735</v>
      </c>
      <c r="T690" t="s">
        <v>13736</v>
      </c>
      <c r="U690" t="s">
        <v>13737</v>
      </c>
      <c r="V690" t="s">
        <v>13738</v>
      </c>
      <c r="W690" t="s">
        <v>13739</v>
      </c>
      <c r="X690" t="s">
        <v>13740</v>
      </c>
      <c r="Y690" t="s">
        <v>13741</v>
      </c>
    </row>
    <row r="691" spans="1:25" x14ac:dyDescent="0.3">
      <c r="A691">
        <v>34500</v>
      </c>
      <c r="B691" t="s">
        <v>13742</v>
      </c>
      <c r="C691" t="s">
        <v>13743</v>
      </c>
      <c r="D691" t="s">
        <v>13744</v>
      </c>
      <c r="E691" t="s">
        <v>13745</v>
      </c>
      <c r="F691" t="s">
        <v>13746</v>
      </c>
      <c r="G691" t="s">
        <v>13747</v>
      </c>
      <c r="H691" t="s">
        <v>13748</v>
      </c>
      <c r="I691" t="s">
        <v>13749</v>
      </c>
      <c r="J691" t="s">
        <v>13750</v>
      </c>
      <c r="K691" t="s">
        <v>13751</v>
      </c>
      <c r="L691" t="s">
        <v>13752</v>
      </c>
      <c r="M691" t="s">
        <v>13753</v>
      </c>
      <c r="N691" t="s">
        <v>13754</v>
      </c>
      <c r="O691">
        <f>-815.067424132441 -73.0087509110488 -487.588743724237</f>
        <v>-1375.6649187677267</v>
      </c>
      <c r="P691">
        <f>-870.079329917956 -96.5946672378882 -199.476609088968</f>
        <v>-1166.1506062448123</v>
      </c>
      <c r="Q691">
        <f>-653.287011320453 -20.4587610340823 -271.970165997634</f>
        <v>-945.71593835216925</v>
      </c>
      <c r="R691" t="s">
        <v>13755</v>
      </c>
      <c r="S691" t="s">
        <v>13756</v>
      </c>
      <c r="T691" t="s">
        <v>13757</v>
      </c>
      <c r="U691" t="s">
        <v>13758</v>
      </c>
      <c r="V691" t="s">
        <v>13759</v>
      </c>
      <c r="W691" t="s">
        <v>13760</v>
      </c>
      <c r="X691" t="s">
        <v>13761</v>
      </c>
      <c r="Y691" t="s">
        <v>13762</v>
      </c>
    </row>
    <row r="692" spans="1:25" x14ac:dyDescent="0.3">
      <c r="A692">
        <v>34550</v>
      </c>
      <c r="B692" t="s">
        <v>13763</v>
      </c>
      <c r="C692" t="s">
        <v>13764</v>
      </c>
      <c r="D692" t="s">
        <v>13765</v>
      </c>
      <c r="E692" t="s">
        <v>13766</v>
      </c>
      <c r="F692" t="s">
        <v>13767</v>
      </c>
      <c r="G692" t="s">
        <v>13768</v>
      </c>
      <c r="H692" t="s">
        <v>13769</v>
      </c>
      <c r="I692" t="s">
        <v>13770</v>
      </c>
      <c r="J692" t="s">
        <v>13771</v>
      </c>
      <c r="K692" t="s">
        <v>13772</v>
      </c>
      <c r="L692" t="s">
        <v>13773</v>
      </c>
      <c r="M692" t="s">
        <v>13774</v>
      </c>
      <c r="N692" t="s">
        <v>13775</v>
      </c>
      <c r="O692">
        <f>-815.440779878778 -73.4636698138165 -487.469046510229</f>
        <v>-1376.3734962028236</v>
      </c>
      <c r="P692">
        <f>-870.672559246582 -96.7764854617205 -199.376666733948</f>
        <v>-1166.8257114422504</v>
      </c>
      <c r="Q692">
        <f>-653.836709344141 -20.5947332943965 -271.691180551935</f>
        <v>-946.1226231904725</v>
      </c>
      <c r="R692" t="s">
        <v>13776</v>
      </c>
      <c r="S692" t="s">
        <v>13777</v>
      </c>
      <c r="T692" t="s">
        <v>13778</v>
      </c>
      <c r="U692" t="s">
        <v>13779</v>
      </c>
      <c r="V692" t="s">
        <v>13780</v>
      </c>
      <c r="W692" t="s">
        <v>13781</v>
      </c>
      <c r="X692" t="s">
        <v>13782</v>
      </c>
      <c r="Y692" t="s">
        <v>13783</v>
      </c>
    </row>
    <row r="693" spans="1:25" x14ac:dyDescent="0.3">
      <c r="A693">
        <v>34600</v>
      </c>
      <c r="B693" t="s">
        <v>13784</v>
      </c>
      <c r="C693" t="s">
        <v>13785</v>
      </c>
      <c r="D693" t="s">
        <v>13786</v>
      </c>
      <c r="E693" t="s">
        <v>13787</v>
      </c>
      <c r="F693" t="s">
        <v>13788</v>
      </c>
      <c r="G693" t="s">
        <v>13789</v>
      </c>
      <c r="H693" t="s">
        <v>13790</v>
      </c>
      <c r="I693" t="s">
        <v>13791</v>
      </c>
      <c r="J693" t="s">
        <v>13792</v>
      </c>
      <c r="K693" t="s">
        <v>13793</v>
      </c>
      <c r="L693" t="s">
        <v>13794</v>
      </c>
      <c r="M693" t="s">
        <v>13795</v>
      </c>
      <c r="N693" t="s">
        <v>13796</v>
      </c>
      <c r="O693">
        <f>-816.108163462816 -74.1308845494991 -487.119342510971</f>
        <v>-1377.3583905232863</v>
      </c>
      <c r="P693">
        <f>-872.164055331562 -96.6783230072069 -199.125347616034</f>
        <v>-1167.967725954803</v>
      </c>
      <c r="Q693">
        <f>-655.126177068115 -20.3304552667696 -270.654354896468</f>
        <v>-946.11098723135262</v>
      </c>
      <c r="R693" t="s">
        <v>13797</v>
      </c>
      <c r="S693" t="s">
        <v>13798</v>
      </c>
      <c r="T693" t="s">
        <v>13799</v>
      </c>
      <c r="U693" t="s">
        <v>13800</v>
      </c>
      <c r="V693" t="s">
        <v>13801</v>
      </c>
      <c r="W693" t="s">
        <v>13802</v>
      </c>
      <c r="X693" t="s">
        <v>13803</v>
      </c>
      <c r="Y693" t="s">
        <v>13804</v>
      </c>
    </row>
    <row r="694" spans="1:25" x14ac:dyDescent="0.3">
      <c r="A694">
        <v>34650</v>
      </c>
      <c r="B694" t="s">
        <v>13805</v>
      </c>
      <c r="C694" t="s">
        <v>13806</v>
      </c>
      <c r="D694" t="s">
        <v>13807</v>
      </c>
      <c r="E694" t="s">
        <v>13808</v>
      </c>
      <c r="F694" t="s">
        <v>13809</v>
      </c>
      <c r="G694" t="s">
        <v>13810</v>
      </c>
      <c r="H694" t="s">
        <v>13811</v>
      </c>
      <c r="I694" t="s">
        <v>13812</v>
      </c>
      <c r="J694" t="s">
        <v>13813</v>
      </c>
      <c r="K694" t="s">
        <v>13814</v>
      </c>
      <c r="L694" t="s">
        <v>13815</v>
      </c>
      <c r="M694" t="s">
        <v>13816</v>
      </c>
      <c r="N694" t="s">
        <v>13817</v>
      </c>
      <c r="O694">
        <f>-816.449668232417 -74.2889363642057 -486.960599139305</f>
        <v>-1377.6992037359278</v>
      </c>
      <c r="P694">
        <f>-873.056184159284 -96.4565088929558 -199.044730056136</f>
        <v>-1168.5574231083758</v>
      </c>
      <c r="Q694">
        <f>-655.837198157525 -20.2277386942528 -270.149768562104</f>
        <v>-946.2147054138818</v>
      </c>
      <c r="R694" t="s">
        <v>13818</v>
      </c>
      <c r="S694" t="s">
        <v>13819</v>
      </c>
      <c r="T694" t="s">
        <v>13820</v>
      </c>
      <c r="U694" t="s">
        <v>13821</v>
      </c>
      <c r="V694" t="s">
        <v>13822</v>
      </c>
      <c r="W694" t="s">
        <v>13823</v>
      </c>
      <c r="X694" t="s">
        <v>13824</v>
      </c>
      <c r="Y694" t="s">
        <v>13825</v>
      </c>
    </row>
    <row r="695" spans="1:25" x14ac:dyDescent="0.3">
      <c r="A695">
        <v>34700</v>
      </c>
      <c r="B695" t="s">
        <v>13826</v>
      </c>
      <c r="C695" t="s">
        <v>13827</v>
      </c>
      <c r="D695" t="s">
        <v>13828</v>
      </c>
      <c r="E695" t="s">
        <v>13829</v>
      </c>
      <c r="F695" t="s">
        <v>13830</v>
      </c>
      <c r="G695" t="s">
        <v>13831</v>
      </c>
      <c r="H695" t="s">
        <v>13832</v>
      </c>
      <c r="I695" t="s">
        <v>13833</v>
      </c>
      <c r="J695" t="s">
        <v>13834</v>
      </c>
      <c r="K695" t="s">
        <v>13835</v>
      </c>
      <c r="L695" t="s">
        <v>13836</v>
      </c>
      <c r="M695" t="s">
        <v>13837</v>
      </c>
      <c r="N695" t="s">
        <v>13838</v>
      </c>
      <c r="O695">
        <f>-817.055897083522 -74.468302586065 -486.792329683179</f>
        <v>-1378.3165293527659</v>
      </c>
      <c r="P695">
        <f>-874.44852652832 -95.9937672856283 -198.983427200475</f>
        <v>-1169.4257210144233</v>
      </c>
      <c r="Q695">
        <f>-656.936771076815 -20.2843624629504 -269.747941675809</f>
        <v>-946.96907521557443</v>
      </c>
      <c r="R695" t="s">
        <v>13839</v>
      </c>
      <c r="S695" t="s">
        <v>13840</v>
      </c>
      <c r="T695" t="s">
        <v>13841</v>
      </c>
      <c r="U695" t="s">
        <v>13842</v>
      </c>
      <c r="V695" t="s">
        <v>13843</v>
      </c>
      <c r="W695" t="s">
        <v>13844</v>
      </c>
      <c r="X695" t="s">
        <v>13845</v>
      </c>
      <c r="Y695" t="s">
        <v>13846</v>
      </c>
    </row>
    <row r="696" spans="1:25" x14ac:dyDescent="0.3">
      <c r="A696">
        <v>34750</v>
      </c>
      <c r="B696" t="s">
        <v>13847</v>
      </c>
      <c r="C696" t="s">
        <v>13848</v>
      </c>
      <c r="D696" t="s">
        <v>13849</v>
      </c>
      <c r="E696" t="s">
        <v>13850</v>
      </c>
      <c r="F696" t="s">
        <v>13851</v>
      </c>
      <c r="G696" t="s">
        <v>13852</v>
      </c>
      <c r="H696" t="s">
        <v>13853</v>
      </c>
      <c r="I696" t="s">
        <v>13854</v>
      </c>
      <c r="J696" t="s">
        <v>13855</v>
      </c>
      <c r="K696" t="s">
        <v>13856</v>
      </c>
      <c r="L696" t="s">
        <v>13857</v>
      </c>
      <c r="M696" t="s">
        <v>13858</v>
      </c>
      <c r="N696" t="s">
        <v>13859</v>
      </c>
      <c r="O696">
        <f>-817.396051604163 -74.5955172880786 -486.671529366764</f>
        <v>-1378.6630982590054</v>
      </c>
      <c r="P696">
        <f>-875.037007277894 -95.6762602120302 -198.879468128416</f>
        <v>-1169.5927356183402</v>
      </c>
      <c r="Q696">
        <f>-657.528852134434 -19.6080529237456 -269.269455844748</f>
        <v>-946.40636090292764</v>
      </c>
      <c r="R696" t="s">
        <v>13860</v>
      </c>
      <c r="S696" t="s">
        <v>13861</v>
      </c>
      <c r="T696" t="s">
        <v>13862</v>
      </c>
      <c r="U696" t="s">
        <v>13863</v>
      </c>
      <c r="V696" t="s">
        <v>13864</v>
      </c>
      <c r="W696" t="s">
        <v>13865</v>
      </c>
      <c r="X696" t="s">
        <v>13866</v>
      </c>
      <c r="Y696" t="s">
        <v>13867</v>
      </c>
    </row>
    <row r="697" spans="1:25" x14ac:dyDescent="0.3">
      <c r="A697">
        <v>34800</v>
      </c>
      <c r="B697" t="s">
        <v>13868</v>
      </c>
      <c r="C697" t="s">
        <v>13869</v>
      </c>
      <c r="D697" t="s">
        <v>13870</v>
      </c>
      <c r="E697" t="s">
        <v>13871</v>
      </c>
      <c r="F697" t="s">
        <v>13872</v>
      </c>
      <c r="G697" t="s">
        <v>13873</v>
      </c>
      <c r="H697" t="s">
        <v>13874</v>
      </c>
      <c r="I697" t="s">
        <v>13875</v>
      </c>
      <c r="J697" t="s">
        <v>13876</v>
      </c>
      <c r="K697" t="s">
        <v>13877</v>
      </c>
      <c r="L697" t="s">
        <v>13878</v>
      </c>
      <c r="M697" t="s">
        <v>13879</v>
      </c>
      <c r="N697" t="s">
        <v>13880</v>
      </c>
      <c r="O697">
        <f>-818.098898786667 -74.9743470024171 -486.235746064062</f>
        <v>-1379.3089918531459</v>
      </c>
      <c r="P697">
        <f>-875.368144843884 -96.4171530646186 -198.396274072076</f>
        <v>-1170.1815719805786</v>
      </c>
      <c r="Q697">
        <f>-658.561472906538 -17.7436960552695 -268.082366488503</f>
        <v>-944.38753545031057</v>
      </c>
      <c r="R697" t="s">
        <v>13881</v>
      </c>
      <c r="S697" t="s">
        <v>13882</v>
      </c>
      <c r="T697" t="s">
        <v>13883</v>
      </c>
      <c r="U697" t="s">
        <v>13884</v>
      </c>
      <c r="V697" t="s">
        <v>13885</v>
      </c>
      <c r="W697" t="s">
        <v>13886</v>
      </c>
      <c r="X697" t="s">
        <v>13887</v>
      </c>
      <c r="Y697" t="s">
        <v>13888</v>
      </c>
    </row>
    <row r="698" spans="1:25" x14ac:dyDescent="0.3">
      <c r="A698">
        <v>34850</v>
      </c>
      <c r="B698" t="s">
        <v>13889</v>
      </c>
      <c r="C698" t="s">
        <v>13890</v>
      </c>
      <c r="D698" t="s">
        <v>13891</v>
      </c>
      <c r="E698" t="s">
        <v>13892</v>
      </c>
      <c r="F698" t="s">
        <v>13893</v>
      </c>
      <c r="G698" t="s">
        <v>13894</v>
      </c>
      <c r="H698" t="s">
        <v>13895</v>
      </c>
      <c r="I698" t="s">
        <v>13896</v>
      </c>
      <c r="J698" t="s">
        <v>13897</v>
      </c>
      <c r="K698" t="s">
        <v>13898</v>
      </c>
      <c r="L698" t="s">
        <v>13899</v>
      </c>
      <c r="M698" t="s">
        <v>13900</v>
      </c>
      <c r="N698" t="s">
        <v>13901</v>
      </c>
      <c r="O698">
        <f>-818.552038379077 -75.1338995336041 -485.949784470019</f>
        <v>-1379.6357223827001</v>
      </c>
      <c r="P698">
        <f>-875.321256837233 -96.6852976274645 -198.019324826403</f>
        <v>-1170.0258792911004</v>
      </c>
      <c r="Q698">
        <f>-658.856256195493 -17.0804608722947 -267.71035073841</f>
        <v>-943.64706780619758</v>
      </c>
      <c r="R698" t="s">
        <v>13902</v>
      </c>
      <c r="S698" t="s">
        <v>13903</v>
      </c>
      <c r="T698" t="s">
        <v>13904</v>
      </c>
      <c r="U698" t="s">
        <v>13905</v>
      </c>
      <c r="V698" t="s">
        <v>13906</v>
      </c>
      <c r="W698" t="s">
        <v>13907</v>
      </c>
      <c r="X698" t="s">
        <v>13908</v>
      </c>
      <c r="Y698" t="s">
        <v>13909</v>
      </c>
    </row>
    <row r="699" spans="1:25" x14ac:dyDescent="0.3">
      <c r="A699">
        <v>34900</v>
      </c>
      <c r="B699" t="s">
        <v>13910</v>
      </c>
      <c r="C699" t="s">
        <v>13911</v>
      </c>
      <c r="D699" t="s">
        <v>13912</v>
      </c>
      <c r="E699" t="s">
        <v>13913</v>
      </c>
      <c r="F699" t="s">
        <v>13914</v>
      </c>
      <c r="G699" t="s">
        <v>13915</v>
      </c>
      <c r="H699" t="s">
        <v>13916</v>
      </c>
      <c r="I699" t="s">
        <v>13917</v>
      </c>
      <c r="J699" t="s">
        <v>13918</v>
      </c>
      <c r="K699" t="s">
        <v>13919</v>
      </c>
      <c r="L699" t="s">
        <v>13920</v>
      </c>
      <c r="M699" t="s">
        <v>13921</v>
      </c>
      <c r="N699" t="s">
        <v>13922</v>
      </c>
      <c r="O699">
        <f>-819.352390230431 -75.3676967587471 -485.424209342451</f>
        <v>-1380.144296331629</v>
      </c>
      <c r="P699">
        <f>-875.200104181248 -96.8348679513667 -197.307346340139</f>
        <v>-1169.3423184727537</v>
      </c>
      <c r="Q699">
        <f>-658.975544180213 -17.5365957817257 -268.085416064952</f>
        <v>-944.59755602689074</v>
      </c>
      <c r="R699" t="s">
        <v>13923</v>
      </c>
      <c r="S699" t="s">
        <v>13924</v>
      </c>
      <c r="T699" t="s">
        <v>13925</v>
      </c>
      <c r="U699" t="s">
        <v>13926</v>
      </c>
      <c r="V699" t="s">
        <v>13927</v>
      </c>
      <c r="W699" t="s">
        <v>13928</v>
      </c>
      <c r="X699" t="s">
        <v>13929</v>
      </c>
      <c r="Y699" t="s">
        <v>13930</v>
      </c>
    </row>
    <row r="700" spans="1:25" x14ac:dyDescent="0.3">
      <c r="A700">
        <v>34950</v>
      </c>
      <c r="B700" t="s">
        <v>13931</v>
      </c>
      <c r="C700" t="s">
        <v>13932</v>
      </c>
      <c r="D700" t="s">
        <v>13933</v>
      </c>
      <c r="E700" t="s">
        <v>13934</v>
      </c>
      <c r="F700" t="s">
        <v>13935</v>
      </c>
      <c r="G700" t="s">
        <v>13936</v>
      </c>
      <c r="H700" t="s">
        <v>13937</v>
      </c>
      <c r="I700" t="s">
        <v>13938</v>
      </c>
      <c r="J700" t="s">
        <v>13939</v>
      </c>
      <c r="K700" t="s">
        <v>13940</v>
      </c>
      <c r="L700" t="s">
        <v>13941</v>
      </c>
      <c r="M700" t="s">
        <v>13942</v>
      </c>
      <c r="N700" t="s">
        <v>13943</v>
      </c>
      <c r="O700">
        <f>-819.768419275675 -75.5445797030795 -485.197035278593</f>
        <v>-1380.5100342573476</v>
      </c>
      <c r="P700">
        <f>-875.354871137178 -96.5246724453159 -196.993672659572</f>
        <v>-1168.8732162420658</v>
      </c>
      <c r="Q700">
        <f>-659.020977804908 -18.0990471915006 -268.407317821515</f>
        <v>-945.52734281792357</v>
      </c>
      <c r="R700" t="s">
        <v>13944</v>
      </c>
      <c r="S700" t="s">
        <v>13945</v>
      </c>
      <c r="T700" t="s">
        <v>13946</v>
      </c>
      <c r="U700" t="s">
        <v>13947</v>
      </c>
      <c r="V700" t="s">
        <v>13948</v>
      </c>
      <c r="W700" t="s">
        <v>13949</v>
      </c>
      <c r="X700" t="s">
        <v>13950</v>
      </c>
      <c r="Y700" t="s">
        <v>13951</v>
      </c>
    </row>
    <row r="701" spans="1:25" x14ac:dyDescent="0.3">
      <c r="A701">
        <v>35000</v>
      </c>
      <c r="B701" t="s">
        <v>13952</v>
      </c>
      <c r="C701" t="s">
        <v>13953</v>
      </c>
      <c r="D701" t="s">
        <v>13954</v>
      </c>
      <c r="E701" t="s">
        <v>13955</v>
      </c>
      <c r="F701" t="s">
        <v>13956</v>
      </c>
      <c r="G701" t="s">
        <v>13957</v>
      </c>
      <c r="H701" t="s">
        <v>13958</v>
      </c>
      <c r="I701" t="s">
        <v>13959</v>
      </c>
      <c r="J701" t="s">
        <v>13960</v>
      </c>
      <c r="K701" t="s">
        <v>13961</v>
      </c>
      <c r="L701" t="s">
        <v>13962</v>
      </c>
      <c r="M701" t="s">
        <v>13963</v>
      </c>
      <c r="N701" t="s">
        <v>13964</v>
      </c>
      <c r="O701">
        <f>-820.662232903237 -75.690164712189 -484.743656515054</f>
        <v>-1381.0960541304801</v>
      </c>
      <c r="P701">
        <f>-875.727224576617 -95.8208943787954 -196.379727998987</f>
        <v>-1167.9278469543995</v>
      </c>
      <c r="Q701">
        <f>-659.261605790694 -18.8939799765244 -269.014112561626</f>
        <v>-947.16969832884445</v>
      </c>
      <c r="R701" t="s">
        <v>13965</v>
      </c>
      <c r="S701" t="s">
        <v>13966</v>
      </c>
      <c r="T701" t="s">
        <v>13967</v>
      </c>
      <c r="U701" t="s">
        <v>13968</v>
      </c>
      <c r="V701" t="s">
        <v>13969</v>
      </c>
      <c r="W701" t="s">
        <v>13970</v>
      </c>
      <c r="X701" t="s">
        <v>13971</v>
      </c>
      <c r="Y701" t="s">
        <v>13972</v>
      </c>
    </row>
    <row r="702" spans="1:25" x14ac:dyDescent="0.3">
      <c r="A702">
        <v>35050</v>
      </c>
      <c r="B702" t="s">
        <v>13973</v>
      </c>
      <c r="C702" t="s">
        <v>13974</v>
      </c>
      <c r="D702" t="s">
        <v>13975</v>
      </c>
      <c r="E702" t="s">
        <v>13976</v>
      </c>
      <c r="F702" t="s">
        <v>13977</v>
      </c>
      <c r="G702" t="s">
        <v>13978</v>
      </c>
      <c r="H702" t="s">
        <v>13979</v>
      </c>
      <c r="I702" t="s">
        <v>13980</v>
      </c>
      <c r="J702" t="s">
        <v>13981</v>
      </c>
      <c r="K702" t="s">
        <v>13982</v>
      </c>
      <c r="L702" t="s">
        <v>13983</v>
      </c>
      <c r="M702" t="s">
        <v>13984</v>
      </c>
      <c r="N702" t="s">
        <v>13985</v>
      </c>
      <c r="O702">
        <f>-821.112555585567 -75.6412037815189 -484.534848326652</f>
        <v>-1381.288607693738</v>
      </c>
      <c r="P702">
        <f>-875.873108570321 -95.2265313607513 -196.075378946166</f>
        <v>-1167.1750188772385</v>
      </c>
      <c r="Q702">
        <f>-659.273863787044 -19.0701665816478 -269.122645067807</f>
        <v>-947.46667543649869</v>
      </c>
      <c r="R702" t="s">
        <v>13986</v>
      </c>
      <c r="S702" t="s">
        <v>13987</v>
      </c>
      <c r="T702" t="s">
        <v>13988</v>
      </c>
      <c r="U702" t="s">
        <v>13989</v>
      </c>
      <c r="V702" t="s">
        <v>13990</v>
      </c>
      <c r="W702" t="s">
        <v>13991</v>
      </c>
      <c r="X702" t="s">
        <v>13992</v>
      </c>
      <c r="Y702" t="s">
        <v>13993</v>
      </c>
    </row>
    <row r="703" spans="1:25" x14ac:dyDescent="0.3">
      <c r="A703">
        <v>35100</v>
      </c>
      <c r="B703" t="s">
        <v>13994</v>
      </c>
      <c r="C703" t="s">
        <v>13995</v>
      </c>
      <c r="D703" t="s">
        <v>13996</v>
      </c>
      <c r="E703" t="s">
        <v>13997</v>
      </c>
      <c r="F703" t="s">
        <v>13998</v>
      </c>
      <c r="G703" t="s">
        <v>13999</v>
      </c>
      <c r="H703" t="s">
        <v>14000</v>
      </c>
      <c r="I703" t="s">
        <v>14001</v>
      </c>
      <c r="J703" t="s">
        <v>14002</v>
      </c>
      <c r="K703" t="s">
        <v>14003</v>
      </c>
      <c r="L703" t="s">
        <v>14004</v>
      </c>
      <c r="M703" t="s">
        <v>14005</v>
      </c>
      <c r="N703" t="s">
        <v>14006</v>
      </c>
      <c r="O703">
        <f>-822.285130061209 -75.3915562982581 -484.255974341036</f>
        <v>-1381.9326607005032</v>
      </c>
      <c r="P703">
        <f>-876.624977111062 -94.2701833461865 -195.669866441404</f>
        <v>-1166.5650268986524</v>
      </c>
      <c r="Q703">
        <f>-659.719968755252 -19.8047840057611 -269.548524582204</f>
        <v>-949.07327734321711</v>
      </c>
      <c r="R703" t="s">
        <v>14007</v>
      </c>
      <c r="S703" t="s">
        <v>14008</v>
      </c>
      <c r="T703" t="s">
        <v>14009</v>
      </c>
      <c r="U703" t="s">
        <v>14010</v>
      </c>
      <c r="V703" t="s">
        <v>14011</v>
      </c>
      <c r="W703" t="s">
        <v>14012</v>
      </c>
      <c r="X703" t="s">
        <v>14013</v>
      </c>
      <c r="Y703" t="s">
        <v>14014</v>
      </c>
    </row>
    <row r="704" spans="1:25" x14ac:dyDescent="0.3">
      <c r="A704">
        <v>35150</v>
      </c>
      <c r="B704" t="s">
        <v>14015</v>
      </c>
      <c r="C704" t="s">
        <v>14016</v>
      </c>
      <c r="D704" t="s">
        <v>14017</v>
      </c>
      <c r="E704" t="s">
        <v>14018</v>
      </c>
      <c r="F704" t="s">
        <v>14019</v>
      </c>
      <c r="G704" t="s">
        <v>14020</v>
      </c>
      <c r="H704" t="s">
        <v>14021</v>
      </c>
      <c r="I704" t="s">
        <v>14022</v>
      </c>
      <c r="J704" t="s">
        <v>14023</v>
      </c>
      <c r="K704" t="s">
        <v>14024</v>
      </c>
      <c r="L704" t="s">
        <v>14025</v>
      </c>
      <c r="M704" t="s">
        <v>14026</v>
      </c>
      <c r="N704" t="s">
        <v>14027</v>
      </c>
      <c r="O704">
        <f>-822.962111063712 -75.1207472394512 -484.186392095675</f>
        <v>-1382.2692503988383</v>
      </c>
      <c r="P704">
        <f>-877.092436188134 -93.7165919104707 -195.542421868467</f>
        <v>-1166.3514499670716</v>
      </c>
      <c r="Q704">
        <f>-659.992079771349 -20.1780874276856 -269.774021145451</f>
        <v>-949.94418834448561</v>
      </c>
      <c r="R704" t="s">
        <v>14028</v>
      </c>
      <c r="S704" t="s">
        <v>14029</v>
      </c>
      <c r="T704" t="s">
        <v>14030</v>
      </c>
      <c r="U704" t="s">
        <v>14031</v>
      </c>
      <c r="V704" t="s">
        <v>14032</v>
      </c>
      <c r="W704" t="s">
        <v>14033</v>
      </c>
      <c r="X704" t="s">
        <v>14034</v>
      </c>
      <c r="Y704" t="s">
        <v>14035</v>
      </c>
    </row>
    <row r="705" spans="1:25" x14ac:dyDescent="0.3">
      <c r="A705">
        <v>35200</v>
      </c>
      <c r="B705" t="s">
        <v>14036</v>
      </c>
      <c r="C705" t="s">
        <v>14037</v>
      </c>
      <c r="D705" t="s">
        <v>14038</v>
      </c>
      <c r="E705" t="s">
        <v>14039</v>
      </c>
      <c r="F705" t="s">
        <v>14040</v>
      </c>
      <c r="G705" t="s">
        <v>14041</v>
      </c>
      <c r="H705" t="s">
        <v>14042</v>
      </c>
      <c r="I705" t="s">
        <v>14043</v>
      </c>
      <c r="J705" t="s">
        <v>14044</v>
      </c>
      <c r="K705" t="s">
        <v>14045</v>
      </c>
      <c r="L705" t="s">
        <v>14046</v>
      </c>
      <c r="M705" t="s">
        <v>14047</v>
      </c>
      <c r="N705" t="s">
        <v>14048</v>
      </c>
      <c r="O705">
        <f>-824.225032194238 -74.2965107915916 -484.265627010979</f>
        <v>-1382.7871699968086</v>
      </c>
      <c r="P705">
        <f>-878.098741321051 -92.2699362757498 -195.534388989726</f>
        <v>-1165.9030665865268</v>
      </c>
      <c r="Q705">
        <f>-660.262924120486 -21.3413234770919 -270.150476326926</f>
        <v>-951.75472392450388</v>
      </c>
      <c r="R705" t="s">
        <v>14049</v>
      </c>
      <c r="S705" t="s">
        <v>14050</v>
      </c>
      <c r="T705" t="s">
        <v>14051</v>
      </c>
      <c r="U705" t="s">
        <v>14052</v>
      </c>
      <c r="V705" t="s">
        <v>14053</v>
      </c>
      <c r="W705" t="s">
        <v>14054</v>
      </c>
      <c r="X705" t="s">
        <v>14055</v>
      </c>
      <c r="Y705" t="s">
        <v>14056</v>
      </c>
    </row>
    <row r="706" spans="1:25" x14ac:dyDescent="0.3">
      <c r="A706">
        <v>35250</v>
      </c>
      <c r="B706" t="s">
        <v>14057</v>
      </c>
      <c r="C706" t="s">
        <v>14058</v>
      </c>
      <c r="D706" t="s">
        <v>14059</v>
      </c>
      <c r="E706" t="s">
        <v>14060</v>
      </c>
      <c r="F706" t="s">
        <v>14061</v>
      </c>
      <c r="G706" t="s">
        <v>14062</v>
      </c>
      <c r="H706" t="s">
        <v>14063</v>
      </c>
      <c r="I706" t="s">
        <v>14064</v>
      </c>
      <c r="J706" t="s">
        <v>14065</v>
      </c>
      <c r="K706" t="s">
        <v>14066</v>
      </c>
      <c r="L706" t="s">
        <v>14067</v>
      </c>
      <c r="M706" t="s">
        <v>14068</v>
      </c>
      <c r="N706" t="s">
        <v>14069</v>
      </c>
      <c r="O706">
        <f>-824.800483162636 -73.817235018711 -484.34763356444</f>
        <v>-1382.9653517457871</v>
      </c>
      <c r="P706">
        <f>-878.768930679304 -91.3141814056971 -195.604801525313</f>
        <v>-1165.6879136103141</v>
      </c>
      <c r="Q706">
        <f>-660.428121157629 -22.0286724759235 -270.288470271948</f>
        <v>-952.74526390550045</v>
      </c>
      <c r="R706" t="s">
        <v>14070</v>
      </c>
      <c r="S706" t="s">
        <v>14071</v>
      </c>
      <c r="T706" t="s">
        <v>14072</v>
      </c>
      <c r="U706" t="s">
        <v>14073</v>
      </c>
      <c r="V706" t="s">
        <v>14074</v>
      </c>
      <c r="W706" t="s">
        <v>14075</v>
      </c>
      <c r="X706" t="s">
        <v>14076</v>
      </c>
      <c r="Y706" t="s">
        <v>14077</v>
      </c>
    </row>
    <row r="707" spans="1:25" x14ac:dyDescent="0.3">
      <c r="A707">
        <v>35300</v>
      </c>
      <c r="B707" t="s">
        <v>14078</v>
      </c>
      <c r="C707" t="s">
        <v>14079</v>
      </c>
      <c r="D707" t="s">
        <v>14080</v>
      </c>
      <c r="E707" t="s">
        <v>14081</v>
      </c>
      <c r="F707" t="s">
        <v>14082</v>
      </c>
      <c r="G707" t="s">
        <v>14083</v>
      </c>
      <c r="H707" t="s">
        <v>14084</v>
      </c>
      <c r="I707" t="s">
        <v>14085</v>
      </c>
      <c r="J707" t="s">
        <v>14086</v>
      </c>
      <c r="K707" t="s">
        <v>14087</v>
      </c>
      <c r="L707" t="s">
        <v>14088</v>
      </c>
      <c r="M707" t="s">
        <v>14089</v>
      </c>
      <c r="N707" t="s">
        <v>14090</v>
      </c>
      <c r="O707">
        <f>-825.777702442705 -73.1093454199656 -484.418494319842</f>
        <v>-1383.3055421825127</v>
      </c>
      <c r="P707">
        <f>-879.913363283877 -89.8044546418937 -195.659459661682</f>
        <v>-1165.3772775874527</v>
      </c>
      <c r="Q707">
        <f>-660.818824263067 -22.5949023628627 -270.032516450852</f>
        <v>-953.44624307678168</v>
      </c>
      <c r="R707" t="s">
        <v>14091</v>
      </c>
      <c r="S707" t="s">
        <v>14092</v>
      </c>
      <c r="T707" t="s">
        <v>14093</v>
      </c>
      <c r="U707" t="s">
        <v>14094</v>
      </c>
      <c r="V707" t="s">
        <v>14095</v>
      </c>
      <c r="W707" t="s">
        <v>14096</v>
      </c>
      <c r="X707" t="s">
        <v>14097</v>
      </c>
      <c r="Y707" t="s">
        <v>14098</v>
      </c>
    </row>
    <row r="708" spans="1:25" x14ac:dyDescent="0.3">
      <c r="A708">
        <v>35350</v>
      </c>
      <c r="B708" t="s">
        <v>14099</v>
      </c>
      <c r="C708" t="s">
        <v>14100</v>
      </c>
      <c r="D708" t="s">
        <v>14101</v>
      </c>
      <c r="E708" t="s">
        <v>14102</v>
      </c>
      <c r="F708" t="s">
        <v>14103</v>
      </c>
      <c r="G708" t="s">
        <v>14104</v>
      </c>
      <c r="H708" t="s">
        <v>14105</v>
      </c>
      <c r="I708" t="s">
        <v>14106</v>
      </c>
      <c r="J708" t="s">
        <v>14107</v>
      </c>
      <c r="K708" t="s">
        <v>14108</v>
      </c>
      <c r="L708" t="s">
        <v>14109</v>
      </c>
      <c r="M708" t="s">
        <v>14110</v>
      </c>
      <c r="N708" t="s">
        <v>14111</v>
      </c>
      <c r="O708">
        <f>-826.25630154145 -72.7881862910635 -484.366358953853</f>
        <v>-1383.4108467863666</v>
      </c>
      <c r="P708">
        <f>-880.49945965884 -89.2808679585585 -195.615840646935</f>
        <v>-1165.3961682643335</v>
      </c>
      <c r="Q708">
        <f>-661.218602808483 -22.3753299967716 -269.713445118858</f>
        <v>-953.30737792411253</v>
      </c>
      <c r="R708" t="s">
        <v>14112</v>
      </c>
      <c r="S708" t="s">
        <v>14113</v>
      </c>
      <c r="T708" t="s">
        <v>14114</v>
      </c>
      <c r="U708" t="s">
        <v>14115</v>
      </c>
      <c r="V708" t="s">
        <v>14116</v>
      </c>
      <c r="W708" t="s">
        <v>14117</v>
      </c>
      <c r="X708" t="s">
        <v>14118</v>
      </c>
      <c r="Y708" t="s">
        <v>14119</v>
      </c>
    </row>
    <row r="709" spans="1:25" x14ac:dyDescent="0.3">
      <c r="A709">
        <v>35400</v>
      </c>
      <c r="B709" t="s">
        <v>14120</v>
      </c>
      <c r="C709" t="s">
        <v>14121</v>
      </c>
      <c r="D709" t="s">
        <v>14122</v>
      </c>
      <c r="E709" t="s">
        <v>14123</v>
      </c>
      <c r="F709" t="s">
        <v>14124</v>
      </c>
      <c r="G709" t="s">
        <v>14125</v>
      </c>
      <c r="H709" t="s">
        <v>14126</v>
      </c>
      <c r="I709" t="s">
        <v>14127</v>
      </c>
      <c r="J709" t="s">
        <v>14128</v>
      </c>
      <c r="K709" t="s">
        <v>14129</v>
      </c>
      <c r="L709" t="s">
        <v>14130</v>
      </c>
      <c r="M709" t="s">
        <v>14131</v>
      </c>
      <c r="N709" t="s">
        <v>14132</v>
      </c>
      <c r="O709">
        <f>-827.246506152227 -72.1452621504625 -484.335358012761</f>
        <v>-1383.7271263154505</v>
      </c>
      <c r="P709">
        <f>-881.653600318896 -88.5768616499163 -195.612247444743</f>
        <v>-1165.8427094135552</v>
      </c>
      <c r="Q709">
        <f>-662.216124764957 -21.6856232488403 -269.258140125083</f>
        <v>-953.15988813888043</v>
      </c>
      <c r="R709" t="s">
        <v>14133</v>
      </c>
      <c r="S709" t="s">
        <v>14134</v>
      </c>
      <c r="T709" t="s">
        <v>14135</v>
      </c>
      <c r="U709" t="s">
        <v>14136</v>
      </c>
      <c r="V709" t="s">
        <v>14137</v>
      </c>
      <c r="W709" t="s">
        <v>14138</v>
      </c>
      <c r="X709" t="s">
        <v>14139</v>
      </c>
      <c r="Y709" t="s">
        <v>14140</v>
      </c>
    </row>
    <row r="710" spans="1:25" x14ac:dyDescent="0.3">
      <c r="A710">
        <v>35450</v>
      </c>
      <c r="B710" t="s">
        <v>14141</v>
      </c>
      <c r="C710" t="s">
        <v>14142</v>
      </c>
      <c r="D710" t="s">
        <v>14143</v>
      </c>
      <c r="E710" t="s">
        <v>14144</v>
      </c>
      <c r="F710" t="s">
        <v>14145</v>
      </c>
      <c r="G710" t="s">
        <v>14146</v>
      </c>
      <c r="H710" t="s">
        <v>14147</v>
      </c>
      <c r="I710" t="s">
        <v>14148</v>
      </c>
      <c r="J710" t="s">
        <v>14149</v>
      </c>
      <c r="K710" t="s">
        <v>14150</v>
      </c>
      <c r="L710" t="s">
        <v>14151</v>
      </c>
      <c r="M710" t="s">
        <v>14152</v>
      </c>
      <c r="N710" t="s">
        <v>14153</v>
      </c>
      <c r="O710">
        <f>-827.646694384174 -71.8504591603996 -484.365347764331</f>
        <v>-1383.8625013089045</v>
      </c>
      <c r="P710">
        <f>-882.300628428658 -88.1403285730626 -195.680812798292</f>
        <v>-1166.1217698000125</v>
      </c>
      <c r="Q710">
        <f>-662.777616763657 -21.4143516032132 -269.220461948574</f>
        <v>-953.41243031544411</v>
      </c>
      <c r="R710" t="s">
        <v>14154</v>
      </c>
      <c r="S710" t="s">
        <v>14155</v>
      </c>
      <c r="T710" t="s">
        <v>14156</v>
      </c>
      <c r="U710" t="s">
        <v>14157</v>
      </c>
      <c r="V710" t="s">
        <v>14158</v>
      </c>
      <c r="W710" t="s">
        <v>14159</v>
      </c>
      <c r="X710" t="s">
        <v>14160</v>
      </c>
      <c r="Y710" t="s">
        <v>14161</v>
      </c>
    </row>
    <row r="711" spans="1:25" x14ac:dyDescent="0.3">
      <c r="A711">
        <v>35500</v>
      </c>
      <c r="B711" t="s">
        <v>14162</v>
      </c>
      <c r="C711" t="s">
        <v>14163</v>
      </c>
      <c r="D711" t="s">
        <v>14164</v>
      </c>
      <c r="E711" t="s">
        <v>14165</v>
      </c>
      <c r="F711" t="s">
        <v>14166</v>
      </c>
      <c r="G711" t="s">
        <v>14167</v>
      </c>
      <c r="H711" t="s">
        <v>14168</v>
      </c>
      <c r="I711" t="s">
        <v>14169</v>
      </c>
      <c r="J711" t="s">
        <v>14170</v>
      </c>
      <c r="K711" t="s">
        <v>14171</v>
      </c>
      <c r="L711" t="s">
        <v>14172</v>
      </c>
      <c r="M711" t="s">
        <v>14173</v>
      </c>
      <c r="N711" t="s">
        <v>14174</v>
      </c>
      <c r="O711">
        <f>-828.134692538047 -71.3163995640184 -484.52285696413</f>
        <v>-1383.9739490661955</v>
      </c>
      <c r="P711">
        <f>-882.965337019164 -87.7450707335397 -195.879708384168</f>
        <v>-1166.5901161368718</v>
      </c>
      <c r="Q711">
        <f>-663.432751617978 -20.4979515682458 -268.914732723848</f>
        <v>-952.84543591007173</v>
      </c>
      <c r="R711" t="s">
        <v>14175</v>
      </c>
      <c r="S711" t="s">
        <v>14176</v>
      </c>
      <c r="T711" t="s">
        <v>14177</v>
      </c>
      <c r="U711" t="s">
        <v>14178</v>
      </c>
      <c r="V711" t="s">
        <v>14179</v>
      </c>
      <c r="W711" t="s">
        <v>14180</v>
      </c>
      <c r="X711" t="s">
        <v>14181</v>
      </c>
      <c r="Y711" t="s">
        <v>14182</v>
      </c>
    </row>
    <row r="712" spans="1:25" x14ac:dyDescent="0.3">
      <c r="A712">
        <v>35550</v>
      </c>
      <c r="B712" t="s">
        <v>14183</v>
      </c>
      <c r="C712" t="s">
        <v>14184</v>
      </c>
      <c r="D712" t="s">
        <v>14185</v>
      </c>
      <c r="E712" t="s">
        <v>14186</v>
      </c>
      <c r="F712" t="s">
        <v>14187</v>
      </c>
      <c r="G712" t="s">
        <v>14188</v>
      </c>
      <c r="H712" t="s">
        <v>14189</v>
      </c>
      <c r="I712" t="s">
        <v>14190</v>
      </c>
      <c r="J712" t="s">
        <v>14191</v>
      </c>
      <c r="K712" t="s">
        <v>14192</v>
      </c>
      <c r="L712" t="s">
        <v>14193</v>
      </c>
      <c r="M712" t="s">
        <v>14194</v>
      </c>
      <c r="N712" t="s">
        <v>14195</v>
      </c>
      <c r="O712">
        <f>-828.17393855019 -71.1674828691448 -484.593542445024</f>
        <v>-1383.9349638643589</v>
      </c>
      <c r="P712">
        <f>-883.176141128225 -87.6868952112725 -195.988246305091</f>
        <v>-1166.8512826445885</v>
      </c>
      <c r="Q712">
        <f>-663.535478215643 -20.0739491969043 -268.357383623801</f>
        <v>-951.96681103634842</v>
      </c>
      <c r="R712" t="s">
        <v>14196</v>
      </c>
      <c r="S712" t="s">
        <v>14197</v>
      </c>
      <c r="T712" t="s">
        <v>14198</v>
      </c>
      <c r="U712" t="s">
        <v>14199</v>
      </c>
      <c r="V712" t="s">
        <v>14200</v>
      </c>
      <c r="W712" t="s">
        <v>14201</v>
      </c>
      <c r="X712" t="s">
        <v>14202</v>
      </c>
      <c r="Y712" t="s">
        <v>14203</v>
      </c>
    </row>
    <row r="713" spans="1:25" x14ac:dyDescent="0.3">
      <c r="A713">
        <v>35600</v>
      </c>
      <c r="B713" t="s">
        <v>14204</v>
      </c>
      <c r="C713" t="s">
        <v>14205</v>
      </c>
      <c r="D713" t="s">
        <v>14206</v>
      </c>
      <c r="E713" t="s">
        <v>14207</v>
      </c>
      <c r="F713" t="s">
        <v>14208</v>
      </c>
      <c r="G713" t="s">
        <v>14209</v>
      </c>
      <c r="H713" t="s">
        <v>14210</v>
      </c>
      <c r="I713" t="s">
        <v>14211</v>
      </c>
      <c r="J713" t="s">
        <v>14212</v>
      </c>
      <c r="K713" t="s">
        <v>14213</v>
      </c>
      <c r="L713" t="s">
        <v>14214</v>
      </c>
      <c r="M713" t="s">
        <v>14215</v>
      </c>
      <c r="N713" t="s">
        <v>14216</v>
      </c>
      <c r="O713">
        <f>-828.195824515228 -71.006344502206 -484.771797038661</f>
        <v>-1383.9739660560949</v>
      </c>
      <c r="P713">
        <f>-883.836565093071 -88.1587115879645 -196.325815188259</f>
        <v>-1168.3210918692946</v>
      </c>
      <c r="Q713">
        <f>-664.226390257584 -19.3507899477477 -267.653363120678</f>
        <v>-951.23054332600964</v>
      </c>
      <c r="R713" t="s">
        <v>14217</v>
      </c>
      <c r="S713" t="s">
        <v>14218</v>
      </c>
      <c r="T713" t="s">
        <v>14219</v>
      </c>
      <c r="U713" t="s">
        <v>14220</v>
      </c>
      <c r="V713" t="s">
        <v>14221</v>
      </c>
      <c r="W713" t="s">
        <v>14222</v>
      </c>
      <c r="X713" t="s">
        <v>14223</v>
      </c>
      <c r="Y713" t="s">
        <v>14224</v>
      </c>
    </row>
    <row r="714" spans="1:25" x14ac:dyDescent="0.3">
      <c r="A714">
        <v>35650</v>
      </c>
      <c r="B714" t="s">
        <v>14225</v>
      </c>
      <c r="C714" t="s">
        <v>14226</v>
      </c>
      <c r="D714" t="s">
        <v>14227</v>
      </c>
      <c r="E714" t="s">
        <v>14228</v>
      </c>
      <c r="F714" t="s">
        <v>14229</v>
      </c>
      <c r="G714" t="s">
        <v>14230</v>
      </c>
      <c r="H714" t="s">
        <v>14231</v>
      </c>
      <c r="I714" t="s">
        <v>14232</v>
      </c>
      <c r="J714" t="s">
        <v>14233</v>
      </c>
      <c r="K714" t="s">
        <v>14234</v>
      </c>
      <c r="L714" t="s">
        <v>14235</v>
      </c>
      <c r="M714" t="s">
        <v>14236</v>
      </c>
      <c r="N714" t="s">
        <v>14237</v>
      </c>
      <c r="O714">
        <f>-828.226491322478 -70.7305023317638 -484.907460132957</f>
        <v>-1383.8644537871987</v>
      </c>
      <c r="P714">
        <f>-884.044781624387 -88.2540629868158 -196.518177304794</f>
        <v>-1168.817021915997</v>
      </c>
      <c r="Q714">
        <f>-664.531900450299 -18.8918084408101 -267.607830291185</f>
        <v>-951.03153918229407</v>
      </c>
      <c r="R714" t="s">
        <v>14238</v>
      </c>
      <c r="S714" t="s">
        <v>14239</v>
      </c>
      <c r="T714" t="s">
        <v>14240</v>
      </c>
      <c r="U714" t="s">
        <v>14241</v>
      </c>
      <c r="V714" t="s">
        <v>14242</v>
      </c>
      <c r="W714" t="s">
        <v>14243</v>
      </c>
      <c r="X714" t="s">
        <v>14244</v>
      </c>
      <c r="Y714" t="s">
        <v>14245</v>
      </c>
    </row>
    <row r="715" spans="1:25" x14ac:dyDescent="0.3">
      <c r="A715">
        <v>35700</v>
      </c>
      <c r="B715" t="s">
        <v>14246</v>
      </c>
      <c r="C715" t="s">
        <v>14247</v>
      </c>
      <c r="D715" t="s">
        <v>14248</v>
      </c>
      <c r="E715" t="s">
        <v>14249</v>
      </c>
      <c r="F715" t="s">
        <v>14250</v>
      </c>
      <c r="G715" t="s">
        <v>14251</v>
      </c>
      <c r="H715" t="s">
        <v>14252</v>
      </c>
      <c r="I715" t="s">
        <v>14253</v>
      </c>
      <c r="J715" t="s">
        <v>14254</v>
      </c>
      <c r="K715" t="s">
        <v>14255</v>
      </c>
      <c r="L715" t="s">
        <v>14256</v>
      </c>
      <c r="M715" t="s">
        <v>14257</v>
      </c>
      <c r="N715" t="s">
        <v>14258</v>
      </c>
      <c r="O715">
        <f>-828.684816248139 -70.2974262634316 -485.148823407268</f>
        <v>-1384.1310659188387</v>
      </c>
      <c r="P715">
        <f>-884.872556691911 -88.1722719874549 -196.852661360261</f>
        <v>-1169.897490039627</v>
      </c>
      <c r="Q715">
        <f>-665.154559034351 -18.79535140179 -267.292016295345</f>
        <v>-951.24192673148593</v>
      </c>
      <c r="R715" t="s">
        <v>14259</v>
      </c>
      <c r="S715" t="s">
        <v>14260</v>
      </c>
      <c r="T715" t="s">
        <v>14261</v>
      </c>
      <c r="U715" t="s">
        <v>14262</v>
      </c>
      <c r="V715" t="s">
        <v>14263</v>
      </c>
      <c r="W715" t="s">
        <v>14264</v>
      </c>
      <c r="X715" t="s">
        <v>14265</v>
      </c>
      <c r="Y715" t="s">
        <v>14266</v>
      </c>
    </row>
    <row r="716" spans="1:25" x14ac:dyDescent="0.3">
      <c r="A716">
        <v>35750</v>
      </c>
      <c r="B716" t="s">
        <v>14267</v>
      </c>
      <c r="C716" t="s">
        <v>14268</v>
      </c>
      <c r="D716" t="s">
        <v>14269</v>
      </c>
      <c r="E716" t="s">
        <v>14270</v>
      </c>
      <c r="F716" t="s">
        <v>14271</v>
      </c>
      <c r="G716" t="s">
        <v>14272</v>
      </c>
      <c r="H716" t="s">
        <v>14273</v>
      </c>
      <c r="I716" t="s">
        <v>14274</v>
      </c>
      <c r="J716" t="s">
        <v>14275</v>
      </c>
      <c r="K716" t="s">
        <v>14276</v>
      </c>
      <c r="L716" t="s">
        <v>14277</v>
      </c>
      <c r="M716" t="s">
        <v>14278</v>
      </c>
      <c r="N716" t="s">
        <v>14279</v>
      </c>
      <c r="O716">
        <f>-828.904498533982 -70.1652008929132 -485.251650134347</f>
        <v>-1384.3213495612422</v>
      </c>
      <c r="P716">
        <f>-885.180731658749 -88.2938510062008 -196.988719052592</f>
        <v>-1170.4633017175418</v>
      </c>
      <c r="Q716">
        <f>-665.372962471258 -18.8536444855695 -267.084539473521</f>
        <v>-951.31114643034846</v>
      </c>
      <c r="R716" t="s">
        <v>14280</v>
      </c>
      <c r="S716" t="s">
        <v>14281</v>
      </c>
      <c r="T716" t="s">
        <v>14282</v>
      </c>
      <c r="U716" t="s">
        <v>14283</v>
      </c>
      <c r="V716" t="s">
        <v>14284</v>
      </c>
      <c r="W716" t="s">
        <v>14285</v>
      </c>
      <c r="X716" t="s">
        <v>14286</v>
      </c>
      <c r="Y716" t="s">
        <v>14287</v>
      </c>
    </row>
    <row r="717" spans="1:25" x14ac:dyDescent="0.3">
      <c r="A717">
        <v>35800</v>
      </c>
      <c r="B717" t="s">
        <v>14288</v>
      </c>
      <c r="C717" t="s">
        <v>14289</v>
      </c>
      <c r="D717" t="s">
        <v>14290</v>
      </c>
      <c r="E717" t="s">
        <v>14291</v>
      </c>
      <c r="F717" t="s">
        <v>14292</v>
      </c>
      <c r="G717" t="s">
        <v>14293</v>
      </c>
      <c r="H717" t="s">
        <v>14294</v>
      </c>
      <c r="I717" t="s">
        <v>14295</v>
      </c>
      <c r="J717" t="s">
        <v>14296</v>
      </c>
      <c r="K717" t="s">
        <v>14297</v>
      </c>
      <c r="L717" t="s">
        <v>14298</v>
      </c>
      <c r="M717" t="s">
        <v>14299</v>
      </c>
      <c r="N717" t="s">
        <v>14300</v>
      </c>
      <c r="O717">
        <f>-829.250308313307 -70.1034842250046 -485.438762439148</f>
        <v>-1384.7925549774595</v>
      </c>
      <c r="P717">
        <f>-885.671952549202 -88.6436241175636 -197.230348221047</f>
        <v>-1171.5459248878126</v>
      </c>
      <c r="Q717">
        <f>-665.714737146373 -19.2980362940652 -266.950685762757</f>
        <v>-951.96345920319527</v>
      </c>
      <c r="R717" t="s">
        <v>14301</v>
      </c>
      <c r="S717" t="s">
        <v>14302</v>
      </c>
      <c r="T717" t="s">
        <v>14303</v>
      </c>
      <c r="U717" t="s">
        <v>14304</v>
      </c>
      <c r="V717" t="s">
        <v>14305</v>
      </c>
      <c r="W717" t="s">
        <v>14306</v>
      </c>
      <c r="X717" t="s">
        <v>14307</v>
      </c>
      <c r="Y717" t="s">
        <v>14308</v>
      </c>
    </row>
    <row r="718" spans="1:25" x14ac:dyDescent="0.3">
      <c r="A718">
        <v>35850</v>
      </c>
      <c r="B718" t="s">
        <v>14309</v>
      </c>
      <c r="C718" t="s">
        <v>14310</v>
      </c>
      <c r="D718" t="s">
        <v>14311</v>
      </c>
      <c r="E718" t="s">
        <v>14312</v>
      </c>
      <c r="F718" t="s">
        <v>14313</v>
      </c>
      <c r="G718" t="s">
        <v>14314</v>
      </c>
      <c r="H718" t="s">
        <v>14315</v>
      </c>
      <c r="I718" t="s">
        <v>14316</v>
      </c>
      <c r="J718" t="s">
        <v>14317</v>
      </c>
      <c r="K718" t="s">
        <v>14318</v>
      </c>
      <c r="L718" t="s">
        <v>14319</v>
      </c>
      <c r="M718" t="s">
        <v>14320</v>
      </c>
      <c r="N718" t="s">
        <v>14321</v>
      </c>
      <c r="O718">
        <f>-829.42567235658 -70.2196882545529 -485.523144394024</f>
        <v>-1385.1685050051569</v>
      </c>
      <c r="P718">
        <f>-885.945316086866 -88.7710732545045 -197.334734457823</f>
        <v>-1172.0511237991934</v>
      </c>
      <c r="Q718">
        <f>-665.921019193386 -19.5656676080157 -266.981784772113</f>
        <v>-952.46847157351465</v>
      </c>
      <c r="R718" t="s">
        <v>14322</v>
      </c>
      <c r="S718" t="s">
        <v>14323</v>
      </c>
      <c r="T718" t="s">
        <v>14324</v>
      </c>
      <c r="U718" t="s">
        <v>14325</v>
      </c>
      <c r="V718" t="s">
        <v>14326</v>
      </c>
      <c r="W718" t="s">
        <v>14327</v>
      </c>
      <c r="X718" t="s">
        <v>14328</v>
      </c>
      <c r="Y718" t="s">
        <v>14329</v>
      </c>
    </row>
    <row r="719" spans="1:25" x14ac:dyDescent="0.3">
      <c r="A719">
        <v>35900</v>
      </c>
      <c r="B719" t="s">
        <v>14330</v>
      </c>
      <c r="C719" t="s">
        <v>14331</v>
      </c>
      <c r="D719" t="s">
        <v>14332</v>
      </c>
      <c r="E719" t="s">
        <v>14333</v>
      </c>
      <c r="F719" t="s">
        <v>14334</v>
      </c>
      <c r="G719" t="s">
        <v>14335</v>
      </c>
      <c r="H719" t="s">
        <v>14336</v>
      </c>
      <c r="I719" t="s">
        <v>14337</v>
      </c>
      <c r="J719" t="s">
        <v>14338</v>
      </c>
      <c r="K719" t="s">
        <v>14339</v>
      </c>
      <c r="L719" t="s">
        <v>14340</v>
      </c>
      <c r="M719" t="s">
        <v>14341</v>
      </c>
      <c r="N719" t="s">
        <v>14342</v>
      </c>
      <c r="O719">
        <f>-829.845109408013 -70.6220051767634 -485.555114477071</f>
        <v>-1386.0222290618474</v>
      </c>
      <c r="P719">
        <f>-886.477168137338 -89.2120495058127 -197.391156201062</f>
        <v>-1173.0803738442128</v>
      </c>
      <c r="Q719">
        <f>-666.410187671552 -20.2436346459685 -267.139110495442</f>
        <v>-953.79293281296259</v>
      </c>
      <c r="R719" t="s">
        <v>14343</v>
      </c>
      <c r="S719" t="s">
        <v>14344</v>
      </c>
      <c r="T719" t="s">
        <v>14345</v>
      </c>
      <c r="U719" t="s">
        <v>14346</v>
      </c>
      <c r="V719" t="s">
        <v>14347</v>
      </c>
      <c r="W719" t="s">
        <v>14348</v>
      </c>
      <c r="X719" t="s">
        <v>14349</v>
      </c>
      <c r="Y719" t="s">
        <v>14350</v>
      </c>
    </row>
    <row r="720" spans="1:25" x14ac:dyDescent="0.3">
      <c r="A720">
        <v>35950</v>
      </c>
      <c r="B720" t="s">
        <v>14351</v>
      </c>
      <c r="C720" t="s">
        <v>14352</v>
      </c>
      <c r="D720" t="s">
        <v>14353</v>
      </c>
      <c r="E720" t="s">
        <v>14354</v>
      </c>
      <c r="F720" t="s">
        <v>14355</v>
      </c>
      <c r="G720" t="s">
        <v>14356</v>
      </c>
      <c r="H720" t="s">
        <v>14357</v>
      </c>
      <c r="I720" t="s">
        <v>14358</v>
      </c>
      <c r="J720" t="s">
        <v>14359</v>
      </c>
      <c r="K720" t="s">
        <v>14360</v>
      </c>
      <c r="L720" t="s">
        <v>14361</v>
      </c>
      <c r="M720" t="s">
        <v>14362</v>
      </c>
      <c r="N720" t="s">
        <v>14363</v>
      </c>
      <c r="O720">
        <f>-829.909772636704 -70.7914628569497 -485.506687829524</f>
        <v>-1386.2079233231777</v>
      </c>
      <c r="P720">
        <f>-886.745495666734 -89.1966354671301 -197.371037977749</f>
        <v>-1173.3131691116132</v>
      </c>
      <c r="Q720">
        <f>-666.529267500322 -20.6445003782728 -267.058086078889</f>
        <v>-954.23185395748385</v>
      </c>
      <c r="R720" t="s">
        <v>14364</v>
      </c>
      <c r="S720" t="s">
        <v>14365</v>
      </c>
      <c r="T720" t="s">
        <v>14366</v>
      </c>
      <c r="U720" t="s">
        <v>14367</v>
      </c>
      <c r="V720" t="s">
        <v>14368</v>
      </c>
      <c r="W720" t="s">
        <v>14369</v>
      </c>
      <c r="X720" t="s">
        <v>14370</v>
      </c>
      <c r="Y720" t="s">
        <v>14371</v>
      </c>
    </row>
    <row r="721" spans="1:25" x14ac:dyDescent="0.3">
      <c r="A721">
        <v>36000</v>
      </c>
      <c r="B721" t="s">
        <v>14372</v>
      </c>
      <c r="C721" t="s">
        <v>14373</v>
      </c>
      <c r="D721" t="s">
        <v>14374</v>
      </c>
      <c r="E721" t="s">
        <v>14375</v>
      </c>
      <c r="F721" t="s">
        <v>14376</v>
      </c>
      <c r="G721" t="s">
        <v>14377</v>
      </c>
      <c r="H721" t="s">
        <v>14378</v>
      </c>
      <c r="I721" t="s">
        <v>14379</v>
      </c>
      <c r="J721" t="s">
        <v>14380</v>
      </c>
      <c r="K721" t="s">
        <v>14381</v>
      </c>
      <c r="L721" t="s">
        <v>14382</v>
      </c>
      <c r="M721" t="s">
        <v>14383</v>
      </c>
      <c r="N721" t="s">
        <v>14384</v>
      </c>
      <c r="O721">
        <f>-829.531004504094 -71.4714571738443 -485.512975077677</f>
        <v>-1386.5154367556154</v>
      </c>
      <c r="P721">
        <f>-887.220945835637 -89.6265612994598 -197.531110669428</f>
        <v>-1174.3786178045248</v>
      </c>
      <c r="Q721">
        <f>-666.642280784214 -21.581322164704 -266.566245739161</f>
        <v>-954.78984868807902</v>
      </c>
      <c r="R721" t="s">
        <v>14385</v>
      </c>
      <c r="S721" t="s">
        <v>14386</v>
      </c>
      <c r="T721" t="s">
        <v>14387</v>
      </c>
      <c r="U721" t="s">
        <v>14388</v>
      </c>
      <c r="V721" t="s">
        <v>14389</v>
      </c>
      <c r="W721" t="s">
        <v>14390</v>
      </c>
      <c r="X721" t="s">
        <v>14391</v>
      </c>
      <c r="Y721" t="s">
        <v>14392</v>
      </c>
    </row>
    <row r="722" spans="1:25" x14ac:dyDescent="0.3">
      <c r="A722">
        <v>36050</v>
      </c>
      <c r="B722" t="s">
        <v>14393</v>
      </c>
      <c r="C722" t="s">
        <v>14394</v>
      </c>
      <c r="D722" t="s">
        <v>14395</v>
      </c>
      <c r="E722" t="s">
        <v>14396</v>
      </c>
      <c r="F722" t="s">
        <v>14397</v>
      </c>
      <c r="G722" t="s">
        <v>14398</v>
      </c>
      <c r="H722" t="s">
        <v>14399</v>
      </c>
      <c r="I722" t="s">
        <v>14400</v>
      </c>
      <c r="J722" t="s">
        <v>14401</v>
      </c>
      <c r="K722" t="s">
        <v>14402</v>
      </c>
      <c r="L722" t="s">
        <v>14403</v>
      </c>
      <c r="M722" t="s">
        <v>14404</v>
      </c>
      <c r="N722" t="s">
        <v>14405</v>
      </c>
      <c r="O722">
        <f>-829.038280886896 -72.1782717839394 -485.518435310844</f>
        <v>-1386.7349879816793</v>
      </c>
      <c r="P722">
        <f>-887.348309379147 -90.2282938549224 -197.655166971964</f>
        <v>-1175.2317702060334</v>
      </c>
      <c r="Q722">
        <f>-666.492892439489 -22.5272803633411 -266.141265191662</f>
        <v>-955.16143799449208</v>
      </c>
      <c r="R722" t="s">
        <v>14406</v>
      </c>
      <c r="S722" t="s">
        <v>14407</v>
      </c>
      <c r="T722" t="s">
        <v>14408</v>
      </c>
      <c r="U722" t="s">
        <v>14409</v>
      </c>
      <c r="V722" t="s">
        <v>14410</v>
      </c>
      <c r="W722" t="s">
        <v>14411</v>
      </c>
      <c r="X722" t="s">
        <v>14412</v>
      </c>
      <c r="Y722" t="s">
        <v>14413</v>
      </c>
    </row>
    <row r="723" spans="1:25" x14ac:dyDescent="0.3">
      <c r="A723">
        <v>36100</v>
      </c>
      <c r="B723" t="s">
        <v>14414</v>
      </c>
      <c r="C723" t="s">
        <v>14415</v>
      </c>
      <c r="D723" t="s">
        <v>14416</v>
      </c>
      <c r="E723" t="s">
        <v>14417</v>
      </c>
      <c r="F723" t="s">
        <v>14418</v>
      </c>
      <c r="G723" t="s">
        <v>14419</v>
      </c>
      <c r="H723" t="s">
        <v>14420</v>
      </c>
      <c r="I723" t="s">
        <v>14421</v>
      </c>
      <c r="J723" t="s">
        <v>14422</v>
      </c>
      <c r="K723" t="s">
        <v>14423</v>
      </c>
      <c r="L723" t="s">
        <v>14424</v>
      </c>
      <c r="M723" t="s">
        <v>14425</v>
      </c>
      <c r="N723" t="s">
        <v>14426</v>
      </c>
      <c r="O723">
        <f>-827.781368300183 -74.0742722394364 -485.266697654208</f>
        <v>-1387.1223381938273</v>
      </c>
      <c r="P723">
        <f>-887.544957379235 -92.2468998868069 -197.709346567533</f>
        <v>-1177.5012038335749</v>
      </c>
      <c r="Q723">
        <f>-666.338124573743 -24.4845565070332 -264.989975540854</f>
        <v>-955.81265662163014</v>
      </c>
      <c r="R723" t="s">
        <v>14427</v>
      </c>
      <c r="S723" t="s">
        <v>14428</v>
      </c>
      <c r="T723" t="s">
        <v>14429</v>
      </c>
      <c r="U723" t="s">
        <v>14430</v>
      </c>
      <c r="V723" t="s">
        <v>14431</v>
      </c>
      <c r="W723" t="s">
        <v>14432</v>
      </c>
      <c r="X723" t="s">
        <v>14433</v>
      </c>
      <c r="Y723" t="s">
        <v>14434</v>
      </c>
    </row>
    <row r="724" spans="1:25" x14ac:dyDescent="0.3">
      <c r="A724">
        <v>36150</v>
      </c>
      <c r="B724" t="s">
        <v>14435</v>
      </c>
      <c r="C724" t="s">
        <v>14436</v>
      </c>
      <c r="D724" t="s">
        <v>14437</v>
      </c>
      <c r="E724" t="s">
        <v>14438</v>
      </c>
      <c r="F724" t="s">
        <v>14439</v>
      </c>
      <c r="G724" t="s">
        <v>14440</v>
      </c>
      <c r="H724" t="s">
        <v>14441</v>
      </c>
      <c r="I724" t="s">
        <v>14442</v>
      </c>
      <c r="J724" t="s">
        <v>14443</v>
      </c>
      <c r="K724" t="s">
        <v>14444</v>
      </c>
      <c r="L724" t="s">
        <v>14445</v>
      </c>
      <c r="M724" t="s">
        <v>14446</v>
      </c>
      <c r="N724" t="s">
        <v>14447</v>
      </c>
      <c r="O724">
        <f>-827.168512899554 -74.7937238808042 -485.026675346292</f>
        <v>-1386.9889121266501</v>
      </c>
      <c r="P724">
        <f>-887.979064915977 -92.9805962578268 -197.689706556758</f>
        <v>-1178.6493677305618</v>
      </c>
      <c r="Q724">
        <f>-666.545490849208 -25.2646472276747 -264.267986396628</f>
        <v>-956.07812447351068</v>
      </c>
      <c r="R724" t="s">
        <v>14448</v>
      </c>
      <c r="S724" t="s">
        <v>14449</v>
      </c>
      <c r="T724" t="s">
        <v>14450</v>
      </c>
      <c r="U724" t="s">
        <v>14451</v>
      </c>
      <c r="V724" t="s">
        <v>14452</v>
      </c>
      <c r="W724" t="s">
        <v>14453</v>
      </c>
      <c r="X724" t="s">
        <v>14454</v>
      </c>
      <c r="Y724" t="s">
        <v>14455</v>
      </c>
    </row>
    <row r="725" spans="1:25" x14ac:dyDescent="0.3">
      <c r="A725">
        <v>36200</v>
      </c>
      <c r="B725" t="s">
        <v>14456</v>
      </c>
      <c r="C725" t="s">
        <v>14457</v>
      </c>
      <c r="D725" t="s">
        <v>14458</v>
      </c>
      <c r="E725" t="s">
        <v>14459</v>
      </c>
      <c r="F725" t="s">
        <v>14460</v>
      </c>
      <c r="G725" t="s">
        <v>14461</v>
      </c>
      <c r="H725" t="s">
        <v>14462</v>
      </c>
      <c r="I725" t="s">
        <v>14463</v>
      </c>
      <c r="J725" t="s">
        <v>14464</v>
      </c>
      <c r="K725" t="s">
        <v>14465</v>
      </c>
      <c r="L725" t="s">
        <v>14466</v>
      </c>
      <c r="M725" t="s">
        <v>14467</v>
      </c>
      <c r="N725" t="s">
        <v>14468</v>
      </c>
      <c r="O725">
        <f>-826.839331149348 -75.7623762375245 -484.245766980877</f>
        <v>-1386.8474743677496</v>
      </c>
      <c r="P725">
        <f>-889.429456329132 -94.1753193676716 -197.305629377938</f>
        <v>-1180.9104050747417</v>
      </c>
      <c r="Q725">
        <f>-667.246125821677 -27.9187652727696 -262.845470797252</f>
        <v>-958.01036189169861</v>
      </c>
      <c r="R725" t="s">
        <v>14469</v>
      </c>
      <c r="S725" t="s">
        <v>14470</v>
      </c>
      <c r="T725" t="s">
        <v>14471</v>
      </c>
      <c r="U725" t="s">
        <v>14472</v>
      </c>
      <c r="V725" t="s">
        <v>14473</v>
      </c>
      <c r="W725" t="s">
        <v>14474</v>
      </c>
      <c r="X725" t="s">
        <v>14475</v>
      </c>
      <c r="Y725" t="s">
        <v>14476</v>
      </c>
    </row>
    <row r="726" spans="1:25" x14ac:dyDescent="0.3">
      <c r="A726">
        <v>36250</v>
      </c>
      <c r="B726" t="s">
        <v>14477</v>
      </c>
      <c r="C726" t="s">
        <v>14478</v>
      </c>
      <c r="D726" t="s">
        <v>14479</v>
      </c>
      <c r="E726" t="s">
        <v>14480</v>
      </c>
      <c r="F726" t="s">
        <v>14481</v>
      </c>
      <c r="G726" t="s">
        <v>14482</v>
      </c>
      <c r="H726" t="s">
        <v>14483</v>
      </c>
      <c r="I726" t="s">
        <v>14484</v>
      </c>
      <c r="J726" t="s">
        <v>14485</v>
      </c>
      <c r="K726" t="s">
        <v>14486</v>
      </c>
      <c r="L726" t="s">
        <v>14487</v>
      </c>
      <c r="M726" t="s">
        <v>14488</v>
      </c>
      <c r="N726" t="s">
        <v>14489</v>
      </c>
      <c r="O726">
        <f>-826.783475022756 -76.4791600842996 -483.410018338757</f>
        <v>-1386.6726534458126</v>
      </c>
      <c r="P726">
        <f>-889.697607954011 -95.3200653885831 -196.568582225129</f>
        <v>-1181.5862555677231</v>
      </c>
      <c r="Q726">
        <f>-666.880527135004 -31.3885546237989 -262.266610886241</f>
        <v>-960.53569264504381</v>
      </c>
      <c r="R726" t="s">
        <v>14490</v>
      </c>
      <c r="S726" t="s">
        <v>14491</v>
      </c>
      <c r="T726" t="s">
        <v>14492</v>
      </c>
      <c r="U726" t="s">
        <v>14493</v>
      </c>
      <c r="V726" t="s">
        <v>14494</v>
      </c>
      <c r="W726" t="s">
        <v>14495</v>
      </c>
      <c r="X726" t="s">
        <v>14496</v>
      </c>
      <c r="Y726" t="s">
        <v>14497</v>
      </c>
    </row>
    <row r="727" spans="1:25" x14ac:dyDescent="0.3">
      <c r="A727">
        <v>36300</v>
      </c>
      <c r="B727" t="s">
        <v>14498</v>
      </c>
      <c r="C727" t="s">
        <v>14499</v>
      </c>
      <c r="D727" t="s">
        <v>14500</v>
      </c>
      <c r="E727" t="s">
        <v>14501</v>
      </c>
      <c r="F727" t="s">
        <v>14502</v>
      </c>
      <c r="G727" t="s">
        <v>14503</v>
      </c>
      <c r="H727" t="s">
        <v>14504</v>
      </c>
      <c r="I727" t="s">
        <v>14505</v>
      </c>
      <c r="J727" t="s">
        <v>14506</v>
      </c>
      <c r="K727" t="s">
        <v>14507</v>
      </c>
      <c r="L727" t="s">
        <v>14508</v>
      </c>
      <c r="M727" t="s">
        <v>14509</v>
      </c>
      <c r="N727" t="s">
        <v>14510</v>
      </c>
      <c r="O727">
        <f>-826.659706440842 -79.6977619797469 -480.861479303321</f>
        <v>-1387.2189477239099</v>
      </c>
      <c r="P727">
        <f>-888.547433508845 -102.027800151663 -194.047094153055</f>
        <v>-1184.6223278135631</v>
      </c>
      <c r="Q727">
        <f>-665.370917167539 -44.0600159606645 -263.924600855934</f>
        <v>-973.35553398413754</v>
      </c>
      <c r="R727" t="s">
        <v>14511</v>
      </c>
      <c r="S727" t="s">
        <v>14512</v>
      </c>
      <c r="T727" t="s">
        <v>14513</v>
      </c>
      <c r="U727" t="s">
        <v>14514</v>
      </c>
      <c r="V727" t="s">
        <v>14515</v>
      </c>
      <c r="W727" t="s">
        <v>14516</v>
      </c>
      <c r="X727" t="s">
        <v>14517</v>
      </c>
      <c r="Y727" t="s">
        <v>14518</v>
      </c>
    </row>
    <row r="728" spans="1:25" x14ac:dyDescent="0.3">
      <c r="A728">
        <v>36350</v>
      </c>
      <c r="B728" t="s">
        <v>14519</v>
      </c>
      <c r="C728" t="s">
        <v>14520</v>
      </c>
      <c r="D728" t="s">
        <v>14521</v>
      </c>
      <c r="E728" t="s">
        <v>14522</v>
      </c>
      <c r="F728" t="s">
        <v>14523</v>
      </c>
      <c r="G728" t="s">
        <v>14524</v>
      </c>
      <c r="H728" t="s">
        <v>14525</v>
      </c>
      <c r="I728" t="s">
        <v>14526</v>
      </c>
      <c r="J728" t="s">
        <v>14527</v>
      </c>
      <c r="K728" t="s">
        <v>14528</v>
      </c>
      <c r="L728" t="s">
        <v>14529</v>
      </c>
      <c r="M728" t="s">
        <v>14530</v>
      </c>
      <c r="N728" t="s">
        <v>14531</v>
      </c>
      <c r="O728">
        <f>-825.68105605925 -82.2945372353465 -479.340450813327</f>
        <v>-1387.3160441079235</v>
      </c>
      <c r="P728">
        <f>-886.831748270649 -107.356479609327 -192.593624552332</f>
        <v>-1186.7818524323079</v>
      </c>
      <c r="Q728">
        <f>-663.788362468739 -52.7393493833051 -265.528525895809</f>
        <v>-982.05623774785317</v>
      </c>
      <c r="R728" t="s">
        <v>14532</v>
      </c>
      <c r="S728" t="s">
        <v>14533</v>
      </c>
      <c r="T728" t="s">
        <v>14534</v>
      </c>
      <c r="U728" t="s">
        <v>14535</v>
      </c>
      <c r="V728" t="s">
        <v>14536</v>
      </c>
      <c r="W728" t="s">
        <v>14537</v>
      </c>
      <c r="X728" t="s">
        <v>14538</v>
      </c>
      <c r="Y728" t="s">
        <v>14539</v>
      </c>
    </row>
    <row r="729" spans="1:25" x14ac:dyDescent="0.3">
      <c r="A729">
        <v>36400</v>
      </c>
      <c r="B729" t="s">
        <v>14540</v>
      </c>
      <c r="C729" t="s">
        <v>14541</v>
      </c>
      <c r="D729" t="s">
        <v>14542</v>
      </c>
      <c r="E729" t="s">
        <v>14543</v>
      </c>
      <c r="F729" t="s">
        <v>14544</v>
      </c>
      <c r="G729" t="s">
        <v>14545</v>
      </c>
      <c r="H729" t="s">
        <v>14546</v>
      </c>
      <c r="I729" t="s">
        <v>14547</v>
      </c>
      <c r="J729" t="s">
        <v>14548</v>
      </c>
      <c r="K729" t="s">
        <v>14549</v>
      </c>
      <c r="L729" t="s">
        <v>14550</v>
      </c>
      <c r="M729" t="s">
        <v>14551</v>
      </c>
      <c r="N729" t="s">
        <v>14552</v>
      </c>
      <c r="O729">
        <f>-822.151100507733 -87.8608192608704 -475.98234649644</f>
        <v>-1385.9942662650433</v>
      </c>
      <c r="P729">
        <f>-883.492755338927 -117.308265646341 -189.693473351496</f>
        <v>-1190.4944943367641</v>
      </c>
      <c r="Q729">
        <f>-661.122189299871 -70.0530895935938 -269.500898452774</f>
        <v>-1000.6761773462388</v>
      </c>
      <c r="R729" t="s">
        <v>14553</v>
      </c>
      <c r="S729" t="s">
        <v>14554</v>
      </c>
      <c r="T729" t="s">
        <v>14555</v>
      </c>
      <c r="U729" t="s">
        <v>14556</v>
      </c>
      <c r="V729">
        <f>-775.740875499095 -0.638388627368386 -59.3859102188893</f>
        <v>-835.76517434535265</v>
      </c>
      <c r="W729" t="s">
        <v>14557</v>
      </c>
      <c r="X729" t="s">
        <v>14558</v>
      </c>
      <c r="Y729" t="s">
        <v>14559</v>
      </c>
    </row>
    <row r="730" spans="1:25" x14ac:dyDescent="0.3">
      <c r="A730">
        <v>36450</v>
      </c>
      <c r="B730" t="s">
        <v>14560</v>
      </c>
      <c r="C730" t="s">
        <v>14561</v>
      </c>
      <c r="D730" t="s">
        <v>14562</v>
      </c>
      <c r="E730" t="s">
        <v>14563</v>
      </c>
      <c r="F730" t="s">
        <v>14564</v>
      </c>
      <c r="G730" t="s">
        <v>14565</v>
      </c>
      <c r="H730" t="s">
        <v>14566</v>
      </c>
      <c r="I730" t="s">
        <v>14567</v>
      </c>
      <c r="J730" t="s">
        <v>14568</v>
      </c>
      <c r="K730" t="s">
        <v>14569</v>
      </c>
      <c r="L730" t="s">
        <v>14570</v>
      </c>
      <c r="M730" t="s">
        <v>14571</v>
      </c>
      <c r="N730" t="s">
        <v>14572</v>
      </c>
      <c r="O730">
        <f>-819.789302372086 -90.3332144305468 -473.940632820931</f>
        <v>-1384.0631496235637</v>
      </c>
      <c r="P730">
        <f>-882.29973794038 -120.515684559167 -187.981512117666</f>
        <v>-1190.7969346172131</v>
      </c>
      <c r="Q730">
        <f>-660.465806197057 -77.2311232099805 -271.449874052745</f>
        <v>-1009.1468034597824</v>
      </c>
      <c r="R730" t="s">
        <v>14573</v>
      </c>
      <c r="S730" t="s">
        <v>14574</v>
      </c>
      <c r="T730" t="s">
        <v>14575</v>
      </c>
      <c r="U730" t="s">
        <v>14576</v>
      </c>
      <c r="V730">
        <f>-779.274265766955 -1.7638250028931 -57.9338632668266</f>
        <v>-838.97195403667467</v>
      </c>
      <c r="W730" t="s">
        <v>14577</v>
      </c>
      <c r="X730" t="s">
        <v>14578</v>
      </c>
      <c r="Y730" t="s">
        <v>14579</v>
      </c>
    </row>
    <row r="731" spans="1:25" x14ac:dyDescent="0.3">
      <c r="A731">
        <v>36500</v>
      </c>
      <c r="B731" t="s">
        <v>14580</v>
      </c>
      <c r="C731" t="s">
        <v>14581</v>
      </c>
      <c r="D731" t="s">
        <v>14582</v>
      </c>
      <c r="E731" t="s">
        <v>14583</v>
      </c>
      <c r="F731" t="s">
        <v>14584</v>
      </c>
      <c r="G731" t="s">
        <v>14585</v>
      </c>
      <c r="H731" t="s">
        <v>14586</v>
      </c>
      <c r="I731" t="s">
        <v>14587</v>
      </c>
      <c r="J731" t="s">
        <v>14588</v>
      </c>
      <c r="K731" t="s">
        <v>14589</v>
      </c>
      <c r="L731" t="s">
        <v>14590</v>
      </c>
      <c r="M731" t="s">
        <v>14591</v>
      </c>
      <c r="N731" t="s">
        <v>14592</v>
      </c>
      <c r="O731">
        <f>-816.08017738705 -94.2657442503466 -469.402340328225</f>
        <v>-1379.7482619656216</v>
      </c>
      <c r="P731">
        <f>-883.501058819869 -121.88502482237 -184.300906919902</f>
        <v>-1189.6869905621411</v>
      </c>
      <c r="Q731">
        <f>-662.808123231162 -86.2444580237247 -274.163301144551</f>
        <v>-1023.2158823994378</v>
      </c>
      <c r="R731" t="s">
        <v>14593</v>
      </c>
      <c r="S731" t="s">
        <v>14594</v>
      </c>
      <c r="T731" t="s">
        <v>14595</v>
      </c>
      <c r="U731" t="s">
        <v>14596</v>
      </c>
      <c r="V731">
        <f>-789.536403544054 -3.04021264607309 -55.3666067038514</f>
        <v>-847.94322289397849</v>
      </c>
      <c r="W731" t="s">
        <v>14597</v>
      </c>
      <c r="X731" t="s">
        <v>14598</v>
      </c>
      <c r="Y731" t="s">
        <v>14599</v>
      </c>
    </row>
    <row r="732" spans="1:25" x14ac:dyDescent="0.3">
      <c r="A732">
        <v>36550</v>
      </c>
      <c r="B732" t="s">
        <v>14600</v>
      </c>
      <c r="C732" t="s">
        <v>14601</v>
      </c>
      <c r="D732" t="s">
        <v>14602</v>
      </c>
      <c r="E732" t="s">
        <v>14603</v>
      </c>
      <c r="F732" t="s">
        <v>14604</v>
      </c>
      <c r="G732" t="s">
        <v>14605</v>
      </c>
      <c r="H732" t="s">
        <v>14606</v>
      </c>
      <c r="I732" t="s">
        <v>14607</v>
      </c>
      <c r="J732" t="s">
        <v>14608</v>
      </c>
      <c r="K732" t="s">
        <v>14609</v>
      </c>
      <c r="L732" t="s">
        <v>14610</v>
      </c>
      <c r="M732" t="s">
        <v>14611</v>
      </c>
      <c r="N732" t="s">
        <v>14612</v>
      </c>
      <c r="O732">
        <f>-814.884034476908 -95.8808934403587 -466.504859546431</f>
        <v>-1377.2697874636979</v>
      </c>
      <c r="P732">
        <f>-885.734345456889 -120.430786194905 -181.95489013421</f>
        <v>-1188.1200217860039</v>
      </c>
      <c r="Q732">
        <f>-665.270672684829 -88.6993210402561 -273.823423450465</f>
        <v>-1027.7934171755501</v>
      </c>
      <c r="R732" t="s">
        <v>14613</v>
      </c>
      <c r="S732" t="s">
        <v>14614</v>
      </c>
      <c r="T732" t="s">
        <v>14615</v>
      </c>
      <c r="U732" t="s">
        <v>14616</v>
      </c>
      <c r="V732">
        <f>-795.995172163142 -4.2013316750099 -53.9108019761594</f>
        <v>-854.1073058143113</v>
      </c>
      <c r="W732" t="s">
        <v>14617</v>
      </c>
      <c r="X732" t="s">
        <v>14618</v>
      </c>
      <c r="Y732" t="s">
        <v>14619</v>
      </c>
    </row>
    <row r="733" spans="1:25" x14ac:dyDescent="0.3">
      <c r="A733">
        <v>36600</v>
      </c>
      <c r="B733" t="s">
        <v>14620</v>
      </c>
      <c r="C733" t="s">
        <v>14621</v>
      </c>
      <c r="D733" t="s">
        <v>14622</v>
      </c>
      <c r="E733" t="s">
        <v>14623</v>
      </c>
      <c r="F733" t="s">
        <v>14624</v>
      </c>
      <c r="G733" t="s">
        <v>14625</v>
      </c>
      <c r="H733" t="s">
        <v>14626</v>
      </c>
      <c r="I733" t="s">
        <v>14627</v>
      </c>
      <c r="J733" t="s">
        <v>14628</v>
      </c>
      <c r="K733" t="s">
        <v>14629</v>
      </c>
      <c r="L733" t="s">
        <v>14630</v>
      </c>
      <c r="M733" t="s">
        <v>14631</v>
      </c>
      <c r="N733" t="s">
        <v>14632</v>
      </c>
      <c r="O733">
        <f>-816.975274932572 -99.0493882398985 -461.309942974235</f>
        <v>-1377.3346061467055</v>
      </c>
      <c r="P733">
        <f>-894.978077207949 -115.950919849926 -178.076675163053</f>
        <v>-1189.0056722209281</v>
      </c>
      <c r="Q733">
        <f>-674.253478567691 -91.4011954761354 -271.504934803694</f>
        <v>-1037.1596088475203</v>
      </c>
      <c r="R733" t="s">
        <v>14633</v>
      </c>
      <c r="S733" t="s">
        <v>14634</v>
      </c>
      <c r="T733" t="s">
        <v>14635</v>
      </c>
      <c r="U733" t="s">
        <v>14636</v>
      </c>
      <c r="V733">
        <f>-810.532415349051 -7.27440073087746 -51.8612738511607</f>
        <v>-869.66808993108918</v>
      </c>
      <c r="W733" t="s">
        <v>14637</v>
      </c>
      <c r="X733" t="s">
        <v>14638</v>
      </c>
      <c r="Y733" t="s">
        <v>14639</v>
      </c>
    </row>
    <row r="734" spans="1:25" x14ac:dyDescent="0.3">
      <c r="A734">
        <v>36650</v>
      </c>
      <c r="B734" t="s">
        <v>14640</v>
      </c>
      <c r="C734" t="s">
        <v>14641</v>
      </c>
      <c r="D734" t="s">
        <v>14642</v>
      </c>
      <c r="E734" t="s">
        <v>14643</v>
      </c>
      <c r="F734" t="s">
        <v>14644</v>
      </c>
      <c r="G734" t="s">
        <v>14645</v>
      </c>
      <c r="H734" t="s">
        <v>14646</v>
      </c>
      <c r="I734" t="s">
        <v>14647</v>
      </c>
      <c r="J734" t="s">
        <v>14648</v>
      </c>
      <c r="K734" t="s">
        <v>14649</v>
      </c>
      <c r="L734" t="s">
        <v>14650</v>
      </c>
      <c r="M734" t="s">
        <v>14651</v>
      </c>
      <c r="N734" t="s">
        <v>14652</v>
      </c>
      <c r="O734">
        <f>-819.268301376954 -103.46349518632 -459.74019196278</f>
        <v>-1382.471988526054</v>
      </c>
      <c r="P734">
        <f>-900.232944471274 -115.966949113096 -177.110339814566</f>
        <v>-1193.3102333989359</v>
      </c>
      <c r="Q734">
        <f>-678.900338026989 -94.7858695922773 -269.922661883879</f>
        <v>-1043.6088695031453</v>
      </c>
      <c r="R734" t="s">
        <v>14653</v>
      </c>
      <c r="S734" t="s">
        <v>14654</v>
      </c>
      <c r="T734" t="s">
        <v>14655</v>
      </c>
      <c r="U734" t="s">
        <v>14656</v>
      </c>
      <c r="V734">
        <f>-815.512210015882 -14.7098531952415 -51.6642817603174</f>
        <v>-881.88634497144096</v>
      </c>
      <c r="W734" t="s">
        <v>14657</v>
      </c>
      <c r="X734" t="s">
        <v>14658</v>
      </c>
      <c r="Y734" t="s">
        <v>14659</v>
      </c>
    </row>
    <row r="735" spans="1:25" x14ac:dyDescent="0.3">
      <c r="A735">
        <v>36700</v>
      </c>
      <c r="B735" t="s">
        <v>14660</v>
      </c>
      <c r="C735" t="s">
        <v>14661</v>
      </c>
      <c r="D735" t="s">
        <v>14662</v>
      </c>
      <c r="E735" t="s">
        <v>14663</v>
      </c>
      <c r="F735" t="s">
        <v>14664</v>
      </c>
      <c r="G735" t="s">
        <v>14665</v>
      </c>
      <c r="H735" t="s">
        <v>14666</v>
      </c>
      <c r="I735" t="s">
        <v>14667</v>
      </c>
      <c r="J735" t="s">
        <v>14668</v>
      </c>
      <c r="K735" t="s">
        <v>14669</v>
      </c>
      <c r="L735" t="s">
        <v>14670</v>
      </c>
      <c r="M735" t="s">
        <v>14671</v>
      </c>
      <c r="N735" t="s">
        <v>14672</v>
      </c>
      <c r="O735">
        <f>-831.247662700081 -104.892465386371 -458.172793467539</f>
        <v>-1394.3129215539911</v>
      </c>
      <c r="P735">
        <f>-916.531913806597 -108.01682057864 -176.555898217918</f>
        <v>-1201.1046326031549</v>
      </c>
      <c r="Q735">
        <f>-693.5805466084 -94.0623956671363 -266.826856840507</f>
        <v>-1054.4697991160433</v>
      </c>
      <c r="R735" t="s">
        <v>14673</v>
      </c>
      <c r="S735" t="s">
        <v>14674</v>
      </c>
      <c r="T735" t="s">
        <v>14675</v>
      </c>
      <c r="U735" t="s">
        <v>14676</v>
      </c>
      <c r="V735">
        <f>-833.597358603758 -12.4650690678604 -50.2862445044426</f>
        <v>-896.34867217606109</v>
      </c>
      <c r="W735" t="s">
        <v>14677</v>
      </c>
      <c r="X735" t="s">
        <v>14678</v>
      </c>
      <c r="Y735" t="s">
        <v>14679</v>
      </c>
    </row>
    <row r="736" spans="1:25" x14ac:dyDescent="0.3">
      <c r="A736">
        <v>36750</v>
      </c>
      <c r="B736" t="s">
        <v>14680</v>
      </c>
      <c r="C736" t="s">
        <v>14681</v>
      </c>
      <c r="D736" t="s">
        <v>14682</v>
      </c>
      <c r="E736" t="s">
        <v>14683</v>
      </c>
      <c r="F736" t="s">
        <v>14684</v>
      </c>
      <c r="G736" t="s">
        <v>14685</v>
      </c>
      <c r="H736" t="s">
        <v>14686</v>
      </c>
      <c r="I736" t="s">
        <v>14687</v>
      </c>
      <c r="J736" t="s">
        <v>14688</v>
      </c>
      <c r="K736" t="s">
        <v>14689</v>
      </c>
      <c r="L736" t="s">
        <v>14690</v>
      </c>
      <c r="M736" t="s">
        <v>14691</v>
      </c>
      <c r="N736" t="s">
        <v>14692</v>
      </c>
      <c r="O736">
        <f>-843.826064204859 -96.5023475744904 -458.38393328141</f>
        <v>-1398.7123450607594</v>
      </c>
      <c r="P736">
        <f>-930.187215583414 -95.6174473614929 -177.079465142683</f>
        <v>-1202.8841280875897</v>
      </c>
      <c r="Q736">
        <f>-706.699643002573 -84.8562134647811 -266.457076506276</f>
        <v>-1058.0129329736301</v>
      </c>
      <c r="R736" t="s">
        <v>14693</v>
      </c>
      <c r="S736" t="s">
        <v>14694</v>
      </c>
      <c r="T736" t="s">
        <v>14695</v>
      </c>
      <c r="U736" t="s">
        <v>14696</v>
      </c>
      <c r="V736" t="s">
        <v>14697</v>
      </c>
      <c r="W736" t="s">
        <v>14698</v>
      </c>
      <c r="X736" t="s">
        <v>14699</v>
      </c>
      <c r="Y736" t="s">
        <v>14700</v>
      </c>
    </row>
    <row r="737" spans="1:25" x14ac:dyDescent="0.3">
      <c r="A737">
        <v>36800</v>
      </c>
      <c r="B737" t="s">
        <v>14701</v>
      </c>
      <c r="C737" t="s">
        <v>14702</v>
      </c>
      <c r="D737" t="s">
        <v>14703</v>
      </c>
      <c r="E737" t="s">
        <v>14704</v>
      </c>
      <c r="F737" t="s">
        <v>14705</v>
      </c>
      <c r="G737" t="s">
        <v>14706</v>
      </c>
      <c r="H737" t="s">
        <v>14707</v>
      </c>
      <c r="I737" t="s">
        <v>14708</v>
      </c>
      <c r="J737" t="s">
        <v>14709</v>
      </c>
      <c r="K737" t="s">
        <v>14710</v>
      </c>
      <c r="L737" t="s">
        <v>14711</v>
      </c>
      <c r="M737" t="s">
        <v>14712</v>
      </c>
      <c r="N737" t="s">
        <v>14713</v>
      </c>
      <c r="O737">
        <f>-854.463108137732 -90.8556470147512 -459.389991427081</f>
        <v>-1404.7087465795641</v>
      </c>
      <c r="P737">
        <f>-941.085611248884 -86.7139052773225 -178.19499566279</f>
        <v>-1205.9945121889964</v>
      </c>
      <c r="Q737">
        <f>-717.165770286151 -79.5674037500489 -266.85056383442</f>
        <v>-1063.5837378706199</v>
      </c>
      <c r="R737" t="s">
        <v>14714</v>
      </c>
      <c r="S737" t="s">
        <v>14715</v>
      </c>
      <c r="T737" t="s">
        <v>14716</v>
      </c>
      <c r="U737" t="s">
        <v>14717</v>
      </c>
      <c r="V737" t="s">
        <v>14718</v>
      </c>
      <c r="W737" t="s">
        <v>14719</v>
      </c>
      <c r="X737" t="s">
        <v>14720</v>
      </c>
      <c r="Y737" t="s">
        <v>14721</v>
      </c>
    </row>
    <row r="738" spans="1:25" x14ac:dyDescent="0.3">
      <c r="A738">
        <v>36850</v>
      </c>
      <c r="B738" t="s">
        <v>14722</v>
      </c>
      <c r="C738" t="s">
        <v>14723</v>
      </c>
      <c r="D738" t="s">
        <v>14724</v>
      </c>
      <c r="E738" t="s">
        <v>14725</v>
      </c>
      <c r="F738" t="s">
        <v>14726</v>
      </c>
      <c r="G738" t="s">
        <v>14727</v>
      </c>
      <c r="H738" t="s">
        <v>14728</v>
      </c>
      <c r="I738" t="s">
        <v>14729</v>
      </c>
      <c r="J738" t="s">
        <v>14730</v>
      </c>
      <c r="K738" t="s">
        <v>14731</v>
      </c>
      <c r="L738" t="s">
        <v>14732</v>
      </c>
      <c r="M738" t="s">
        <v>14733</v>
      </c>
      <c r="N738" t="s">
        <v>14734</v>
      </c>
      <c r="O738">
        <f>-865.410822244629 -92.4251221375803 -461.510260575326</f>
        <v>-1419.3462049575353</v>
      </c>
      <c r="P738">
        <f>-950.44470479095 -85.112594601716 -179.895311274879</f>
        <v>-1215.4526106675451</v>
      </c>
      <c r="Q738">
        <f>-726.586919576268 -83.7311094151514 -268.982836661353</f>
        <v>-1079.3008656527725</v>
      </c>
      <c r="R738" t="s">
        <v>14735</v>
      </c>
      <c r="S738" t="s">
        <v>14736</v>
      </c>
      <c r="T738" t="s">
        <v>14737</v>
      </c>
      <c r="U738" t="s">
        <v>14738</v>
      </c>
      <c r="V738" t="s">
        <v>14739</v>
      </c>
      <c r="W738" t="s">
        <v>14740</v>
      </c>
      <c r="X738" t="s">
        <v>14741</v>
      </c>
      <c r="Y738" t="s">
        <v>14742</v>
      </c>
    </row>
    <row r="739" spans="1:25" x14ac:dyDescent="0.3">
      <c r="A739">
        <v>36900</v>
      </c>
      <c r="B739" t="s">
        <v>14743</v>
      </c>
      <c r="C739" t="s">
        <v>14744</v>
      </c>
      <c r="D739" t="s">
        <v>14745</v>
      </c>
      <c r="E739" t="s">
        <v>14746</v>
      </c>
      <c r="F739" t="s">
        <v>14747</v>
      </c>
      <c r="G739" t="s">
        <v>14748</v>
      </c>
      <c r="H739" t="s">
        <v>14749</v>
      </c>
      <c r="I739" t="s">
        <v>14750</v>
      </c>
      <c r="J739" t="s">
        <v>14751</v>
      </c>
      <c r="K739" t="s">
        <v>14752</v>
      </c>
      <c r="L739" t="s">
        <v>14753</v>
      </c>
      <c r="M739" t="s">
        <v>14754</v>
      </c>
      <c r="N739" t="s">
        <v>14755</v>
      </c>
      <c r="O739">
        <f>-870.091348347656 -103.290393919676 -462.036556285305</f>
        <v>-1435.418298552637</v>
      </c>
      <c r="P739">
        <f>-950.448088129284 -98.8368272087564 -178.992011894205</f>
        <v>-1228.2769272322453</v>
      </c>
      <c r="Q739">
        <f>-727.574229573539 -97.8017122807985 -270.518566665853</f>
        <v>-1095.8945085201904</v>
      </c>
      <c r="R739" t="s">
        <v>14756</v>
      </c>
      <c r="S739" t="s">
        <v>14757</v>
      </c>
      <c r="T739" t="s">
        <v>14758</v>
      </c>
      <c r="U739" t="s">
        <v>14759</v>
      </c>
      <c r="V739">
        <f>-862.624875164337 -5.26375957151959 -49.5099412241663</f>
        <v>-917.39857596002287</v>
      </c>
      <c r="W739" t="s">
        <v>14760</v>
      </c>
      <c r="X739" t="s">
        <v>14761</v>
      </c>
      <c r="Y739" t="s">
        <v>14762</v>
      </c>
    </row>
    <row r="740" spans="1:25" x14ac:dyDescent="0.3">
      <c r="A740">
        <v>36950</v>
      </c>
      <c r="B740" t="s">
        <v>14763</v>
      </c>
      <c r="C740" t="s">
        <v>14764</v>
      </c>
      <c r="D740" t="s">
        <v>14765</v>
      </c>
      <c r="E740" t="s">
        <v>14766</v>
      </c>
      <c r="F740" t="s">
        <v>14767</v>
      </c>
      <c r="G740" t="s">
        <v>14768</v>
      </c>
      <c r="H740" t="s">
        <v>14769</v>
      </c>
      <c r="I740" t="s">
        <v>14770</v>
      </c>
      <c r="J740" t="s">
        <v>14771</v>
      </c>
      <c r="K740" t="s">
        <v>14772</v>
      </c>
      <c r="L740" t="s">
        <v>14773</v>
      </c>
      <c r="M740" t="s">
        <v>14774</v>
      </c>
      <c r="N740" t="s">
        <v>14775</v>
      </c>
      <c r="O740">
        <f>-870.702769052269 -109.293233773294 -461.814034200857</f>
        <v>-1441.8100370264201</v>
      </c>
      <c r="P740">
        <f>-948.025338550089 -108.759514487825 -177.891195550157</f>
        <v>-1234.6760485880709</v>
      </c>
      <c r="Q740">
        <f>-725.704996432735 -105.02632569131 -270.684253888627</f>
        <v>-1101.4155760126721</v>
      </c>
      <c r="R740" t="s">
        <v>14776</v>
      </c>
      <c r="S740" t="s">
        <v>14777</v>
      </c>
      <c r="T740" t="s">
        <v>14778</v>
      </c>
      <c r="U740" t="s">
        <v>14779</v>
      </c>
      <c r="V740">
        <f>-860.087283207673 -10.211009085604 -48.6813998225987</f>
        <v>-918.97969211587565</v>
      </c>
      <c r="W740" t="s">
        <v>14780</v>
      </c>
      <c r="X740" t="s">
        <v>14781</v>
      </c>
      <c r="Y740" t="s">
        <v>14782</v>
      </c>
    </row>
    <row r="741" spans="1:25" x14ac:dyDescent="0.3">
      <c r="A741">
        <v>37000</v>
      </c>
      <c r="B741" t="s">
        <v>14783</v>
      </c>
      <c r="C741" t="s">
        <v>14784</v>
      </c>
      <c r="D741" t="s">
        <v>14785</v>
      </c>
      <c r="E741" t="s">
        <v>14786</v>
      </c>
      <c r="F741" t="s">
        <v>14787</v>
      </c>
      <c r="G741" t="s">
        <v>14788</v>
      </c>
      <c r="H741" t="s">
        <v>14789</v>
      </c>
      <c r="I741" t="s">
        <v>14790</v>
      </c>
      <c r="J741" t="s">
        <v>14791</v>
      </c>
      <c r="K741" t="s">
        <v>14792</v>
      </c>
      <c r="L741" t="s">
        <v>14793</v>
      </c>
      <c r="M741" t="s">
        <v>14794</v>
      </c>
      <c r="N741" t="s">
        <v>14795</v>
      </c>
      <c r="O741">
        <f>-866.843689872239 -122.902718990821 -459.175829441555</f>
        <v>-1448.9222383046149</v>
      </c>
      <c r="P741">
        <f>-938.21166301915 -131.034352314855 -173.813523618025</f>
        <v>-1243.0595389520299</v>
      </c>
      <c r="Q741">
        <f>-716.460757580422 -119.893484770806 -267.372929837488</f>
        <v>-1103.7271721887159</v>
      </c>
      <c r="R741" t="s">
        <v>14796</v>
      </c>
      <c r="S741" t="s">
        <v>14797</v>
      </c>
      <c r="T741" t="s">
        <v>14798</v>
      </c>
      <c r="U741" t="s">
        <v>14799</v>
      </c>
      <c r="V741">
        <f>-858.622983559159 -28.5638064449918 -45.0533309128338</f>
        <v>-932.24012091698455</v>
      </c>
      <c r="W741" t="s">
        <v>14800</v>
      </c>
      <c r="X741" t="s">
        <v>14801</v>
      </c>
      <c r="Y741" t="s">
        <v>14802</v>
      </c>
    </row>
    <row r="742" spans="1:25" x14ac:dyDescent="0.3">
      <c r="A742">
        <v>37050</v>
      </c>
      <c r="B742" t="s">
        <v>14803</v>
      </c>
      <c r="C742" t="s">
        <v>14804</v>
      </c>
      <c r="D742" t="s">
        <v>14805</v>
      </c>
      <c r="E742" t="s">
        <v>14806</v>
      </c>
      <c r="F742" t="s">
        <v>14807</v>
      </c>
      <c r="G742" t="s">
        <v>14808</v>
      </c>
      <c r="H742" t="s">
        <v>14809</v>
      </c>
      <c r="I742" t="s">
        <v>14810</v>
      </c>
      <c r="J742" t="s">
        <v>14811</v>
      </c>
      <c r="K742" t="s">
        <v>14812</v>
      </c>
      <c r="L742" t="s">
        <v>14813</v>
      </c>
      <c r="M742" t="s">
        <v>14814</v>
      </c>
      <c r="N742" t="s">
        <v>14815</v>
      </c>
      <c r="O742">
        <f>-866.231798830125 -123.767100483853 -459.20812043628</f>
        <v>-1449.207019750258</v>
      </c>
      <c r="P742">
        <f>-934.848629457035 -135.735027200536 -173.306542710341</f>
        <v>-1243.8901993679121</v>
      </c>
      <c r="Q742">
        <f>-713.165395476754 -120.803704544375 -266.497816158655</f>
        <v>-1100.466916179784</v>
      </c>
      <c r="R742" t="s">
        <v>14816</v>
      </c>
      <c r="S742" t="s">
        <v>14817</v>
      </c>
      <c r="T742" t="s">
        <v>14818</v>
      </c>
      <c r="U742" t="s">
        <v>14819</v>
      </c>
      <c r="V742">
        <f>-865.561283890461 -19.5800885083463 -47.1692885104306</f>
        <v>-932.31066090923798</v>
      </c>
      <c r="W742" t="s">
        <v>14820</v>
      </c>
      <c r="X742" t="s">
        <v>14821</v>
      </c>
      <c r="Y742" t="s">
        <v>14822</v>
      </c>
    </row>
    <row r="743" spans="1:25" x14ac:dyDescent="0.3">
      <c r="A743">
        <v>37100</v>
      </c>
      <c r="B743" t="s">
        <v>14823</v>
      </c>
      <c r="C743" t="s">
        <v>14824</v>
      </c>
      <c r="D743" t="s">
        <v>14825</v>
      </c>
      <c r="E743" t="s">
        <v>14826</v>
      </c>
      <c r="F743" t="s">
        <v>14827</v>
      </c>
      <c r="G743" t="s">
        <v>14828</v>
      </c>
      <c r="H743" t="s">
        <v>14829</v>
      </c>
      <c r="I743" t="s">
        <v>14830</v>
      </c>
      <c r="J743" t="s">
        <v>14831</v>
      </c>
      <c r="K743" t="s">
        <v>14832</v>
      </c>
      <c r="L743" t="s">
        <v>14833</v>
      </c>
      <c r="M743" t="s">
        <v>14834</v>
      </c>
      <c r="N743" t="s">
        <v>14835</v>
      </c>
      <c r="O743">
        <f>-871.736059520451 -121.000552959477 -460.576257038097</f>
        <v>-1453.3128695180251</v>
      </c>
      <c r="P743">
        <f>-933.113806146476 -137.58329462414 -173.262783589971</f>
        <v>-1243.959884360587</v>
      </c>
      <c r="Q743">
        <f>-711.124776168618 -116.538014963968 -264.525554925452</f>
        <v>-1092.188346058038</v>
      </c>
      <c r="R743" t="s">
        <v>14836</v>
      </c>
      <c r="S743" t="s">
        <v>14837</v>
      </c>
      <c r="T743" t="s">
        <v>14838</v>
      </c>
      <c r="U743" t="s">
        <v>14839</v>
      </c>
      <c r="V743">
        <f>-866.592572838457 -22.3764151682794 -46.3637905515113</f>
        <v>-935.33277855824781</v>
      </c>
      <c r="W743" t="s">
        <v>14840</v>
      </c>
      <c r="X743" t="s">
        <v>14841</v>
      </c>
      <c r="Y743" t="s">
        <v>14842</v>
      </c>
    </row>
    <row r="744" spans="1:25" x14ac:dyDescent="0.3">
      <c r="A744">
        <v>37150</v>
      </c>
      <c r="B744" t="s">
        <v>14843</v>
      </c>
      <c r="C744" t="s">
        <v>14844</v>
      </c>
      <c r="D744" t="s">
        <v>14845</v>
      </c>
      <c r="E744" t="s">
        <v>14846</v>
      </c>
      <c r="F744" t="s">
        <v>14847</v>
      </c>
      <c r="G744" t="s">
        <v>14848</v>
      </c>
      <c r="H744" t="s">
        <v>14849</v>
      </c>
      <c r="I744" t="s">
        <v>14850</v>
      </c>
      <c r="J744" t="s">
        <v>14851</v>
      </c>
      <c r="K744" t="s">
        <v>14852</v>
      </c>
      <c r="L744" t="s">
        <v>14853</v>
      </c>
      <c r="M744" t="s">
        <v>14854</v>
      </c>
      <c r="N744" t="s">
        <v>14855</v>
      </c>
      <c r="O744">
        <f>-877.232130182462 -118.400694894644 -462.819826182293</f>
        <v>-1458.4526512593989</v>
      </c>
      <c r="P744">
        <f>-935.679213335054 -134.481368099908 -174.867522765716</f>
        <v>-1245.0281042006782</v>
      </c>
      <c r="Q744">
        <f>-712.98990421677 -112.679005169929 -264.225922349362</f>
        <v>-1089.894831736061</v>
      </c>
      <c r="R744" t="s">
        <v>14856</v>
      </c>
      <c r="S744" t="s">
        <v>14857</v>
      </c>
      <c r="T744" t="s">
        <v>14858</v>
      </c>
      <c r="U744" t="s">
        <v>14859</v>
      </c>
      <c r="V744">
        <f>-866.918881588806 -22.3073552851479 -48.4201578169395</f>
        <v>-937.64639469089343</v>
      </c>
      <c r="W744" t="s">
        <v>14860</v>
      </c>
      <c r="X744" t="s">
        <v>14861</v>
      </c>
      <c r="Y744" t="s">
        <v>14862</v>
      </c>
    </row>
    <row r="745" spans="1:25" x14ac:dyDescent="0.3">
      <c r="A745">
        <v>37200</v>
      </c>
      <c r="B745" t="s">
        <v>14863</v>
      </c>
      <c r="C745" t="s">
        <v>14864</v>
      </c>
      <c r="D745" t="s">
        <v>14865</v>
      </c>
      <c r="E745" t="s">
        <v>14866</v>
      </c>
      <c r="F745" t="s">
        <v>14867</v>
      </c>
      <c r="G745" t="s">
        <v>14868</v>
      </c>
      <c r="H745" t="s">
        <v>14869</v>
      </c>
      <c r="I745" t="s">
        <v>14870</v>
      </c>
      <c r="J745" t="s">
        <v>14871</v>
      </c>
      <c r="K745" t="s">
        <v>14872</v>
      </c>
      <c r="L745" t="s">
        <v>14873</v>
      </c>
      <c r="M745" t="s">
        <v>14874</v>
      </c>
      <c r="N745" t="s">
        <v>14875</v>
      </c>
      <c r="O745">
        <f>-883.140662757683 -97.0395418274004 -469.432179362671</f>
        <v>-1449.6123839477543</v>
      </c>
      <c r="P745">
        <f>-939.887090138982 -107.982072746084 -180.899025127111</f>
        <v>-1228.768188012177</v>
      </c>
      <c r="Q745">
        <f>-715.6574000258 -87.2136113444765 -266.576711819048</f>
        <v>-1069.4477231893245</v>
      </c>
      <c r="R745" t="s">
        <v>14876</v>
      </c>
      <c r="S745" t="s">
        <v>14877</v>
      </c>
      <c r="T745" t="s">
        <v>14878</v>
      </c>
      <c r="U745" t="s">
        <v>14879</v>
      </c>
      <c r="V745">
        <f>-861.536586956306 -3.28189370765949 -53.2981340866093</f>
        <v>-918.11661475057474</v>
      </c>
      <c r="W745" t="s">
        <v>14880</v>
      </c>
      <c r="X745" t="s">
        <v>14881</v>
      </c>
      <c r="Y745" t="s">
        <v>14882</v>
      </c>
    </row>
    <row r="746" spans="1:25" x14ac:dyDescent="0.3">
      <c r="A746">
        <v>37250</v>
      </c>
      <c r="B746" t="s">
        <v>14883</v>
      </c>
      <c r="C746" t="s">
        <v>14884</v>
      </c>
      <c r="D746" t="s">
        <v>14885</v>
      </c>
      <c r="E746" t="s">
        <v>14886</v>
      </c>
      <c r="F746" t="s">
        <v>14887</v>
      </c>
      <c r="G746" t="s">
        <v>14888</v>
      </c>
      <c r="H746" t="s">
        <v>14889</v>
      </c>
      <c r="I746" t="s">
        <v>14890</v>
      </c>
      <c r="J746" t="s">
        <v>14891</v>
      </c>
      <c r="K746" t="s">
        <v>14892</v>
      </c>
      <c r="L746" t="s">
        <v>14893</v>
      </c>
      <c r="M746" t="s">
        <v>14894</v>
      </c>
      <c r="N746" t="s">
        <v>14895</v>
      </c>
      <c r="O746">
        <f>-889.969715064905 -89.4532375599808 -472.102171801496</f>
        <v>-1451.5251244263818</v>
      </c>
      <c r="P746">
        <f>-946.480377712412 -98.6105872477308 -183.460778660333</f>
        <v>-1228.5517436204759</v>
      </c>
      <c r="Q746">
        <f>-721.462901198264 -79.0537426177107 -267.339007295375</f>
        <v>-1067.8556511113497</v>
      </c>
      <c r="R746" t="s">
        <v>14896</v>
      </c>
      <c r="S746" t="s">
        <v>14897</v>
      </c>
      <c r="T746" t="s">
        <v>14898</v>
      </c>
      <c r="U746" t="s">
        <v>14899</v>
      </c>
      <c r="V746" t="s">
        <v>14900</v>
      </c>
      <c r="W746" t="s">
        <v>14901</v>
      </c>
      <c r="X746" t="s">
        <v>14902</v>
      </c>
      <c r="Y746" t="s">
        <v>14903</v>
      </c>
    </row>
    <row r="747" spans="1:25" x14ac:dyDescent="0.3">
      <c r="A747">
        <v>37300</v>
      </c>
      <c r="B747" t="s">
        <v>14904</v>
      </c>
      <c r="C747" t="s">
        <v>14905</v>
      </c>
      <c r="D747" t="s">
        <v>14906</v>
      </c>
      <c r="E747" t="s">
        <v>14907</v>
      </c>
      <c r="F747" t="s">
        <v>14908</v>
      </c>
      <c r="G747" t="s">
        <v>14909</v>
      </c>
      <c r="H747" t="s">
        <v>14910</v>
      </c>
      <c r="I747" t="s">
        <v>14911</v>
      </c>
      <c r="J747" t="s">
        <v>14912</v>
      </c>
      <c r="K747" t="s">
        <v>14913</v>
      </c>
      <c r="L747" t="s">
        <v>14914</v>
      </c>
      <c r="M747" t="s">
        <v>14915</v>
      </c>
      <c r="N747" t="s">
        <v>14916</v>
      </c>
      <c r="O747">
        <f>-899.996122856053 -73.103554562862 -476.776123850089</f>
        <v>-1449.8758012690041</v>
      </c>
      <c r="P747">
        <f>-954.673934982753 -81.8765584373889 -187.770016138588</f>
        <v>-1224.32050955873</v>
      </c>
      <c r="Q747">
        <f>-728.517592094557 -65.1674591461474 -269.163655999673</f>
        <v>-1062.8487072403773</v>
      </c>
      <c r="R747" t="s">
        <v>14917</v>
      </c>
      <c r="S747" t="s">
        <v>14918</v>
      </c>
      <c r="T747" t="s">
        <v>14919</v>
      </c>
      <c r="U747" t="s">
        <v>14920</v>
      </c>
      <c r="V747" t="s">
        <v>14921</v>
      </c>
      <c r="W747" t="s">
        <v>14922</v>
      </c>
      <c r="X747" t="s">
        <v>14923</v>
      </c>
      <c r="Y747" t="s">
        <v>14924</v>
      </c>
    </row>
    <row r="748" spans="1:25" x14ac:dyDescent="0.3">
      <c r="A748">
        <v>37350</v>
      </c>
      <c r="B748" t="s">
        <v>14925</v>
      </c>
      <c r="C748" t="s">
        <v>14926</v>
      </c>
      <c r="D748" t="s">
        <v>14927</v>
      </c>
      <c r="E748" t="s">
        <v>14928</v>
      </c>
      <c r="F748" t="s">
        <v>14929</v>
      </c>
      <c r="G748" t="s">
        <v>14930</v>
      </c>
      <c r="H748" t="s">
        <v>14931</v>
      </c>
      <c r="I748" t="s">
        <v>14932</v>
      </c>
      <c r="J748" t="s">
        <v>14933</v>
      </c>
      <c r="K748" t="s">
        <v>14934</v>
      </c>
      <c r="L748" t="s">
        <v>14935</v>
      </c>
      <c r="M748" t="s">
        <v>14936</v>
      </c>
      <c r="N748" t="s">
        <v>14937</v>
      </c>
      <c r="O748">
        <f>-904.725564696428 -65.1168833655574 -478.551439903635</f>
        <v>-1448.3938879656205</v>
      </c>
      <c r="P748">
        <f>-957.669470085146 -74.9823609720904 -189.257790867354</f>
        <v>-1221.9096219245905</v>
      </c>
      <c r="Q748">
        <f>-731.272241649435 -59.4375711142106 -270.211976587852</f>
        <v>-1060.9217893514976</v>
      </c>
      <c r="R748" t="s">
        <v>14938</v>
      </c>
      <c r="S748" t="s">
        <v>14939</v>
      </c>
      <c r="T748" t="s">
        <v>14940</v>
      </c>
      <c r="U748" t="s">
        <v>14941</v>
      </c>
      <c r="V748" t="s">
        <v>14942</v>
      </c>
      <c r="W748" t="s">
        <v>14943</v>
      </c>
      <c r="X748" t="s">
        <v>14944</v>
      </c>
      <c r="Y748" t="s">
        <v>14945</v>
      </c>
    </row>
    <row r="749" spans="1:25" x14ac:dyDescent="0.3">
      <c r="A749">
        <v>37400</v>
      </c>
      <c r="B749" t="s">
        <v>14946</v>
      </c>
      <c r="C749" t="s">
        <v>14947</v>
      </c>
      <c r="D749" t="s">
        <v>14948</v>
      </c>
      <c r="E749" t="s">
        <v>14949</v>
      </c>
      <c r="F749" t="s">
        <v>14950</v>
      </c>
      <c r="G749" t="s">
        <v>14951</v>
      </c>
      <c r="H749" t="s">
        <v>14952</v>
      </c>
      <c r="I749" t="s">
        <v>14953</v>
      </c>
      <c r="J749" t="s">
        <v>14954</v>
      </c>
      <c r="K749" t="s">
        <v>14955</v>
      </c>
      <c r="L749" t="s">
        <v>14956</v>
      </c>
      <c r="M749" t="s">
        <v>14957</v>
      </c>
      <c r="N749" t="s">
        <v>14958</v>
      </c>
      <c r="O749">
        <f>-911.894979622754 -49.9064209191245 -481.804724256198</f>
        <v>-1443.6061247980765</v>
      </c>
      <c r="P749">
        <f>-959.73969706104 -62.1601046936428 -191.715326495614</f>
        <v>-1213.6151282502967</v>
      </c>
      <c r="Q749">
        <f>-733.487581896337 -49.0162718949782 -273.495918687661</f>
        <v>-1055.9997724789762</v>
      </c>
      <c r="R749" t="s">
        <v>14959</v>
      </c>
      <c r="S749" t="s">
        <v>14960</v>
      </c>
      <c r="T749" t="s">
        <v>14961</v>
      </c>
      <c r="U749" t="s">
        <v>14962</v>
      </c>
      <c r="V749" t="s">
        <v>14963</v>
      </c>
      <c r="W749" t="s">
        <v>14964</v>
      </c>
      <c r="X749" t="s">
        <v>14965</v>
      </c>
      <c r="Y749" t="s">
        <v>14966</v>
      </c>
    </row>
    <row r="750" spans="1:25" x14ac:dyDescent="0.3">
      <c r="A750">
        <v>37450</v>
      </c>
      <c r="B750" t="s">
        <v>14967</v>
      </c>
      <c r="C750" t="s">
        <v>14968</v>
      </c>
      <c r="D750" t="s">
        <v>14969</v>
      </c>
      <c r="E750" t="s">
        <v>14970</v>
      </c>
      <c r="F750" t="s">
        <v>14971</v>
      </c>
      <c r="G750" t="s">
        <v>14972</v>
      </c>
      <c r="H750" t="s">
        <v>14973</v>
      </c>
      <c r="I750" t="s">
        <v>14974</v>
      </c>
      <c r="J750" t="s">
        <v>14975</v>
      </c>
      <c r="K750" t="s">
        <v>14976</v>
      </c>
      <c r="L750" t="s">
        <v>14977</v>
      </c>
      <c r="M750" t="s">
        <v>14978</v>
      </c>
      <c r="N750" t="s">
        <v>14979</v>
      </c>
      <c r="O750">
        <f>-913.812868059329 -43.2906126602877 -484.137940321143</f>
        <v>-1441.2414210407596</v>
      </c>
      <c r="P750">
        <f>-959.149318067505 -55.0013000527561 -193.623575667987</f>
        <v>-1207.7741937882481</v>
      </c>
      <c r="Q750">
        <f>-733.273520432293 -42.7382146707082 -276.57275746072</f>
        <v>-1052.5844925637211</v>
      </c>
      <c r="R750" t="s">
        <v>14980</v>
      </c>
      <c r="S750" t="s">
        <v>14981</v>
      </c>
      <c r="T750" t="s">
        <v>14982</v>
      </c>
      <c r="U750" t="s">
        <v>14983</v>
      </c>
      <c r="V750" t="s">
        <v>14984</v>
      </c>
      <c r="W750" t="s">
        <v>14985</v>
      </c>
      <c r="X750" t="s">
        <v>14986</v>
      </c>
      <c r="Y750" t="s">
        <v>14987</v>
      </c>
    </row>
    <row r="751" spans="1:25" x14ac:dyDescent="0.3">
      <c r="A751">
        <v>37500</v>
      </c>
      <c r="B751" t="s">
        <v>14988</v>
      </c>
      <c r="C751" t="s">
        <v>14989</v>
      </c>
      <c r="D751" t="s">
        <v>14990</v>
      </c>
      <c r="E751" t="s">
        <v>14991</v>
      </c>
      <c r="F751" t="s">
        <v>14992</v>
      </c>
      <c r="G751" t="s">
        <v>14993</v>
      </c>
      <c r="H751" t="s">
        <v>14994</v>
      </c>
      <c r="I751" t="s">
        <v>14995</v>
      </c>
      <c r="J751" t="s">
        <v>14996</v>
      </c>
      <c r="K751" t="s">
        <v>14997</v>
      </c>
      <c r="L751" t="s">
        <v>14998</v>
      </c>
      <c r="M751" t="s">
        <v>14999</v>
      </c>
      <c r="N751" t="s">
        <v>15000</v>
      </c>
      <c r="O751">
        <f>-922.396241875141 -28.6445495570788 -487.170303339585</f>
        <v>-1438.2110947718047</v>
      </c>
      <c r="P751">
        <f>-963.363258627114 -39.2665766677258 -195.965752977505</f>
        <v>-1198.5955882723447</v>
      </c>
      <c r="Q751">
        <f>-738.723291304436 -26.2963856842716 -282.102011740674</f>
        <v>-1047.1216887293817</v>
      </c>
      <c r="R751" t="s">
        <v>15001</v>
      </c>
      <c r="S751" t="s">
        <v>15002</v>
      </c>
      <c r="T751" t="s">
        <v>15003</v>
      </c>
      <c r="U751" t="s">
        <v>15004</v>
      </c>
      <c r="V751" t="s">
        <v>15005</v>
      </c>
      <c r="W751" t="s">
        <v>15006</v>
      </c>
      <c r="X751" t="s">
        <v>15007</v>
      </c>
      <c r="Y751" t="s">
        <v>15008</v>
      </c>
    </row>
    <row r="752" spans="1:25" x14ac:dyDescent="0.3">
      <c r="A752">
        <v>37550</v>
      </c>
      <c r="B752" t="s">
        <v>15009</v>
      </c>
      <c r="C752" t="s">
        <v>15010</v>
      </c>
      <c r="D752" t="s">
        <v>15011</v>
      </c>
      <c r="E752" t="s">
        <v>15012</v>
      </c>
      <c r="F752" t="s">
        <v>15013</v>
      </c>
      <c r="G752" t="s">
        <v>15014</v>
      </c>
      <c r="H752" t="s">
        <v>15015</v>
      </c>
      <c r="I752" t="s">
        <v>15016</v>
      </c>
      <c r="J752" t="s">
        <v>15017</v>
      </c>
      <c r="K752" t="s">
        <v>15018</v>
      </c>
      <c r="L752" t="s">
        <v>15019</v>
      </c>
      <c r="M752" t="s">
        <v>15020</v>
      </c>
      <c r="N752" t="s">
        <v>15021</v>
      </c>
      <c r="O752">
        <f>-926.493730962629 -22.9952350552003 -488.252940180102</f>
        <v>-1437.7419061979313</v>
      </c>
      <c r="P752">
        <f>-965.400513730663 -34.5406267916733 -196.801182276815</f>
        <v>-1196.7423227991512</v>
      </c>
      <c r="Q752">
        <f>-741.351897120009 -19.8242494760675 -284.188792859857</f>
        <v>-1045.3649394559334</v>
      </c>
      <c r="R752" t="s">
        <v>15022</v>
      </c>
      <c r="S752" t="s">
        <v>15023</v>
      </c>
      <c r="T752" t="s">
        <v>15024</v>
      </c>
      <c r="U752" t="s">
        <v>15025</v>
      </c>
      <c r="V752" t="s">
        <v>15026</v>
      </c>
      <c r="W752" t="s">
        <v>15027</v>
      </c>
      <c r="X752" t="s">
        <v>15028</v>
      </c>
      <c r="Y752" t="s">
        <v>15029</v>
      </c>
    </row>
    <row r="753" spans="1:25" x14ac:dyDescent="0.3">
      <c r="A753">
        <v>37600</v>
      </c>
      <c r="B753" t="s">
        <v>15030</v>
      </c>
      <c r="C753" t="s">
        <v>15031</v>
      </c>
      <c r="D753" t="s">
        <v>15032</v>
      </c>
      <c r="E753" t="s">
        <v>15033</v>
      </c>
      <c r="F753" t="s">
        <v>15034</v>
      </c>
      <c r="G753" t="s">
        <v>15035</v>
      </c>
      <c r="H753" t="s">
        <v>15036</v>
      </c>
      <c r="I753" t="s">
        <v>15037</v>
      </c>
      <c r="J753" t="s">
        <v>15038</v>
      </c>
      <c r="K753" t="s">
        <v>15039</v>
      </c>
      <c r="L753" t="s">
        <v>15040</v>
      </c>
      <c r="M753" t="s">
        <v>15041</v>
      </c>
      <c r="N753" t="s">
        <v>15042</v>
      </c>
      <c r="O753">
        <f>-932.287942536193 -13.5393222644784 -490.143600974419</f>
        <v>-1435.9708657750903</v>
      </c>
      <c r="P753">
        <f>-967.040537452052 -28.5339218953582 -198.323942048993</f>
        <v>-1193.8984013964032</v>
      </c>
      <c r="Q753">
        <f>-743.875524540221 -9.37757208773883 -287.10019286189</f>
        <v>-1040.3532894898499</v>
      </c>
      <c r="R753" t="s">
        <v>15043</v>
      </c>
      <c r="S753" t="s">
        <v>15044</v>
      </c>
      <c r="T753" t="s">
        <v>15045</v>
      </c>
      <c r="U753" t="s">
        <v>15046</v>
      </c>
      <c r="V753" t="s">
        <v>15047</v>
      </c>
      <c r="W753" t="s">
        <v>15048</v>
      </c>
      <c r="X753" t="s">
        <v>15049</v>
      </c>
      <c r="Y753" t="s">
        <v>15050</v>
      </c>
    </row>
    <row r="754" spans="1:25" x14ac:dyDescent="0.3">
      <c r="A754">
        <v>37650</v>
      </c>
      <c r="B754" t="s">
        <v>15051</v>
      </c>
      <c r="C754" t="s">
        <v>15052</v>
      </c>
      <c r="D754" t="s">
        <v>15053</v>
      </c>
      <c r="E754" t="s">
        <v>15054</v>
      </c>
      <c r="F754" t="s">
        <v>15055</v>
      </c>
      <c r="G754" t="s">
        <v>15056</v>
      </c>
      <c r="H754" t="s">
        <v>15057</v>
      </c>
      <c r="I754" t="s">
        <v>15058</v>
      </c>
      <c r="J754" t="s">
        <v>15059</v>
      </c>
      <c r="K754" t="s">
        <v>15060</v>
      </c>
      <c r="L754" t="s">
        <v>15061</v>
      </c>
      <c r="M754" t="s">
        <v>15062</v>
      </c>
      <c r="N754" t="s">
        <v>15063</v>
      </c>
      <c r="O754">
        <f>-935.131977030366 -7.15760107757342 -490.919173547115</f>
        <v>-1433.2087516550544</v>
      </c>
      <c r="P754">
        <f>-967.324399901348 -23.7310219872411 -198.891528991079</f>
        <v>-1189.9469508796681</v>
      </c>
      <c r="Q754">
        <f>-744.685523660648 -1.68514683287049 -288.316789929749</f>
        <v>-1034.6874604232676</v>
      </c>
      <c r="R754" t="s">
        <v>15064</v>
      </c>
      <c r="S754" t="s">
        <v>15065</v>
      </c>
      <c r="T754" t="s">
        <v>15066</v>
      </c>
      <c r="U754" t="s">
        <v>15067</v>
      </c>
      <c r="V754" t="s">
        <v>15068</v>
      </c>
      <c r="W754" t="s">
        <v>15069</v>
      </c>
      <c r="X754" t="s">
        <v>15070</v>
      </c>
      <c r="Y754" t="s">
        <v>15071</v>
      </c>
    </row>
    <row r="755" spans="1:25" x14ac:dyDescent="0.3">
      <c r="A755">
        <v>37700</v>
      </c>
      <c r="B755" t="s">
        <v>15072</v>
      </c>
      <c r="C755" t="s">
        <v>15073</v>
      </c>
      <c r="D755" t="s">
        <v>15074</v>
      </c>
      <c r="E755" t="s">
        <v>15075</v>
      </c>
      <c r="F755" t="s">
        <v>15076</v>
      </c>
      <c r="G755" t="s">
        <v>15077</v>
      </c>
      <c r="H755" t="s">
        <v>15078</v>
      </c>
      <c r="I755" t="s">
        <v>15079</v>
      </c>
      <c r="J755" t="s">
        <v>15080</v>
      </c>
      <c r="K755" t="s">
        <v>15081</v>
      </c>
      <c r="L755" t="s">
        <v>15082</v>
      </c>
      <c r="M755" t="s">
        <v>15083</v>
      </c>
      <c r="N755" t="s">
        <v>15084</v>
      </c>
      <c r="O755">
        <f>-935.602793964237 -5.06963709734828 -490.949539680983</f>
        <v>-1431.6219707425682</v>
      </c>
      <c r="P755">
        <f>-967.256189481261 -21.5197371770714 -198.856014537017</f>
        <v>-1187.6319411953493</v>
      </c>
      <c r="Q755" t="s">
        <v>15085</v>
      </c>
      <c r="R755" t="s">
        <v>15086</v>
      </c>
      <c r="S755" t="s">
        <v>15087</v>
      </c>
      <c r="T755" t="s">
        <v>15088</v>
      </c>
      <c r="U755" t="s">
        <v>15089</v>
      </c>
      <c r="V755" t="s">
        <v>15090</v>
      </c>
      <c r="W755" t="s">
        <v>15091</v>
      </c>
      <c r="X755" t="s">
        <v>15092</v>
      </c>
      <c r="Y755" t="s">
        <v>15093</v>
      </c>
    </row>
    <row r="756" spans="1:25" x14ac:dyDescent="0.3">
      <c r="A756">
        <v>37750</v>
      </c>
      <c r="B756" t="s">
        <v>15094</v>
      </c>
      <c r="C756" t="s">
        <v>15095</v>
      </c>
      <c r="D756" t="s">
        <v>15096</v>
      </c>
      <c r="E756" t="s">
        <v>15097</v>
      </c>
      <c r="F756" t="s">
        <v>15098</v>
      </c>
      <c r="G756" t="s">
        <v>15099</v>
      </c>
      <c r="H756" t="s">
        <v>15100</v>
      </c>
      <c r="I756" t="s">
        <v>15101</v>
      </c>
      <c r="J756" t="s">
        <v>15102</v>
      </c>
      <c r="K756" t="s">
        <v>15103</v>
      </c>
      <c r="L756" t="s">
        <v>15104</v>
      </c>
      <c r="M756" t="s">
        <v>15105</v>
      </c>
      <c r="N756" t="s">
        <v>15106</v>
      </c>
      <c r="O756">
        <f>-936.144499538392 -3.52864772915518 -490.841039507189</f>
        <v>-1430.5141867747361</v>
      </c>
      <c r="P756">
        <f>-967.636598499721 -19.7568950146679 -198.717635691887</f>
        <v>-1186.1111292062758</v>
      </c>
      <c r="Q756" t="s">
        <v>15107</v>
      </c>
      <c r="R756" t="s">
        <v>15108</v>
      </c>
      <c r="S756" t="s">
        <v>15109</v>
      </c>
      <c r="T756" t="s">
        <v>15110</v>
      </c>
      <c r="U756" t="s">
        <v>15111</v>
      </c>
      <c r="V756" t="s">
        <v>15112</v>
      </c>
      <c r="W756" t="s">
        <v>15113</v>
      </c>
      <c r="X756" t="s">
        <v>15114</v>
      </c>
      <c r="Y756" t="s">
        <v>15115</v>
      </c>
    </row>
    <row r="757" spans="1:25" x14ac:dyDescent="0.3">
      <c r="A757">
        <v>37800</v>
      </c>
      <c r="B757" t="s">
        <v>15116</v>
      </c>
      <c r="C757" t="s">
        <v>15117</v>
      </c>
      <c r="D757" t="s">
        <v>15118</v>
      </c>
      <c r="E757" t="s">
        <v>15119</v>
      </c>
      <c r="F757" t="s">
        <v>15120</v>
      </c>
      <c r="G757" t="s">
        <v>15121</v>
      </c>
      <c r="H757" t="s">
        <v>15122</v>
      </c>
      <c r="I757" t="s">
        <v>15123</v>
      </c>
      <c r="J757" t="s">
        <v>15124</v>
      </c>
      <c r="K757" t="s">
        <v>15125</v>
      </c>
      <c r="L757" t="s">
        <v>15126</v>
      </c>
      <c r="M757" t="s">
        <v>15127</v>
      </c>
      <c r="N757" t="s">
        <v>15128</v>
      </c>
      <c r="O757">
        <f>-937.311828427208 -2.33199507435484 -490.352834372438</f>
        <v>-1429.9966578740009</v>
      </c>
      <c r="P757">
        <f>-969.093483237118 -18.4475403710985 -198.254564250813</f>
        <v>-1185.7955878590294</v>
      </c>
      <c r="Q757" t="s">
        <v>15129</v>
      </c>
      <c r="R757" t="s">
        <v>15130</v>
      </c>
      <c r="S757" t="s">
        <v>15131</v>
      </c>
      <c r="T757" t="s">
        <v>15132</v>
      </c>
      <c r="U757" t="s">
        <v>15133</v>
      </c>
      <c r="V757" t="s">
        <v>15134</v>
      </c>
      <c r="W757" t="s">
        <v>15135</v>
      </c>
      <c r="X757" t="s">
        <v>15136</v>
      </c>
      <c r="Y757" t="s">
        <v>15137</v>
      </c>
    </row>
    <row r="758" spans="1:25" x14ac:dyDescent="0.3">
      <c r="A758">
        <v>37850</v>
      </c>
      <c r="B758" t="s">
        <v>15138</v>
      </c>
      <c r="C758" t="s">
        <v>15139</v>
      </c>
      <c r="D758" t="s">
        <v>15140</v>
      </c>
      <c r="E758" t="s">
        <v>15141</v>
      </c>
      <c r="F758" t="s">
        <v>15142</v>
      </c>
      <c r="G758" t="s">
        <v>15143</v>
      </c>
      <c r="H758" t="s">
        <v>15144</v>
      </c>
      <c r="I758" t="s">
        <v>15145</v>
      </c>
      <c r="J758" t="s">
        <v>15146</v>
      </c>
      <c r="K758" t="s">
        <v>15147</v>
      </c>
      <c r="L758" t="s">
        <v>15148</v>
      </c>
      <c r="M758" t="s">
        <v>15149</v>
      </c>
      <c r="N758" t="s">
        <v>15150</v>
      </c>
      <c r="O758">
        <f>-938.03275621765 -1.88384833929194 -490.147736649119</f>
        <v>-1430.0643412060608</v>
      </c>
      <c r="P758">
        <f>-970.229523065882 -17.9606931408052 -198.092842669116</f>
        <v>-1186.2830588758031</v>
      </c>
      <c r="Q758" t="s">
        <v>15151</v>
      </c>
      <c r="R758" t="s">
        <v>15152</v>
      </c>
      <c r="S758" t="s">
        <v>15153</v>
      </c>
      <c r="T758" t="s">
        <v>15154</v>
      </c>
      <c r="U758" t="s">
        <v>15155</v>
      </c>
      <c r="V758" t="s">
        <v>15156</v>
      </c>
      <c r="W758" t="s">
        <v>15157</v>
      </c>
      <c r="X758" t="s">
        <v>15158</v>
      </c>
      <c r="Y758" t="s">
        <v>15159</v>
      </c>
    </row>
    <row r="759" spans="1:25" x14ac:dyDescent="0.3">
      <c r="A759">
        <v>37900</v>
      </c>
      <c r="B759" t="s">
        <v>15160</v>
      </c>
      <c r="C759" t="s">
        <v>15161</v>
      </c>
      <c r="D759" t="s">
        <v>15162</v>
      </c>
      <c r="E759" t="s">
        <v>15163</v>
      </c>
      <c r="F759" t="s">
        <v>15164</v>
      </c>
      <c r="G759" t="s">
        <v>15165</v>
      </c>
      <c r="H759" t="s">
        <v>15166</v>
      </c>
      <c r="I759" t="s">
        <v>15167</v>
      </c>
      <c r="J759" t="s">
        <v>15168</v>
      </c>
      <c r="K759" t="s">
        <v>15169</v>
      </c>
      <c r="L759" t="s">
        <v>15170</v>
      </c>
      <c r="M759" t="s">
        <v>15171</v>
      </c>
      <c r="N759" t="s">
        <v>15172</v>
      </c>
      <c r="O759">
        <f>-939.015782672352 -0.915874563563648 -489.911226861699</f>
        <v>-1429.8428840976146</v>
      </c>
      <c r="P759">
        <f>-971.704908446317 -16.5971091338606 -197.889472684968</f>
        <v>-1186.1914902651456</v>
      </c>
      <c r="Q759" t="s">
        <v>15173</v>
      </c>
      <c r="R759" t="s">
        <v>15174</v>
      </c>
      <c r="S759" t="s">
        <v>15175</v>
      </c>
      <c r="T759" t="s">
        <v>15176</v>
      </c>
      <c r="U759" t="s">
        <v>15177</v>
      </c>
      <c r="V759" t="s">
        <v>15178</v>
      </c>
      <c r="W759" t="s">
        <v>15179</v>
      </c>
      <c r="X759" t="s">
        <v>15180</v>
      </c>
      <c r="Y759" t="s">
        <v>15181</v>
      </c>
    </row>
    <row r="760" spans="1:25" x14ac:dyDescent="0.3">
      <c r="A760">
        <v>37950</v>
      </c>
      <c r="B760" t="s">
        <v>15182</v>
      </c>
      <c r="C760" t="s">
        <v>15183</v>
      </c>
      <c r="D760" t="s">
        <v>15184</v>
      </c>
      <c r="E760" t="s">
        <v>15185</v>
      </c>
      <c r="F760" t="s">
        <v>15186</v>
      </c>
      <c r="G760" t="s">
        <v>15187</v>
      </c>
      <c r="H760" t="s">
        <v>15188</v>
      </c>
      <c r="I760" t="s">
        <v>15189</v>
      </c>
      <c r="J760" t="s">
        <v>15190</v>
      </c>
      <c r="K760" t="s">
        <v>15191</v>
      </c>
      <c r="L760" t="s">
        <v>15192</v>
      </c>
      <c r="M760" t="s">
        <v>15193</v>
      </c>
      <c r="N760" t="s">
        <v>15194</v>
      </c>
      <c r="O760">
        <f>-939.328912066114 -0.675124332431096 -489.846049458696</f>
        <v>-1429.8500858572411</v>
      </c>
      <c r="P760">
        <f>-971.947577964658 -15.9328612178942 -197.793965887414</f>
        <v>-1185.6744050699663</v>
      </c>
      <c r="Q760" t="s">
        <v>15195</v>
      </c>
      <c r="R760" t="s">
        <v>15196</v>
      </c>
      <c r="S760" t="s">
        <v>15197</v>
      </c>
      <c r="T760" t="s">
        <v>15198</v>
      </c>
      <c r="U760" t="s">
        <v>15199</v>
      </c>
      <c r="V760" t="s">
        <v>15200</v>
      </c>
      <c r="W760" t="s">
        <v>15201</v>
      </c>
      <c r="X760" t="s">
        <v>15202</v>
      </c>
      <c r="Y760" t="s">
        <v>15203</v>
      </c>
    </row>
    <row r="761" spans="1:25" x14ac:dyDescent="0.3">
      <c r="A761">
        <v>38000</v>
      </c>
      <c r="B761" t="s">
        <v>15204</v>
      </c>
      <c r="C761" t="s">
        <v>15205</v>
      </c>
      <c r="D761" t="s">
        <v>15206</v>
      </c>
      <c r="E761" t="s">
        <v>15207</v>
      </c>
      <c r="F761" t="s">
        <v>15208</v>
      </c>
      <c r="G761" t="s">
        <v>15209</v>
      </c>
      <c r="H761" t="s">
        <v>15210</v>
      </c>
      <c r="I761" t="s">
        <v>15211</v>
      </c>
      <c r="J761" t="s">
        <v>15212</v>
      </c>
      <c r="K761" t="s">
        <v>15213</v>
      </c>
      <c r="L761" t="s">
        <v>15214</v>
      </c>
      <c r="M761" t="s">
        <v>15215</v>
      </c>
      <c r="N761" t="s">
        <v>15216</v>
      </c>
      <c r="O761">
        <f>-939.452563370456 -1.04055043681456 -489.583924898416</f>
        <v>-1430.0770387056866</v>
      </c>
      <c r="P761">
        <f>-971.785488294805 -14.8572311655535 -197.428432892505</f>
        <v>-1184.0711523528635</v>
      </c>
      <c r="Q761" t="s">
        <v>15217</v>
      </c>
      <c r="R761" t="s">
        <v>15218</v>
      </c>
      <c r="S761" t="s">
        <v>15219</v>
      </c>
      <c r="T761" t="s">
        <v>15220</v>
      </c>
      <c r="U761" t="s">
        <v>15221</v>
      </c>
      <c r="V761" t="s">
        <v>15222</v>
      </c>
      <c r="W761" t="s">
        <v>15223</v>
      </c>
      <c r="X761" t="s">
        <v>15224</v>
      </c>
      <c r="Y761" t="s">
        <v>15225</v>
      </c>
    </row>
    <row r="762" spans="1:25" x14ac:dyDescent="0.3">
      <c r="A762">
        <v>38050</v>
      </c>
      <c r="B762" t="s">
        <v>15226</v>
      </c>
      <c r="C762" t="s">
        <v>15227</v>
      </c>
      <c r="D762" t="s">
        <v>15228</v>
      </c>
      <c r="E762" t="s">
        <v>15229</v>
      </c>
      <c r="F762" t="s">
        <v>15230</v>
      </c>
      <c r="G762" t="s">
        <v>15231</v>
      </c>
      <c r="H762" t="s">
        <v>15232</v>
      </c>
      <c r="I762" t="s">
        <v>15233</v>
      </c>
      <c r="J762" t="s">
        <v>15234</v>
      </c>
      <c r="K762" t="s">
        <v>15235</v>
      </c>
      <c r="L762" t="s">
        <v>15236</v>
      </c>
      <c r="M762" t="s">
        <v>15237</v>
      </c>
      <c r="N762" t="s">
        <v>15238</v>
      </c>
      <c r="O762">
        <f>-939.566863105846 -1.44363266798155 -489.424573096513</f>
        <v>-1430.4350688703405</v>
      </c>
      <c r="P762">
        <f>-971.738121351113 -14.2918795723358 -197.206980222246</f>
        <v>-1183.2369811456947</v>
      </c>
      <c r="Q762" t="s">
        <v>15239</v>
      </c>
      <c r="R762" t="s">
        <v>15240</v>
      </c>
      <c r="S762" t="s">
        <v>15241</v>
      </c>
      <c r="T762" t="s">
        <v>15242</v>
      </c>
      <c r="U762" t="s">
        <v>15243</v>
      </c>
      <c r="V762" t="s">
        <v>15244</v>
      </c>
      <c r="W762" t="s">
        <v>15245</v>
      </c>
      <c r="X762" t="s">
        <v>15246</v>
      </c>
      <c r="Y762" t="s">
        <v>15247</v>
      </c>
    </row>
    <row r="763" spans="1:25" x14ac:dyDescent="0.3">
      <c r="A763">
        <v>38100</v>
      </c>
      <c r="B763" t="s">
        <v>15248</v>
      </c>
      <c r="C763" t="s">
        <v>15249</v>
      </c>
      <c r="D763" t="s">
        <v>15250</v>
      </c>
      <c r="E763" t="s">
        <v>15251</v>
      </c>
      <c r="F763" t="s">
        <v>15252</v>
      </c>
      <c r="G763" t="s">
        <v>15253</v>
      </c>
      <c r="H763" t="s">
        <v>15254</v>
      </c>
      <c r="I763" t="s">
        <v>15255</v>
      </c>
      <c r="J763" t="s">
        <v>15256</v>
      </c>
      <c r="K763" t="s">
        <v>15257</v>
      </c>
      <c r="L763" t="s">
        <v>15258</v>
      </c>
      <c r="M763" t="s">
        <v>15259</v>
      </c>
      <c r="N763" t="s">
        <v>15260</v>
      </c>
      <c r="O763">
        <f>-939.942693110718 -2.2909220264828 -489.038386002016</f>
        <v>-1431.2720011392169</v>
      </c>
      <c r="P763">
        <f>-971.928635849883 -13.3212805162862 -196.72612941353</f>
        <v>-1181.9760457796992</v>
      </c>
      <c r="Q763" t="s">
        <v>15261</v>
      </c>
      <c r="R763" t="s">
        <v>15262</v>
      </c>
      <c r="S763" t="s">
        <v>15263</v>
      </c>
      <c r="T763" t="s">
        <v>15264</v>
      </c>
      <c r="U763" t="s">
        <v>15265</v>
      </c>
      <c r="V763" t="s">
        <v>15266</v>
      </c>
      <c r="W763" t="s">
        <v>15267</v>
      </c>
      <c r="X763" t="s">
        <v>15268</v>
      </c>
      <c r="Y763" t="s">
        <v>15269</v>
      </c>
    </row>
    <row r="764" spans="1:25" x14ac:dyDescent="0.3">
      <c r="A764">
        <v>38150</v>
      </c>
      <c r="B764" t="s">
        <v>15270</v>
      </c>
      <c r="C764" t="s">
        <v>15271</v>
      </c>
      <c r="D764" t="s">
        <v>15272</v>
      </c>
      <c r="E764" t="s">
        <v>15273</v>
      </c>
      <c r="F764" t="s">
        <v>15274</v>
      </c>
      <c r="G764" t="s">
        <v>15275</v>
      </c>
      <c r="H764" t="s">
        <v>15276</v>
      </c>
      <c r="I764" t="s">
        <v>15277</v>
      </c>
      <c r="J764" t="s">
        <v>15278</v>
      </c>
      <c r="K764" t="s">
        <v>15279</v>
      </c>
      <c r="L764" t="s">
        <v>15280</v>
      </c>
      <c r="M764" t="s">
        <v>15281</v>
      </c>
      <c r="N764" t="s">
        <v>15282</v>
      </c>
      <c r="O764">
        <f>-939.957532840189 -3.13037820720911 -488.777777236721</f>
        <v>-1431.8656882841192</v>
      </c>
      <c r="P764">
        <f>-972.001813621726 -13.7856454756625 -196.457977236968</f>
        <v>-1182.2454363343566</v>
      </c>
      <c r="Q764" t="s">
        <v>15283</v>
      </c>
      <c r="R764" t="s">
        <v>15284</v>
      </c>
      <c r="S764" t="s">
        <v>15285</v>
      </c>
      <c r="T764" t="s">
        <v>15286</v>
      </c>
      <c r="U764" t="s">
        <v>15287</v>
      </c>
      <c r="V764" t="s">
        <v>15288</v>
      </c>
      <c r="W764" t="s">
        <v>15289</v>
      </c>
      <c r="X764" t="s">
        <v>15290</v>
      </c>
      <c r="Y764" t="s">
        <v>15291</v>
      </c>
    </row>
    <row r="765" spans="1:25" x14ac:dyDescent="0.3">
      <c r="A765">
        <v>38200</v>
      </c>
      <c r="B765" t="s">
        <v>15292</v>
      </c>
      <c r="C765" t="s">
        <v>15293</v>
      </c>
      <c r="D765" t="s">
        <v>15294</v>
      </c>
      <c r="E765" t="s">
        <v>15295</v>
      </c>
      <c r="F765" t="s">
        <v>15296</v>
      </c>
      <c r="G765" t="s">
        <v>15297</v>
      </c>
      <c r="H765" t="s">
        <v>15298</v>
      </c>
      <c r="I765" t="s">
        <v>15299</v>
      </c>
      <c r="J765" t="s">
        <v>15300</v>
      </c>
      <c r="K765" t="s">
        <v>15301</v>
      </c>
      <c r="L765" t="s">
        <v>15302</v>
      </c>
      <c r="M765" t="s">
        <v>15303</v>
      </c>
      <c r="N765" t="s">
        <v>15304</v>
      </c>
      <c r="O765">
        <f>-939.436494322264 -5.06886941651646 -488.423658887061</f>
        <v>-1432.9290226258415</v>
      </c>
      <c r="P765">
        <f>-971.896755210498 -15.0047735319413 -196.124601020277</f>
        <v>-1183.0261297627162</v>
      </c>
      <c r="Q765" t="s">
        <v>15305</v>
      </c>
      <c r="R765" t="s">
        <v>15306</v>
      </c>
      <c r="S765" t="s">
        <v>15307</v>
      </c>
      <c r="T765" t="s">
        <v>15308</v>
      </c>
      <c r="U765" t="s">
        <v>15309</v>
      </c>
      <c r="V765" t="s">
        <v>15310</v>
      </c>
      <c r="W765" t="s">
        <v>15311</v>
      </c>
      <c r="X765" t="s">
        <v>15312</v>
      </c>
      <c r="Y765" t="s">
        <v>15313</v>
      </c>
    </row>
    <row r="766" spans="1:25" x14ac:dyDescent="0.3">
      <c r="A766">
        <v>38250</v>
      </c>
      <c r="B766" t="s">
        <v>15314</v>
      </c>
      <c r="C766" t="s">
        <v>15315</v>
      </c>
      <c r="D766" t="s">
        <v>15316</v>
      </c>
      <c r="E766" t="s">
        <v>15317</v>
      </c>
      <c r="F766" t="s">
        <v>15318</v>
      </c>
      <c r="G766" t="s">
        <v>15319</v>
      </c>
      <c r="H766" t="s">
        <v>15320</v>
      </c>
      <c r="I766" t="s">
        <v>15321</v>
      </c>
      <c r="J766" t="s">
        <v>15322</v>
      </c>
      <c r="K766" t="s">
        <v>15323</v>
      </c>
      <c r="L766" t="s">
        <v>15324</v>
      </c>
      <c r="M766" t="s">
        <v>15325</v>
      </c>
      <c r="N766" t="s">
        <v>15326</v>
      </c>
      <c r="O766">
        <f>-939.121152236845 -6.04171768105243 -488.357657364793</f>
        <v>-1433.5205272826904</v>
      </c>
      <c r="P766">
        <f>-971.987405866327 -15.850669650391 -196.099683642585</f>
        <v>-1183.9377591593029</v>
      </c>
      <c r="Q766" t="s">
        <v>15327</v>
      </c>
      <c r="R766" t="s">
        <v>15328</v>
      </c>
      <c r="S766" t="s">
        <v>15329</v>
      </c>
      <c r="T766" t="s">
        <v>15330</v>
      </c>
      <c r="U766" t="s">
        <v>15331</v>
      </c>
      <c r="V766" t="s">
        <v>15332</v>
      </c>
      <c r="W766" t="s">
        <v>15333</v>
      </c>
      <c r="X766" t="s">
        <v>15334</v>
      </c>
      <c r="Y766" t="s">
        <v>15335</v>
      </c>
    </row>
    <row r="767" spans="1:25" x14ac:dyDescent="0.3">
      <c r="A767">
        <v>38300</v>
      </c>
      <c r="B767" t="s">
        <v>15336</v>
      </c>
      <c r="C767" t="s">
        <v>15337</v>
      </c>
      <c r="D767" t="s">
        <v>15338</v>
      </c>
      <c r="E767" t="s">
        <v>15339</v>
      </c>
      <c r="F767" t="s">
        <v>15340</v>
      </c>
      <c r="G767" t="s">
        <v>15341</v>
      </c>
      <c r="H767" t="s">
        <v>15342</v>
      </c>
      <c r="I767" t="s">
        <v>15343</v>
      </c>
      <c r="J767" t="s">
        <v>15344</v>
      </c>
      <c r="K767" t="s">
        <v>15345</v>
      </c>
      <c r="L767" t="s">
        <v>15346</v>
      </c>
      <c r="M767" t="s">
        <v>15347</v>
      </c>
      <c r="N767" t="s">
        <v>15348</v>
      </c>
      <c r="O767">
        <f>-938.374117507519 -7.72600819758645 -488.49903524794</f>
        <v>-1434.5991609530456</v>
      </c>
      <c r="P767">
        <f>-971.8240615041 -18.1582074297439 -196.328731888418</f>
        <v>-1186.3110008222618</v>
      </c>
      <c r="Q767" t="s">
        <v>15349</v>
      </c>
      <c r="R767" t="s">
        <v>15350</v>
      </c>
      <c r="S767" t="s">
        <v>15351</v>
      </c>
      <c r="T767" t="s">
        <v>15352</v>
      </c>
      <c r="U767" t="s">
        <v>15353</v>
      </c>
      <c r="V767" t="s">
        <v>15354</v>
      </c>
      <c r="W767" t="s">
        <v>15355</v>
      </c>
      <c r="X767" t="s">
        <v>15356</v>
      </c>
      <c r="Y767" t="s">
        <v>15357</v>
      </c>
    </row>
    <row r="768" spans="1:25" x14ac:dyDescent="0.3">
      <c r="A768">
        <v>38350</v>
      </c>
      <c r="B768" t="s">
        <v>15358</v>
      </c>
      <c r="C768" t="s">
        <v>15359</v>
      </c>
      <c r="D768" t="s">
        <v>15360</v>
      </c>
      <c r="E768" t="s">
        <v>15361</v>
      </c>
      <c r="F768" t="s">
        <v>15362</v>
      </c>
      <c r="G768" t="s">
        <v>15363</v>
      </c>
      <c r="H768" t="s">
        <v>15364</v>
      </c>
      <c r="I768" t="s">
        <v>15365</v>
      </c>
      <c r="J768" t="s">
        <v>15366</v>
      </c>
      <c r="K768" t="s">
        <v>15367</v>
      </c>
      <c r="L768" t="s">
        <v>15368</v>
      </c>
      <c r="M768" t="s">
        <v>15369</v>
      </c>
      <c r="N768" t="s">
        <v>15370</v>
      </c>
      <c r="O768">
        <f>-937.937060310212 -8.91737219797551 -488.541915345424</f>
        <v>-1435.3963478536116</v>
      </c>
      <c r="P768">
        <f>-971.622617710599 -19.1237381059791 -196.39076258665</f>
        <v>-1187.1371184032282</v>
      </c>
      <c r="Q768" t="s">
        <v>15371</v>
      </c>
      <c r="R768" t="s">
        <v>15372</v>
      </c>
      <c r="S768" t="s">
        <v>15373</v>
      </c>
      <c r="T768" t="s">
        <v>15374</v>
      </c>
      <c r="U768" t="s">
        <v>15375</v>
      </c>
      <c r="V768" t="s">
        <v>15376</v>
      </c>
      <c r="W768" t="s">
        <v>15377</v>
      </c>
      <c r="X768" t="s">
        <v>15378</v>
      </c>
      <c r="Y768" t="s">
        <v>15379</v>
      </c>
    </row>
    <row r="769" spans="1:25" x14ac:dyDescent="0.3">
      <c r="A769">
        <v>38400</v>
      </c>
      <c r="B769" t="s">
        <v>15380</v>
      </c>
      <c r="C769" t="s">
        <v>15381</v>
      </c>
      <c r="D769" t="s">
        <v>15382</v>
      </c>
      <c r="E769" t="s">
        <v>15383</v>
      </c>
      <c r="F769" t="s">
        <v>15384</v>
      </c>
      <c r="G769" t="s">
        <v>15385</v>
      </c>
      <c r="H769" t="s">
        <v>15386</v>
      </c>
      <c r="I769" t="s">
        <v>15387</v>
      </c>
      <c r="J769" t="s">
        <v>15388</v>
      </c>
      <c r="K769" t="s">
        <v>15389</v>
      </c>
      <c r="L769" t="s">
        <v>15390</v>
      </c>
      <c r="M769" t="s">
        <v>15391</v>
      </c>
      <c r="N769" t="s">
        <v>15392</v>
      </c>
      <c r="O769">
        <f>-936.709155993048 -12.0742692819754 -488.328148243724</f>
        <v>-1437.1115735187473</v>
      </c>
      <c r="P769">
        <f>-971.443724864951 -22.076278196881 -196.292679708103</f>
        <v>-1189.812682769935</v>
      </c>
      <c r="Q769" t="s">
        <v>15393</v>
      </c>
      <c r="R769" t="s">
        <v>15394</v>
      </c>
      <c r="S769" t="s">
        <v>15395</v>
      </c>
      <c r="T769" t="s">
        <v>15396</v>
      </c>
      <c r="U769" t="s">
        <v>15397</v>
      </c>
      <c r="V769" t="s">
        <v>15398</v>
      </c>
      <c r="W769" t="s">
        <v>15399</v>
      </c>
      <c r="X769" t="s">
        <v>15400</v>
      </c>
      <c r="Y769" t="s">
        <v>15401</v>
      </c>
    </row>
    <row r="770" spans="1:25" x14ac:dyDescent="0.3">
      <c r="A770">
        <v>38450</v>
      </c>
      <c r="B770" t="s">
        <v>15402</v>
      </c>
      <c r="C770" t="s">
        <v>15403</v>
      </c>
      <c r="D770" t="s">
        <v>15404</v>
      </c>
      <c r="E770" t="s">
        <v>15405</v>
      </c>
      <c r="F770" t="s">
        <v>15406</v>
      </c>
      <c r="G770" t="s">
        <v>15407</v>
      </c>
      <c r="H770" t="s">
        <v>15408</v>
      </c>
      <c r="I770" t="s">
        <v>15409</v>
      </c>
      <c r="J770" t="s">
        <v>15410</v>
      </c>
      <c r="K770" t="s">
        <v>15411</v>
      </c>
      <c r="L770" t="s">
        <v>15412</v>
      </c>
      <c r="M770" t="s">
        <v>15413</v>
      </c>
      <c r="N770" t="s">
        <v>15414</v>
      </c>
      <c r="O770">
        <f>-935.970327059542 -13.3784264260935 -488.22658173986</f>
        <v>-1437.5753352254956</v>
      </c>
      <c r="P770">
        <f>-971.104576270143 -23.0780423083129 -196.228759043222</f>
        <v>-1190.4113776216777</v>
      </c>
      <c r="Q770" t="s">
        <v>15415</v>
      </c>
      <c r="R770" t="s">
        <v>15416</v>
      </c>
      <c r="S770" t="s">
        <v>15417</v>
      </c>
      <c r="T770" t="s">
        <v>15418</v>
      </c>
      <c r="U770" t="s">
        <v>15419</v>
      </c>
      <c r="V770" t="s">
        <v>15420</v>
      </c>
      <c r="W770" t="s">
        <v>15421</v>
      </c>
      <c r="X770" t="s">
        <v>15422</v>
      </c>
      <c r="Y770" t="s">
        <v>15423</v>
      </c>
    </row>
    <row r="771" spans="1:25" x14ac:dyDescent="0.3">
      <c r="A771">
        <v>38500</v>
      </c>
      <c r="B771" t="s">
        <v>15424</v>
      </c>
      <c r="C771" t="s">
        <v>15425</v>
      </c>
      <c r="D771" t="s">
        <v>15426</v>
      </c>
      <c r="E771" t="s">
        <v>15427</v>
      </c>
      <c r="F771" t="s">
        <v>15428</v>
      </c>
      <c r="G771" t="s">
        <v>15429</v>
      </c>
      <c r="H771" t="s">
        <v>15430</v>
      </c>
      <c r="I771" t="s">
        <v>15431</v>
      </c>
      <c r="J771" t="s">
        <v>15432</v>
      </c>
      <c r="K771" t="s">
        <v>15433</v>
      </c>
      <c r="L771" t="s">
        <v>15434</v>
      </c>
      <c r="M771" t="s">
        <v>15435</v>
      </c>
      <c r="N771" t="s">
        <v>15436</v>
      </c>
      <c r="O771">
        <f>-934.904558723357 -15.0769350712494 -488.140007884318</f>
        <v>-1438.1215016789245</v>
      </c>
      <c r="P771">
        <f>-970.461148480462 -24.7588074377331 -196.192616735429</f>
        <v>-1191.4125726536242</v>
      </c>
      <c r="Q771" t="s">
        <v>15437</v>
      </c>
      <c r="R771" t="s">
        <v>15438</v>
      </c>
      <c r="S771" t="s">
        <v>15439</v>
      </c>
      <c r="T771" t="s">
        <v>15440</v>
      </c>
      <c r="U771" t="s">
        <v>15441</v>
      </c>
      <c r="V771" t="s">
        <v>15442</v>
      </c>
      <c r="W771" t="s">
        <v>15443</v>
      </c>
      <c r="X771" t="s">
        <v>15444</v>
      </c>
      <c r="Y771" t="s">
        <v>15445</v>
      </c>
    </row>
    <row r="772" spans="1:25" x14ac:dyDescent="0.3">
      <c r="A772">
        <v>38550</v>
      </c>
      <c r="B772" t="s">
        <v>15446</v>
      </c>
      <c r="C772" t="s">
        <v>15447</v>
      </c>
      <c r="D772" t="s">
        <v>15448</v>
      </c>
      <c r="E772" t="s">
        <v>15449</v>
      </c>
      <c r="F772" t="s">
        <v>15450</v>
      </c>
      <c r="G772" t="s">
        <v>15451</v>
      </c>
      <c r="H772" t="s">
        <v>15452</v>
      </c>
      <c r="I772" t="s">
        <v>15453</v>
      </c>
      <c r="J772" t="s">
        <v>15454</v>
      </c>
      <c r="K772" t="s">
        <v>15455</v>
      </c>
      <c r="L772" t="s">
        <v>15456</v>
      </c>
      <c r="M772" t="s">
        <v>15457</v>
      </c>
      <c r="N772" t="s">
        <v>15458</v>
      </c>
      <c r="O772">
        <f>-934.563136475579 -15.7132933744761 -488.15277538977</f>
        <v>-1438.429205239825</v>
      </c>
      <c r="P772">
        <f>-970.119795115696 -25.8073700376804 -196.219388706766</f>
        <v>-1192.1465538601424</v>
      </c>
      <c r="Q772" t="s">
        <v>15459</v>
      </c>
      <c r="R772" t="s">
        <v>15460</v>
      </c>
      <c r="S772" t="s">
        <v>15461</v>
      </c>
      <c r="T772" t="s">
        <v>15462</v>
      </c>
      <c r="U772" t="s">
        <v>15463</v>
      </c>
      <c r="V772" t="s">
        <v>15464</v>
      </c>
      <c r="W772" t="s">
        <v>15465</v>
      </c>
      <c r="X772" t="s">
        <v>15466</v>
      </c>
      <c r="Y772" t="s">
        <v>15467</v>
      </c>
    </row>
    <row r="773" spans="1:25" x14ac:dyDescent="0.3">
      <c r="A773">
        <v>38600</v>
      </c>
      <c r="B773" t="s">
        <v>15468</v>
      </c>
      <c r="C773" t="s">
        <v>15469</v>
      </c>
      <c r="D773" t="s">
        <v>15470</v>
      </c>
      <c r="E773" t="s">
        <v>15471</v>
      </c>
      <c r="F773" t="s">
        <v>15472</v>
      </c>
      <c r="G773" t="s">
        <v>15473</v>
      </c>
      <c r="H773" t="s">
        <v>15474</v>
      </c>
      <c r="I773" t="s">
        <v>15475</v>
      </c>
      <c r="J773" t="s">
        <v>15476</v>
      </c>
      <c r="K773" t="s">
        <v>15477</v>
      </c>
      <c r="L773" t="s">
        <v>15478</v>
      </c>
      <c r="M773" t="s">
        <v>15479</v>
      </c>
      <c r="N773" t="s">
        <v>15480</v>
      </c>
      <c r="O773">
        <f>-934.177387561618 -16.2827081317678 -488.177767424009</f>
        <v>-1438.6378631173948</v>
      </c>
      <c r="P773">
        <f>-969.720575352181 -26.8983983899921 -196.261441186382</f>
        <v>-1192.880414928555</v>
      </c>
      <c r="Q773" t="s">
        <v>15481</v>
      </c>
      <c r="R773" t="s">
        <v>15482</v>
      </c>
      <c r="S773" t="s">
        <v>15483</v>
      </c>
      <c r="T773" t="s">
        <v>15484</v>
      </c>
      <c r="U773" t="s">
        <v>15485</v>
      </c>
      <c r="V773" t="s">
        <v>15486</v>
      </c>
      <c r="W773" t="s">
        <v>15487</v>
      </c>
      <c r="X773" t="s">
        <v>15488</v>
      </c>
      <c r="Y773" t="s">
        <v>15489</v>
      </c>
    </row>
    <row r="774" spans="1:25" x14ac:dyDescent="0.3">
      <c r="A774">
        <v>38650</v>
      </c>
      <c r="B774" t="s">
        <v>15490</v>
      </c>
      <c r="C774" t="s">
        <v>15491</v>
      </c>
      <c r="D774" t="s">
        <v>15492</v>
      </c>
      <c r="E774" t="s">
        <v>15493</v>
      </c>
      <c r="F774" t="s">
        <v>15494</v>
      </c>
      <c r="G774" t="s">
        <v>15495</v>
      </c>
      <c r="H774" t="s">
        <v>15496</v>
      </c>
      <c r="I774" t="s">
        <v>15497</v>
      </c>
      <c r="J774" t="s">
        <v>15498</v>
      </c>
      <c r="K774" t="s">
        <v>15499</v>
      </c>
      <c r="L774" t="s">
        <v>15500</v>
      </c>
      <c r="M774" t="s">
        <v>15501</v>
      </c>
      <c r="N774" t="s">
        <v>15502</v>
      </c>
      <c r="O774">
        <f>-933.321665579816 -17.4355311910149 -488.153867474286</f>
        <v>-1438.9110642451169</v>
      </c>
      <c r="P774">
        <f>-968.928656686752 -29.3177839140531 -196.293950998666</f>
        <v>-1194.5403915994711</v>
      </c>
      <c r="Q774" t="s">
        <v>15503</v>
      </c>
      <c r="R774" t="s">
        <v>15504</v>
      </c>
      <c r="S774" t="s">
        <v>15505</v>
      </c>
      <c r="T774" t="s">
        <v>15506</v>
      </c>
      <c r="U774" t="s">
        <v>15507</v>
      </c>
      <c r="V774" t="s">
        <v>15508</v>
      </c>
      <c r="W774" t="s">
        <v>15509</v>
      </c>
      <c r="X774" t="s">
        <v>15510</v>
      </c>
      <c r="Y774" t="s">
        <v>15511</v>
      </c>
    </row>
    <row r="775" spans="1:25" x14ac:dyDescent="0.3">
      <c r="A775">
        <v>38700</v>
      </c>
      <c r="B775" t="s">
        <v>15512</v>
      </c>
      <c r="C775" t="s">
        <v>15513</v>
      </c>
      <c r="D775" t="s">
        <v>15514</v>
      </c>
      <c r="E775" t="s">
        <v>15515</v>
      </c>
      <c r="F775" t="s">
        <v>15516</v>
      </c>
      <c r="G775" t="s">
        <v>15517</v>
      </c>
      <c r="H775" t="s">
        <v>15518</v>
      </c>
      <c r="I775" t="s">
        <v>15519</v>
      </c>
      <c r="J775" t="s">
        <v>15520</v>
      </c>
      <c r="K775" t="s">
        <v>15521</v>
      </c>
      <c r="L775" t="s">
        <v>15522</v>
      </c>
      <c r="M775" t="s">
        <v>15523</v>
      </c>
      <c r="N775" t="s">
        <v>15524</v>
      </c>
      <c r="O775">
        <f>-932.617132209906 -18.6939531810158 -487.910977674686</f>
        <v>-1439.2220630656079</v>
      </c>
      <c r="P775">
        <f>-968.519331298847 -31.5130558986061 -196.12698310247</f>
        <v>-1196.159370299923</v>
      </c>
      <c r="Q775" t="s">
        <v>15525</v>
      </c>
      <c r="R775" t="s">
        <v>15526</v>
      </c>
      <c r="S775" t="s">
        <v>15527</v>
      </c>
      <c r="T775" t="s">
        <v>15528</v>
      </c>
      <c r="U775" t="s">
        <v>15529</v>
      </c>
      <c r="V775" t="s">
        <v>15530</v>
      </c>
      <c r="W775" t="s">
        <v>15531</v>
      </c>
      <c r="X775" t="s">
        <v>15532</v>
      </c>
      <c r="Y775" t="s">
        <v>15533</v>
      </c>
    </row>
    <row r="776" spans="1:25" x14ac:dyDescent="0.3">
      <c r="A776">
        <v>38750</v>
      </c>
      <c r="B776" t="s">
        <v>15534</v>
      </c>
      <c r="C776" t="s">
        <v>15535</v>
      </c>
      <c r="D776" t="s">
        <v>15536</v>
      </c>
      <c r="E776" t="s">
        <v>15537</v>
      </c>
      <c r="F776" t="s">
        <v>15538</v>
      </c>
      <c r="G776" t="s">
        <v>15539</v>
      </c>
      <c r="H776" t="s">
        <v>15540</v>
      </c>
      <c r="I776" t="s">
        <v>15541</v>
      </c>
      <c r="J776" t="s">
        <v>15542</v>
      </c>
      <c r="K776" t="s">
        <v>15543</v>
      </c>
      <c r="L776" t="s">
        <v>15544</v>
      </c>
      <c r="M776" t="s">
        <v>15545</v>
      </c>
      <c r="N776" t="s">
        <v>15546</v>
      </c>
      <c r="O776">
        <f>-932.367893441751 -19.2244891522978 -487.716132534185</f>
        <v>-1439.3085151282339</v>
      </c>
      <c r="P776">
        <f>-968.318557774389 -31.9965786270918 -195.936112866074</f>
        <v>-1196.2512492675548</v>
      </c>
      <c r="Q776" t="s">
        <v>15547</v>
      </c>
      <c r="R776" t="s">
        <v>15548</v>
      </c>
      <c r="S776" t="s">
        <v>15549</v>
      </c>
      <c r="T776" t="s">
        <v>15550</v>
      </c>
      <c r="U776" t="s">
        <v>15551</v>
      </c>
      <c r="V776" t="s">
        <v>15552</v>
      </c>
      <c r="W776" t="s">
        <v>15553</v>
      </c>
      <c r="X776" t="s">
        <v>15554</v>
      </c>
      <c r="Y776" t="s">
        <v>15555</v>
      </c>
    </row>
    <row r="777" spans="1:25" x14ac:dyDescent="0.3">
      <c r="A777">
        <v>38800</v>
      </c>
      <c r="B777" t="s">
        <v>15556</v>
      </c>
      <c r="C777" t="s">
        <v>15557</v>
      </c>
      <c r="D777" t="s">
        <v>15558</v>
      </c>
      <c r="E777" t="s">
        <v>15559</v>
      </c>
      <c r="F777" t="s">
        <v>15560</v>
      </c>
      <c r="G777" t="s">
        <v>15561</v>
      </c>
      <c r="H777" t="s">
        <v>15562</v>
      </c>
      <c r="I777" t="s">
        <v>15563</v>
      </c>
      <c r="J777" t="s">
        <v>15564</v>
      </c>
      <c r="K777" t="s">
        <v>15565</v>
      </c>
      <c r="L777" t="s">
        <v>15566</v>
      </c>
      <c r="M777" t="s">
        <v>15567</v>
      </c>
      <c r="N777" t="s">
        <v>15568</v>
      </c>
      <c r="O777">
        <f>-932.334266200381 -19.7619962184767 -487.245639931561</f>
        <v>-1439.3419023504186</v>
      </c>
      <c r="P777">
        <f>-968.244604310732 -32.3796882066645 -195.453815363429</f>
        <v>-1196.0781078808254</v>
      </c>
      <c r="Q777" t="s">
        <v>15569</v>
      </c>
      <c r="R777" t="s">
        <v>15570</v>
      </c>
      <c r="S777" t="s">
        <v>15571</v>
      </c>
      <c r="T777" t="s">
        <v>15572</v>
      </c>
      <c r="U777" t="s">
        <v>15573</v>
      </c>
      <c r="V777" t="s">
        <v>15574</v>
      </c>
      <c r="W777" t="s">
        <v>15575</v>
      </c>
      <c r="X777" t="s">
        <v>15576</v>
      </c>
      <c r="Y777" t="s">
        <v>15577</v>
      </c>
    </row>
    <row r="778" spans="1:25" x14ac:dyDescent="0.3">
      <c r="A778">
        <v>38850</v>
      </c>
      <c r="B778" t="s">
        <v>15578</v>
      </c>
      <c r="C778" t="s">
        <v>15579</v>
      </c>
      <c r="D778" t="s">
        <v>15580</v>
      </c>
      <c r="E778" t="s">
        <v>15581</v>
      </c>
      <c r="F778" t="s">
        <v>15582</v>
      </c>
      <c r="G778" t="s">
        <v>15583</v>
      </c>
      <c r="H778" t="s">
        <v>15584</v>
      </c>
      <c r="I778" t="s">
        <v>15585</v>
      </c>
      <c r="J778" t="s">
        <v>15586</v>
      </c>
      <c r="K778" t="s">
        <v>15587</v>
      </c>
      <c r="L778" t="s">
        <v>15588</v>
      </c>
      <c r="M778" t="s">
        <v>15589</v>
      </c>
      <c r="N778" t="s">
        <v>15590</v>
      </c>
      <c r="O778">
        <f>-932.485028830559 -19.7696372409596 -487.12521290708</f>
        <v>-1439.3798789785988</v>
      </c>
      <c r="P778">
        <f>-968.119835518566 -32.564640988639 -195.30740914175</f>
        <v>-1195.9918856489548</v>
      </c>
      <c r="Q778" t="s">
        <v>15591</v>
      </c>
      <c r="R778" t="s">
        <v>15592</v>
      </c>
      <c r="S778" t="s">
        <v>15593</v>
      </c>
      <c r="T778" t="s">
        <v>15594</v>
      </c>
      <c r="U778" t="s">
        <v>15595</v>
      </c>
      <c r="V778" t="s">
        <v>15596</v>
      </c>
      <c r="W778" t="s">
        <v>15597</v>
      </c>
      <c r="X778" t="s">
        <v>15598</v>
      </c>
      <c r="Y778" t="s">
        <v>15599</v>
      </c>
    </row>
    <row r="779" spans="1:25" x14ac:dyDescent="0.3">
      <c r="A779">
        <v>38900</v>
      </c>
      <c r="B779" t="s">
        <v>15600</v>
      </c>
      <c r="C779" t="s">
        <v>15601</v>
      </c>
      <c r="D779" t="s">
        <v>15602</v>
      </c>
      <c r="E779" t="s">
        <v>15603</v>
      </c>
      <c r="F779" t="s">
        <v>15604</v>
      </c>
      <c r="G779" t="s">
        <v>15605</v>
      </c>
      <c r="H779" t="s">
        <v>15606</v>
      </c>
      <c r="I779" t="s">
        <v>15607</v>
      </c>
      <c r="J779" t="s">
        <v>15608</v>
      </c>
      <c r="K779" t="s">
        <v>15609</v>
      </c>
      <c r="L779" t="s">
        <v>15610</v>
      </c>
      <c r="M779" t="s">
        <v>15611</v>
      </c>
      <c r="N779" t="s">
        <v>15612</v>
      </c>
      <c r="O779">
        <f>-932.700751889604 -19.6546064902518 -486.932690721971</f>
        <v>-1439.2880491018268</v>
      </c>
      <c r="P779">
        <f>-967.948411363986 -32.738712082104 -195.080670900042</f>
        <v>-1195.767794346132</v>
      </c>
      <c r="Q779" t="s">
        <v>15613</v>
      </c>
      <c r="R779" t="s">
        <v>15614</v>
      </c>
      <c r="S779" t="s">
        <v>15615</v>
      </c>
      <c r="T779" t="s">
        <v>15616</v>
      </c>
      <c r="U779" t="s">
        <v>15617</v>
      </c>
      <c r="V779" t="s">
        <v>15618</v>
      </c>
      <c r="W779" t="s">
        <v>15619</v>
      </c>
      <c r="X779" t="s">
        <v>15620</v>
      </c>
      <c r="Y779" t="s">
        <v>15621</v>
      </c>
    </row>
    <row r="780" spans="1:25" x14ac:dyDescent="0.3">
      <c r="A780">
        <v>38950</v>
      </c>
      <c r="B780" t="s">
        <v>15622</v>
      </c>
      <c r="C780" t="s">
        <v>15623</v>
      </c>
      <c r="D780" t="s">
        <v>15624</v>
      </c>
      <c r="E780" t="s">
        <v>15625</v>
      </c>
      <c r="F780" t="s">
        <v>15626</v>
      </c>
      <c r="G780" t="s">
        <v>15627</v>
      </c>
      <c r="H780" t="s">
        <v>15628</v>
      </c>
      <c r="I780" t="s">
        <v>15629</v>
      </c>
      <c r="J780" t="s">
        <v>15630</v>
      </c>
      <c r="K780" t="s">
        <v>15631</v>
      </c>
      <c r="L780" t="s">
        <v>15632</v>
      </c>
      <c r="M780" t="s">
        <v>15633</v>
      </c>
      <c r="N780" t="s">
        <v>15634</v>
      </c>
      <c r="O780">
        <f>-932.749232995667 -19.6796501538925 -486.814313200028</f>
        <v>-1439.2431963495874</v>
      </c>
      <c r="P780">
        <f>-967.887902638852 -32.549576898105 -194.939685410375</f>
        <v>-1195.3771649473319</v>
      </c>
      <c r="Q780" t="s">
        <v>15635</v>
      </c>
      <c r="R780" t="s">
        <v>15636</v>
      </c>
      <c r="S780" t="s">
        <v>15637</v>
      </c>
      <c r="T780" t="s">
        <v>15638</v>
      </c>
      <c r="U780" t="s">
        <v>15639</v>
      </c>
      <c r="V780" t="s">
        <v>15640</v>
      </c>
      <c r="W780" t="s">
        <v>15641</v>
      </c>
      <c r="X780" t="s">
        <v>15642</v>
      </c>
      <c r="Y780" t="s">
        <v>15643</v>
      </c>
    </row>
    <row r="781" spans="1:25" x14ac:dyDescent="0.3">
      <c r="A781">
        <v>39000</v>
      </c>
      <c r="B781" t="s">
        <v>15644</v>
      </c>
      <c r="C781" t="s">
        <v>15645</v>
      </c>
      <c r="D781" t="s">
        <v>15646</v>
      </c>
      <c r="E781" t="s">
        <v>15647</v>
      </c>
      <c r="F781" t="s">
        <v>15648</v>
      </c>
      <c r="G781" t="s">
        <v>15649</v>
      </c>
      <c r="H781" t="s">
        <v>15650</v>
      </c>
      <c r="I781" t="s">
        <v>15651</v>
      </c>
      <c r="J781" t="s">
        <v>15652</v>
      </c>
      <c r="K781" t="s">
        <v>15653</v>
      </c>
      <c r="L781" t="s">
        <v>15654</v>
      </c>
      <c r="M781" t="s">
        <v>15655</v>
      </c>
      <c r="N781" t="s">
        <v>15656</v>
      </c>
      <c r="O781">
        <f>-932.826876320997 -19.6813591433147 -486.569639735049</f>
        <v>-1439.0778751993607</v>
      </c>
      <c r="P781">
        <f>-967.887286864369 -31.9745652734664 -194.660631628017</f>
        <v>-1194.5224837658525</v>
      </c>
      <c r="Q781" t="s">
        <v>15657</v>
      </c>
      <c r="R781" t="s">
        <v>15658</v>
      </c>
      <c r="S781" t="s">
        <v>15659</v>
      </c>
      <c r="T781" t="s">
        <v>15660</v>
      </c>
      <c r="U781" t="s">
        <v>15661</v>
      </c>
      <c r="V781" t="s">
        <v>15662</v>
      </c>
      <c r="W781" t="s">
        <v>15663</v>
      </c>
      <c r="X781" t="s">
        <v>15664</v>
      </c>
      <c r="Y781" t="s">
        <v>15665</v>
      </c>
    </row>
    <row r="782" spans="1:25" x14ac:dyDescent="0.3">
      <c r="A782">
        <v>39050</v>
      </c>
      <c r="B782" t="s">
        <v>15666</v>
      </c>
      <c r="C782" t="s">
        <v>15667</v>
      </c>
      <c r="D782" t="s">
        <v>15668</v>
      </c>
      <c r="E782" t="s">
        <v>15669</v>
      </c>
      <c r="F782" t="s">
        <v>15670</v>
      </c>
      <c r="G782" t="s">
        <v>15671</v>
      </c>
      <c r="H782" t="s">
        <v>15672</v>
      </c>
      <c r="I782" t="s">
        <v>15673</v>
      </c>
      <c r="J782" t="s">
        <v>15674</v>
      </c>
      <c r="K782" t="s">
        <v>15675</v>
      </c>
      <c r="L782" t="s">
        <v>15676</v>
      </c>
      <c r="M782" t="s">
        <v>15677</v>
      </c>
      <c r="N782" t="s">
        <v>15678</v>
      </c>
      <c r="O782">
        <f>-932.921148232367 -19.5880268824735 -486.478576573044</f>
        <v>-1438.9877516878846</v>
      </c>
      <c r="P782">
        <f>-968.099264475819 -31.2850847138866 -194.559238034309</f>
        <v>-1193.9435872240147</v>
      </c>
      <c r="Q782" t="s">
        <v>15679</v>
      </c>
      <c r="R782" t="s">
        <v>15680</v>
      </c>
      <c r="S782" t="s">
        <v>15681</v>
      </c>
      <c r="T782" t="s">
        <v>15682</v>
      </c>
      <c r="U782" t="s">
        <v>15683</v>
      </c>
      <c r="V782" t="s">
        <v>15684</v>
      </c>
      <c r="W782" t="s">
        <v>15685</v>
      </c>
      <c r="X782" t="s">
        <v>15686</v>
      </c>
      <c r="Y782" t="s">
        <v>15687</v>
      </c>
    </row>
    <row r="783" spans="1:25" x14ac:dyDescent="0.3">
      <c r="A783">
        <v>39100</v>
      </c>
      <c r="B783" t="s">
        <v>15688</v>
      </c>
      <c r="C783" t="s">
        <v>15689</v>
      </c>
      <c r="D783" t="s">
        <v>15690</v>
      </c>
      <c r="E783" t="s">
        <v>15691</v>
      </c>
      <c r="F783" t="s">
        <v>15692</v>
      </c>
      <c r="G783" t="s">
        <v>15693</v>
      </c>
      <c r="H783" t="s">
        <v>15694</v>
      </c>
      <c r="I783" t="s">
        <v>15695</v>
      </c>
      <c r="J783" t="s">
        <v>15696</v>
      </c>
      <c r="K783" t="s">
        <v>15697</v>
      </c>
      <c r="L783" t="s">
        <v>15698</v>
      </c>
      <c r="M783" t="s">
        <v>15699</v>
      </c>
      <c r="N783" t="s">
        <v>15700</v>
      </c>
      <c r="O783">
        <f>-933.090920581592 -19.3567742582645 -486.31639965736</f>
        <v>-1438.7640944972165</v>
      </c>
      <c r="P783">
        <f>-968.742805658102 -30.3617992074028 -194.427701437572</f>
        <v>-1193.5323063030769</v>
      </c>
      <c r="Q783" t="s">
        <v>15701</v>
      </c>
      <c r="R783" t="s">
        <v>15702</v>
      </c>
      <c r="S783" t="s">
        <v>15703</v>
      </c>
      <c r="T783" t="s">
        <v>15704</v>
      </c>
      <c r="U783" t="s">
        <v>15705</v>
      </c>
      <c r="V783" t="s">
        <v>15706</v>
      </c>
      <c r="W783" t="s">
        <v>15707</v>
      </c>
      <c r="X783" t="s">
        <v>15708</v>
      </c>
      <c r="Y783" t="s">
        <v>15709</v>
      </c>
    </row>
    <row r="784" spans="1:25" x14ac:dyDescent="0.3">
      <c r="A784">
        <v>39150</v>
      </c>
      <c r="B784" t="s">
        <v>15710</v>
      </c>
      <c r="C784" t="s">
        <v>15711</v>
      </c>
      <c r="D784" t="s">
        <v>15712</v>
      </c>
      <c r="E784" t="s">
        <v>15713</v>
      </c>
      <c r="F784" t="s">
        <v>15714</v>
      </c>
      <c r="G784" t="s">
        <v>15715</v>
      </c>
      <c r="H784" t="s">
        <v>15716</v>
      </c>
      <c r="I784" t="s">
        <v>15717</v>
      </c>
      <c r="J784" t="s">
        <v>15718</v>
      </c>
      <c r="K784" t="s">
        <v>15719</v>
      </c>
      <c r="L784" t="s">
        <v>15720</v>
      </c>
      <c r="M784" t="s">
        <v>15721</v>
      </c>
      <c r="N784" t="s">
        <v>15722</v>
      </c>
      <c r="O784">
        <f>-932.909637410717 -19.1733854928475 -486.301308658685</f>
        <v>-1438.3843315622494</v>
      </c>
      <c r="P784">
        <f>-968.987576732424 -30.1022287665755 -194.462017383084</f>
        <v>-1193.5518228820836</v>
      </c>
      <c r="Q784" t="s">
        <v>15723</v>
      </c>
      <c r="R784" t="s">
        <v>15724</v>
      </c>
      <c r="S784" t="s">
        <v>15725</v>
      </c>
      <c r="T784" t="s">
        <v>15726</v>
      </c>
      <c r="U784" t="s">
        <v>15727</v>
      </c>
      <c r="V784" t="s">
        <v>15728</v>
      </c>
      <c r="W784" t="s">
        <v>15729</v>
      </c>
      <c r="X784" t="s">
        <v>15730</v>
      </c>
      <c r="Y784" t="s">
        <v>15731</v>
      </c>
    </row>
    <row r="785" spans="1:25" x14ac:dyDescent="0.3">
      <c r="A785">
        <v>39200</v>
      </c>
      <c r="B785" t="s">
        <v>15732</v>
      </c>
      <c r="C785" t="s">
        <v>15733</v>
      </c>
      <c r="D785" t="s">
        <v>15734</v>
      </c>
      <c r="E785" t="s">
        <v>15735</v>
      </c>
      <c r="F785" t="s">
        <v>15736</v>
      </c>
      <c r="G785" t="s">
        <v>15737</v>
      </c>
      <c r="H785" t="s">
        <v>15738</v>
      </c>
      <c r="I785" t="s">
        <v>15739</v>
      </c>
      <c r="J785" t="s">
        <v>15740</v>
      </c>
      <c r="K785" t="s">
        <v>15741</v>
      </c>
      <c r="L785" t="s">
        <v>15742</v>
      </c>
      <c r="M785" t="s">
        <v>15743</v>
      </c>
      <c r="N785" t="s">
        <v>15744</v>
      </c>
      <c r="O785">
        <f>-932.421450909244 -18.8590996775183 -486.278266680634</f>
        <v>-1437.5588172673963</v>
      </c>
      <c r="P785">
        <f>-969.509238038145 -29.2721150015227 -194.546892977459</f>
        <v>-1193.3282460171267</v>
      </c>
      <c r="Q785" t="s">
        <v>15745</v>
      </c>
      <c r="R785" t="s">
        <v>15746</v>
      </c>
      <c r="S785" t="s">
        <v>15747</v>
      </c>
      <c r="T785" t="s">
        <v>15748</v>
      </c>
      <c r="U785" t="s">
        <v>15749</v>
      </c>
      <c r="V785" t="s">
        <v>15750</v>
      </c>
      <c r="W785" t="s">
        <v>15751</v>
      </c>
      <c r="X785" t="s">
        <v>15752</v>
      </c>
      <c r="Y785" t="s">
        <v>15753</v>
      </c>
    </row>
    <row r="786" spans="1:25" x14ac:dyDescent="0.3">
      <c r="A786">
        <v>39250</v>
      </c>
      <c r="B786" t="s">
        <v>15754</v>
      </c>
      <c r="C786" t="s">
        <v>15755</v>
      </c>
      <c r="D786" t="s">
        <v>15756</v>
      </c>
      <c r="E786" t="s">
        <v>15757</v>
      </c>
      <c r="F786" t="s">
        <v>15758</v>
      </c>
      <c r="G786" t="s">
        <v>15759</v>
      </c>
      <c r="H786" t="s">
        <v>15760</v>
      </c>
      <c r="I786" t="s">
        <v>15761</v>
      </c>
      <c r="J786" t="s">
        <v>15762</v>
      </c>
      <c r="K786" t="s">
        <v>15763</v>
      </c>
      <c r="L786" t="s">
        <v>15764</v>
      </c>
      <c r="M786" t="s">
        <v>15765</v>
      </c>
      <c r="N786" t="s">
        <v>15766</v>
      </c>
      <c r="O786">
        <f>-932.36473483905 -18.6544287709821 -486.218534035808</f>
        <v>-1437.2376976458402</v>
      </c>
      <c r="P786">
        <f>-970.003418110283 -28.7773700609946 -194.547445430683</f>
        <v>-1193.3282336019606</v>
      </c>
      <c r="Q786" t="s">
        <v>15767</v>
      </c>
      <c r="R786" t="s">
        <v>15768</v>
      </c>
      <c r="S786" t="s">
        <v>15769</v>
      </c>
      <c r="T786" t="s">
        <v>15770</v>
      </c>
      <c r="U786" t="s">
        <v>15771</v>
      </c>
      <c r="V786" t="s">
        <v>15772</v>
      </c>
      <c r="W786" t="s">
        <v>15773</v>
      </c>
      <c r="X786" t="s">
        <v>15774</v>
      </c>
      <c r="Y786" t="s">
        <v>15775</v>
      </c>
    </row>
    <row r="787" spans="1:25" x14ac:dyDescent="0.3">
      <c r="A787">
        <v>39300</v>
      </c>
      <c r="B787" t="s">
        <v>15776</v>
      </c>
      <c r="C787" t="s">
        <v>15777</v>
      </c>
      <c r="D787" t="s">
        <v>15778</v>
      </c>
      <c r="E787" t="s">
        <v>15779</v>
      </c>
      <c r="F787" t="s">
        <v>15780</v>
      </c>
      <c r="G787" t="s">
        <v>15781</v>
      </c>
      <c r="H787" t="s">
        <v>15782</v>
      </c>
      <c r="I787" t="s">
        <v>15783</v>
      </c>
      <c r="J787" t="s">
        <v>15784</v>
      </c>
      <c r="K787" t="s">
        <v>15785</v>
      </c>
      <c r="L787" t="s">
        <v>15786</v>
      </c>
      <c r="M787" t="s">
        <v>15787</v>
      </c>
      <c r="N787" t="s">
        <v>15788</v>
      </c>
      <c r="O787">
        <f>-932.326067195753 -17.9973310482537 -486.025041702549</f>
        <v>-1436.3484399465558</v>
      </c>
      <c r="P787">
        <f>-970.806930313702 -27.2440130077343 -194.434498009506</f>
        <v>-1192.4854413309422</v>
      </c>
      <c r="Q787" t="s">
        <v>15789</v>
      </c>
      <c r="R787" t="s">
        <v>15790</v>
      </c>
      <c r="S787" t="s">
        <v>15791</v>
      </c>
      <c r="T787" t="s">
        <v>15792</v>
      </c>
      <c r="U787" t="s">
        <v>15793</v>
      </c>
      <c r="V787" t="s">
        <v>15794</v>
      </c>
      <c r="W787" t="s">
        <v>15795</v>
      </c>
      <c r="X787" t="s">
        <v>15796</v>
      </c>
      <c r="Y787" t="s">
        <v>15797</v>
      </c>
    </row>
    <row r="788" spans="1:25" x14ac:dyDescent="0.3">
      <c r="A788">
        <v>39350</v>
      </c>
      <c r="B788" t="s">
        <v>15798</v>
      </c>
      <c r="C788" t="s">
        <v>15799</v>
      </c>
      <c r="D788" t="s">
        <v>15800</v>
      </c>
      <c r="E788" t="s">
        <v>15801</v>
      </c>
      <c r="F788" t="s">
        <v>15802</v>
      </c>
      <c r="G788" t="s">
        <v>15803</v>
      </c>
      <c r="H788" t="s">
        <v>15804</v>
      </c>
      <c r="I788" t="s">
        <v>15805</v>
      </c>
      <c r="J788" t="s">
        <v>15806</v>
      </c>
      <c r="K788" t="s">
        <v>15807</v>
      </c>
      <c r="L788" t="s">
        <v>15808</v>
      </c>
      <c r="M788" t="s">
        <v>15809</v>
      </c>
      <c r="N788" t="s">
        <v>15810</v>
      </c>
      <c r="O788">
        <f>-932.376107490284 -17.5252428529689 -485.94648090625</f>
        <v>-1435.8478312495029</v>
      </c>
      <c r="P788">
        <f>-971.095931320848 -26.2776855365978 -194.372481825847</f>
        <v>-1191.7460986832928</v>
      </c>
      <c r="Q788" t="s">
        <v>15811</v>
      </c>
      <c r="R788" t="s">
        <v>15812</v>
      </c>
      <c r="S788" t="s">
        <v>15813</v>
      </c>
      <c r="T788" t="s">
        <v>15814</v>
      </c>
      <c r="U788" t="s">
        <v>15815</v>
      </c>
      <c r="V788" t="s">
        <v>15816</v>
      </c>
      <c r="W788" t="s">
        <v>15817</v>
      </c>
      <c r="X788" t="s">
        <v>15818</v>
      </c>
      <c r="Y788" t="s">
        <v>15819</v>
      </c>
    </row>
    <row r="789" spans="1:25" x14ac:dyDescent="0.3">
      <c r="A789">
        <v>39400</v>
      </c>
      <c r="B789" t="s">
        <v>15820</v>
      </c>
      <c r="C789" t="s">
        <v>15821</v>
      </c>
      <c r="D789" t="s">
        <v>15822</v>
      </c>
      <c r="E789" t="s">
        <v>15823</v>
      </c>
      <c r="F789" t="s">
        <v>15824</v>
      </c>
      <c r="G789" t="s">
        <v>15825</v>
      </c>
      <c r="H789" t="s">
        <v>15826</v>
      </c>
      <c r="I789" t="s">
        <v>15827</v>
      </c>
      <c r="J789" t="s">
        <v>15828</v>
      </c>
      <c r="K789" t="s">
        <v>15829</v>
      </c>
      <c r="L789" t="s">
        <v>15830</v>
      </c>
      <c r="M789" t="s">
        <v>15831</v>
      </c>
      <c r="N789" t="s">
        <v>15832</v>
      </c>
      <c r="O789">
        <f>-932.285373732459 -16.8389336587657 -485.819177392206</f>
        <v>-1434.9434847834307</v>
      </c>
      <c r="P789">
        <f>-971.19882787783 -25.0508753539343 -194.255150463122</f>
        <v>-1190.5048536948864</v>
      </c>
      <c r="Q789" t="s">
        <v>15833</v>
      </c>
      <c r="R789" t="s">
        <v>15834</v>
      </c>
      <c r="S789" t="s">
        <v>15835</v>
      </c>
      <c r="T789" t="s">
        <v>15836</v>
      </c>
      <c r="U789" t="s">
        <v>15837</v>
      </c>
      <c r="V789" t="s">
        <v>15838</v>
      </c>
      <c r="W789" t="s">
        <v>15839</v>
      </c>
      <c r="X789" t="s">
        <v>15840</v>
      </c>
      <c r="Y789" t="s">
        <v>15841</v>
      </c>
    </row>
    <row r="790" spans="1:25" x14ac:dyDescent="0.3">
      <c r="A790">
        <v>39450</v>
      </c>
      <c r="B790" t="s">
        <v>15842</v>
      </c>
      <c r="C790" t="s">
        <v>15843</v>
      </c>
      <c r="D790" t="s">
        <v>15844</v>
      </c>
      <c r="E790" t="s">
        <v>15845</v>
      </c>
      <c r="F790" t="s">
        <v>15846</v>
      </c>
      <c r="G790" t="s">
        <v>15847</v>
      </c>
      <c r="H790" t="s">
        <v>15848</v>
      </c>
      <c r="I790" t="s">
        <v>15849</v>
      </c>
      <c r="J790" t="s">
        <v>15850</v>
      </c>
      <c r="K790" t="s">
        <v>15851</v>
      </c>
      <c r="L790" t="s">
        <v>15852</v>
      </c>
      <c r="M790" t="s">
        <v>15853</v>
      </c>
      <c r="N790" t="s">
        <v>15854</v>
      </c>
      <c r="O790">
        <f>-931.895488811326 -16.2325577039114 -485.645760636187</f>
        <v>-1433.7738071514245</v>
      </c>
      <c r="P790">
        <f>-970.849972947776 -24.0331259104642 -194.075925174455</f>
        <v>-1188.9590240326952</v>
      </c>
      <c r="Q790" t="s">
        <v>15855</v>
      </c>
      <c r="R790" t="s">
        <v>15856</v>
      </c>
      <c r="S790" t="s">
        <v>15857</v>
      </c>
      <c r="T790" t="s">
        <v>15858</v>
      </c>
      <c r="U790" t="s">
        <v>15859</v>
      </c>
      <c r="V790" t="s">
        <v>15860</v>
      </c>
      <c r="W790" t="s">
        <v>15861</v>
      </c>
      <c r="X790" t="s">
        <v>15862</v>
      </c>
      <c r="Y790" t="s">
        <v>15863</v>
      </c>
    </row>
    <row r="791" spans="1:25" x14ac:dyDescent="0.3">
      <c r="A791">
        <v>39500</v>
      </c>
      <c r="B791" t="s">
        <v>15864</v>
      </c>
      <c r="C791" t="s">
        <v>15865</v>
      </c>
      <c r="D791" t="s">
        <v>15866</v>
      </c>
      <c r="E791" t="s">
        <v>15867</v>
      </c>
      <c r="F791" t="s">
        <v>15868</v>
      </c>
      <c r="G791" t="s">
        <v>15869</v>
      </c>
      <c r="H791" t="s">
        <v>15870</v>
      </c>
      <c r="I791" t="s">
        <v>15871</v>
      </c>
      <c r="J791" t="s">
        <v>15872</v>
      </c>
      <c r="K791" t="s">
        <v>15873</v>
      </c>
      <c r="L791" t="s">
        <v>15874</v>
      </c>
      <c r="M791" t="s">
        <v>15875</v>
      </c>
      <c r="N791" t="s">
        <v>15876</v>
      </c>
      <c r="O791">
        <f>-931.382299315211 -15.4369696684371 -485.400998509979</f>
        <v>-1432.220267493627</v>
      </c>
      <c r="P791">
        <f>-970.099723625322 -22.9457282975877 -193.792077423887</f>
        <v>-1186.8375293467966</v>
      </c>
      <c r="Q791" t="s">
        <v>15877</v>
      </c>
      <c r="R791" t="s">
        <v>15878</v>
      </c>
      <c r="S791" t="s">
        <v>15879</v>
      </c>
      <c r="T791" t="s">
        <v>15880</v>
      </c>
      <c r="U791" t="s">
        <v>15881</v>
      </c>
      <c r="V791" t="s">
        <v>15882</v>
      </c>
      <c r="W791" t="s">
        <v>15883</v>
      </c>
      <c r="X791" t="s">
        <v>15884</v>
      </c>
      <c r="Y791" t="s">
        <v>15885</v>
      </c>
    </row>
    <row r="792" spans="1:25" x14ac:dyDescent="0.3">
      <c r="A792">
        <v>39550</v>
      </c>
      <c r="B792" t="s">
        <v>15886</v>
      </c>
      <c r="C792" t="s">
        <v>15887</v>
      </c>
      <c r="D792" t="s">
        <v>15888</v>
      </c>
      <c r="E792" t="s">
        <v>15889</v>
      </c>
      <c r="F792" t="s">
        <v>15890</v>
      </c>
      <c r="G792" t="s">
        <v>15891</v>
      </c>
      <c r="H792" t="s">
        <v>15892</v>
      </c>
      <c r="I792" t="s">
        <v>15893</v>
      </c>
      <c r="J792" t="s">
        <v>15894</v>
      </c>
      <c r="K792" t="s">
        <v>15895</v>
      </c>
      <c r="L792" t="s">
        <v>15896</v>
      </c>
      <c r="M792" t="s">
        <v>15897</v>
      </c>
      <c r="N792" t="s">
        <v>15898</v>
      </c>
      <c r="O792">
        <f>-931.170127529818 -15.0214379983381 -485.321422340352</f>
        <v>-1431.5129878685082</v>
      </c>
      <c r="P792">
        <f>-969.700671889583 -22.2933009775215 -193.681806679666</f>
        <v>-1185.6757795467706</v>
      </c>
      <c r="Q792" t="s">
        <v>15899</v>
      </c>
      <c r="R792" t="s">
        <v>15900</v>
      </c>
      <c r="S792" t="s">
        <v>15901</v>
      </c>
      <c r="T792" t="s">
        <v>15902</v>
      </c>
      <c r="U792" t="s">
        <v>15903</v>
      </c>
      <c r="V792" t="s">
        <v>15904</v>
      </c>
      <c r="W792" t="s">
        <v>15905</v>
      </c>
      <c r="X792" t="s">
        <v>15906</v>
      </c>
      <c r="Y792" t="s">
        <v>15907</v>
      </c>
    </row>
    <row r="793" spans="1:25" x14ac:dyDescent="0.3">
      <c r="A793">
        <v>39600</v>
      </c>
      <c r="B793" t="s">
        <v>15908</v>
      </c>
      <c r="C793" t="s">
        <v>15909</v>
      </c>
      <c r="D793" t="s">
        <v>15910</v>
      </c>
      <c r="E793" t="s">
        <v>15911</v>
      </c>
      <c r="F793" t="s">
        <v>15912</v>
      </c>
      <c r="G793" t="s">
        <v>15913</v>
      </c>
      <c r="H793" t="s">
        <v>15914</v>
      </c>
      <c r="I793" t="s">
        <v>15915</v>
      </c>
      <c r="J793" t="s">
        <v>15916</v>
      </c>
      <c r="K793" t="s">
        <v>15917</v>
      </c>
      <c r="L793" t="s">
        <v>15918</v>
      </c>
      <c r="M793" t="s">
        <v>15919</v>
      </c>
      <c r="N793" t="s">
        <v>15920</v>
      </c>
      <c r="O793">
        <f>-930.666181100826 -14.2314507199612 -485.200336569127</f>
        <v>-1430.0979683899141</v>
      </c>
      <c r="P793">
        <f>-968.818226335922 -21.1093217538605 -193.50145907842</f>
        <v>-1183.4290071682026</v>
      </c>
      <c r="Q793" t="s">
        <v>15921</v>
      </c>
      <c r="R793" t="s">
        <v>15922</v>
      </c>
      <c r="S793" t="s">
        <v>15923</v>
      </c>
      <c r="T793" t="s">
        <v>15924</v>
      </c>
      <c r="U793" t="s">
        <v>15925</v>
      </c>
      <c r="V793" t="s">
        <v>15926</v>
      </c>
      <c r="W793" t="s">
        <v>15927</v>
      </c>
      <c r="X793" t="s">
        <v>15928</v>
      </c>
      <c r="Y793" t="s">
        <v>15929</v>
      </c>
    </row>
    <row r="794" spans="1:25" x14ac:dyDescent="0.3">
      <c r="A794">
        <v>39650</v>
      </c>
      <c r="B794" t="s">
        <v>15930</v>
      </c>
      <c r="C794" t="s">
        <v>15931</v>
      </c>
      <c r="D794" t="s">
        <v>15932</v>
      </c>
      <c r="E794" t="s">
        <v>15933</v>
      </c>
      <c r="F794" t="s">
        <v>15934</v>
      </c>
      <c r="G794" t="s">
        <v>15935</v>
      </c>
      <c r="H794" t="s">
        <v>15936</v>
      </c>
      <c r="I794" t="s">
        <v>15937</v>
      </c>
      <c r="J794" t="s">
        <v>15938</v>
      </c>
      <c r="K794" t="s">
        <v>15939</v>
      </c>
      <c r="L794" t="s">
        <v>15940</v>
      </c>
      <c r="M794" t="s">
        <v>15941</v>
      </c>
      <c r="N794" t="s">
        <v>15942</v>
      </c>
      <c r="O794">
        <f>-930.433940074519 -13.8842034796003 -485.139710223948</f>
        <v>-1429.4578537780671</v>
      </c>
      <c r="P794">
        <f>-968.412470928065 -20.5670248814076 -193.41353682539</f>
        <v>-1182.3930326348627</v>
      </c>
      <c r="Q794" t="s">
        <v>15943</v>
      </c>
      <c r="R794" t="s">
        <v>15944</v>
      </c>
      <c r="S794" t="s">
        <v>15945</v>
      </c>
      <c r="T794" t="s">
        <v>15946</v>
      </c>
      <c r="U794" t="s">
        <v>15947</v>
      </c>
      <c r="V794" t="s">
        <v>15948</v>
      </c>
      <c r="W794" t="s">
        <v>15949</v>
      </c>
      <c r="X794" t="s">
        <v>15950</v>
      </c>
      <c r="Y794" t="s">
        <v>15951</v>
      </c>
    </row>
    <row r="795" spans="1:25" x14ac:dyDescent="0.3">
      <c r="A795">
        <v>39700</v>
      </c>
      <c r="B795" t="s">
        <v>15952</v>
      </c>
      <c r="C795" t="s">
        <v>15953</v>
      </c>
      <c r="D795" t="s">
        <v>15954</v>
      </c>
      <c r="E795" t="s">
        <v>15955</v>
      </c>
      <c r="F795" t="s">
        <v>15956</v>
      </c>
      <c r="G795" t="s">
        <v>15957</v>
      </c>
      <c r="H795" t="s">
        <v>15958</v>
      </c>
      <c r="I795" t="s">
        <v>15959</v>
      </c>
      <c r="J795" t="s">
        <v>15960</v>
      </c>
      <c r="K795" t="s">
        <v>15961</v>
      </c>
      <c r="L795" t="s">
        <v>15962</v>
      </c>
      <c r="M795" t="s">
        <v>15963</v>
      </c>
      <c r="N795" t="s">
        <v>15964</v>
      </c>
      <c r="O795">
        <f>-930.068301756351 -13.4403744543938 -485.002164428641</f>
        <v>-1428.5108406393858</v>
      </c>
      <c r="P795">
        <f>-967.739758449724 -19.8381052286118 -193.229779906357</f>
        <v>-1180.8076435846929</v>
      </c>
      <c r="Q795" t="s">
        <v>15965</v>
      </c>
      <c r="R795" t="s">
        <v>15966</v>
      </c>
      <c r="S795" t="s">
        <v>15967</v>
      </c>
      <c r="T795" t="s">
        <v>15968</v>
      </c>
      <c r="U795" t="s">
        <v>15969</v>
      </c>
      <c r="V795" t="s">
        <v>15970</v>
      </c>
      <c r="W795" t="s">
        <v>15971</v>
      </c>
      <c r="X795" t="s">
        <v>15972</v>
      </c>
      <c r="Y795" t="s">
        <v>15973</v>
      </c>
    </row>
    <row r="796" spans="1:25" x14ac:dyDescent="0.3">
      <c r="A796">
        <v>39750</v>
      </c>
      <c r="B796" t="s">
        <v>15974</v>
      </c>
      <c r="C796" t="s">
        <v>15975</v>
      </c>
      <c r="D796" t="s">
        <v>15976</v>
      </c>
      <c r="E796" t="s">
        <v>15977</v>
      </c>
      <c r="F796" t="s">
        <v>15978</v>
      </c>
      <c r="G796" t="s">
        <v>15979</v>
      </c>
      <c r="H796" t="s">
        <v>15980</v>
      </c>
      <c r="I796" t="s">
        <v>15981</v>
      </c>
      <c r="J796" t="s">
        <v>15982</v>
      </c>
      <c r="K796" t="s">
        <v>15983</v>
      </c>
      <c r="L796" t="s">
        <v>15984</v>
      </c>
      <c r="M796" t="s">
        <v>15985</v>
      </c>
      <c r="N796" t="s">
        <v>15986</v>
      </c>
      <c r="O796">
        <f>-929.735153471783 -13.21624081441 -484.963684623781</f>
        <v>-1427.915078909974</v>
      </c>
      <c r="P796">
        <f>-967.50658268967 -19.5444057752916 -193.20270063387</f>
        <v>-1180.2536890988317</v>
      </c>
      <c r="Q796" t="s">
        <v>15987</v>
      </c>
      <c r="R796" t="s">
        <v>15988</v>
      </c>
      <c r="S796" t="s">
        <v>15989</v>
      </c>
      <c r="T796" t="s">
        <v>15990</v>
      </c>
      <c r="U796" t="s">
        <v>15991</v>
      </c>
      <c r="V796" t="s">
        <v>15992</v>
      </c>
      <c r="W796" t="s">
        <v>15993</v>
      </c>
      <c r="X796" t="s">
        <v>15994</v>
      </c>
      <c r="Y796" t="s">
        <v>15995</v>
      </c>
    </row>
    <row r="797" spans="1:25" x14ac:dyDescent="0.3">
      <c r="A797">
        <v>39800</v>
      </c>
      <c r="B797" t="s">
        <v>15996</v>
      </c>
      <c r="C797" t="s">
        <v>15997</v>
      </c>
      <c r="D797" t="s">
        <v>15998</v>
      </c>
      <c r="E797" t="s">
        <v>15999</v>
      </c>
      <c r="F797" t="s">
        <v>16000</v>
      </c>
      <c r="G797" t="s">
        <v>16001</v>
      </c>
      <c r="H797" t="s">
        <v>16002</v>
      </c>
      <c r="I797" t="s">
        <v>16003</v>
      </c>
      <c r="J797" t="s">
        <v>16004</v>
      </c>
      <c r="K797" t="s">
        <v>16005</v>
      </c>
      <c r="L797" t="s">
        <v>16006</v>
      </c>
      <c r="M797" t="s">
        <v>16007</v>
      </c>
      <c r="N797" t="s">
        <v>16008</v>
      </c>
      <c r="O797">
        <f>-929.182262500479 -12.8465220327271 -484.985431871631</f>
        <v>-1427.014216404837</v>
      </c>
      <c r="P797">
        <f>-967.315888693267 -19.1238662786677 -193.270579793799</f>
        <v>-1179.7103347657337</v>
      </c>
      <c r="Q797" t="s">
        <v>16009</v>
      </c>
      <c r="R797" t="s">
        <v>16010</v>
      </c>
      <c r="S797" t="s">
        <v>16011</v>
      </c>
      <c r="T797" t="s">
        <v>16012</v>
      </c>
      <c r="U797" t="s">
        <v>16013</v>
      </c>
      <c r="V797" t="s">
        <v>16014</v>
      </c>
      <c r="W797" t="s">
        <v>16015</v>
      </c>
      <c r="X797" t="s">
        <v>16016</v>
      </c>
      <c r="Y797" t="s">
        <v>16017</v>
      </c>
    </row>
    <row r="798" spans="1:25" x14ac:dyDescent="0.3">
      <c r="A798">
        <v>39850</v>
      </c>
      <c r="B798" t="s">
        <v>16018</v>
      </c>
      <c r="C798" t="s">
        <v>16019</v>
      </c>
      <c r="D798" t="s">
        <v>16020</v>
      </c>
      <c r="E798" t="s">
        <v>16021</v>
      </c>
      <c r="F798" t="s">
        <v>16022</v>
      </c>
      <c r="G798" t="s">
        <v>16023</v>
      </c>
      <c r="H798" t="s">
        <v>16024</v>
      </c>
      <c r="I798" t="s">
        <v>16025</v>
      </c>
      <c r="J798" t="s">
        <v>16026</v>
      </c>
      <c r="K798" t="s">
        <v>16027</v>
      </c>
      <c r="L798" t="s">
        <v>16028</v>
      </c>
      <c r="M798" t="s">
        <v>16029</v>
      </c>
      <c r="N798" t="s">
        <v>16030</v>
      </c>
      <c r="O798">
        <f>-928.974119469742 -12.6389785364281 -485.003514013375</f>
        <v>-1426.6166120195453</v>
      </c>
      <c r="P798">
        <f>-967.23806569514 -18.986303270236 -193.307202628107</f>
        <v>-1179.531571593483</v>
      </c>
      <c r="Q798" t="s">
        <v>16031</v>
      </c>
      <c r="R798" t="s">
        <v>16032</v>
      </c>
      <c r="S798" t="s">
        <v>16033</v>
      </c>
      <c r="T798" t="s">
        <v>16034</v>
      </c>
      <c r="U798" t="s">
        <v>16035</v>
      </c>
      <c r="V798" t="s">
        <v>16036</v>
      </c>
      <c r="W798" t="s">
        <v>16037</v>
      </c>
      <c r="X798" t="s">
        <v>16038</v>
      </c>
      <c r="Y798" t="s">
        <v>16039</v>
      </c>
    </row>
    <row r="799" spans="1:25" x14ac:dyDescent="0.3">
      <c r="A799">
        <v>39900</v>
      </c>
      <c r="B799" t="s">
        <v>16040</v>
      </c>
      <c r="C799" t="s">
        <v>16041</v>
      </c>
      <c r="D799" t="s">
        <v>16042</v>
      </c>
      <c r="E799" t="s">
        <v>16043</v>
      </c>
      <c r="F799" t="s">
        <v>16044</v>
      </c>
      <c r="G799" t="s">
        <v>16045</v>
      </c>
      <c r="H799" t="s">
        <v>16046</v>
      </c>
      <c r="I799" t="s">
        <v>16047</v>
      </c>
      <c r="J799" t="s">
        <v>16048</v>
      </c>
      <c r="K799" t="s">
        <v>16049</v>
      </c>
      <c r="L799" t="s">
        <v>16050</v>
      </c>
      <c r="M799" t="s">
        <v>16051</v>
      </c>
      <c r="N799" t="s">
        <v>16052</v>
      </c>
      <c r="O799">
        <f>-928.5474651918 -12.4750865521637 -484.954612792037</f>
        <v>-1425.9771645360006</v>
      </c>
      <c r="P799">
        <f>-967.081565824818 -18.7657498038079 -193.292519455271</f>
        <v>-1179.139835083897</v>
      </c>
      <c r="Q799" t="s">
        <v>16053</v>
      </c>
      <c r="R799" t="s">
        <v>16054</v>
      </c>
      <c r="S799" t="s">
        <v>16055</v>
      </c>
      <c r="T799" t="s">
        <v>16056</v>
      </c>
      <c r="U799" t="s">
        <v>16057</v>
      </c>
      <c r="V799" t="s">
        <v>16058</v>
      </c>
      <c r="W799" t="s">
        <v>16059</v>
      </c>
      <c r="X799" t="s">
        <v>16060</v>
      </c>
      <c r="Y799" t="s">
        <v>16061</v>
      </c>
    </row>
    <row r="800" spans="1:25" x14ac:dyDescent="0.3">
      <c r="A800">
        <v>39950</v>
      </c>
      <c r="B800" t="s">
        <v>16062</v>
      </c>
      <c r="C800" t="s">
        <v>16063</v>
      </c>
      <c r="D800" t="s">
        <v>16064</v>
      </c>
      <c r="E800" t="s">
        <v>16065</v>
      </c>
      <c r="F800" t="s">
        <v>16066</v>
      </c>
      <c r="G800" t="s">
        <v>16067</v>
      </c>
      <c r="H800" t="s">
        <v>16068</v>
      </c>
      <c r="I800" t="s">
        <v>16069</v>
      </c>
      <c r="J800" t="s">
        <v>16070</v>
      </c>
      <c r="K800" t="s">
        <v>16071</v>
      </c>
      <c r="L800" t="s">
        <v>16072</v>
      </c>
      <c r="M800" t="s">
        <v>16073</v>
      </c>
      <c r="N800" t="s">
        <v>16074</v>
      </c>
      <c r="O800">
        <f>-928.340595766385 -12.3861841352145 -484.897178532194</f>
        <v>-1425.6239584337936</v>
      </c>
      <c r="P800">
        <f>-967.049545612427 -18.4426332954426 -193.253264749225</f>
        <v>-1178.7454436570947</v>
      </c>
      <c r="Q800" t="s">
        <v>16075</v>
      </c>
      <c r="R800" t="s">
        <v>16076</v>
      </c>
      <c r="S800" t="s">
        <v>16077</v>
      </c>
      <c r="T800" t="s">
        <v>16078</v>
      </c>
      <c r="U800" t="s">
        <v>16079</v>
      </c>
      <c r="V800" t="s">
        <v>16080</v>
      </c>
      <c r="W800" t="s">
        <v>16081</v>
      </c>
      <c r="X800" t="s">
        <v>16082</v>
      </c>
      <c r="Y800" t="s">
        <v>16083</v>
      </c>
    </row>
    <row r="801" spans="1:25" x14ac:dyDescent="0.3">
      <c r="A801">
        <v>40000</v>
      </c>
      <c r="B801" t="s">
        <v>16084</v>
      </c>
      <c r="C801" t="s">
        <v>16085</v>
      </c>
      <c r="D801" t="s">
        <v>16086</v>
      </c>
      <c r="E801" t="s">
        <v>16087</v>
      </c>
      <c r="F801" t="s">
        <v>16088</v>
      </c>
      <c r="G801" t="s">
        <v>16089</v>
      </c>
      <c r="H801" t="s">
        <v>16090</v>
      </c>
      <c r="I801" t="s">
        <v>16091</v>
      </c>
      <c r="J801" t="s">
        <v>16092</v>
      </c>
      <c r="K801" t="s">
        <v>16093</v>
      </c>
      <c r="L801" t="s">
        <v>16094</v>
      </c>
      <c r="M801" t="s">
        <v>16095</v>
      </c>
      <c r="N801" t="s">
        <v>16096</v>
      </c>
      <c r="O801">
        <f>-927.90450975425 -12.2727630606119 -484.780908222401</f>
        <v>-1424.9581810372629</v>
      </c>
      <c r="P801">
        <f>-967.023866805934 -17.706847745359 -193.179633040147</f>
        <v>-1177.9103475914399</v>
      </c>
      <c r="Q801" t="s">
        <v>16097</v>
      </c>
      <c r="R801" t="s">
        <v>16098</v>
      </c>
      <c r="S801" t="s">
        <v>16099</v>
      </c>
      <c r="T801" t="s">
        <v>16100</v>
      </c>
      <c r="U801" t="s">
        <v>16101</v>
      </c>
      <c r="V801" t="s">
        <v>16102</v>
      </c>
      <c r="W801" t="s">
        <v>16103</v>
      </c>
      <c r="X801" t="s">
        <v>16104</v>
      </c>
      <c r="Y801" t="s">
        <v>16105</v>
      </c>
    </row>
    <row r="802" spans="1:25" x14ac:dyDescent="0.3">
      <c r="A802">
        <v>40050</v>
      </c>
      <c r="B802" t="s">
        <v>16106</v>
      </c>
      <c r="C802" t="s">
        <v>16107</v>
      </c>
      <c r="D802" t="s">
        <v>16108</v>
      </c>
      <c r="E802" t="s">
        <v>16109</v>
      </c>
      <c r="F802" t="s">
        <v>16110</v>
      </c>
      <c r="G802" t="s">
        <v>16111</v>
      </c>
      <c r="H802" t="s">
        <v>16112</v>
      </c>
      <c r="I802" t="s">
        <v>16113</v>
      </c>
      <c r="J802" t="s">
        <v>16114</v>
      </c>
      <c r="K802" t="s">
        <v>16115</v>
      </c>
      <c r="L802" t="s">
        <v>16116</v>
      </c>
      <c r="M802" t="s">
        <v>16117</v>
      </c>
      <c r="N802" t="s">
        <v>16118</v>
      </c>
      <c r="O802">
        <f>-927.665126579677 -12.2594902295696 -484.737303346503</f>
        <v>-1424.6619201557496</v>
      </c>
      <c r="P802">
        <f>-967.071790880533 -17.4421862118938 -193.170002048931</f>
        <v>-1177.6839791413577</v>
      </c>
      <c r="Q802" t="s">
        <v>16119</v>
      </c>
      <c r="R802" t="s">
        <v>16120</v>
      </c>
      <c r="S802" t="s">
        <v>16121</v>
      </c>
      <c r="T802" t="s">
        <v>16122</v>
      </c>
      <c r="U802" t="s">
        <v>16123</v>
      </c>
      <c r="V802" t="s">
        <v>16124</v>
      </c>
      <c r="W802" t="s">
        <v>16125</v>
      </c>
      <c r="X802" t="s">
        <v>16126</v>
      </c>
      <c r="Y802" t="s">
        <v>16127</v>
      </c>
    </row>
    <row r="803" spans="1:25" x14ac:dyDescent="0.3">
      <c r="A803">
        <v>40100</v>
      </c>
      <c r="B803" t="s">
        <v>16128</v>
      </c>
      <c r="C803" t="s">
        <v>16129</v>
      </c>
      <c r="D803" t="s">
        <v>16130</v>
      </c>
      <c r="E803" t="s">
        <v>16131</v>
      </c>
      <c r="F803" t="s">
        <v>16132</v>
      </c>
      <c r="G803" t="s">
        <v>16133</v>
      </c>
      <c r="H803" t="s">
        <v>16134</v>
      </c>
      <c r="I803" t="s">
        <v>16135</v>
      </c>
      <c r="J803" t="s">
        <v>16136</v>
      </c>
      <c r="K803" t="s">
        <v>16137</v>
      </c>
      <c r="L803" t="s">
        <v>16138</v>
      </c>
      <c r="M803" t="s">
        <v>16139</v>
      </c>
      <c r="N803" t="s">
        <v>16140</v>
      </c>
      <c r="O803">
        <f>-927.186938109474 -12.3387930883946 -484.562206957543</f>
        <v>-1424.0879381554116</v>
      </c>
      <c r="P803">
        <f>-967.067633623827 -17.0036431233389 -193.050608001808</f>
        <v>-1177.1218847489738</v>
      </c>
      <c r="Q803" t="s">
        <v>16141</v>
      </c>
      <c r="R803" t="s">
        <v>16142</v>
      </c>
      <c r="S803" t="s">
        <v>16143</v>
      </c>
      <c r="T803" t="s">
        <v>16144</v>
      </c>
      <c r="U803" t="s">
        <v>16145</v>
      </c>
      <c r="V803" t="s">
        <v>16146</v>
      </c>
      <c r="W803" t="s">
        <v>16147</v>
      </c>
      <c r="X803" t="s">
        <v>16148</v>
      </c>
      <c r="Y803" t="s">
        <v>16149</v>
      </c>
    </row>
    <row r="804" spans="1:25" x14ac:dyDescent="0.3">
      <c r="A804">
        <v>40150</v>
      </c>
      <c r="B804" t="s">
        <v>16150</v>
      </c>
      <c r="C804" t="s">
        <v>16151</v>
      </c>
      <c r="D804" t="s">
        <v>16152</v>
      </c>
      <c r="E804" t="s">
        <v>16153</v>
      </c>
      <c r="F804" t="s">
        <v>16154</v>
      </c>
      <c r="G804" t="s">
        <v>16155</v>
      </c>
      <c r="H804" t="s">
        <v>16156</v>
      </c>
      <c r="I804" t="s">
        <v>16157</v>
      </c>
      <c r="J804" t="s">
        <v>16158</v>
      </c>
      <c r="K804" t="s">
        <v>16159</v>
      </c>
      <c r="L804" t="s">
        <v>16160</v>
      </c>
      <c r="M804" t="s">
        <v>16161</v>
      </c>
      <c r="N804" t="s">
        <v>16162</v>
      </c>
      <c r="O804">
        <f>-926.965209146154 -12.2905139741688 -484.421461396646</f>
        <v>-1423.6771845169687</v>
      </c>
      <c r="P804">
        <f>-967.091981892121 -16.7151818138464 -192.939994001474</f>
        <v>-1176.7471577074414</v>
      </c>
      <c r="Q804" t="s">
        <v>16163</v>
      </c>
      <c r="R804" t="s">
        <v>16164</v>
      </c>
      <c r="S804" t="s">
        <v>16165</v>
      </c>
      <c r="T804" t="s">
        <v>16166</v>
      </c>
      <c r="U804" t="s">
        <v>16167</v>
      </c>
      <c r="V804" t="s">
        <v>16168</v>
      </c>
      <c r="W804" t="s">
        <v>16169</v>
      </c>
      <c r="X804" t="s">
        <v>16170</v>
      </c>
      <c r="Y804" t="s">
        <v>16171</v>
      </c>
    </row>
    <row r="805" spans="1:25" x14ac:dyDescent="0.3">
      <c r="A805">
        <v>40200</v>
      </c>
      <c r="B805" t="s">
        <v>16172</v>
      </c>
      <c r="C805" t="s">
        <v>16173</v>
      </c>
      <c r="D805" t="s">
        <v>16174</v>
      </c>
      <c r="E805" t="s">
        <v>16175</v>
      </c>
      <c r="F805" t="s">
        <v>16176</v>
      </c>
      <c r="G805" t="s">
        <v>16177</v>
      </c>
      <c r="H805" t="s">
        <v>16178</v>
      </c>
      <c r="I805" t="s">
        <v>16179</v>
      </c>
      <c r="J805" t="s">
        <v>16180</v>
      </c>
      <c r="K805" t="s">
        <v>16181</v>
      </c>
      <c r="L805" t="s">
        <v>16182</v>
      </c>
      <c r="M805" t="s">
        <v>16183</v>
      </c>
      <c r="N805" t="s">
        <v>16184</v>
      </c>
      <c r="O805">
        <f>-926.627355895636 -12.3810924070031 -484.148939310902</f>
        <v>-1423.157387613541</v>
      </c>
      <c r="P805">
        <f>-967.212480926756 -16.1728581334369 -192.722132371057</f>
        <v>-1176.1074714312499</v>
      </c>
      <c r="Q805" t="s">
        <v>16185</v>
      </c>
      <c r="R805" t="s">
        <v>16186</v>
      </c>
      <c r="S805" t="s">
        <v>16187</v>
      </c>
      <c r="T805" t="s">
        <v>16188</v>
      </c>
      <c r="U805" t="s">
        <v>16189</v>
      </c>
      <c r="V805" t="s">
        <v>16190</v>
      </c>
      <c r="W805" t="s">
        <v>16191</v>
      </c>
      <c r="X805" t="s">
        <v>16192</v>
      </c>
      <c r="Y805" t="s">
        <v>16193</v>
      </c>
    </row>
    <row r="806" spans="1:25" x14ac:dyDescent="0.3">
      <c r="A806">
        <v>40250</v>
      </c>
      <c r="B806" t="s">
        <v>16194</v>
      </c>
      <c r="C806" t="s">
        <v>16195</v>
      </c>
      <c r="D806" t="s">
        <v>16196</v>
      </c>
      <c r="E806" t="s">
        <v>16197</v>
      </c>
      <c r="F806" t="s">
        <v>16198</v>
      </c>
      <c r="G806" t="s">
        <v>16199</v>
      </c>
      <c r="H806" t="s">
        <v>16200</v>
      </c>
      <c r="I806" t="s">
        <v>16201</v>
      </c>
      <c r="J806" t="s">
        <v>16202</v>
      </c>
      <c r="K806" t="s">
        <v>16203</v>
      </c>
      <c r="L806" t="s">
        <v>16204</v>
      </c>
      <c r="M806" t="s">
        <v>16205</v>
      </c>
      <c r="N806" t="s">
        <v>16206</v>
      </c>
      <c r="O806">
        <f>-926.43693122414 -12.4426817464223 -484.067829790862</f>
        <v>-1422.9474427614243</v>
      </c>
      <c r="P806">
        <f>-967.207627691198 -15.9758579503 -192.663576961194</f>
        <v>-1175.8470626026919</v>
      </c>
      <c r="Q806" t="s">
        <v>16207</v>
      </c>
      <c r="R806" t="s">
        <v>16208</v>
      </c>
      <c r="S806" t="s">
        <v>16209</v>
      </c>
      <c r="T806" t="s">
        <v>16210</v>
      </c>
      <c r="U806" t="s">
        <v>16211</v>
      </c>
      <c r="V806" t="s">
        <v>16212</v>
      </c>
      <c r="W806" t="s">
        <v>16213</v>
      </c>
      <c r="X806" t="s">
        <v>16214</v>
      </c>
      <c r="Y806" t="s">
        <v>16215</v>
      </c>
    </row>
    <row r="807" spans="1:25" x14ac:dyDescent="0.3">
      <c r="A807">
        <v>40300</v>
      </c>
      <c r="B807" t="s">
        <v>16216</v>
      </c>
      <c r="C807" t="s">
        <v>16217</v>
      </c>
      <c r="D807" t="s">
        <v>16218</v>
      </c>
      <c r="E807" t="s">
        <v>16219</v>
      </c>
      <c r="F807" t="s">
        <v>16220</v>
      </c>
      <c r="G807" t="s">
        <v>16221</v>
      </c>
      <c r="H807" t="s">
        <v>16222</v>
      </c>
      <c r="I807" t="s">
        <v>16223</v>
      </c>
      <c r="J807" t="s">
        <v>16224</v>
      </c>
      <c r="K807" t="s">
        <v>16225</v>
      </c>
      <c r="L807" t="s">
        <v>16226</v>
      </c>
      <c r="M807" t="s">
        <v>16227</v>
      </c>
      <c r="N807" t="s">
        <v>16228</v>
      </c>
      <c r="O807">
        <f>-925.983140519101 -12.856460561426 -483.964721696569</f>
        <v>-1422.8043227770959</v>
      </c>
      <c r="P807">
        <f>-966.968895965799 -16.1494953547854 -192.587773489286</f>
        <v>-1175.7061648098704</v>
      </c>
      <c r="Q807" t="s">
        <v>16229</v>
      </c>
      <c r="R807" t="s">
        <v>16230</v>
      </c>
      <c r="S807" t="s">
        <v>16231</v>
      </c>
      <c r="T807" t="s">
        <v>16232</v>
      </c>
      <c r="U807" t="s">
        <v>16233</v>
      </c>
      <c r="V807" t="s">
        <v>16234</v>
      </c>
      <c r="W807" t="s">
        <v>16235</v>
      </c>
      <c r="X807" t="s">
        <v>16236</v>
      </c>
      <c r="Y807" t="s">
        <v>16237</v>
      </c>
    </row>
    <row r="808" spans="1:25" x14ac:dyDescent="0.3">
      <c r="A808">
        <v>40350</v>
      </c>
      <c r="B808" t="s">
        <v>16238</v>
      </c>
      <c r="C808" t="s">
        <v>16239</v>
      </c>
      <c r="D808" t="s">
        <v>16240</v>
      </c>
      <c r="E808" t="s">
        <v>16241</v>
      </c>
      <c r="F808" t="s">
        <v>16242</v>
      </c>
      <c r="G808" t="s">
        <v>16243</v>
      </c>
      <c r="H808" t="s">
        <v>16244</v>
      </c>
      <c r="I808" t="s">
        <v>16245</v>
      </c>
      <c r="J808" t="s">
        <v>16246</v>
      </c>
      <c r="K808" t="s">
        <v>16247</v>
      </c>
      <c r="L808" t="s">
        <v>16248</v>
      </c>
      <c r="M808" t="s">
        <v>16249</v>
      </c>
      <c r="N808" t="s">
        <v>16250</v>
      </c>
      <c r="O808">
        <f>-925.766888225689 -12.9276116405167 -483.98104871234</f>
        <v>-1422.6755485785457</v>
      </c>
      <c r="P808">
        <f>-966.824773655515 -16.1605264308246 -192.613555346246</f>
        <v>-1175.5988554325854</v>
      </c>
      <c r="Q808" t="s">
        <v>16251</v>
      </c>
      <c r="R808" t="s">
        <v>16252</v>
      </c>
      <c r="S808" t="s">
        <v>16253</v>
      </c>
      <c r="T808" t="s">
        <v>16254</v>
      </c>
      <c r="U808" t="s">
        <v>16255</v>
      </c>
      <c r="V808" t="s">
        <v>16256</v>
      </c>
      <c r="W808" t="s">
        <v>16257</v>
      </c>
      <c r="X808" t="s">
        <v>16258</v>
      </c>
      <c r="Y808" t="s">
        <v>16259</v>
      </c>
    </row>
    <row r="809" spans="1:25" x14ac:dyDescent="0.3">
      <c r="A809">
        <v>40400</v>
      </c>
      <c r="B809" t="s">
        <v>16260</v>
      </c>
      <c r="C809" t="s">
        <v>16261</v>
      </c>
      <c r="D809" t="s">
        <v>16262</v>
      </c>
      <c r="E809" t="s">
        <v>16263</v>
      </c>
      <c r="F809" t="s">
        <v>16264</v>
      </c>
      <c r="G809" t="s">
        <v>16265</v>
      </c>
      <c r="H809" t="s">
        <v>16266</v>
      </c>
      <c r="I809" t="s">
        <v>16267</v>
      </c>
      <c r="J809" t="s">
        <v>16268</v>
      </c>
      <c r="K809" t="s">
        <v>16269</v>
      </c>
      <c r="L809" t="s">
        <v>16270</v>
      </c>
      <c r="M809" t="s">
        <v>16271</v>
      </c>
      <c r="N809" t="s">
        <v>16272</v>
      </c>
      <c r="O809">
        <f>-925.427212267102 -12.6122891743962 -484.081866018825</f>
        <v>-1422.1213674603232</v>
      </c>
      <c r="P809">
        <f>-966.666987008766 -15.9250404259751 -192.741011817098</f>
        <v>-1175.3330392518392</v>
      </c>
      <c r="Q809" t="s">
        <v>16273</v>
      </c>
      <c r="R809" t="s">
        <v>16274</v>
      </c>
      <c r="S809" t="s">
        <v>16275</v>
      </c>
      <c r="T809" t="s">
        <v>16276</v>
      </c>
      <c r="U809" t="s">
        <v>16277</v>
      </c>
      <c r="V809" t="s">
        <v>16278</v>
      </c>
      <c r="W809" t="s">
        <v>16279</v>
      </c>
      <c r="X809" t="s">
        <v>16280</v>
      </c>
      <c r="Y809" t="s">
        <v>16281</v>
      </c>
    </row>
    <row r="810" spans="1:25" x14ac:dyDescent="0.3">
      <c r="A810">
        <v>40450</v>
      </c>
      <c r="B810" t="s">
        <v>16282</v>
      </c>
      <c r="C810" t="s">
        <v>16283</v>
      </c>
      <c r="D810" t="s">
        <v>16284</v>
      </c>
      <c r="E810" t="s">
        <v>16285</v>
      </c>
      <c r="F810" t="s">
        <v>16286</v>
      </c>
      <c r="G810" t="s">
        <v>16287</v>
      </c>
      <c r="H810" t="s">
        <v>16288</v>
      </c>
      <c r="I810" t="s">
        <v>16289</v>
      </c>
      <c r="J810" t="s">
        <v>16290</v>
      </c>
      <c r="K810" t="s">
        <v>16291</v>
      </c>
      <c r="L810" t="s">
        <v>16292</v>
      </c>
      <c r="M810" t="s">
        <v>16293</v>
      </c>
      <c r="N810" t="s">
        <v>16294</v>
      </c>
      <c r="O810">
        <f>-925.353134469123 -12.4579779279475 -484.134039492835</f>
        <v>-1421.9451518899054</v>
      </c>
      <c r="P810">
        <f>-966.636780047528 -15.9225796895953 -192.801018713746</f>
        <v>-1175.3603784508693</v>
      </c>
      <c r="Q810" t="s">
        <v>16295</v>
      </c>
      <c r="R810" t="s">
        <v>16296</v>
      </c>
      <c r="S810" t="s">
        <v>16297</v>
      </c>
      <c r="T810" t="s">
        <v>16298</v>
      </c>
      <c r="U810" t="s">
        <v>16299</v>
      </c>
      <c r="V810" t="s">
        <v>16300</v>
      </c>
      <c r="W810" t="s">
        <v>16301</v>
      </c>
      <c r="X810" t="s">
        <v>16302</v>
      </c>
      <c r="Y810" t="s">
        <v>16303</v>
      </c>
    </row>
    <row r="811" spans="1:25" x14ac:dyDescent="0.3">
      <c r="A811">
        <v>40500</v>
      </c>
      <c r="B811" t="s">
        <v>16304</v>
      </c>
      <c r="C811" t="s">
        <v>16305</v>
      </c>
      <c r="D811" t="s">
        <v>16306</v>
      </c>
      <c r="E811" t="s">
        <v>16307</v>
      </c>
      <c r="F811" t="s">
        <v>16308</v>
      </c>
      <c r="G811" t="s">
        <v>16309</v>
      </c>
      <c r="H811" t="s">
        <v>16310</v>
      </c>
      <c r="I811" t="s">
        <v>16311</v>
      </c>
      <c r="J811" t="s">
        <v>16312</v>
      </c>
      <c r="K811" t="s">
        <v>16313</v>
      </c>
      <c r="L811" t="s">
        <v>16314</v>
      </c>
      <c r="M811" t="s">
        <v>16315</v>
      </c>
      <c r="N811" t="s">
        <v>16316</v>
      </c>
      <c r="O811">
        <f>-925.170194699793 -11.9647356510395 -484.240565608298</f>
        <v>-1421.3754959591306</v>
      </c>
      <c r="P811">
        <f>-966.43955174848 -15.7726940053512 -192.910047413071</f>
        <v>-1175.1222931669022</v>
      </c>
      <c r="Q811" t="s">
        <v>16317</v>
      </c>
      <c r="R811" t="s">
        <v>16318</v>
      </c>
      <c r="S811" t="s">
        <v>16319</v>
      </c>
      <c r="T811" t="s">
        <v>16320</v>
      </c>
      <c r="U811" t="s">
        <v>16321</v>
      </c>
      <c r="V811" t="s">
        <v>16322</v>
      </c>
      <c r="W811" t="s">
        <v>16323</v>
      </c>
      <c r="X811" t="s">
        <v>16324</v>
      </c>
      <c r="Y811" t="s">
        <v>16325</v>
      </c>
    </row>
    <row r="812" spans="1:25" x14ac:dyDescent="0.3">
      <c r="A812">
        <v>40550</v>
      </c>
      <c r="B812" t="s">
        <v>16326</v>
      </c>
      <c r="C812" t="s">
        <v>16327</v>
      </c>
      <c r="D812" t="s">
        <v>16328</v>
      </c>
      <c r="E812" t="s">
        <v>16329</v>
      </c>
      <c r="F812" t="s">
        <v>16330</v>
      </c>
      <c r="G812" t="s">
        <v>16331</v>
      </c>
      <c r="H812" t="s">
        <v>16332</v>
      </c>
      <c r="I812" t="s">
        <v>16333</v>
      </c>
      <c r="J812" t="s">
        <v>16334</v>
      </c>
      <c r="K812" t="s">
        <v>16335</v>
      </c>
      <c r="L812" t="s">
        <v>16336</v>
      </c>
      <c r="M812" t="s">
        <v>16337</v>
      </c>
      <c r="N812" t="s">
        <v>16338</v>
      </c>
      <c r="O812">
        <f>-925.22834626127 -11.6942656274546 -484.314168772952</f>
        <v>-1421.2367806616764</v>
      </c>
      <c r="P812">
        <f>-966.557927329544 -15.5910275468636 -192.993184781499</f>
        <v>-1175.1421396579067</v>
      </c>
      <c r="Q812" t="s">
        <v>16339</v>
      </c>
      <c r="R812" t="s">
        <v>16340</v>
      </c>
      <c r="S812" t="s">
        <v>16341</v>
      </c>
      <c r="T812" t="s">
        <v>16342</v>
      </c>
      <c r="U812" t="s">
        <v>16343</v>
      </c>
      <c r="V812" t="s">
        <v>16344</v>
      </c>
      <c r="W812" t="s">
        <v>16345</v>
      </c>
      <c r="X812" t="s">
        <v>16346</v>
      </c>
      <c r="Y812" t="s">
        <v>16347</v>
      </c>
    </row>
    <row r="813" spans="1:25" x14ac:dyDescent="0.3">
      <c r="A813">
        <v>40600</v>
      </c>
      <c r="B813" t="s">
        <v>16348</v>
      </c>
      <c r="C813" t="s">
        <v>16349</v>
      </c>
      <c r="D813" t="s">
        <v>16350</v>
      </c>
      <c r="E813" t="s">
        <v>16351</v>
      </c>
      <c r="F813" t="s">
        <v>16352</v>
      </c>
      <c r="G813" t="s">
        <v>16353</v>
      </c>
      <c r="H813" t="s">
        <v>16354</v>
      </c>
      <c r="I813" t="s">
        <v>16355</v>
      </c>
      <c r="J813" t="s">
        <v>16356</v>
      </c>
      <c r="K813" t="s">
        <v>16357</v>
      </c>
      <c r="L813" t="s">
        <v>16358</v>
      </c>
      <c r="M813" t="s">
        <v>16359</v>
      </c>
      <c r="N813" t="s">
        <v>16360</v>
      </c>
      <c r="O813">
        <f>-925.288513609642 -10.9968659236501 -484.566122889092</f>
        <v>-1420.8515024223841</v>
      </c>
      <c r="P813">
        <f>-966.813618158728 -15.0573757039197 -193.275240064933</f>
        <v>-1175.1462339275806</v>
      </c>
      <c r="Q813" t="s">
        <v>16361</v>
      </c>
      <c r="R813" t="s">
        <v>16362</v>
      </c>
      <c r="S813" t="s">
        <v>16363</v>
      </c>
      <c r="T813" t="s">
        <v>16364</v>
      </c>
      <c r="U813" t="s">
        <v>16365</v>
      </c>
      <c r="V813" t="s">
        <v>16366</v>
      </c>
      <c r="W813" t="s">
        <v>16367</v>
      </c>
      <c r="X813" t="s">
        <v>16368</v>
      </c>
      <c r="Y813" t="s">
        <v>16369</v>
      </c>
    </row>
    <row r="814" spans="1:25" x14ac:dyDescent="0.3">
      <c r="A814">
        <v>40650</v>
      </c>
      <c r="B814" t="s">
        <v>16370</v>
      </c>
      <c r="C814" t="s">
        <v>16371</v>
      </c>
      <c r="D814" t="s">
        <v>16372</v>
      </c>
      <c r="E814" t="s">
        <v>16373</v>
      </c>
      <c r="F814" t="s">
        <v>16374</v>
      </c>
      <c r="G814" t="s">
        <v>16375</v>
      </c>
      <c r="H814" t="s">
        <v>16376</v>
      </c>
      <c r="I814" t="s">
        <v>16377</v>
      </c>
      <c r="J814" t="s">
        <v>16378</v>
      </c>
      <c r="K814" t="s">
        <v>16379</v>
      </c>
      <c r="L814" t="s">
        <v>16380</v>
      </c>
      <c r="M814" t="s">
        <v>16381</v>
      </c>
      <c r="N814" t="s">
        <v>16382</v>
      </c>
      <c r="O814">
        <f>-925.276556546777 -10.7010880429671 -484.72037867923</f>
        <v>-1420.6980232689741</v>
      </c>
      <c r="P814">
        <f>-966.915394901616 -14.9727592355616 -193.448712827531</f>
        <v>-1175.3368669647086</v>
      </c>
      <c r="Q814" t="s">
        <v>16383</v>
      </c>
      <c r="R814" t="s">
        <v>16384</v>
      </c>
      <c r="S814" t="s">
        <v>16385</v>
      </c>
      <c r="T814" t="s">
        <v>16386</v>
      </c>
      <c r="U814" t="s">
        <v>16387</v>
      </c>
      <c r="V814" t="s">
        <v>16388</v>
      </c>
      <c r="W814" t="s">
        <v>16389</v>
      </c>
      <c r="X814" t="s">
        <v>16390</v>
      </c>
      <c r="Y814" t="s">
        <v>16391</v>
      </c>
    </row>
    <row r="815" spans="1:25" x14ac:dyDescent="0.3">
      <c r="A815">
        <v>40700</v>
      </c>
      <c r="B815" t="s">
        <v>16392</v>
      </c>
      <c r="C815" t="s">
        <v>16393</v>
      </c>
      <c r="D815" t="s">
        <v>16394</v>
      </c>
      <c r="E815" t="s">
        <v>16395</v>
      </c>
      <c r="F815" t="s">
        <v>16396</v>
      </c>
      <c r="G815" t="s">
        <v>16397</v>
      </c>
      <c r="H815" t="s">
        <v>16398</v>
      </c>
      <c r="I815" t="s">
        <v>16399</v>
      </c>
      <c r="J815" t="s">
        <v>16400</v>
      </c>
      <c r="K815" t="s">
        <v>16401</v>
      </c>
      <c r="L815" t="s">
        <v>16402</v>
      </c>
      <c r="M815" t="s">
        <v>16403</v>
      </c>
      <c r="N815" t="s">
        <v>16404</v>
      </c>
      <c r="O815">
        <f>-925.290572865125 -10.1747216520466 -485.036725401598</f>
        <v>-1420.5020199187697</v>
      </c>
      <c r="P815">
        <f>-967.223669129178 -15.1031463118652 -193.817551497419</f>
        <v>-1176.1443669384621</v>
      </c>
      <c r="Q815" t="s">
        <v>16405</v>
      </c>
      <c r="R815" t="s">
        <v>16406</v>
      </c>
      <c r="S815" t="s">
        <v>16407</v>
      </c>
      <c r="T815" t="s">
        <v>16408</v>
      </c>
      <c r="U815" t="s">
        <v>16409</v>
      </c>
      <c r="V815" t="s">
        <v>16410</v>
      </c>
      <c r="W815" t="s">
        <v>16411</v>
      </c>
      <c r="X815" t="s">
        <v>16412</v>
      </c>
      <c r="Y815" t="s">
        <v>16413</v>
      </c>
    </row>
    <row r="816" spans="1:25" x14ac:dyDescent="0.3">
      <c r="A816">
        <v>40750</v>
      </c>
      <c r="B816" t="s">
        <v>16414</v>
      </c>
      <c r="C816" t="s">
        <v>16415</v>
      </c>
      <c r="D816" t="s">
        <v>16416</v>
      </c>
      <c r="E816" t="s">
        <v>16417</v>
      </c>
      <c r="F816" t="s">
        <v>16418</v>
      </c>
      <c r="G816" t="s">
        <v>16419</v>
      </c>
      <c r="H816" t="s">
        <v>16420</v>
      </c>
      <c r="I816" t="s">
        <v>16421</v>
      </c>
      <c r="J816" t="s">
        <v>16422</v>
      </c>
      <c r="K816" t="s">
        <v>16423</v>
      </c>
      <c r="L816" t="s">
        <v>16424</v>
      </c>
      <c r="M816" t="s">
        <v>16425</v>
      </c>
      <c r="N816" t="s">
        <v>16426</v>
      </c>
      <c r="O816">
        <f>-925.267976396493 -9.84261964436246 -485.201647660171</f>
        <v>-1420.3122437010265</v>
      </c>
      <c r="P816">
        <f>-967.309322237156 -15.1135048841033 -194.004175211058</f>
        <v>-1176.4270023323174</v>
      </c>
      <c r="Q816" t="s">
        <v>16427</v>
      </c>
      <c r="R816" t="s">
        <v>16428</v>
      </c>
      <c r="S816" t="s">
        <v>16429</v>
      </c>
      <c r="T816" t="s">
        <v>16430</v>
      </c>
      <c r="U816" t="s">
        <v>16431</v>
      </c>
      <c r="V816" t="s">
        <v>16432</v>
      </c>
      <c r="W816" t="s">
        <v>16433</v>
      </c>
      <c r="X816" t="s">
        <v>16434</v>
      </c>
      <c r="Y816" t="s">
        <v>16435</v>
      </c>
    </row>
    <row r="817" spans="1:25" x14ac:dyDescent="0.3">
      <c r="A817">
        <v>40800</v>
      </c>
      <c r="B817" t="s">
        <v>16436</v>
      </c>
      <c r="C817" t="s">
        <v>16437</v>
      </c>
      <c r="D817" t="s">
        <v>16438</v>
      </c>
      <c r="E817" t="s">
        <v>16439</v>
      </c>
      <c r="F817" t="s">
        <v>16440</v>
      </c>
      <c r="G817" t="s">
        <v>16441</v>
      </c>
      <c r="H817" t="s">
        <v>16442</v>
      </c>
      <c r="I817" t="s">
        <v>16443</v>
      </c>
      <c r="J817" t="s">
        <v>16444</v>
      </c>
      <c r="K817" t="s">
        <v>16445</v>
      </c>
      <c r="L817" t="s">
        <v>16446</v>
      </c>
      <c r="M817" t="s">
        <v>16447</v>
      </c>
      <c r="N817" t="s">
        <v>16448</v>
      </c>
      <c r="O817">
        <f>-925.230021819576 -9.40225880269509 -485.37720245655</f>
        <v>-1420.0094830788212</v>
      </c>
      <c r="P817">
        <f>-967.418027281772 -14.958564201293 -194.206246868</f>
        <v>-1176.582838351065</v>
      </c>
      <c r="Q817" t="s">
        <v>16449</v>
      </c>
      <c r="R817" t="s">
        <v>16450</v>
      </c>
      <c r="S817" t="s">
        <v>16451</v>
      </c>
      <c r="T817" t="s">
        <v>16452</v>
      </c>
      <c r="U817" t="s">
        <v>16453</v>
      </c>
      <c r="V817" t="s">
        <v>16454</v>
      </c>
      <c r="W817" t="s">
        <v>16455</v>
      </c>
      <c r="X817" t="s">
        <v>16456</v>
      </c>
      <c r="Y817" t="s">
        <v>16457</v>
      </c>
    </row>
    <row r="818" spans="1:25" x14ac:dyDescent="0.3">
      <c r="A818">
        <v>40850</v>
      </c>
      <c r="B818" t="s">
        <v>16458</v>
      </c>
      <c r="C818" t="s">
        <v>16459</v>
      </c>
      <c r="D818" t="s">
        <v>16460</v>
      </c>
      <c r="E818" t="s">
        <v>16461</v>
      </c>
      <c r="F818" t="s">
        <v>16462</v>
      </c>
      <c r="G818" t="s">
        <v>16463</v>
      </c>
      <c r="H818" t="s">
        <v>16464</v>
      </c>
      <c r="I818" t="s">
        <v>16465</v>
      </c>
      <c r="J818" t="s">
        <v>16466</v>
      </c>
      <c r="K818" t="s">
        <v>16467</v>
      </c>
      <c r="L818" t="s">
        <v>16468</v>
      </c>
      <c r="M818" t="s">
        <v>16469</v>
      </c>
      <c r="N818" t="s">
        <v>16470</v>
      </c>
      <c r="O818">
        <f>-924.942755957666 -8.45128804345632 -485.800335607844</f>
        <v>-1419.1943796089663</v>
      </c>
      <c r="P818">
        <f>-967.551673289159 -14.4174331292288 -194.698746718227</f>
        <v>-1176.6678531366149</v>
      </c>
      <c r="Q818" t="s">
        <v>16471</v>
      </c>
      <c r="R818" t="s">
        <v>16472</v>
      </c>
      <c r="S818" t="s">
        <v>16473</v>
      </c>
      <c r="T818" t="s">
        <v>16474</v>
      </c>
      <c r="U818" t="s">
        <v>16475</v>
      </c>
      <c r="V818" t="s">
        <v>16476</v>
      </c>
      <c r="W818" t="s">
        <v>16477</v>
      </c>
      <c r="X818" t="s">
        <v>16478</v>
      </c>
      <c r="Y818" t="s">
        <v>16479</v>
      </c>
    </row>
    <row r="819" spans="1:25" x14ac:dyDescent="0.3">
      <c r="A819">
        <v>40900</v>
      </c>
      <c r="B819" t="s">
        <v>16480</v>
      </c>
      <c r="C819" t="s">
        <v>16481</v>
      </c>
      <c r="D819" t="s">
        <v>16482</v>
      </c>
      <c r="E819" t="s">
        <v>16483</v>
      </c>
      <c r="F819" t="s">
        <v>16484</v>
      </c>
      <c r="G819" t="s">
        <v>16485</v>
      </c>
      <c r="H819" t="s">
        <v>16486</v>
      </c>
      <c r="I819" t="s">
        <v>16487</v>
      </c>
      <c r="J819" t="s">
        <v>16488</v>
      </c>
      <c r="K819" t="s">
        <v>16489</v>
      </c>
      <c r="L819" t="s">
        <v>16490</v>
      </c>
      <c r="M819" t="s">
        <v>16491</v>
      </c>
      <c r="N819" t="s">
        <v>16492</v>
      </c>
      <c r="O819">
        <f>-924.326323804294 -7.67028735983877 -486.223856974431</f>
        <v>-1418.2204681385638</v>
      </c>
      <c r="P819">
        <f>-967.518365206935 -14.2453303645539 -195.221427019858</f>
        <v>-1176.9851225913469</v>
      </c>
      <c r="Q819" t="s">
        <v>16493</v>
      </c>
      <c r="R819" t="s">
        <v>16494</v>
      </c>
      <c r="S819" t="s">
        <v>16495</v>
      </c>
      <c r="T819" t="s">
        <v>16496</v>
      </c>
      <c r="U819" t="s">
        <v>16497</v>
      </c>
      <c r="V819" t="s">
        <v>16498</v>
      </c>
      <c r="W819" t="s">
        <v>16499</v>
      </c>
      <c r="X819" t="s">
        <v>16500</v>
      </c>
      <c r="Y819" t="s">
        <v>16501</v>
      </c>
    </row>
    <row r="820" spans="1:25" x14ac:dyDescent="0.3">
      <c r="A820">
        <v>40950</v>
      </c>
      <c r="B820" t="s">
        <v>16502</v>
      </c>
      <c r="C820" t="s">
        <v>16503</v>
      </c>
      <c r="D820" t="s">
        <v>16504</v>
      </c>
      <c r="E820" t="s">
        <v>16505</v>
      </c>
      <c r="F820" t="s">
        <v>16506</v>
      </c>
      <c r="G820" t="s">
        <v>16507</v>
      </c>
      <c r="H820" t="s">
        <v>16508</v>
      </c>
      <c r="I820" t="s">
        <v>16509</v>
      </c>
      <c r="J820" t="s">
        <v>16510</v>
      </c>
      <c r="K820" t="s">
        <v>16511</v>
      </c>
      <c r="L820" t="s">
        <v>16512</v>
      </c>
      <c r="M820" t="s">
        <v>16513</v>
      </c>
      <c r="N820" t="s">
        <v>16514</v>
      </c>
      <c r="O820">
        <f>-923.973777194656 -7.3681821836808 -486.379049784725</f>
        <v>-1417.7210091630618</v>
      </c>
      <c r="P820">
        <f>-967.474555349938 -14.3405590188208 -195.431762146043</f>
        <v>-1177.2468765148019</v>
      </c>
      <c r="Q820" t="s">
        <v>16515</v>
      </c>
      <c r="R820" t="s">
        <v>16516</v>
      </c>
      <c r="S820" t="s">
        <v>16517</v>
      </c>
      <c r="T820" t="s">
        <v>16518</v>
      </c>
      <c r="U820" t="s">
        <v>16519</v>
      </c>
      <c r="V820" t="s">
        <v>16520</v>
      </c>
      <c r="W820" t="s">
        <v>16521</v>
      </c>
      <c r="X820" t="s">
        <v>16522</v>
      </c>
      <c r="Y820" t="s">
        <v>16523</v>
      </c>
    </row>
    <row r="821" spans="1:25" x14ac:dyDescent="0.3">
      <c r="A821">
        <v>41000</v>
      </c>
      <c r="B821" t="s">
        <v>16524</v>
      </c>
      <c r="C821" t="s">
        <v>16525</v>
      </c>
      <c r="D821" t="s">
        <v>16526</v>
      </c>
      <c r="E821" t="s">
        <v>16527</v>
      </c>
      <c r="F821" t="s">
        <v>16528</v>
      </c>
      <c r="G821" t="s">
        <v>16529</v>
      </c>
      <c r="H821" t="s">
        <v>16530</v>
      </c>
      <c r="I821" t="s">
        <v>16531</v>
      </c>
      <c r="J821" t="s">
        <v>16532</v>
      </c>
      <c r="K821" t="s">
        <v>16533</v>
      </c>
      <c r="L821" t="s">
        <v>16534</v>
      </c>
      <c r="M821" t="s">
        <v>16535</v>
      </c>
      <c r="N821" t="s">
        <v>16536</v>
      </c>
      <c r="O821">
        <f>-923.205489277878 -6.78104133298166 -486.558293779501</f>
        <v>-1416.5448243903606</v>
      </c>
      <c r="P821">
        <f>-967.337998781156 -13.9411668744333 -195.710683841318</f>
        <v>-1176.9898494969073</v>
      </c>
      <c r="Q821" t="s">
        <v>16537</v>
      </c>
      <c r="R821" t="s">
        <v>16538</v>
      </c>
      <c r="S821" t="s">
        <v>16539</v>
      </c>
      <c r="T821" t="s">
        <v>16540</v>
      </c>
      <c r="U821" t="s">
        <v>16541</v>
      </c>
      <c r="V821" t="s">
        <v>16542</v>
      </c>
      <c r="W821" t="s">
        <v>16543</v>
      </c>
      <c r="X821" t="s">
        <v>16544</v>
      </c>
      <c r="Y821" t="s">
        <v>16545</v>
      </c>
    </row>
    <row r="822" spans="1:25" x14ac:dyDescent="0.3">
      <c r="A822">
        <v>41050</v>
      </c>
      <c r="B822" t="s">
        <v>16546</v>
      </c>
      <c r="C822" t="s">
        <v>16547</v>
      </c>
      <c r="D822" t="s">
        <v>16548</v>
      </c>
      <c r="E822" t="s">
        <v>16549</v>
      </c>
      <c r="F822" t="s">
        <v>16550</v>
      </c>
      <c r="G822" t="s">
        <v>16551</v>
      </c>
      <c r="H822" t="s">
        <v>16552</v>
      </c>
      <c r="I822" t="s">
        <v>16553</v>
      </c>
      <c r="J822" t="s">
        <v>16554</v>
      </c>
      <c r="K822" t="s">
        <v>16555</v>
      </c>
      <c r="L822" t="s">
        <v>16556</v>
      </c>
      <c r="M822" t="s">
        <v>16557</v>
      </c>
      <c r="N822" t="s">
        <v>16558</v>
      </c>
      <c r="O822">
        <f>-922.814739980602 -6.43936395070114 -486.558296017249</f>
        <v>-1415.8123999485522</v>
      </c>
      <c r="P822">
        <f>-967.203366927047 -13.4875766725568 -195.746865601968</f>
        <v>-1176.4378092015718</v>
      </c>
      <c r="Q822" t="s">
        <v>16559</v>
      </c>
      <c r="R822" t="s">
        <v>16560</v>
      </c>
      <c r="S822" t="s">
        <v>16561</v>
      </c>
      <c r="T822" t="s">
        <v>16562</v>
      </c>
      <c r="U822" t="s">
        <v>16563</v>
      </c>
      <c r="V822" t="s">
        <v>16564</v>
      </c>
      <c r="W822" t="s">
        <v>16565</v>
      </c>
      <c r="X822" t="s">
        <v>16566</v>
      </c>
      <c r="Y822" t="s">
        <v>16567</v>
      </c>
    </row>
    <row r="823" spans="1:25" x14ac:dyDescent="0.3">
      <c r="A823">
        <v>41100</v>
      </c>
      <c r="B823" t="s">
        <v>16568</v>
      </c>
      <c r="C823" t="s">
        <v>16569</v>
      </c>
      <c r="D823" t="s">
        <v>16570</v>
      </c>
      <c r="E823" t="s">
        <v>16571</v>
      </c>
      <c r="F823" t="s">
        <v>16572</v>
      </c>
      <c r="G823" t="s">
        <v>16573</v>
      </c>
      <c r="H823" t="s">
        <v>16574</v>
      </c>
      <c r="I823" t="s">
        <v>16575</v>
      </c>
      <c r="J823" t="s">
        <v>16576</v>
      </c>
      <c r="K823" t="s">
        <v>16577</v>
      </c>
      <c r="L823" t="s">
        <v>16578</v>
      </c>
      <c r="M823" t="s">
        <v>16579</v>
      </c>
      <c r="N823" t="s">
        <v>16580</v>
      </c>
      <c r="O823">
        <f>-921.971093150902 -5.65570210532633 -486.388934852651</f>
        <v>-1414.0157301088793</v>
      </c>
      <c r="P823">
        <f>-966.856325271763 -12.2247211032327 -195.642715069746</f>
        <v>-1174.7237614447417</v>
      </c>
      <c r="Q823" t="s">
        <v>16581</v>
      </c>
      <c r="R823" t="s">
        <v>16582</v>
      </c>
      <c r="S823" t="s">
        <v>16583</v>
      </c>
      <c r="T823" t="s">
        <v>16584</v>
      </c>
      <c r="U823" t="s">
        <v>16585</v>
      </c>
      <c r="V823" t="s">
        <v>16586</v>
      </c>
      <c r="W823" t="s">
        <v>16587</v>
      </c>
      <c r="X823" t="s">
        <v>16588</v>
      </c>
      <c r="Y823" t="s">
        <v>16589</v>
      </c>
    </row>
    <row r="824" spans="1:25" x14ac:dyDescent="0.3">
      <c r="A824">
        <v>41150</v>
      </c>
      <c r="B824" t="s">
        <v>16590</v>
      </c>
      <c r="C824" t="s">
        <v>16591</v>
      </c>
      <c r="D824" t="s">
        <v>16592</v>
      </c>
      <c r="E824" t="s">
        <v>16593</v>
      </c>
      <c r="F824" t="s">
        <v>16594</v>
      </c>
      <c r="G824" t="s">
        <v>16595</v>
      </c>
      <c r="H824" t="s">
        <v>16596</v>
      </c>
      <c r="I824" t="s">
        <v>16597</v>
      </c>
      <c r="J824" t="s">
        <v>16598</v>
      </c>
      <c r="K824" t="s">
        <v>16599</v>
      </c>
      <c r="L824" t="s">
        <v>16600</v>
      </c>
      <c r="M824" t="s">
        <v>16601</v>
      </c>
      <c r="N824" t="s">
        <v>16602</v>
      </c>
      <c r="O824">
        <f>-921.576052174656 -5.28224650568291 -486.263771872614</f>
        <v>-1413.1220705529529</v>
      </c>
      <c r="P824">
        <f>-966.662437890245 -11.5758618240402 -195.542415814473</f>
        <v>-1173.7807155287583</v>
      </c>
      <c r="Q824" t="s">
        <v>16603</v>
      </c>
      <c r="R824" t="s">
        <v>16604</v>
      </c>
      <c r="S824" t="s">
        <v>16605</v>
      </c>
      <c r="T824" t="s">
        <v>16606</v>
      </c>
      <c r="U824" t="s">
        <v>16607</v>
      </c>
      <c r="V824" t="s">
        <v>16608</v>
      </c>
      <c r="W824" t="s">
        <v>16609</v>
      </c>
      <c r="X824" t="s">
        <v>16610</v>
      </c>
      <c r="Y824" t="s">
        <v>16611</v>
      </c>
    </row>
    <row r="825" spans="1:25" x14ac:dyDescent="0.3">
      <c r="A825">
        <v>41200</v>
      </c>
      <c r="B825" t="s">
        <v>16612</v>
      </c>
      <c r="C825" t="s">
        <v>16613</v>
      </c>
      <c r="D825" t="s">
        <v>16614</v>
      </c>
      <c r="E825" t="s">
        <v>16615</v>
      </c>
      <c r="F825" t="s">
        <v>16616</v>
      </c>
      <c r="G825" t="s">
        <v>16617</v>
      </c>
      <c r="H825" t="s">
        <v>16618</v>
      </c>
      <c r="I825" t="s">
        <v>16619</v>
      </c>
      <c r="J825" t="s">
        <v>16620</v>
      </c>
      <c r="K825" t="s">
        <v>16621</v>
      </c>
      <c r="L825" t="s">
        <v>16622</v>
      </c>
      <c r="M825" t="s">
        <v>16623</v>
      </c>
      <c r="N825" t="s">
        <v>16624</v>
      </c>
      <c r="O825">
        <f>-920.899629449294 -4.60739072348588 -486.087010918198</f>
        <v>-1411.594031090978</v>
      </c>
      <c r="P825">
        <f>-966.400861946795 -10.312476578978 -195.418430829205</f>
        <v>-1172.1317693549779</v>
      </c>
      <c r="Q825" t="s">
        <v>16625</v>
      </c>
      <c r="R825" t="s">
        <v>16626</v>
      </c>
      <c r="S825" t="s">
        <v>16627</v>
      </c>
      <c r="T825" t="s">
        <v>16628</v>
      </c>
      <c r="U825" t="s">
        <v>16629</v>
      </c>
      <c r="V825" t="s">
        <v>16630</v>
      </c>
      <c r="W825" t="s">
        <v>16631</v>
      </c>
      <c r="X825" t="s">
        <v>16632</v>
      </c>
      <c r="Y825" t="s">
        <v>16633</v>
      </c>
    </row>
    <row r="826" spans="1:25" x14ac:dyDescent="0.3">
      <c r="A826">
        <v>41250</v>
      </c>
      <c r="B826" t="s">
        <v>16634</v>
      </c>
      <c r="C826" t="s">
        <v>16635</v>
      </c>
      <c r="D826" t="s">
        <v>16636</v>
      </c>
      <c r="E826" t="s">
        <v>16637</v>
      </c>
      <c r="F826" t="s">
        <v>16638</v>
      </c>
      <c r="G826" t="s">
        <v>16639</v>
      </c>
      <c r="H826" t="s">
        <v>16640</v>
      </c>
      <c r="I826" t="s">
        <v>16641</v>
      </c>
      <c r="J826" t="s">
        <v>16642</v>
      </c>
      <c r="K826" t="s">
        <v>16643</v>
      </c>
      <c r="L826" t="s">
        <v>16644</v>
      </c>
      <c r="M826" t="s">
        <v>16645</v>
      </c>
      <c r="N826" t="s">
        <v>16646</v>
      </c>
      <c r="O826">
        <f>-920.363610277438 -4.30205758192824 -486.052714937101</f>
        <v>-1410.7183827964673</v>
      </c>
      <c r="P826">
        <f>-966.103914939348 -9.80149137875651 -195.417578023409</f>
        <v>-1171.3229843415136</v>
      </c>
      <c r="Q826" t="s">
        <v>16647</v>
      </c>
      <c r="R826" t="s">
        <v>16648</v>
      </c>
      <c r="S826" t="s">
        <v>16649</v>
      </c>
      <c r="T826" t="s">
        <v>16650</v>
      </c>
      <c r="U826" t="s">
        <v>16651</v>
      </c>
      <c r="V826" t="s">
        <v>16652</v>
      </c>
      <c r="W826" t="s">
        <v>16653</v>
      </c>
      <c r="X826" t="s">
        <v>16654</v>
      </c>
      <c r="Y826" t="s">
        <v>16655</v>
      </c>
    </row>
    <row r="827" spans="1:25" x14ac:dyDescent="0.3">
      <c r="A827">
        <v>41300</v>
      </c>
      <c r="B827" t="s">
        <v>16656</v>
      </c>
      <c r="C827" t="s">
        <v>16657</v>
      </c>
      <c r="D827" t="s">
        <v>16658</v>
      </c>
      <c r="E827" t="s">
        <v>16659</v>
      </c>
      <c r="F827" t="s">
        <v>16660</v>
      </c>
      <c r="G827" t="s">
        <v>16661</v>
      </c>
      <c r="H827" t="s">
        <v>16662</v>
      </c>
      <c r="I827" t="s">
        <v>16663</v>
      </c>
      <c r="J827" t="s">
        <v>16664</v>
      </c>
      <c r="K827" t="s">
        <v>16665</v>
      </c>
      <c r="L827" t="s">
        <v>16666</v>
      </c>
      <c r="M827" t="s">
        <v>16667</v>
      </c>
      <c r="N827" t="s">
        <v>16668</v>
      </c>
      <c r="O827">
        <f>-918.765079186917 -3.85692115004076 -486.037088233262</f>
        <v>-1408.6590885702199</v>
      </c>
      <c r="P827">
        <f>-965.095281778564 -9.25276469146183 -195.493464190785</f>
        <v>-1169.8415106608109</v>
      </c>
      <c r="Q827" t="s">
        <v>16669</v>
      </c>
      <c r="R827" t="s">
        <v>16670</v>
      </c>
      <c r="S827" t="s">
        <v>16671</v>
      </c>
      <c r="T827" t="s">
        <v>16672</v>
      </c>
      <c r="U827" t="s">
        <v>16673</v>
      </c>
      <c r="V827" t="s">
        <v>16674</v>
      </c>
      <c r="W827" t="s">
        <v>16675</v>
      </c>
      <c r="X827" t="s">
        <v>16676</v>
      </c>
      <c r="Y827" t="s">
        <v>16677</v>
      </c>
    </row>
    <row r="828" spans="1:25" x14ac:dyDescent="0.3">
      <c r="A828">
        <v>41350</v>
      </c>
      <c r="B828" t="s">
        <v>16678</v>
      </c>
      <c r="C828" t="s">
        <v>16679</v>
      </c>
      <c r="D828" t="s">
        <v>16680</v>
      </c>
      <c r="E828" t="s">
        <v>16681</v>
      </c>
      <c r="F828" t="s">
        <v>16682</v>
      </c>
      <c r="G828" t="s">
        <v>16683</v>
      </c>
      <c r="H828" t="s">
        <v>16684</v>
      </c>
      <c r="I828" t="s">
        <v>16685</v>
      </c>
      <c r="J828" t="s">
        <v>16686</v>
      </c>
      <c r="K828" t="s">
        <v>16687</v>
      </c>
      <c r="L828" t="s">
        <v>16688</v>
      </c>
      <c r="M828" t="s">
        <v>16689</v>
      </c>
      <c r="N828" t="s">
        <v>16690</v>
      </c>
      <c r="O828">
        <f>-917.769246000348 -3.68954459163479 -486.046892026336</f>
        <v>-1407.5056826183188</v>
      </c>
      <c r="P828">
        <f>-964.354205745476 -9.13045918147509 -195.544704122164</f>
        <v>-1169.0293690491151</v>
      </c>
      <c r="Q828" t="s">
        <v>16691</v>
      </c>
      <c r="R828" t="s">
        <v>16692</v>
      </c>
      <c r="S828" t="s">
        <v>16693</v>
      </c>
      <c r="T828" t="s">
        <v>16694</v>
      </c>
      <c r="U828" t="s">
        <v>16695</v>
      </c>
      <c r="V828" t="s">
        <v>16696</v>
      </c>
      <c r="W828" t="s">
        <v>16697</v>
      </c>
      <c r="X828" t="s">
        <v>16698</v>
      </c>
      <c r="Y828" t="s">
        <v>16699</v>
      </c>
    </row>
    <row r="829" spans="1:25" x14ac:dyDescent="0.3">
      <c r="A829">
        <v>41400</v>
      </c>
      <c r="B829" t="s">
        <v>16700</v>
      </c>
      <c r="C829" t="s">
        <v>16701</v>
      </c>
      <c r="D829" t="s">
        <v>16702</v>
      </c>
      <c r="E829" t="s">
        <v>16703</v>
      </c>
      <c r="F829" t="s">
        <v>16704</v>
      </c>
      <c r="G829" t="s">
        <v>16705</v>
      </c>
      <c r="H829" t="s">
        <v>16706</v>
      </c>
      <c r="I829" t="s">
        <v>16707</v>
      </c>
      <c r="J829" t="s">
        <v>16708</v>
      </c>
      <c r="K829" t="s">
        <v>16709</v>
      </c>
      <c r="L829" t="s">
        <v>16710</v>
      </c>
      <c r="M829" t="s">
        <v>16711</v>
      </c>
      <c r="N829" t="s">
        <v>16712</v>
      </c>
      <c r="O829">
        <f>-915.707698107099 -3.35845409679587 -486.09548752586</f>
        <v>-1405.1616397297548</v>
      </c>
      <c r="P829">
        <f>-962.611397659994 -9.10669052865023 -195.650778521738</f>
        <v>-1167.3688667103822</v>
      </c>
      <c r="Q829" t="s">
        <v>16713</v>
      </c>
      <c r="R829" t="s">
        <v>16714</v>
      </c>
      <c r="S829" t="s">
        <v>16715</v>
      </c>
      <c r="T829" t="s">
        <v>16716</v>
      </c>
      <c r="U829" t="s">
        <v>16717</v>
      </c>
      <c r="V829" t="s">
        <v>16718</v>
      </c>
      <c r="W829" t="s">
        <v>16719</v>
      </c>
      <c r="X829" t="s">
        <v>16720</v>
      </c>
      <c r="Y829" t="s">
        <v>16721</v>
      </c>
    </row>
    <row r="830" spans="1:25" x14ac:dyDescent="0.3">
      <c r="A830">
        <v>41450</v>
      </c>
      <c r="B830" t="s">
        <v>16722</v>
      </c>
      <c r="C830" t="s">
        <v>16723</v>
      </c>
      <c r="D830" t="s">
        <v>16724</v>
      </c>
      <c r="E830" t="s">
        <v>16725</v>
      </c>
      <c r="F830" t="s">
        <v>16726</v>
      </c>
      <c r="G830" t="s">
        <v>16727</v>
      </c>
      <c r="H830" t="s">
        <v>16728</v>
      </c>
      <c r="I830" t="s">
        <v>16729</v>
      </c>
      <c r="J830" t="s">
        <v>16730</v>
      </c>
      <c r="K830" t="s">
        <v>16731</v>
      </c>
      <c r="L830" t="s">
        <v>16732</v>
      </c>
      <c r="M830" t="s">
        <v>16733</v>
      </c>
      <c r="N830" t="s">
        <v>16734</v>
      </c>
      <c r="O830">
        <f>-914.710347758271 -3.34499653800913 -486.145327685182</f>
        <v>-1404.2006719814622</v>
      </c>
      <c r="P830">
        <f>-961.71157628387 -9.1696066528757 -195.717827660473</f>
        <v>-1166.5990105972187</v>
      </c>
      <c r="Q830" t="s">
        <v>16735</v>
      </c>
      <c r="R830" t="s">
        <v>16736</v>
      </c>
      <c r="S830" t="s">
        <v>16737</v>
      </c>
      <c r="T830" t="s">
        <v>16738</v>
      </c>
      <c r="U830" t="s">
        <v>16739</v>
      </c>
      <c r="V830" t="s">
        <v>16740</v>
      </c>
      <c r="W830" t="s">
        <v>16741</v>
      </c>
      <c r="X830" t="s">
        <v>16742</v>
      </c>
      <c r="Y830" t="s">
        <v>16743</v>
      </c>
    </row>
    <row r="831" spans="1:25" x14ac:dyDescent="0.3">
      <c r="A831">
        <v>41500</v>
      </c>
      <c r="B831" t="s">
        <v>16744</v>
      </c>
      <c r="C831" t="s">
        <v>16745</v>
      </c>
      <c r="D831" t="s">
        <v>16746</v>
      </c>
      <c r="E831" t="s">
        <v>16747</v>
      </c>
      <c r="F831" t="s">
        <v>16748</v>
      </c>
      <c r="G831" t="s">
        <v>16749</v>
      </c>
      <c r="H831" t="s">
        <v>16750</v>
      </c>
      <c r="I831" t="s">
        <v>16751</v>
      </c>
      <c r="J831" t="s">
        <v>16752</v>
      </c>
      <c r="K831" t="s">
        <v>16753</v>
      </c>
      <c r="L831" t="s">
        <v>16754</v>
      </c>
      <c r="M831" t="s">
        <v>16755</v>
      </c>
      <c r="N831" t="s">
        <v>16756</v>
      </c>
      <c r="O831">
        <f>-912.550892373416 -3.42570258105025 -486.268664105632</f>
        <v>-1402.2452590600983</v>
      </c>
      <c r="P831">
        <f>-959.63966092622 -9.57982646447772 -195.862072521761</f>
        <v>-1165.0815599124587</v>
      </c>
      <c r="Q831" t="s">
        <v>16757</v>
      </c>
      <c r="R831" t="s">
        <v>16758</v>
      </c>
      <c r="S831" t="s">
        <v>16759</v>
      </c>
      <c r="T831" t="s">
        <v>16760</v>
      </c>
      <c r="U831" t="s">
        <v>16761</v>
      </c>
      <c r="V831" t="s">
        <v>16762</v>
      </c>
      <c r="W831" t="s">
        <v>16763</v>
      </c>
      <c r="X831" t="s">
        <v>16764</v>
      </c>
      <c r="Y831" t="s">
        <v>16765</v>
      </c>
    </row>
    <row r="832" spans="1:25" x14ac:dyDescent="0.3">
      <c r="A832">
        <v>41550</v>
      </c>
      <c r="B832" t="s">
        <v>16766</v>
      </c>
      <c r="C832" t="s">
        <v>16767</v>
      </c>
      <c r="D832" t="s">
        <v>16768</v>
      </c>
      <c r="E832" t="s">
        <v>16769</v>
      </c>
      <c r="F832" t="s">
        <v>16770</v>
      </c>
      <c r="G832" t="s">
        <v>16771</v>
      </c>
      <c r="H832" t="s">
        <v>16772</v>
      </c>
      <c r="I832" t="s">
        <v>16773</v>
      </c>
      <c r="J832" t="s">
        <v>16774</v>
      </c>
      <c r="K832" t="s">
        <v>16775</v>
      </c>
      <c r="L832" t="s">
        <v>16776</v>
      </c>
      <c r="M832" t="s">
        <v>16777</v>
      </c>
      <c r="N832" t="s">
        <v>16778</v>
      </c>
      <c r="O832">
        <f>-911.537417492663 -3.45952761144463 -486.341983112124</f>
        <v>-1401.3389282162316</v>
      </c>
      <c r="P832">
        <f>-958.71227683197 -9.78688384587576 -195.953079275817</f>
        <v>-1164.4522399536627</v>
      </c>
      <c r="Q832" t="s">
        <v>16779</v>
      </c>
      <c r="R832" t="s">
        <v>16780</v>
      </c>
      <c r="S832" t="s">
        <v>16781</v>
      </c>
      <c r="T832" t="s">
        <v>16782</v>
      </c>
      <c r="U832" t="s">
        <v>16783</v>
      </c>
      <c r="V832" t="s">
        <v>16784</v>
      </c>
      <c r="W832" t="s">
        <v>16785</v>
      </c>
      <c r="X832" t="s">
        <v>16786</v>
      </c>
      <c r="Y832" t="s">
        <v>16787</v>
      </c>
    </row>
    <row r="833" spans="1:25" x14ac:dyDescent="0.3">
      <c r="A833">
        <v>41600</v>
      </c>
      <c r="B833" t="s">
        <v>16788</v>
      </c>
      <c r="C833" t="s">
        <v>16789</v>
      </c>
      <c r="D833" t="s">
        <v>16790</v>
      </c>
      <c r="E833" t="s">
        <v>16791</v>
      </c>
      <c r="F833" t="s">
        <v>16792</v>
      </c>
      <c r="G833" t="s">
        <v>16793</v>
      </c>
      <c r="H833" t="s">
        <v>16794</v>
      </c>
      <c r="I833" t="s">
        <v>16795</v>
      </c>
      <c r="J833" t="s">
        <v>16796</v>
      </c>
      <c r="K833" t="s">
        <v>16797</v>
      </c>
      <c r="L833" t="s">
        <v>16798</v>
      </c>
      <c r="M833" t="s">
        <v>16799</v>
      </c>
      <c r="N833" t="s">
        <v>16800</v>
      </c>
      <c r="O833">
        <f>-909.608706535678 -3.37009386670297 -486.541438897066</f>
        <v>-1399.520239299447</v>
      </c>
      <c r="P833">
        <f>-956.9477678269 -10.2335340588998 -196.191502134944</f>
        <v>-1163.3728040207436</v>
      </c>
      <c r="Q833" t="s">
        <v>16801</v>
      </c>
      <c r="R833" t="s">
        <v>16802</v>
      </c>
      <c r="S833" t="s">
        <v>16803</v>
      </c>
      <c r="T833" t="s">
        <v>16804</v>
      </c>
      <c r="U833" t="s">
        <v>16805</v>
      </c>
      <c r="V833" t="s">
        <v>16806</v>
      </c>
      <c r="W833" t="s">
        <v>16807</v>
      </c>
      <c r="X833" t="s">
        <v>16808</v>
      </c>
      <c r="Y833" t="s">
        <v>16809</v>
      </c>
    </row>
    <row r="834" spans="1:25" x14ac:dyDescent="0.3">
      <c r="A834">
        <v>41650</v>
      </c>
      <c r="B834" t="s">
        <v>16810</v>
      </c>
      <c r="C834" t="s">
        <v>16811</v>
      </c>
      <c r="D834" t="s">
        <v>16812</v>
      </c>
      <c r="E834" t="s">
        <v>16813</v>
      </c>
      <c r="F834" t="s">
        <v>16814</v>
      </c>
      <c r="G834" t="s">
        <v>16815</v>
      </c>
      <c r="H834" t="s">
        <v>16816</v>
      </c>
      <c r="I834" t="s">
        <v>16817</v>
      </c>
      <c r="J834" t="s">
        <v>16818</v>
      </c>
      <c r="K834" t="s">
        <v>16819</v>
      </c>
      <c r="L834" t="s">
        <v>16820</v>
      </c>
      <c r="M834" t="s">
        <v>16821</v>
      </c>
      <c r="N834" t="s">
        <v>16822</v>
      </c>
      <c r="O834">
        <f>-908.686022390077 -3.31413151383822 -486.64737717703</f>
        <v>-1398.6475310809453</v>
      </c>
      <c r="P834">
        <f>-956.07001486127 -10.5148256060315 -196.312928796998</f>
        <v>-1162.8977692642995</v>
      </c>
      <c r="Q834" t="s">
        <v>16823</v>
      </c>
      <c r="R834" t="s">
        <v>16824</v>
      </c>
      <c r="S834" t="s">
        <v>16825</v>
      </c>
      <c r="T834" t="s">
        <v>16826</v>
      </c>
      <c r="U834" t="s">
        <v>16827</v>
      </c>
      <c r="V834" t="s">
        <v>16828</v>
      </c>
      <c r="W834" t="s">
        <v>16829</v>
      </c>
      <c r="X834" t="s">
        <v>16830</v>
      </c>
      <c r="Y834" t="s">
        <v>16831</v>
      </c>
    </row>
    <row r="835" spans="1:25" x14ac:dyDescent="0.3">
      <c r="A835">
        <v>41700</v>
      </c>
      <c r="B835" t="s">
        <v>16832</v>
      </c>
      <c r="C835" t="s">
        <v>16833</v>
      </c>
      <c r="D835" t="s">
        <v>16834</v>
      </c>
      <c r="E835" t="s">
        <v>16835</v>
      </c>
      <c r="F835" t="s">
        <v>16836</v>
      </c>
      <c r="G835" t="s">
        <v>16837</v>
      </c>
      <c r="H835" t="s">
        <v>16838</v>
      </c>
      <c r="I835" t="s">
        <v>16839</v>
      </c>
      <c r="J835" t="s">
        <v>16840</v>
      </c>
      <c r="K835" t="s">
        <v>16841</v>
      </c>
      <c r="L835" t="s">
        <v>16842</v>
      </c>
      <c r="M835" t="s">
        <v>16843</v>
      </c>
      <c r="N835" t="s">
        <v>16844</v>
      </c>
      <c r="O835">
        <f>-907.180157673264 -3.19277198748341 -486.865703777424</f>
        <v>-1397.2386334381715</v>
      </c>
      <c r="P835">
        <f>-954.577748627208 -11.0016403941163 -196.549166632372</f>
        <v>-1162.1285556536964</v>
      </c>
      <c r="Q835" t="s">
        <v>16845</v>
      </c>
      <c r="R835" t="s">
        <v>16846</v>
      </c>
      <c r="S835" t="s">
        <v>16847</v>
      </c>
      <c r="T835" t="s">
        <v>16848</v>
      </c>
      <c r="U835" t="s">
        <v>16849</v>
      </c>
      <c r="V835" t="s">
        <v>16850</v>
      </c>
      <c r="W835" t="s">
        <v>16851</v>
      </c>
      <c r="X835" t="s">
        <v>16852</v>
      </c>
      <c r="Y835" t="s">
        <v>16853</v>
      </c>
    </row>
    <row r="836" spans="1:25" x14ac:dyDescent="0.3">
      <c r="A836">
        <v>41750</v>
      </c>
      <c r="B836" t="s">
        <v>16854</v>
      </c>
      <c r="C836" t="s">
        <v>16855</v>
      </c>
      <c r="D836" t="s">
        <v>16856</v>
      </c>
      <c r="E836" t="s">
        <v>16857</v>
      </c>
      <c r="F836" t="s">
        <v>16858</v>
      </c>
      <c r="G836" t="s">
        <v>16859</v>
      </c>
      <c r="H836" t="s">
        <v>16860</v>
      </c>
      <c r="I836" t="s">
        <v>16861</v>
      </c>
      <c r="J836" t="s">
        <v>16862</v>
      </c>
      <c r="K836" t="s">
        <v>16863</v>
      </c>
      <c r="L836" t="s">
        <v>16864</v>
      </c>
      <c r="M836" t="s">
        <v>16865</v>
      </c>
      <c r="N836" t="s">
        <v>16866</v>
      </c>
      <c r="O836">
        <f>-906.526729721013 -3.13475455310117 -486.954219791638</f>
        <v>-1396.6157040657522</v>
      </c>
      <c r="P836">
        <f>-953.925657640457 -11.2521073323055 -196.646355240329</f>
        <v>-1161.8241202130914</v>
      </c>
      <c r="Q836" t="s">
        <v>16867</v>
      </c>
      <c r="R836" t="s">
        <v>16868</v>
      </c>
      <c r="S836" t="s">
        <v>16869</v>
      </c>
      <c r="T836" t="s">
        <v>16870</v>
      </c>
      <c r="U836" t="s">
        <v>16871</v>
      </c>
      <c r="V836" t="s">
        <v>16872</v>
      </c>
      <c r="W836" t="s">
        <v>16873</v>
      </c>
      <c r="X836" t="s">
        <v>16874</v>
      </c>
      <c r="Y836" t="s">
        <v>16875</v>
      </c>
    </row>
    <row r="837" spans="1:25" x14ac:dyDescent="0.3">
      <c r="A837">
        <v>41800</v>
      </c>
      <c r="B837" t="s">
        <v>16876</v>
      </c>
      <c r="C837" t="s">
        <v>16877</v>
      </c>
      <c r="D837" t="s">
        <v>16878</v>
      </c>
      <c r="E837" t="s">
        <v>16879</v>
      </c>
      <c r="F837" t="s">
        <v>16880</v>
      </c>
      <c r="G837" t="s">
        <v>16881</v>
      </c>
      <c r="H837" t="s">
        <v>16882</v>
      </c>
      <c r="I837" t="s">
        <v>16883</v>
      </c>
      <c r="J837" t="s">
        <v>16884</v>
      </c>
      <c r="K837" t="s">
        <v>16885</v>
      </c>
      <c r="L837" t="s">
        <v>16886</v>
      </c>
      <c r="M837" t="s">
        <v>16887</v>
      </c>
      <c r="N837" t="s">
        <v>16888</v>
      </c>
      <c r="O837">
        <f>-905.116766653645 -2.95119254244446 -487.134303865248</f>
        <v>-1395.2022630613374</v>
      </c>
      <c r="P837">
        <f>-952.471070559614 -11.6373128163318 -196.835495422068</f>
        <v>-1160.9438787980139</v>
      </c>
      <c r="Q837" t="s">
        <v>16889</v>
      </c>
      <c r="R837" t="s">
        <v>16890</v>
      </c>
      <c r="S837" t="s">
        <v>16891</v>
      </c>
      <c r="T837" t="s">
        <v>16892</v>
      </c>
      <c r="U837" t="s">
        <v>16893</v>
      </c>
      <c r="V837" t="s">
        <v>16894</v>
      </c>
      <c r="W837" t="s">
        <v>16895</v>
      </c>
      <c r="X837" t="s">
        <v>16896</v>
      </c>
      <c r="Y837" t="s">
        <v>16897</v>
      </c>
    </row>
    <row r="838" spans="1:25" x14ac:dyDescent="0.3">
      <c r="A838">
        <v>41850</v>
      </c>
      <c r="B838" t="s">
        <v>16898</v>
      </c>
      <c r="C838" t="s">
        <v>16899</v>
      </c>
      <c r="D838" t="s">
        <v>16900</v>
      </c>
      <c r="E838" t="s">
        <v>16901</v>
      </c>
      <c r="F838" t="s">
        <v>16902</v>
      </c>
      <c r="G838" t="s">
        <v>16903</v>
      </c>
      <c r="H838" t="s">
        <v>16904</v>
      </c>
      <c r="I838" t="s">
        <v>16905</v>
      </c>
      <c r="J838" t="s">
        <v>16906</v>
      </c>
      <c r="K838" t="s">
        <v>16907</v>
      </c>
      <c r="L838" t="s">
        <v>16908</v>
      </c>
      <c r="M838" t="s">
        <v>16909</v>
      </c>
      <c r="N838" t="s">
        <v>16910</v>
      </c>
      <c r="O838">
        <f>-904.541300590101 -2.96385997643802 -487.221913378128</f>
        <v>-1394.7270739446669</v>
      </c>
      <c r="P838">
        <f>-951.874190923427 -11.8747912096314 -196.926551184811</f>
        <v>-1160.6755333178694</v>
      </c>
      <c r="Q838" t="s">
        <v>16911</v>
      </c>
      <c r="R838" t="s">
        <v>16912</v>
      </c>
      <c r="S838" t="s">
        <v>16913</v>
      </c>
      <c r="T838" t="s">
        <v>16914</v>
      </c>
      <c r="U838" t="s">
        <v>16915</v>
      </c>
      <c r="V838" t="s">
        <v>16916</v>
      </c>
      <c r="W838" t="s">
        <v>16917</v>
      </c>
      <c r="X838" t="s">
        <v>16918</v>
      </c>
      <c r="Y838" t="s">
        <v>16919</v>
      </c>
    </row>
    <row r="839" spans="1:25" x14ac:dyDescent="0.3">
      <c r="A839">
        <v>41900</v>
      </c>
      <c r="B839" t="s">
        <v>16920</v>
      </c>
      <c r="C839" t="s">
        <v>16921</v>
      </c>
      <c r="D839" t="s">
        <v>16922</v>
      </c>
      <c r="E839" t="s">
        <v>16923</v>
      </c>
      <c r="F839" t="s">
        <v>16924</v>
      </c>
      <c r="G839" t="s">
        <v>16925</v>
      </c>
      <c r="H839" t="s">
        <v>16926</v>
      </c>
      <c r="I839" t="s">
        <v>16927</v>
      </c>
      <c r="J839" t="s">
        <v>16928</v>
      </c>
      <c r="K839" t="s">
        <v>16929</v>
      </c>
      <c r="L839" t="s">
        <v>16930</v>
      </c>
      <c r="M839" t="s">
        <v>16931</v>
      </c>
      <c r="N839" t="s">
        <v>16932</v>
      </c>
      <c r="O839">
        <f>-903.663996273121 -2.98861060815898 -487.403957708232</f>
        <v>-1394.0565645895119</v>
      </c>
      <c r="P839">
        <f>-950.815882655534 -12.4199366914791 -197.095618473348</f>
        <v>-1160.3314378203611</v>
      </c>
      <c r="Q839" t="s">
        <v>16933</v>
      </c>
      <c r="R839" t="s">
        <v>16934</v>
      </c>
      <c r="S839" t="s">
        <v>16935</v>
      </c>
      <c r="T839" t="s">
        <v>16936</v>
      </c>
      <c r="U839" t="s">
        <v>16937</v>
      </c>
      <c r="V839" t="s">
        <v>16938</v>
      </c>
      <c r="W839" t="s">
        <v>16939</v>
      </c>
      <c r="X839" t="s">
        <v>16940</v>
      </c>
      <c r="Y839" t="s">
        <v>16941</v>
      </c>
    </row>
    <row r="840" spans="1:25" x14ac:dyDescent="0.3">
      <c r="A840">
        <v>41950</v>
      </c>
      <c r="B840" t="s">
        <v>16942</v>
      </c>
      <c r="C840" t="s">
        <v>16943</v>
      </c>
      <c r="D840" t="s">
        <v>16944</v>
      </c>
      <c r="E840" t="s">
        <v>16945</v>
      </c>
      <c r="F840" t="s">
        <v>16946</v>
      </c>
      <c r="G840" t="s">
        <v>16947</v>
      </c>
      <c r="H840" t="s">
        <v>16948</v>
      </c>
      <c r="I840" t="s">
        <v>16949</v>
      </c>
      <c r="J840" t="s">
        <v>16950</v>
      </c>
      <c r="K840" t="s">
        <v>16951</v>
      </c>
      <c r="L840" t="s">
        <v>16952</v>
      </c>
      <c r="M840" t="s">
        <v>16953</v>
      </c>
      <c r="N840" t="s">
        <v>16954</v>
      </c>
      <c r="O840">
        <f>-903.254998712836 -3.02106893988321 -487.514957281455</f>
        <v>-1393.7910249341742</v>
      </c>
      <c r="P840">
        <f>-950.333329694497 -12.6837302830395 -197.202074676949</f>
        <v>-1160.2191346544855</v>
      </c>
      <c r="Q840" t="s">
        <v>16955</v>
      </c>
      <c r="R840" t="s">
        <v>16956</v>
      </c>
      <c r="S840" t="s">
        <v>16957</v>
      </c>
      <c r="T840" t="s">
        <v>16958</v>
      </c>
      <c r="U840" t="s">
        <v>16959</v>
      </c>
      <c r="V840" t="s">
        <v>16960</v>
      </c>
      <c r="W840" t="s">
        <v>16961</v>
      </c>
      <c r="X840" t="s">
        <v>16962</v>
      </c>
      <c r="Y840" t="s">
        <v>16963</v>
      </c>
    </row>
    <row r="841" spans="1:25" x14ac:dyDescent="0.3">
      <c r="A841">
        <v>42000</v>
      </c>
      <c r="B841" t="s">
        <v>16964</v>
      </c>
      <c r="C841" t="s">
        <v>16965</v>
      </c>
      <c r="D841" t="s">
        <v>16966</v>
      </c>
      <c r="E841" t="s">
        <v>16967</v>
      </c>
      <c r="F841" t="s">
        <v>16968</v>
      </c>
      <c r="G841" t="s">
        <v>16969</v>
      </c>
      <c r="H841" t="s">
        <v>16970</v>
      </c>
      <c r="I841" t="s">
        <v>16971</v>
      </c>
      <c r="J841" t="s">
        <v>16972</v>
      </c>
      <c r="K841" t="s">
        <v>16973</v>
      </c>
      <c r="L841" t="s">
        <v>16974</v>
      </c>
      <c r="M841" t="s">
        <v>16975</v>
      </c>
      <c r="N841" t="s">
        <v>16976</v>
      </c>
      <c r="O841">
        <f>-902.541334629346 -2.97136901708836 -487.846927197703</f>
        <v>-1393.3596308441374</v>
      </c>
      <c r="P841">
        <f>-949.68730323437 -12.9823796627466 -197.557021373804</f>
        <v>-1160.2267042709204</v>
      </c>
      <c r="Q841" t="s">
        <v>16977</v>
      </c>
      <c r="R841" t="s">
        <v>16978</v>
      </c>
      <c r="S841" t="s">
        <v>16979</v>
      </c>
      <c r="T841" t="s">
        <v>16980</v>
      </c>
      <c r="U841" t="s">
        <v>16981</v>
      </c>
      <c r="V841" t="s">
        <v>16982</v>
      </c>
      <c r="W841" t="s">
        <v>16983</v>
      </c>
      <c r="X841" t="s">
        <v>16984</v>
      </c>
      <c r="Y841" t="s">
        <v>16985</v>
      </c>
    </row>
    <row r="842" spans="1:25" x14ac:dyDescent="0.3">
      <c r="A842">
        <v>42050</v>
      </c>
      <c r="B842" t="s">
        <v>16986</v>
      </c>
      <c r="C842" t="s">
        <v>16987</v>
      </c>
      <c r="D842" t="s">
        <v>16988</v>
      </c>
      <c r="E842" t="s">
        <v>16989</v>
      </c>
      <c r="F842" t="s">
        <v>16990</v>
      </c>
      <c r="G842" t="s">
        <v>16991</v>
      </c>
      <c r="H842" t="s">
        <v>16992</v>
      </c>
      <c r="I842" t="s">
        <v>16993</v>
      </c>
      <c r="J842" t="s">
        <v>16994</v>
      </c>
      <c r="K842" t="s">
        <v>16995</v>
      </c>
      <c r="L842" t="s">
        <v>16996</v>
      </c>
      <c r="M842" t="s">
        <v>16997</v>
      </c>
      <c r="N842" t="s">
        <v>16998</v>
      </c>
      <c r="O842">
        <f>-902.224122342644 -2.9443545615286 -488.033878645027</f>
        <v>-1393.2023555491996</v>
      </c>
      <c r="P842">
        <f>-949.453034023836 -13.2306654683293 -197.76709844899</f>
        <v>-1160.4507979411553</v>
      </c>
      <c r="Q842" t="s">
        <v>16999</v>
      </c>
      <c r="R842" t="s">
        <v>17000</v>
      </c>
      <c r="S842" t="s">
        <v>17001</v>
      </c>
      <c r="T842" t="s">
        <v>17002</v>
      </c>
      <c r="U842" t="s">
        <v>17003</v>
      </c>
      <c r="V842" t="s">
        <v>17004</v>
      </c>
      <c r="W842" t="s">
        <v>17005</v>
      </c>
      <c r="X842" t="s">
        <v>17006</v>
      </c>
      <c r="Y842" t="s">
        <v>17007</v>
      </c>
    </row>
    <row r="843" spans="1:25" x14ac:dyDescent="0.3">
      <c r="A843">
        <v>42100</v>
      </c>
      <c r="B843" t="s">
        <v>17008</v>
      </c>
      <c r="C843" t="s">
        <v>17009</v>
      </c>
      <c r="D843" t="s">
        <v>17010</v>
      </c>
      <c r="E843" t="s">
        <v>17011</v>
      </c>
      <c r="F843" t="s">
        <v>17012</v>
      </c>
      <c r="G843" t="s">
        <v>17013</v>
      </c>
      <c r="H843" t="s">
        <v>17014</v>
      </c>
      <c r="I843" t="s">
        <v>17015</v>
      </c>
      <c r="J843" t="s">
        <v>17016</v>
      </c>
      <c r="K843" t="s">
        <v>17017</v>
      </c>
      <c r="L843" t="s">
        <v>17018</v>
      </c>
      <c r="M843" t="s">
        <v>17019</v>
      </c>
      <c r="N843" t="s">
        <v>17020</v>
      </c>
      <c r="O843">
        <f>-901.463056202027 -2.71692037178582 -488.464701472572</f>
        <v>-1392.6446780463848</v>
      </c>
      <c r="P843">
        <f>-948.854365096161 -13.6432417683736 -198.247732083368</f>
        <v>-1160.7453389479026</v>
      </c>
      <c r="Q843" t="s">
        <v>17021</v>
      </c>
      <c r="R843" t="s">
        <v>17022</v>
      </c>
      <c r="S843" t="s">
        <v>17023</v>
      </c>
      <c r="T843" t="s">
        <v>17024</v>
      </c>
      <c r="U843" t="s">
        <v>17025</v>
      </c>
      <c r="V843" t="s">
        <v>17026</v>
      </c>
      <c r="W843" t="s">
        <v>17027</v>
      </c>
      <c r="X843" t="s">
        <v>17028</v>
      </c>
      <c r="Y843" t="s">
        <v>17029</v>
      </c>
    </row>
    <row r="844" spans="1:25" x14ac:dyDescent="0.3">
      <c r="A844">
        <v>42150</v>
      </c>
      <c r="B844" t="s">
        <v>17030</v>
      </c>
      <c r="C844" t="s">
        <v>17031</v>
      </c>
      <c r="D844" t="s">
        <v>17032</v>
      </c>
      <c r="E844" t="s">
        <v>17033</v>
      </c>
      <c r="F844" t="s">
        <v>17034</v>
      </c>
      <c r="G844" t="s">
        <v>17035</v>
      </c>
      <c r="H844" t="s">
        <v>17036</v>
      </c>
      <c r="I844" t="s">
        <v>17037</v>
      </c>
      <c r="J844" t="s">
        <v>17038</v>
      </c>
      <c r="K844" t="s">
        <v>17039</v>
      </c>
      <c r="L844" t="s">
        <v>17040</v>
      </c>
      <c r="M844" t="s">
        <v>17041</v>
      </c>
      <c r="N844" t="s">
        <v>17042</v>
      </c>
      <c r="O844">
        <f>-901.017930738509 -2.62438466551066 -488.678370657142</f>
        <v>-1392.3206860611617</v>
      </c>
      <c r="P844">
        <f>-948.57984707713 -13.9842197757089 -198.506069556546</f>
        <v>-1161.070136409385</v>
      </c>
      <c r="Q844" t="s">
        <v>17043</v>
      </c>
      <c r="R844" t="s">
        <v>17044</v>
      </c>
      <c r="S844" t="s">
        <v>17045</v>
      </c>
      <c r="T844" t="s">
        <v>17046</v>
      </c>
      <c r="U844" t="s">
        <v>17047</v>
      </c>
      <c r="V844" t="s">
        <v>17048</v>
      </c>
      <c r="W844" t="s">
        <v>17049</v>
      </c>
      <c r="X844" t="s">
        <v>17050</v>
      </c>
      <c r="Y844" t="s">
        <v>17051</v>
      </c>
    </row>
    <row r="845" spans="1:25" x14ac:dyDescent="0.3">
      <c r="A845">
        <v>42200</v>
      </c>
      <c r="B845" t="s">
        <v>17052</v>
      </c>
      <c r="C845" t="s">
        <v>17053</v>
      </c>
      <c r="D845" t="s">
        <v>17054</v>
      </c>
      <c r="E845" t="s">
        <v>17055</v>
      </c>
      <c r="F845" t="s">
        <v>17056</v>
      </c>
      <c r="G845" t="s">
        <v>17057</v>
      </c>
      <c r="H845" t="s">
        <v>17058</v>
      </c>
      <c r="I845" t="s">
        <v>17059</v>
      </c>
      <c r="J845" t="s">
        <v>17060</v>
      </c>
      <c r="K845" t="s">
        <v>17061</v>
      </c>
      <c r="L845" t="s">
        <v>17062</v>
      </c>
      <c r="M845" t="s">
        <v>17063</v>
      </c>
      <c r="N845" t="s">
        <v>17064</v>
      </c>
      <c r="O845">
        <f>-900.214721324229 -2.35620951706323 -489.100664347357</f>
        <v>-1391.6715951886492</v>
      </c>
      <c r="P845">
        <f>-948.129436353476 -14.5992381444894 -199.022398559515</f>
        <v>-1161.7510730574804</v>
      </c>
      <c r="Q845" t="s">
        <v>17065</v>
      </c>
      <c r="R845" t="s">
        <v>17066</v>
      </c>
      <c r="S845" t="s">
        <v>17067</v>
      </c>
      <c r="T845" t="s">
        <v>17068</v>
      </c>
      <c r="U845" t="s">
        <v>17069</v>
      </c>
      <c r="V845" t="s">
        <v>17070</v>
      </c>
      <c r="W845" t="s">
        <v>17071</v>
      </c>
      <c r="X845" t="s">
        <v>17072</v>
      </c>
      <c r="Y845" t="s">
        <v>17073</v>
      </c>
    </row>
    <row r="846" spans="1:25" x14ac:dyDescent="0.3">
      <c r="A846">
        <v>42250</v>
      </c>
      <c r="B846" t="s">
        <v>17074</v>
      </c>
      <c r="C846" t="s">
        <v>17075</v>
      </c>
      <c r="D846" t="s">
        <v>17076</v>
      </c>
      <c r="E846" t="s">
        <v>17077</v>
      </c>
      <c r="F846" t="s">
        <v>17078</v>
      </c>
      <c r="G846" t="s">
        <v>17079</v>
      </c>
      <c r="H846" t="s">
        <v>17080</v>
      </c>
      <c r="I846" t="s">
        <v>17081</v>
      </c>
      <c r="J846" t="s">
        <v>17082</v>
      </c>
      <c r="K846" t="s">
        <v>17083</v>
      </c>
      <c r="L846" t="s">
        <v>17084</v>
      </c>
      <c r="M846" t="s">
        <v>17085</v>
      </c>
      <c r="N846" t="s">
        <v>17086</v>
      </c>
      <c r="O846">
        <f>-899.774188014583 -2.16649068600418 -489.277936278767</f>
        <v>-1391.2186149793542</v>
      </c>
      <c r="P846">
        <f>-947.878400650588 -14.7854080561942 -199.247040361572</f>
        <v>-1161.9108490683543</v>
      </c>
      <c r="Q846" t="s">
        <v>17087</v>
      </c>
      <c r="R846" t="s">
        <v>17088</v>
      </c>
      <c r="S846" t="s">
        <v>17089</v>
      </c>
      <c r="T846" t="s">
        <v>17090</v>
      </c>
      <c r="U846" t="s">
        <v>17091</v>
      </c>
      <c r="V846" t="s">
        <v>17092</v>
      </c>
      <c r="W846" t="s">
        <v>17093</v>
      </c>
      <c r="X846" t="s">
        <v>17094</v>
      </c>
      <c r="Y846" t="s">
        <v>17095</v>
      </c>
    </row>
    <row r="847" spans="1:25" x14ac:dyDescent="0.3">
      <c r="A847">
        <v>42300</v>
      </c>
      <c r="B847" t="s">
        <v>17096</v>
      </c>
      <c r="C847" t="s">
        <v>17097</v>
      </c>
      <c r="D847" t="s">
        <v>17098</v>
      </c>
      <c r="E847" t="s">
        <v>17099</v>
      </c>
      <c r="F847" t="s">
        <v>17100</v>
      </c>
      <c r="G847" t="s">
        <v>17101</v>
      </c>
      <c r="H847" t="s">
        <v>17102</v>
      </c>
      <c r="I847" t="s">
        <v>17103</v>
      </c>
      <c r="J847" t="s">
        <v>17104</v>
      </c>
      <c r="K847" t="s">
        <v>17105</v>
      </c>
      <c r="L847" t="s">
        <v>17106</v>
      </c>
      <c r="M847" t="s">
        <v>17107</v>
      </c>
      <c r="N847" t="s">
        <v>17108</v>
      </c>
      <c r="O847">
        <f>-898.892238015891 -2.01037570672133 -489.53200226846</f>
        <v>-1390.4346159910724</v>
      </c>
      <c r="P847">
        <f>-947.38058390262 -15.1495267943365 -199.588123485409</f>
        <v>-1162.1182341823653</v>
      </c>
      <c r="Q847" t="s">
        <v>17109</v>
      </c>
      <c r="R847" t="s">
        <v>17110</v>
      </c>
      <c r="S847" t="s">
        <v>17111</v>
      </c>
      <c r="T847" t="s">
        <v>17112</v>
      </c>
      <c r="U847" t="s">
        <v>17113</v>
      </c>
      <c r="V847" t="s">
        <v>17114</v>
      </c>
      <c r="W847" t="s">
        <v>17115</v>
      </c>
      <c r="X847" t="s">
        <v>17116</v>
      </c>
      <c r="Y847" t="s">
        <v>17117</v>
      </c>
    </row>
    <row r="848" spans="1:25" x14ac:dyDescent="0.3">
      <c r="A848">
        <v>42350</v>
      </c>
      <c r="B848" t="s">
        <v>17118</v>
      </c>
      <c r="C848" t="s">
        <v>17119</v>
      </c>
      <c r="D848" t="s">
        <v>17120</v>
      </c>
      <c r="E848" t="s">
        <v>17121</v>
      </c>
      <c r="F848" t="s">
        <v>17122</v>
      </c>
      <c r="G848" t="s">
        <v>17123</v>
      </c>
      <c r="H848" t="s">
        <v>17124</v>
      </c>
      <c r="I848" t="s">
        <v>17125</v>
      </c>
      <c r="J848" t="s">
        <v>17126</v>
      </c>
      <c r="K848" t="s">
        <v>17127</v>
      </c>
      <c r="L848" t="s">
        <v>17128</v>
      </c>
      <c r="M848" t="s">
        <v>17129</v>
      </c>
      <c r="N848" t="s">
        <v>17130</v>
      </c>
      <c r="O848">
        <f>-898.489507279006 -2.00018152232951 -489.649444438597</f>
        <v>-1390.1391332399326</v>
      </c>
      <c r="P848">
        <f>-947.122491221349 -15.2897292237458 -199.736671188578</f>
        <v>-1162.1488916336727</v>
      </c>
      <c r="Q848" t="s">
        <v>17131</v>
      </c>
      <c r="R848" t="s">
        <v>17132</v>
      </c>
      <c r="S848" t="s">
        <v>17133</v>
      </c>
      <c r="T848" t="s">
        <v>17134</v>
      </c>
      <c r="U848" t="s">
        <v>17135</v>
      </c>
      <c r="V848" t="s">
        <v>17136</v>
      </c>
      <c r="W848" t="s">
        <v>17137</v>
      </c>
      <c r="X848" t="s">
        <v>17138</v>
      </c>
      <c r="Y848" t="s">
        <v>17139</v>
      </c>
    </row>
    <row r="849" spans="1:25" x14ac:dyDescent="0.3">
      <c r="A849">
        <v>42400</v>
      </c>
      <c r="B849" t="s">
        <v>17140</v>
      </c>
      <c r="C849" t="s">
        <v>17141</v>
      </c>
      <c r="D849" t="s">
        <v>17142</v>
      </c>
      <c r="E849" t="s">
        <v>17143</v>
      </c>
      <c r="F849" t="s">
        <v>17144</v>
      </c>
      <c r="G849" t="s">
        <v>17145</v>
      </c>
      <c r="H849" t="s">
        <v>17146</v>
      </c>
      <c r="I849" t="s">
        <v>17147</v>
      </c>
      <c r="J849" t="s">
        <v>17148</v>
      </c>
      <c r="K849" t="s">
        <v>17149</v>
      </c>
      <c r="L849" t="s">
        <v>17150</v>
      </c>
      <c r="M849" t="s">
        <v>17151</v>
      </c>
      <c r="N849" t="s">
        <v>17152</v>
      </c>
      <c r="O849">
        <f>-897.921991500788 -1.77232036098212 -489.866050952526</f>
        <v>-1389.560362814296</v>
      </c>
      <c r="P849">
        <f>-946.719527101011 -15.3351076164627 -199.99363974085</f>
        <v>-1162.0482744583237</v>
      </c>
      <c r="Q849" t="s">
        <v>17153</v>
      </c>
      <c r="R849" t="s">
        <v>17154</v>
      </c>
      <c r="S849" t="s">
        <v>17155</v>
      </c>
      <c r="T849" t="s">
        <v>17156</v>
      </c>
      <c r="U849" t="s">
        <v>17157</v>
      </c>
      <c r="V849" t="s">
        <v>17158</v>
      </c>
      <c r="W849" t="s">
        <v>17159</v>
      </c>
      <c r="X849" t="s">
        <v>17160</v>
      </c>
      <c r="Y849" t="s">
        <v>17161</v>
      </c>
    </row>
    <row r="850" spans="1:25" x14ac:dyDescent="0.3">
      <c r="A850">
        <v>42450</v>
      </c>
      <c r="B850" t="s">
        <v>17162</v>
      </c>
      <c r="C850" t="s">
        <v>17163</v>
      </c>
      <c r="D850" t="s">
        <v>17164</v>
      </c>
      <c r="E850" t="s">
        <v>17165</v>
      </c>
      <c r="F850" t="s">
        <v>17166</v>
      </c>
      <c r="G850" t="s">
        <v>17167</v>
      </c>
      <c r="H850" t="s">
        <v>17168</v>
      </c>
      <c r="I850" t="s">
        <v>17169</v>
      </c>
      <c r="J850" t="s">
        <v>17170</v>
      </c>
      <c r="K850" t="s">
        <v>17171</v>
      </c>
      <c r="L850" t="s">
        <v>17172</v>
      </c>
      <c r="M850" t="s">
        <v>17173</v>
      </c>
      <c r="N850" t="s">
        <v>17174</v>
      </c>
      <c r="O850">
        <f>-897.721956025599 -1.63605874101586 -489.930004662773</f>
        <v>-1389.2880194293878</v>
      </c>
      <c r="P850">
        <f>-946.575075730979 -15.3593624018231 -200.074458341073</f>
        <v>-1162.0088964738752</v>
      </c>
      <c r="Q850" t="s">
        <v>17175</v>
      </c>
      <c r="R850" t="s">
        <v>17176</v>
      </c>
      <c r="S850" t="s">
        <v>17177</v>
      </c>
      <c r="T850" t="s">
        <v>17178</v>
      </c>
      <c r="U850" t="s">
        <v>17179</v>
      </c>
      <c r="V850" t="s">
        <v>17180</v>
      </c>
      <c r="W850" t="s">
        <v>17181</v>
      </c>
      <c r="X850" t="s">
        <v>17182</v>
      </c>
      <c r="Y850" t="s">
        <v>17183</v>
      </c>
    </row>
    <row r="851" spans="1:25" x14ac:dyDescent="0.3">
      <c r="A851">
        <v>42500</v>
      </c>
      <c r="B851" t="s">
        <v>17184</v>
      </c>
      <c r="C851" t="s">
        <v>17185</v>
      </c>
      <c r="D851" t="s">
        <v>17186</v>
      </c>
      <c r="E851" t="s">
        <v>17187</v>
      </c>
      <c r="F851" t="s">
        <v>17188</v>
      </c>
      <c r="G851" t="s">
        <v>17189</v>
      </c>
      <c r="H851" t="s">
        <v>17190</v>
      </c>
      <c r="I851" t="s">
        <v>17191</v>
      </c>
      <c r="J851" t="s">
        <v>17192</v>
      </c>
      <c r="K851" t="s">
        <v>17193</v>
      </c>
      <c r="L851" t="s">
        <v>17194</v>
      </c>
      <c r="M851" t="s">
        <v>17195</v>
      </c>
      <c r="N851" t="s">
        <v>17196</v>
      </c>
      <c r="O851">
        <f>-897.45035202088 -1.22934076100046 -489.973615931311</f>
        <v>-1388.6533087131916</v>
      </c>
      <c r="P851">
        <f>-946.484726301908 -14.8419321462102 -200.14327360997</f>
        <v>-1161.4699320580883</v>
      </c>
      <c r="Q851" t="s">
        <v>17197</v>
      </c>
      <c r="R851" t="s">
        <v>17198</v>
      </c>
      <c r="S851" t="s">
        <v>17199</v>
      </c>
      <c r="T851" t="s">
        <v>17200</v>
      </c>
      <c r="U851" t="s">
        <v>17201</v>
      </c>
      <c r="V851" t="s">
        <v>17202</v>
      </c>
      <c r="W851" t="s">
        <v>17203</v>
      </c>
      <c r="X851" t="s">
        <v>17204</v>
      </c>
      <c r="Y851" t="s">
        <v>17205</v>
      </c>
    </row>
    <row r="852" spans="1:25" x14ac:dyDescent="0.3">
      <c r="A852">
        <v>42550</v>
      </c>
      <c r="B852" t="s">
        <v>17206</v>
      </c>
      <c r="C852" t="s">
        <v>17207</v>
      </c>
      <c r="D852" t="s">
        <v>17208</v>
      </c>
      <c r="E852" t="s">
        <v>17209</v>
      </c>
      <c r="F852" t="s">
        <v>17210</v>
      </c>
      <c r="G852" t="s">
        <v>17211</v>
      </c>
      <c r="H852" t="s">
        <v>17212</v>
      </c>
      <c r="I852" t="s">
        <v>17213</v>
      </c>
      <c r="J852" t="s">
        <v>17214</v>
      </c>
      <c r="K852" t="s">
        <v>17215</v>
      </c>
      <c r="L852" t="s">
        <v>17216</v>
      </c>
      <c r="M852" t="s">
        <v>17217</v>
      </c>
      <c r="N852" t="s">
        <v>17218</v>
      </c>
      <c r="O852">
        <f>-897.382121731103 -1.06171946852191 -489.951990405313</f>
        <v>-1388.3958316049379</v>
      </c>
      <c r="P852">
        <f>-946.482859636525 -14.1839562387768 -200.11040683339</f>
        <v>-1160.7772227086916</v>
      </c>
      <c r="Q852" t="s">
        <v>17219</v>
      </c>
      <c r="R852" t="s">
        <v>17220</v>
      </c>
      <c r="S852" t="s">
        <v>17221</v>
      </c>
      <c r="T852" t="s">
        <v>17222</v>
      </c>
      <c r="U852" t="s">
        <v>17223</v>
      </c>
      <c r="V852" t="s">
        <v>17224</v>
      </c>
      <c r="W852" t="s">
        <v>17225</v>
      </c>
      <c r="X852" t="s">
        <v>17226</v>
      </c>
      <c r="Y852" t="s">
        <v>17227</v>
      </c>
    </row>
    <row r="853" spans="1:25" x14ac:dyDescent="0.3">
      <c r="A853">
        <v>42600</v>
      </c>
      <c r="B853" t="s">
        <v>17228</v>
      </c>
      <c r="C853" t="s">
        <v>17229</v>
      </c>
      <c r="D853" t="s">
        <v>17230</v>
      </c>
      <c r="E853" t="s">
        <v>17231</v>
      </c>
      <c r="F853" t="s">
        <v>17232</v>
      </c>
      <c r="G853" t="s">
        <v>17233</v>
      </c>
      <c r="H853" t="s">
        <v>17234</v>
      </c>
      <c r="I853" t="s">
        <v>17235</v>
      </c>
      <c r="J853" t="s">
        <v>17236</v>
      </c>
      <c r="K853" t="s">
        <v>17237</v>
      </c>
      <c r="L853" t="s">
        <v>17238</v>
      </c>
      <c r="M853" t="s">
        <v>17239</v>
      </c>
      <c r="N853" t="s">
        <v>17240</v>
      </c>
      <c r="O853">
        <f>-897.650555494308 -1.15261547244381 -489.775202766048</f>
        <v>-1388.5783737327997</v>
      </c>
      <c r="P853">
        <f>-946.515444030674 -12.7705628437961 -199.829644542579</f>
        <v>-1159.1156514170491</v>
      </c>
      <c r="Q853" t="s">
        <v>17241</v>
      </c>
      <c r="R853" t="s">
        <v>17242</v>
      </c>
      <c r="S853" t="s">
        <v>17243</v>
      </c>
      <c r="T853" t="s">
        <v>17244</v>
      </c>
      <c r="U853" t="s">
        <v>17245</v>
      </c>
      <c r="V853" t="s">
        <v>17246</v>
      </c>
      <c r="W853" t="s">
        <v>17247</v>
      </c>
      <c r="X853" t="s">
        <v>17248</v>
      </c>
      <c r="Y853" t="s">
        <v>17249</v>
      </c>
    </row>
    <row r="854" spans="1:25" x14ac:dyDescent="0.3">
      <c r="A854">
        <v>42650</v>
      </c>
      <c r="B854" t="s">
        <v>17250</v>
      </c>
      <c r="C854" t="s">
        <v>17251</v>
      </c>
      <c r="D854" t="s">
        <v>17252</v>
      </c>
      <c r="E854" t="s">
        <v>17253</v>
      </c>
      <c r="F854" t="s">
        <v>17254</v>
      </c>
      <c r="G854" t="s">
        <v>17255</v>
      </c>
      <c r="H854" t="s">
        <v>17256</v>
      </c>
      <c r="I854" t="s">
        <v>17257</v>
      </c>
      <c r="J854" t="s">
        <v>17258</v>
      </c>
      <c r="K854" t="s">
        <v>17259</v>
      </c>
      <c r="L854" t="s">
        <v>17260</v>
      </c>
      <c r="M854" t="s">
        <v>17261</v>
      </c>
      <c r="N854" t="s">
        <v>17262</v>
      </c>
      <c r="O854">
        <f>-897.868426959959 -1.34372895045226 -489.615940361935</f>
        <v>-1388.8280962723463</v>
      </c>
      <c r="P854">
        <f>-946.617001863946 -12.0031495083344 -199.613785539883</f>
        <v>-1158.2339369121635</v>
      </c>
      <c r="Q854" t="s">
        <v>17263</v>
      </c>
      <c r="R854" t="s">
        <v>17264</v>
      </c>
      <c r="S854" t="s">
        <v>17265</v>
      </c>
      <c r="T854" t="s">
        <v>17266</v>
      </c>
      <c r="U854" t="s">
        <v>17267</v>
      </c>
      <c r="V854" t="s">
        <v>17268</v>
      </c>
      <c r="W854" t="s">
        <v>17269</v>
      </c>
      <c r="X854" t="s">
        <v>17270</v>
      </c>
      <c r="Y854" t="s">
        <v>17271</v>
      </c>
    </row>
    <row r="855" spans="1:25" x14ac:dyDescent="0.3">
      <c r="A855">
        <v>42700</v>
      </c>
      <c r="B855" t="s">
        <v>17272</v>
      </c>
      <c r="C855" t="s">
        <v>17273</v>
      </c>
      <c r="D855" t="s">
        <v>17274</v>
      </c>
      <c r="E855" t="s">
        <v>17275</v>
      </c>
      <c r="F855" t="s">
        <v>17276</v>
      </c>
      <c r="G855" t="s">
        <v>17277</v>
      </c>
      <c r="H855" t="s">
        <v>17278</v>
      </c>
      <c r="I855" t="s">
        <v>17279</v>
      </c>
      <c r="J855" t="s">
        <v>17280</v>
      </c>
      <c r="K855" t="s">
        <v>17281</v>
      </c>
      <c r="L855" t="s">
        <v>17282</v>
      </c>
      <c r="M855" t="s">
        <v>17283</v>
      </c>
      <c r="N855" t="s">
        <v>17284</v>
      </c>
      <c r="O855">
        <f>-898.311425769106 -1.71464821209975 -489.419374857716</f>
        <v>-1389.4454488389217</v>
      </c>
      <c r="P855">
        <f>-947.945575832138 -11.50663994671 -199.53696372414</f>
        <v>-1158.989179502988</v>
      </c>
      <c r="Q855" t="s">
        <v>17285</v>
      </c>
      <c r="R855" t="s">
        <v>17286</v>
      </c>
      <c r="S855" t="s">
        <v>17287</v>
      </c>
      <c r="T855" t="s">
        <v>17288</v>
      </c>
      <c r="U855" t="s">
        <v>17289</v>
      </c>
      <c r="V855" t="s">
        <v>17290</v>
      </c>
      <c r="W855" t="s">
        <v>17291</v>
      </c>
      <c r="X855" t="s">
        <v>17292</v>
      </c>
      <c r="Y855" t="s">
        <v>17293</v>
      </c>
    </row>
    <row r="856" spans="1:25" x14ac:dyDescent="0.3">
      <c r="A856">
        <v>42750</v>
      </c>
      <c r="B856" t="s">
        <v>17294</v>
      </c>
      <c r="C856" t="s">
        <v>17295</v>
      </c>
      <c r="D856" t="s">
        <v>17296</v>
      </c>
      <c r="E856" t="s">
        <v>17297</v>
      </c>
      <c r="F856" t="s">
        <v>17298</v>
      </c>
      <c r="G856" t="s">
        <v>17299</v>
      </c>
      <c r="H856" t="s">
        <v>17300</v>
      </c>
      <c r="I856" t="s">
        <v>17301</v>
      </c>
      <c r="J856" t="s">
        <v>17302</v>
      </c>
      <c r="K856" t="s">
        <v>17303</v>
      </c>
      <c r="L856" t="s">
        <v>17304</v>
      </c>
      <c r="M856" t="s">
        <v>17305</v>
      </c>
      <c r="N856" t="s">
        <v>17306</v>
      </c>
      <c r="O856">
        <f>-898.490344264 -1.81280798339731 -489.524966089543</f>
        <v>-1389.8281183369404</v>
      </c>
      <c r="P856">
        <f>-949.140529827434 -11.3190916078343 -199.808905872137</f>
        <v>-1160.2685273074053</v>
      </c>
      <c r="Q856" t="s">
        <v>17307</v>
      </c>
      <c r="R856" t="s">
        <v>17308</v>
      </c>
      <c r="S856" t="s">
        <v>17309</v>
      </c>
      <c r="T856" t="s">
        <v>17310</v>
      </c>
      <c r="U856" t="s">
        <v>17311</v>
      </c>
      <c r="V856" t="s">
        <v>17312</v>
      </c>
      <c r="W856" t="s">
        <v>17313</v>
      </c>
      <c r="X856" t="s">
        <v>17314</v>
      </c>
      <c r="Y856" t="s">
        <v>17315</v>
      </c>
    </row>
    <row r="857" spans="1:25" x14ac:dyDescent="0.3">
      <c r="A857">
        <v>42800</v>
      </c>
      <c r="B857" t="s">
        <v>17316</v>
      </c>
      <c r="C857" t="s">
        <v>17317</v>
      </c>
      <c r="D857" t="s">
        <v>17318</v>
      </c>
      <c r="E857" t="s">
        <v>17319</v>
      </c>
      <c r="F857" t="s">
        <v>17320</v>
      </c>
      <c r="G857" t="s">
        <v>17321</v>
      </c>
      <c r="H857" t="s">
        <v>17322</v>
      </c>
      <c r="I857" t="s">
        <v>17323</v>
      </c>
      <c r="J857" t="s">
        <v>17324</v>
      </c>
      <c r="K857" t="s">
        <v>17325</v>
      </c>
      <c r="L857" t="s">
        <v>17326</v>
      </c>
      <c r="M857" t="s">
        <v>17327</v>
      </c>
      <c r="N857" t="s">
        <v>17328</v>
      </c>
      <c r="O857">
        <f>-898.775789136926 -1.95900210844866 -490.071867993805</f>
        <v>-1390.8066592391797</v>
      </c>
      <c r="P857">
        <f>-950.978459919286 -11.0627518596843 -200.618550270087</f>
        <v>-1162.6597620490575</v>
      </c>
      <c r="Q857" t="s">
        <v>17329</v>
      </c>
      <c r="R857" t="s">
        <v>17330</v>
      </c>
      <c r="S857" t="s">
        <v>17331</v>
      </c>
      <c r="T857" t="s">
        <v>17332</v>
      </c>
      <c r="U857" t="s">
        <v>17333</v>
      </c>
      <c r="V857" t="s">
        <v>17334</v>
      </c>
      <c r="W857" t="s">
        <v>17335</v>
      </c>
      <c r="X857" t="s">
        <v>17336</v>
      </c>
      <c r="Y857" t="s">
        <v>17337</v>
      </c>
    </row>
    <row r="858" spans="1:25" x14ac:dyDescent="0.3">
      <c r="A858">
        <v>42850</v>
      </c>
      <c r="B858" t="s">
        <v>17338</v>
      </c>
      <c r="C858" t="s">
        <v>17339</v>
      </c>
      <c r="D858" t="s">
        <v>17340</v>
      </c>
      <c r="E858" t="s">
        <v>17341</v>
      </c>
      <c r="F858" t="s">
        <v>17342</v>
      </c>
      <c r="G858" t="s">
        <v>17343</v>
      </c>
      <c r="H858" t="s">
        <v>17344</v>
      </c>
      <c r="I858" t="s">
        <v>17345</v>
      </c>
      <c r="J858" t="s">
        <v>17346</v>
      </c>
      <c r="K858" t="s">
        <v>17347</v>
      </c>
      <c r="L858" t="s">
        <v>17348</v>
      </c>
      <c r="M858" t="s">
        <v>17349</v>
      </c>
      <c r="N858" t="s">
        <v>17350</v>
      </c>
      <c r="O858">
        <f>-899.011163322082 -2.22395664060195 -490.330250202813</f>
        <v>-1391.5653701654969</v>
      </c>
      <c r="P858">
        <f>-951.217275010338 -11.4908538941563 -200.882603947885</f>
        <v>-1163.5907328523792</v>
      </c>
      <c r="Q858" t="s">
        <v>17351</v>
      </c>
      <c r="R858" t="s">
        <v>17352</v>
      </c>
      <c r="S858" t="s">
        <v>17353</v>
      </c>
      <c r="T858" t="s">
        <v>17354</v>
      </c>
      <c r="U858" t="s">
        <v>17355</v>
      </c>
      <c r="V858" t="s">
        <v>17356</v>
      </c>
      <c r="W858" t="s">
        <v>17357</v>
      </c>
      <c r="X858" t="s">
        <v>17358</v>
      </c>
      <c r="Y858" t="s">
        <v>17359</v>
      </c>
    </row>
    <row r="859" spans="1:25" x14ac:dyDescent="0.3">
      <c r="A859">
        <v>42900</v>
      </c>
      <c r="B859" t="s">
        <v>17360</v>
      </c>
      <c r="C859" t="s">
        <v>17361</v>
      </c>
      <c r="D859" t="s">
        <v>17362</v>
      </c>
      <c r="E859" t="s">
        <v>17363</v>
      </c>
      <c r="F859" t="s">
        <v>17364</v>
      </c>
      <c r="G859" t="s">
        <v>17365</v>
      </c>
      <c r="H859" t="s">
        <v>17366</v>
      </c>
      <c r="I859" t="s">
        <v>17367</v>
      </c>
      <c r="J859" t="s">
        <v>17368</v>
      </c>
      <c r="K859" t="s">
        <v>17369</v>
      </c>
      <c r="L859" t="s">
        <v>17370</v>
      </c>
      <c r="M859" t="s">
        <v>17371</v>
      </c>
      <c r="N859" t="s">
        <v>17372</v>
      </c>
      <c r="O859">
        <f>-899.944342215732 -2.78831570934699 -490.701969297824</f>
        <v>-1393.4346272229031</v>
      </c>
      <c r="P859">
        <f>-950.972473640338 -12.7982855515857 -201.069270037657</f>
        <v>-1164.8400292295805</v>
      </c>
      <c r="Q859" t="s">
        <v>17373</v>
      </c>
      <c r="R859" t="s">
        <v>17374</v>
      </c>
      <c r="S859" t="s">
        <v>17375</v>
      </c>
      <c r="T859" t="s">
        <v>17376</v>
      </c>
      <c r="U859" t="s">
        <v>17377</v>
      </c>
      <c r="V859" t="s">
        <v>17378</v>
      </c>
      <c r="W859" t="s">
        <v>17379</v>
      </c>
      <c r="X859" t="s">
        <v>17380</v>
      </c>
      <c r="Y859" t="s">
        <v>17381</v>
      </c>
    </row>
    <row r="860" spans="1:25" x14ac:dyDescent="0.3">
      <c r="A860">
        <v>42950</v>
      </c>
      <c r="B860" t="s">
        <v>17382</v>
      </c>
      <c r="C860" t="s">
        <v>17383</v>
      </c>
      <c r="D860" t="s">
        <v>17384</v>
      </c>
      <c r="E860" t="s">
        <v>17385</v>
      </c>
      <c r="F860" t="s">
        <v>17386</v>
      </c>
      <c r="G860" t="s">
        <v>17387</v>
      </c>
      <c r="H860" t="s">
        <v>17388</v>
      </c>
      <c r="I860" t="s">
        <v>17389</v>
      </c>
      <c r="J860" t="s">
        <v>17390</v>
      </c>
      <c r="K860" t="s">
        <v>17391</v>
      </c>
      <c r="L860" t="s">
        <v>17392</v>
      </c>
      <c r="M860" t="s">
        <v>17393</v>
      </c>
      <c r="N860" t="s">
        <v>17394</v>
      </c>
      <c r="O860">
        <f>-900.490065658023 -3.11762790818602 -490.878170580816</f>
        <v>-1394.485864147025</v>
      </c>
      <c r="P860">
        <f>-951.057874750339 -13.5353126813334 -201.179027294568</f>
        <v>-1165.7722147262405</v>
      </c>
      <c r="Q860" t="s">
        <v>17395</v>
      </c>
      <c r="R860" t="s">
        <v>17396</v>
      </c>
      <c r="S860" t="s">
        <v>17397</v>
      </c>
      <c r="T860" t="s">
        <v>17398</v>
      </c>
      <c r="U860" t="s">
        <v>17399</v>
      </c>
      <c r="V860" t="s">
        <v>17400</v>
      </c>
      <c r="W860" t="s">
        <v>17401</v>
      </c>
      <c r="X860" t="s">
        <v>17402</v>
      </c>
      <c r="Y860" t="s">
        <v>17403</v>
      </c>
    </row>
    <row r="861" spans="1:25" x14ac:dyDescent="0.3">
      <c r="A861">
        <v>43000</v>
      </c>
      <c r="B861" t="s">
        <v>17404</v>
      </c>
      <c r="C861" t="s">
        <v>17405</v>
      </c>
      <c r="D861" t="s">
        <v>17406</v>
      </c>
      <c r="E861" t="s">
        <v>17407</v>
      </c>
      <c r="F861" t="s">
        <v>17408</v>
      </c>
      <c r="G861" t="s">
        <v>17409</v>
      </c>
      <c r="H861" t="s">
        <v>17410</v>
      </c>
      <c r="I861" t="s">
        <v>17411</v>
      </c>
      <c r="J861" t="s">
        <v>17412</v>
      </c>
      <c r="K861" t="s">
        <v>17413</v>
      </c>
      <c r="L861" t="s">
        <v>17414</v>
      </c>
      <c r="M861" t="s">
        <v>17415</v>
      </c>
      <c r="N861" t="s">
        <v>17416</v>
      </c>
      <c r="O861">
        <f>-901.671373721299 -3.64908953519353 -491.213309954756</f>
        <v>-1396.5337732112484</v>
      </c>
      <c r="P861">
        <f>-951.616258467601 -14.7764162252215 -201.432471547656</f>
        <v>-1167.8251462404785</v>
      </c>
      <c r="Q861" t="s">
        <v>17417</v>
      </c>
      <c r="R861" t="s">
        <v>17418</v>
      </c>
      <c r="S861" t="s">
        <v>17419</v>
      </c>
      <c r="T861" t="s">
        <v>17420</v>
      </c>
      <c r="U861" t="s">
        <v>17421</v>
      </c>
      <c r="V861" t="s">
        <v>17422</v>
      </c>
      <c r="W861" t="s">
        <v>17423</v>
      </c>
      <c r="X861" t="s">
        <v>17424</v>
      </c>
      <c r="Y861" t="s">
        <v>17425</v>
      </c>
    </row>
    <row r="862" spans="1:25" x14ac:dyDescent="0.3">
      <c r="A862">
        <v>43050</v>
      </c>
      <c r="B862" t="s">
        <v>17426</v>
      </c>
      <c r="C862" t="s">
        <v>17427</v>
      </c>
      <c r="D862" t="s">
        <v>17428</v>
      </c>
      <c r="E862" t="s">
        <v>17429</v>
      </c>
      <c r="F862" t="s">
        <v>17430</v>
      </c>
      <c r="G862" t="s">
        <v>17431</v>
      </c>
      <c r="H862" t="s">
        <v>17432</v>
      </c>
      <c r="I862" t="s">
        <v>17433</v>
      </c>
      <c r="J862" t="s">
        <v>17434</v>
      </c>
      <c r="K862" t="s">
        <v>17435</v>
      </c>
      <c r="L862" t="s">
        <v>17436</v>
      </c>
      <c r="M862" t="s">
        <v>17437</v>
      </c>
      <c r="N862" t="s">
        <v>17438</v>
      </c>
      <c r="O862">
        <f>-902.359093476113 -4.03672051708963 -491.281959845237</f>
        <v>-1397.6777738384396</v>
      </c>
      <c r="P862">
        <f>-951.88865504767 -15.269963060211 -201.433874828175</f>
        <v>-1168.592492936056</v>
      </c>
      <c r="Q862" t="s">
        <v>17439</v>
      </c>
      <c r="R862" t="s">
        <v>17440</v>
      </c>
      <c r="S862" t="s">
        <v>17441</v>
      </c>
      <c r="T862" t="s">
        <v>17442</v>
      </c>
      <c r="U862" t="s">
        <v>17443</v>
      </c>
      <c r="V862" t="s">
        <v>17444</v>
      </c>
      <c r="W862" t="s">
        <v>17445</v>
      </c>
      <c r="X862" t="s">
        <v>17446</v>
      </c>
      <c r="Y862" t="s">
        <v>17447</v>
      </c>
    </row>
    <row r="863" spans="1:25" x14ac:dyDescent="0.3">
      <c r="A863">
        <v>43100</v>
      </c>
      <c r="B863" t="s">
        <v>17448</v>
      </c>
      <c r="C863" t="s">
        <v>17449</v>
      </c>
      <c r="D863" t="s">
        <v>17450</v>
      </c>
      <c r="E863" t="s">
        <v>17451</v>
      </c>
      <c r="F863" t="s">
        <v>17452</v>
      </c>
      <c r="G863" t="s">
        <v>17453</v>
      </c>
      <c r="H863" t="s">
        <v>17454</v>
      </c>
      <c r="I863" t="s">
        <v>17455</v>
      </c>
      <c r="J863" t="s">
        <v>17456</v>
      </c>
      <c r="K863" t="s">
        <v>17457</v>
      </c>
      <c r="L863" t="s">
        <v>17458</v>
      </c>
      <c r="M863" t="s">
        <v>17459</v>
      </c>
      <c r="N863" t="s">
        <v>17460</v>
      </c>
      <c r="O863">
        <f>-904.063480538525 -5.2781175153691 -491.41691243495</f>
        <v>-1400.7585104888442</v>
      </c>
      <c r="P863">
        <f>-952.365995936736 -17.7913501886487 -201.414289693898</f>
        <v>-1171.5716358192826</v>
      </c>
      <c r="Q863" t="s">
        <v>17461</v>
      </c>
      <c r="R863" t="s">
        <v>17462</v>
      </c>
      <c r="S863" t="s">
        <v>17463</v>
      </c>
      <c r="T863" t="s">
        <v>17464</v>
      </c>
      <c r="U863" t="s">
        <v>17465</v>
      </c>
      <c r="V863" t="s">
        <v>17466</v>
      </c>
      <c r="W863" t="s">
        <v>17467</v>
      </c>
      <c r="X863" t="s">
        <v>17468</v>
      </c>
      <c r="Y863" t="s">
        <v>17469</v>
      </c>
    </row>
    <row r="864" spans="1:25" x14ac:dyDescent="0.3">
      <c r="A864">
        <v>43150</v>
      </c>
      <c r="B864" t="s">
        <v>17470</v>
      </c>
      <c r="C864" t="s">
        <v>17471</v>
      </c>
      <c r="D864" t="s">
        <v>17472</v>
      </c>
      <c r="E864" t="s">
        <v>17473</v>
      </c>
      <c r="F864" t="s">
        <v>17474</v>
      </c>
      <c r="G864" t="s">
        <v>17475</v>
      </c>
      <c r="H864" t="s">
        <v>17476</v>
      </c>
      <c r="I864" t="s">
        <v>17477</v>
      </c>
      <c r="J864" t="s">
        <v>17478</v>
      </c>
      <c r="K864" t="s">
        <v>17479</v>
      </c>
      <c r="L864" t="s">
        <v>17480</v>
      </c>
      <c r="M864" t="s">
        <v>17481</v>
      </c>
      <c r="N864" t="s">
        <v>17482</v>
      </c>
      <c r="O864">
        <f>-905.030854105023 -5.80196801292959 -491.605520391994</f>
        <v>-1402.4383425099466</v>
      </c>
      <c r="P864">
        <f>-952.321524931314 -19.6281379584848 -201.49575054606</f>
        <v>-1173.4454134358589</v>
      </c>
      <c r="Q864" t="s">
        <v>17483</v>
      </c>
      <c r="R864" t="s">
        <v>17484</v>
      </c>
      <c r="S864" t="s">
        <v>17485</v>
      </c>
      <c r="T864" t="s">
        <v>17486</v>
      </c>
      <c r="U864" t="s">
        <v>17487</v>
      </c>
      <c r="V864" t="s">
        <v>17488</v>
      </c>
      <c r="W864" t="s">
        <v>17489</v>
      </c>
      <c r="X864" t="s">
        <v>17490</v>
      </c>
      <c r="Y864" t="s">
        <v>17491</v>
      </c>
    </row>
    <row r="865" spans="1:25" x14ac:dyDescent="0.3">
      <c r="A865">
        <v>43200</v>
      </c>
      <c r="B865" t="s">
        <v>17492</v>
      </c>
      <c r="C865" t="s">
        <v>17493</v>
      </c>
      <c r="D865" t="s">
        <v>17494</v>
      </c>
      <c r="E865" t="s">
        <v>17495</v>
      </c>
      <c r="F865" t="s">
        <v>17496</v>
      </c>
      <c r="G865" t="s">
        <v>17497</v>
      </c>
      <c r="H865" t="s">
        <v>17498</v>
      </c>
      <c r="I865" t="s">
        <v>17499</v>
      </c>
      <c r="J865" t="s">
        <v>17500</v>
      </c>
      <c r="K865" t="s">
        <v>17501</v>
      </c>
      <c r="L865" t="s">
        <v>17502</v>
      </c>
      <c r="M865" t="s">
        <v>17503</v>
      </c>
      <c r="N865" t="s">
        <v>17504</v>
      </c>
      <c r="O865">
        <f>-907.019238636967 -6.57137853957965 -492.054733222511</f>
        <v>-1405.6453503990576</v>
      </c>
      <c r="P865">
        <f>-951.298785476435 -23.8519586780417 -201.655143052777</f>
        <v>-1176.8058872072536</v>
      </c>
      <c r="Q865">
        <f>-727.146384353232 -1.91113848799887 -287.242432474852</f>
        <v>-1016.2999553160828</v>
      </c>
      <c r="R865" t="s">
        <v>17505</v>
      </c>
      <c r="S865" t="s">
        <v>17506</v>
      </c>
      <c r="T865" t="s">
        <v>17507</v>
      </c>
      <c r="U865" t="s">
        <v>17508</v>
      </c>
      <c r="V865" t="s">
        <v>17509</v>
      </c>
      <c r="W865" t="s">
        <v>17510</v>
      </c>
      <c r="X865" t="s">
        <v>17511</v>
      </c>
      <c r="Y865" t="s">
        <v>17512</v>
      </c>
    </row>
    <row r="866" spans="1:25" x14ac:dyDescent="0.3">
      <c r="A866">
        <v>43250</v>
      </c>
      <c r="B866" t="s">
        <v>17513</v>
      </c>
      <c r="C866" t="s">
        <v>17514</v>
      </c>
      <c r="D866" t="s">
        <v>17515</v>
      </c>
      <c r="E866" t="s">
        <v>17516</v>
      </c>
      <c r="F866" t="s">
        <v>17517</v>
      </c>
      <c r="G866" t="s">
        <v>17518</v>
      </c>
      <c r="H866" t="s">
        <v>17519</v>
      </c>
      <c r="I866" t="s">
        <v>17520</v>
      </c>
      <c r="J866" t="s">
        <v>17521</v>
      </c>
      <c r="K866" t="s">
        <v>17522</v>
      </c>
      <c r="L866" t="s">
        <v>17523</v>
      </c>
      <c r="M866" t="s">
        <v>17524</v>
      </c>
      <c r="N866" t="s">
        <v>17525</v>
      </c>
      <c r="O866">
        <f>-907.918722424671 -6.95410648080087 -492.30194078991</f>
        <v>-1407.1747696953819</v>
      </c>
      <c r="P866">
        <f>-950.19842672779 -26.0412769823197 -201.717609082159</f>
        <v>-1177.9573127922686</v>
      </c>
      <c r="Q866">
        <f>-727.289128659181 -8.26187852973862 -291.418251859075</f>
        <v>-1026.9692590479945</v>
      </c>
      <c r="R866" t="s">
        <v>17526</v>
      </c>
      <c r="S866" t="s">
        <v>17527</v>
      </c>
      <c r="T866" t="s">
        <v>17528</v>
      </c>
      <c r="U866" t="s">
        <v>17529</v>
      </c>
      <c r="V866" t="s">
        <v>17530</v>
      </c>
      <c r="W866" t="s">
        <v>17531</v>
      </c>
      <c r="X866" t="s">
        <v>17532</v>
      </c>
      <c r="Y866" t="s">
        <v>17533</v>
      </c>
    </row>
    <row r="867" spans="1:25" x14ac:dyDescent="0.3">
      <c r="A867">
        <v>43300</v>
      </c>
      <c r="B867" t="s">
        <v>17534</v>
      </c>
      <c r="C867" t="s">
        <v>17535</v>
      </c>
      <c r="D867" t="s">
        <v>17536</v>
      </c>
      <c r="E867" t="s">
        <v>17537</v>
      </c>
      <c r="F867" t="s">
        <v>17538</v>
      </c>
      <c r="G867" t="s">
        <v>17539</v>
      </c>
      <c r="H867" t="s">
        <v>17540</v>
      </c>
      <c r="I867" t="s">
        <v>17541</v>
      </c>
      <c r="J867" t="s">
        <v>17542</v>
      </c>
      <c r="K867" t="s">
        <v>17543</v>
      </c>
      <c r="L867" t="s">
        <v>17544</v>
      </c>
      <c r="M867" t="s">
        <v>17545</v>
      </c>
      <c r="N867" t="s">
        <v>17546</v>
      </c>
      <c r="O867">
        <f>-909.868466185672 -8.22528744490501 -492.477687191741</f>
        <v>-1410.571440822318</v>
      </c>
      <c r="P867">
        <f>-946.563115390738 -30.0990175639258 -201.331261163016</f>
        <v>-1177.9933941176798</v>
      </c>
      <c r="Q867">
        <f>-728.522629914106 -21.1729399070709 -303.456829730748</f>
        <v>-1053.1523995519249</v>
      </c>
      <c r="R867" t="s">
        <v>17547</v>
      </c>
      <c r="S867" t="s">
        <v>17548</v>
      </c>
      <c r="T867" t="s">
        <v>17549</v>
      </c>
      <c r="U867" t="s">
        <v>17550</v>
      </c>
      <c r="V867" t="s">
        <v>17551</v>
      </c>
      <c r="W867" t="s">
        <v>17552</v>
      </c>
      <c r="X867" t="s">
        <v>17553</v>
      </c>
      <c r="Y867" t="s">
        <v>17554</v>
      </c>
    </row>
    <row r="868" spans="1:25" x14ac:dyDescent="0.3">
      <c r="A868">
        <v>43350</v>
      </c>
      <c r="B868" t="s">
        <v>17555</v>
      </c>
      <c r="C868" t="s">
        <v>17556</v>
      </c>
      <c r="D868" t="s">
        <v>17557</v>
      </c>
      <c r="E868" t="s">
        <v>17558</v>
      </c>
      <c r="F868" t="s">
        <v>17559</v>
      </c>
      <c r="G868" t="s">
        <v>17560</v>
      </c>
      <c r="H868" t="s">
        <v>17561</v>
      </c>
      <c r="I868" t="s">
        <v>17562</v>
      </c>
      <c r="J868" t="s">
        <v>17563</v>
      </c>
      <c r="K868" t="s">
        <v>17564</v>
      </c>
      <c r="L868" t="s">
        <v>17565</v>
      </c>
      <c r="M868" t="s">
        <v>17566</v>
      </c>
      <c r="N868" t="s">
        <v>17567</v>
      </c>
      <c r="O868">
        <f>-911.074884054101 -8.83962964815828 -492.485290530071</f>
        <v>-1412.3998042323301</v>
      </c>
      <c r="P868">
        <f>-944.161796187927 -32.5512483514908 -201.050462853563</f>
        <v>-1177.763507392981</v>
      </c>
      <c r="Q868">
        <f>-729.576522730306 -27.1850288848 -310.481435413293</f>
        <v>-1067.2429870283991</v>
      </c>
      <c r="R868" t="s">
        <v>17568</v>
      </c>
      <c r="S868" t="s">
        <v>17569</v>
      </c>
      <c r="T868" t="s">
        <v>17570</v>
      </c>
      <c r="U868" t="s">
        <v>17571</v>
      </c>
      <c r="V868" t="s">
        <v>17572</v>
      </c>
      <c r="W868" t="s">
        <v>17573</v>
      </c>
      <c r="X868" t="s">
        <v>17574</v>
      </c>
      <c r="Y868" t="s">
        <v>17575</v>
      </c>
    </row>
    <row r="869" spans="1:25" x14ac:dyDescent="0.3">
      <c r="A869">
        <v>43400</v>
      </c>
      <c r="B869" t="s">
        <v>17576</v>
      </c>
      <c r="C869" t="s">
        <v>17577</v>
      </c>
      <c r="D869" t="s">
        <v>17578</v>
      </c>
      <c r="E869" t="s">
        <v>17579</v>
      </c>
      <c r="F869" t="s">
        <v>17580</v>
      </c>
      <c r="G869" t="s">
        <v>17581</v>
      </c>
      <c r="H869" t="s">
        <v>17582</v>
      </c>
      <c r="I869" t="s">
        <v>17583</v>
      </c>
      <c r="J869" t="s">
        <v>17584</v>
      </c>
      <c r="K869" t="s">
        <v>17585</v>
      </c>
      <c r="L869" t="s">
        <v>17586</v>
      </c>
      <c r="M869" t="s">
        <v>17587</v>
      </c>
      <c r="N869" t="s">
        <v>17588</v>
      </c>
      <c r="O869">
        <f>-913.331142204212 -9.82235080930968 -492.568909340487</f>
        <v>-1415.7224023540086</v>
      </c>
      <c r="P869">
        <f>-938.491490049257 -40.1720703394658 -200.957847079075</f>
        <v>-1179.6214074677978</v>
      </c>
      <c r="Q869">
        <f>-731.74477117445 -39.7223338056197 -324.677042265162</f>
        <v>-1096.1441472452316</v>
      </c>
      <c r="R869" t="s">
        <v>17589</v>
      </c>
      <c r="S869" t="s">
        <v>17590</v>
      </c>
      <c r="T869" t="s">
        <v>17591</v>
      </c>
      <c r="U869" t="s">
        <v>17592</v>
      </c>
      <c r="V869" t="s">
        <v>17593</v>
      </c>
      <c r="W869" t="s">
        <v>17594</v>
      </c>
      <c r="X869" t="s">
        <v>17595</v>
      </c>
      <c r="Y869" t="s">
        <v>17596</v>
      </c>
    </row>
    <row r="870" spans="1:25" x14ac:dyDescent="0.3">
      <c r="A870">
        <v>43450</v>
      </c>
      <c r="B870" t="s">
        <v>17597</v>
      </c>
      <c r="C870" t="s">
        <v>17598</v>
      </c>
      <c r="D870" t="s">
        <v>17599</v>
      </c>
      <c r="E870" t="s">
        <v>17600</v>
      </c>
      <c r="F870" t="s">
        <v>17601</v>
      </c>
      <c r="G870" t="s">
        <v>17602</v>
      </c>
      <c r="H870" t="s">
        <v>17603</v>
      </c>
      <c r="I870" t="s">
        <v>17604</v>
      </c>
      <c r="J870" t="s">
        <v>17605</v>
      </c>
      <c r="K870" t="s">
        <v>17606</v>
      </c>
      <c r="L870" t="s">
        <v>17607</v>
      </c>
      <c r="M870" t="s">
        <v>17608</v>
      </c>
      <c r="N870" t="s">
        <v>17609</v>
      </c>
      <c r="O870">
        <f>-914.224218552598 -10.2653818968879 -492.751212283162</f>
        <v>-1417.240812732648</v>
      </c>
      <c r="P870">
        <f>-935.761357128737 -46.0773811122724 -201.469772371352</f>
        <v>-1183.3085106123615</v>
      </c>
      <c r="Q870">
        <f>-733.150616701428 -46.0156686879313 -331.852682370142</f>
        <v>-1111.0189677595013</v>
      </c>
      <c r="R870" t="s">
        <v>17610</v>
      </c>
      <c r="S870" t="s">
        <v>17611</v>
      </c>
      <c r="T870" t="s">
        <v>17612</v>
      </c>
      <c r="U870" t="s">
        <v>17613</v>
      </c>
      <c r="V870" t="s">
        <v>17614</v>
      </c>
      <c r="W870" t="s">
        <v>17615</v>
      </c>
      <c r="X870" t="s">
        <v>17616</v>
      </c>
      <c r="Y870" t="s">
        <v>17617</v>
      </c>
    </row>
    <row r="871" spans="1:25" x14ac:dyDescent="0.3">
      <c r="A871">
        <v>43500</v>
      </c>
      <c r="B871" t="s">
        <v>17618</v>
      </c>
      <c r="C871" t="s">
        <v>17619</v>
      </c>
      <c r="D871" t="s">
        <v>17620</v>
      </c>
      <c r="E871" t="s">
        <v>17621</v>
      </c>
      <c r="F871" t="s">
        <v>17622</v>
      </c>
      <c r="G871" t="s">
        <v>17623</v>
      </c>
      <c r="H871" t="s">
        <v>17624</v>
      </c>
      <c r="I871" t="s">
        <v>17625</v>
      </c>
      <c r="J871" t="s">
        <v>17626</v>
      </c>
      <c r="K871" t="s">
        <v>17627</v>
      </c>
      <c r="L871" t="s">
        <v>17628</v>
      </c>
      <c r="M871" t="s">
        <v>17629</v>
      </c>
      <c r="N871" t="s">
        <v>17630</v>
      </c>
      <c r="O871">
        <f>-915.803855105777 -10.8875278805026 -493.507872179263</f>
        <v>-1420.1992551655426</v>
      </c>
      <c r="P871">
        <f>-930.946280379306 -58.8440120336686 -203.573272990833</f>
        <v>-1193.3635654038076</v>
      </c>
      <c r="Q871">
        <f>-736.458166088686 -57.1614824356136 -345.778781650818</f>
        <v>-1139.3984301751175</v>
      </c>
      <c r="R871" t="s">
        <v>17631</v>
      </c>
      <c r="S871" t="s">
        <v>17632</v>
      </c>
      <c r="T871" t="s">
        <v>17633</v>
      </c>
      <c r="U871" t="s">
        <v>17634</v>
      </c>
      <c r="V871" t="s">
        <v>17635</v>
      </c>
      <c r="W871" t="s">
        <v>17636</v>
      </c>
      <c r="X871" t="s">
        <v>17637</v>
      </c>
      <c r="Y871" t="s">
        <v>17638</v>
      </c>
    </row>
    <row r="872" spans="1:25" x14ac:dyDescent="0.3">
      <c r="A872">
        <v>43550</v>
      </c>
      <c r="B872" t="s">
        <v>17639</v>
      </c>
      <c r="C872" t="s">
        <v>17640</v>
      </c>
      <c r="D872" t="s">
        <v>17641</v>
      </c>
      <c r="E872" t="s">
        <v>17642</v>
      </c>
      <c r="F872" t="s">
        <v>17643</v>
      </c>
      <c r="G872" t="s">
        <v>17644</v>
      </c>
      <c r="H872" t="s">
        <v>17645</v>
      </c>
      <c r="I872" t="s">
        <v>17646</v>
      </c>
      <c r="J872" t="s">
        <v>17647</v>
      </c>
      <c r="K872" t="s">
        <v>17648</v>
      </c>
      <c r="L872" t="s">
        <v>17649</v>
      </c>
      <c r="M872" t="s">
        <v>17650</v>
      </c>
      <c r="N872" t="s">
        <v>17651</v>
      </c>
      <c r="O872">
        <f>-916.64958005899 -11.2879099681145 -493.942609141915</f>
        <v>-1421.8800991690196</v>
      </c>
      <c r="P872">
        <f>-929.210247058503 -65.1590888775049 -204.924805916051</f>
        <v>-1199.2941418520591</v>
      </c>
      <c r="Q872">
        <f>-738.519159680261 -61.3810432670903 -352.143869723934</f>
        <v>-1152.0440726712854</v>
      </c>
      <c r="R872" t="s">
        <v>17652</v>
      </c>
      <c r="S872" t="s">
        <v>17653</v>
      </c>
      <c r="T872" t="s">
        <v>17654</v>
      </c>
      <c r="U872" t="s">
        <v>17655</v>
      </c>
      <c r="V872" t="s">
        <v>17656</v>
      </c>
      <c r="W872" t="s">
        <v>17657</v>
      </c>
      <c r="X872" t="s">
        <v>17658</v>
      </c>
      <c r="Y872" t="s">
        <v>17659</v>
      </c>
    </row>
    <row r="873" spans="1:25" x14ac:dyDescent="0.3">
      <c r="A873">
        <v>43600</v>
      </c>
      <c r="B873" t="s">
        <v>17660</v>
      </c>
      <c r="C873" t="s">
        <v>17661</v>
      </c>
      <c r="D873" t="s">
        <v>17662</v>
      </c>
      <c r="E873" t="s">
        <v>17663</v>
      </c>
      <c r="F873" t="s">
        <v>17664</v>
      </c>
      <c r="G873" t="s">
        <v>17665</v>
      </c>
      <c r="H873" t="s">
        <v>17666</v>
      </c>
      <c r="I873" t="s">
        <v>17667</v>
      </c>
      <c r="J873" t="s">
        <v>17668</v>
      </c>
      <c r="K873" t="s">
        <v>17669</v>
      </c>
      <c r="L873" t="s">
        <v>17670</v>
      </c>
      <c r="M873" t="s">
        <v>17671</v>
      </c>
      <c r="N873" t="s">
        <v>17672</v>
      </c>
      <c r="O873">
        <f>-917.926844866348 -12.189570365289 -494.674420701635</f>
        <v>-1424.7908359332719</v>
      </c>
      <c r="P873">
        <f>-925.329839909645 -75.8098932322005 -207.465647143004</f>
        <v>-1208.6053802848494</v>
      </c>
      <c r="Q873">
        <f>-741.976168823677 -66.787758746111 -363.513199618468</f>
        <v>-1172.2771271882559</v>
      </c>
      <c r="R873" t="s">
        <v>17673</v>
      </c>
      <c r="S873" t="s">
        <v>17674</v>
      </c>
      <c r="T873" t="s">
        <v>17675</v>
      </c>
      <c r="U873" t="s">
        <v>17676</v>
      </c>
      <c r="V873" t="s">
        <v>17677</v>
      </c>
      <c r="W873" t="s">
        <v>17678</v>
      </c>
      <c r="X873" t="s">
        <v>17679</v>
      </c>
      <c r="Y873" t="s">
        <v>17680</v>
      </c>
    </row>
    <row r="874" spans="1:25" x14ac:dyDescent="0.3">
      <c r="A874">
        <v>43650</v>
      </c>
      <c r="B874" t="s">
        <v>17681</v>
      </c>
      <c r="C874" t="s">
        <v>17682</v>
      </c>
      <c r="D874" t="s">
        <v>17683</v>
      </c>
      <c r="E874" t="s">
        <v>17684</v>
      </c>
      <c r="F874" t="s">
        <v>17685</v>
      </c>
      <c r="G874" t="s">
        <v>17686</v>
      </c>
      <c r="H874" t="s">
        <v>17687</v>
      </c>
      <c r="I874" t="s">
        <v>17688</v>
      </c>
      <c r="J874" t="s">
        <v>17689</v>
      </c>
      <c r="K874" t="s">
        <v>17690</v>
      </c>
      <c r="L874" t="s">
        <v>17691</v>
      </c>
      <c r="M874" t="s">
        <v>17692</v>
      </c>
      <c r="N874" t="s">
        <v>17693</v>
      </c>
      <c r="O874">
        <f>-918.329517645619 -12.729003993044 -494.842427045396</f>
        <v>-1425.9009486840591</v>
      </c>
      <c r="P874">
        <f>-923.258178642178 -79.5661237085467 -208.311991764526</f>
        <v>-1211.1362941152506</v>
      </c>
      <c r="Q874">
        <f>-743.602060447293 -67.6864140539922 -368.416385536188</f>
        <v>-1179.7048600374731</v>
      </c>
      <c r="R874" t="s">
        <v>17694</v>
      </c>
      <c r="S874" t="s">
        <v>17695</v>
      </c>
      <c r="T874" t="s">
        <v>17696</v>
      </c>
      <c r="U874" t="s">
        <v>17697</v>
      </c>
      <c r="V874" t="s">
        <v>17698</v>
      </c>
      <c r="W874" t="s">
        <v>17699</v>
      </c>
      <c r="X874" t="s">
        <v>17700</v>
      </c>
      <c r="Y874" t="s">
        <v>17701</v>
      </c>
    </row>
    <row r="875" spans="1:25" x14ac:dyDescent="0.3">
      <c r="A875">
        <v>43700</v>
      </c>
      <c r="B875" t="s">
        <v>17702</v>
      </c>
      <c r="C875" t="s">
        <v>17703</v>
      </c>
      <c r="D875" t="s">
        <v>17704</v>
      </c>
      <c r="E875" t="s">
        <v>17705</v>
      </c>
      <c r="F875" t="s">
        <v>17706</v>
      </c>
      <c r="G875" t="s">
        <v>17707</v>
      </c>
      <c r="H875" t="s">
        <v>17708</v>
      </c>
      <c r="I875" t="s">
        <v>17709</v>
      </c>
      <c r="J875" t="s">
        <v>17710</v>
      </c>
      <c r="K875" t="s">
        <v>17711</v>
      </c>
      <c r="L875" t="s">
        <v>17712</v>
      </c>
      <c r="M875" t="s">
        <v>17713</v>
      </c>
      <c r="N875" t="s">
        <v>17714</v>
      </c>
      <c r="O875">
        <f>-918.882295232076 -14.4475991880236 -494.878535314079</f>
        <v>-1428.2084297341785</v>
      </c>
      <c r="P875">
        <f>-919.265845924768 -83.9448350741663 -208.939377643975</f>
        <v>-1212.1500586429092</v>
      </c>
      <c r="Q875">
        <f>-745.665056901686 -66.3755689530799 -375.086977921331</f>
        <v>-1187.1276037760967</v>
      </c>
      <c r="R875" t="s">
        <v>17715</v>
      </c>
      <c r="S875" t="s">
        <v>17716</v>
      </c>
      <c r="T875" t="s">
        <v>17717</v>
      </c>
      <c r="U875" t="s">
        <v>17718</v>
      </c>
      <c r="V875" t="s">
        <v>17719</v>
      </c>
      <c r="W875" t="s">
        <v>17720</v>
      </c>
      <c r="X875" t="s">
        <v>17721</v>
      </c>
      <c r="Y875" t="s">
        <v>17722</v>
      </c>
    </row>
    <row r="876" spans="1:25" x14ac:dyDescent="0.3">
      <c r="A876">
        <v>43750</v>
      </c>
      <c r="B876" t="s">
        <v>17723</v>
      </c>
      <c r="C876" t="s">
        <v>17724</v>
      </c>
      <c r="D876" t="s">
        <v>17725</v>
      </c>
      <c r="E876" t="s">
        <v>17726</v>
      </c>
      <c r="F876" t="s">
        <v>17727</v>
      </c>
      <c r="G876" t="s">
        <v>17728</v>
      </c>
      <c r="H876" t="s">
        <v>17729</v>
      </c>
      <c r="I876" t="s">
        <v>17730</v>
      </c>
      <c r="J876" t="s">
        <v>17731</v>
      </c>
      <c r="K876" t="s">
        <v>17732</v>
      </c>
      <c r="L876" t="s">
        <v>17733</v>
      </c>
      <c r="M876" t="s">
        <v>17734</v>
      </c>
      <c r="N876" t="s">
        <v>17735</v>
      </c>
      <c r="O876">
        <f>-918.870582087281 -15.6283874146488 -494.755306377691</f>
        <v>-1429.2542758796208</v>
      </c>
      <c r="P876">
        <f>-917.323065497093 -85.1255818980878 -208.819969608543</f>
        <v>-1211.2686170037239</v>
      </c>
      <c r="Q876">
        <f>-745.668998466448 -64.653752098541 -376.649418060851</f>
        <v>-1186.9721686258399</v>
      </c>
      <c r="R876" t="s">
        <v>17736</v>
      </c>
      <c r="S876" t="s">
        <v>17737</v>
      </c>
      <c r="T876" t="s">
        <v>17738</v>
      </c>
      <c r="U876" t="s">
        <v>17739</v>
      </c>
      <c r="V876" t="s">
        <v>17740</v>
      </c>
      <c r="W876" t="s">
        <v>17741</v>
      </c>
      <c r="X876" t="s">
        <v>17742</v>
      </c>
      <c r="Y876" t="s">
        <v>17743</v>
      </c>
    </row>
    <row r="877" spans="1:25" x14ac:dyDescent="0.3">
      <c r="A877">
        <v>43800</v>
      </c>
      <c r="B877" t="s">
        <v>17744</v>
      </c>
      <c r="C877" t="s">
        <v>17745</v>
      </c>
      <c r="D877" t="s">
        <v>17746</v>
      </c>
      <c r="E877" t="s">
        <v>17747</v>
      </c>
      <c r="F877" t="s">
        <v>17748</v>
      </c>
      <c r="G877" t="s">
        <v>17749</v>
      </c>
      <c r="H877" t="s">
        <v>17750</v>
      </c>
      <c r="I877" t="s">
        <v>17751</v>
      </c>
      <c r="J877" t="s">
        <v>17752</v>
      </c>
      <c r="K877" t="s">
        <v>17753</v>
      </c>
      <c r="L877" t="s">
        <v>17754</v>
      </c>
      <c r="M877" t="s">
        <v>17755</v>
      </c>
      <c r="N877" t="s">
        <v>17756</v>
      </c>
      <c r="O877">
        <f>-918.060798066512 -18.624616053949 -494.190699041607</f>
        <v>-1430.8761131620681</v>
      </c>
      <c r="P877">
        <f>-913.277996352874 -86.1390621551002 -207.816538372979</f>
        <v>-1207.2335968809532</v>
      </c>
      <c r="Q877">
        <f>-743.50301980664 -61.1925957847834 -376.946684435404</f>
        <v>-1181.6423000268273</v>
      </c>
      <c r="R877" t="s">
        <v>17757</v>
      </c>
      <c r="S877" t="s">
        <v>17758</v>
      </c>
      <c r="T877" t="s">
        <v>17759</v>
      </c>
      <c r="U877" t="s">
        <v>17760</v>
      </c>
      <c r="V877" t="s">
        <v>17761</v>
      </c>
      <c r="W877" t="s">
        <v>17762</v>
      </c>
      <c r="X877" t="s">
        <v>17763</v>
      </c>
      <c r="Y877" t="s">
        <v>17764</v>
      </c>
    </row>
    <row r="878" spans="1:25" x14ac:dyDescent="0.3">
      <c r="A878">
        <v>43850</v>
      </c>
      <c r="B878" t="s">
        <v>17765</v>
      </c>
      <c r="C878" t="s">
        <v>17766</v>
      </c>
      <c r="D878" t="s">
        <v>17767</v>
      </c>
      <c r="E878" t="s">
        <v>17768</v>
      </c>
      <c r="F878" t="s">
        <v>17769</v>
      </c>
      <c r="G878" t="s">
        <v>17770</v>
      </c>
      <c r="H878" t="s">
        <v>17771</v>
      </c>
      <c r="I878" t="s">
        <v>17772</v>
      </c>
      <c r="J878" t="s">
        <v>17773</v>
      </c>
      <c r="K878" t="s">
        <v>17774</v>
      </c>
      <c r="L878" t="s">
        <v>17775</v>
      </c>
      <c r="M878" t="s">
        <v>17776</v>
      </c>
      <c r="N878" t="s">
        <v>17777</v>
      </c>
      <c r="O878">
        <f>-917.498714157982 -20.2613529865735 -493.884601558611</f>
        <v>-1431.6446687031664</v>
      </c>
      <c r="P878">
        <f>-911.418318561763 -86.1528808938413 -207.157259408822</f>
        <v>-1204.7284588644263</v>
      </c>
      <c r="Q878">
        <f>-741.491220415276 -59.3318132503534 -375.847315867023</f>
        <v>-1176.6703495326524</v>
      </c>
      <c r="R878" t="s">
        <v>17778</v>
      </c>
      <c r="S878" t="s">
        <v>17779</v>
      </c>
      <c r="T878" t="s">
        <v>17780</v>
      </c>
      <c r="U878" t="s">
        <v>17781</v>
      </c>
      <c r="V878" t="s">
        <v>17782</v>
      </c>
      <c r="W878" t="s">
        <v>17783</v>
      </c>
      <c r="X878" t="s">
        <v>17784</v>
      </c>
      <c r="Y878" t="s">
        <v>17785</v>
      </c>
    </row>
    <row r="879" spans="1:25" x14ac:dyDescent="0.3">
      <c r="A879">
        <v>43900</v>
      </c>
      <c r="B879" t="s">
        <v>17786</v>
      </c>
      <c r="C879" t="s">
        <v>17787</v>
      </c>
      <c r="D879" t="s">
        <v>17788</v>
      </c>
      <c r="E879" t="s">
        <v>17789</v>
      </c>
      <c r="F879" t="s">
        <v>17790</v>
      </c>
      <c r="G879" t="s">
        <v>17791</v>
      </c>
      <c r="H879" t="s">
        <v>17792</v>
      </c>
      <c r="I879" t="s">
        <v>17793</v>
      </c>
      <c r="J879" t="s">
        <v>17794</v>
      </c>
      <c r="K879" t="s">
        <v>17795</v>
      </c>
      <c r="L879" t="s">
        <v>17796</v>
      </c>
      <c r="M879" t="s">
        <v>17797</v>
      </c>
      <c r="N879" t="s">
        <v>17798</v>
      </c>
      <c r="O879">
        <f>-916.099281446684 -23.1304465536386 -493.50583605355</f>
        <v>-1432.7355640538726</v>
      </c>
      <c r="P879">
        <f>-908.620952086924 -86.1426974901622 -206.165154621784</f>
        <v>-1200.9288041988702</v>
      </c>
      <c r="Q879">
        <f>-736.130435818091 -55.3764200677488 -371.547324286039</f>
        <v>-1163.0541801718787</v>
      </c>
      <c r="R879" t="s">
        <v>17799</v>
      </c>
      <c r="S879" t="s">
        <v>17800</v>
      </c>
      <c r="T879" t="s">
        <v>17801</v>
      </c>
      <c r="U879" t="s">
        <v>17802</v>
      </c>
      <c r="V879" t="s">
        <v>17803</v>
      </c>
      <c r="W879" t="s">
        <v>17804</v>
      </c>
      <c r="X879" t="s">
        <v>17805</v>
      </c>
      <c r="Y879" t="s">
        <v>17806</v>
      </c>
    </row>
    <row r="880" spans="1:25" x14ac:dyDescent="0.3">
      <c r="A880">
        <v>43950</v>
      </c>
      <c r="B880" t="s">
        <v>17807</v>
      </c>
      <c r="C880" t="s">
        <v>17808</v>
      </c>
      <c r="D880" t="s">
        <v>17809</v>
      </c>
      <c r="E880" t="s">
        <v>17810</v>
      </c>
      <c r="F880" t="s">
        <v>17811</v>
      </c>
      <c r="G880" t="s">
        <v>17812</v>
      </c>
      <c r="H880" t="s">
        <v>17813</v>
      </c>
      <c r="I880" t="s">
        <v>17814</v>
      </c>
      <c r="J880" t="s">
        <v>17815</v>
      </c>
      <c r="K880" t="s">
        <v>17816</v>
      </c>
      <c r="L880" t="s">
        <v>17817</v>
      </c>
      <c r="M880" t="s">
        <v>17818</v>
      </c>
      <c r="N880" t="s">
        <v>17819</v>
      </c>
      <c r="O880">
        <f>-915.36839530905 -24.301129298768 -493.3632651958</f>
        <v>-1433.032789803618</v>
      </c>
      <c r="P880">
        <f>-907.980185840411 -85.819659543482 -205.69656497802</f>
        <v>-1199.4964103619129</v>
      </c>
      <c r="Q880">
        <f>-733.5302965826 -53.0439976474456 -368.619575031352</f>
        <v>-1155.1938692613976</v>
      </c>
      <c r="R880" t="s">
        <v>17820</v>
      </c>
      <c r="S880" t="s">
        <v>17821</v>
      </c>
      <c r="T880" t="s">
        <v>17822</v>
      </c>
      <c r="U880" t="s">
        <v>17823</v>
      </c>
      <c r="V880" t="s">
        <v>17824</v>
      </c>
      <c r="W880" t="s">
        <v>17825</v>
      </c>
      <c r="X880" t="s">
        <v>17826</v>
      </c>
      <c r="Y880" t="s">
        <v>17827</v>
      </c>
    </row>
    <row r="881" spans="1:25" x14ac:dyDescent="0.3">
      <c r="A881">
        <v>44000</v>
      </c>
      <c r="B881" t="s">
        <v>17828</v>
      </c>
      <c r="C881" t="s">
        <v>17829</v>
      </c>
      <c r="D881" t="s">
        <v>17830</v>
      </c>
      <c r="E881" t="s">
        <v>17831</v>
      </c>
      <c r="F881" t="s">
        <v>17832</v>
      </c>
      <c r="G881" t="s">
        <v>17833</v>
      </c>
      <c r="H881" t="s">
        <v>17834</v>
      </c>
      <c r="I881" t="s">
        <v>17835</v>
      </c>
      <c r="J881" t="s">
        <v>17836</v>
      </c>
      <c r="K881" t="s">
        <v>17837</v>
      </c>
      <c r="L881" t="s">
        <v>17838</v>
      </c>
      <c r="M881" t="s">
        <v>17839</v>
      </c>
      <c r="N881" t="s">
        <v>17840</v>
      </c>
      <c r="O881">
        <f>-914.127987063829 -26.4294322337109 -493.095505328304</f>
        <v>-1433.652924625844</v>
      </c>
      <c r="P881">
        <f>-907.973159253318 -83.8215372019104 -204.548458079917</f>
        <v>-1196.3431545351455</v>
      </c>
      <c r="Q881">
        <f>-728.793925054327 -47.87538471679 -361.56278919635</f>
        <v>-1138.232098967467</v>
      </c>
      <c r="R881" t="s">
        <v>17841</v>
      </c>
      <c r="S881" t="s">
        <v>17842</v>
      </c>
      <c r="T881" t="s">
        <v>17843</v>
      </c>
      <c r="U881" t="s">
        <v>17844</v>
      </c>
      <c r="V881" t="s">
        <v>17845</v>
      </c>
      <c r="W881" t="s">
        <v>17846</v>
      </c>
      <c r="X881" t="s">
        <v>17847</v>
      </c>
      <c r="Y881" t="s">
        <v>17848</v>
      </c>
    </row>
    <row r="882" spans="1:25" x14ac:dyDescent="0.3">
      <c r="A882">
        <v>44050</v>
      </c>
      <c r="B882" t="s">
        <v>17849</v>
      </c>
      <c r="C882" t="s">
        <v>17850</v>
      </c>
      <c r="D882" t="s">
        <v>17851</v>
      </c>
      <c r="E882" t="s">
        <v>17852</v>
      </c>
      <c r="F882" t="s">
        <v>17853</v>
      </c>
      <c r="G882" t="s">
        <v>17854</v>
      </c>
      <c r="H882" t="s">
        <v>17855</v>
      </c>
      <c r="I882" t="s">
        <v>17856</v>
      </c>
      <c r="J882" t="s">
        <v>17857</v>
      </c>
      <c r="K882" t="s">
        <v>17858</v>
      </c>
      <c r="L882" t="s">
        <v>17859</v>
      </c>
      <c r="M882" t="s">
        <v>17860</v>
      </c>
      <c r="N882" t="s">
        <v>17861</v>
      </c>
      <c r="O882">
        <f>-913.569966523348 -27.4518721448267 -492.918257226795</f>
        <v>-1433.9400958949695</v>
      </c>
      <c r="P882">
        <f>-908.523640657297 -82.2032412807546 -203.836986105884</f>
        <v>-1194.5638680439356</v>
      </c>
      <c r="Q882">
        <f>-726.939810210862 -45.1910737737303 -357.811777632907</f>
        <v>-1129.9426616174992</v>
      </c>
      <c r="R882" t="s">
        <v>17862</v>
      </c>
      <c r="S882" t="s">
        <v>17863</v>
      </c>
      <c r="T882" t="s">
        <v>17864</v>
      </c>
      <c r="U882" t="s">
        <v>17865</v>
      </c>
      <c r="V882" t="s">
        <v>17866</v>
      </c>
      <c r="W882" t="s">
        <v>17867</v>
      </c>
      <c r="X882" t="s">
        <v>17868</v>
      </c>
      <c r="Y882" t="s">
        <v>17869</v>
      </c>
    </row>
    <row r="883" spans="1:25" x14ac:dyDescent="0.3">
      <c r="A883">
        <v>44100</v>
      </c>
      <c r="B883" t="s">
        <v>17870</v>
      </c>
      <c r="C883" t="s">
        <v>17871</v>
      </c>
      <c r="D883" t="s">
        <v>17872</v>
      </c>
      <c r="E883" t="s">
        <v>17873</v>
      </c>
      <c r="F883" t="s">
        <v>17874</v>
      </c>
      <c r="G883" t="s">
        <v>17875</v>
      </c>
      <c r="H883" t="s">
        <v>17876</v>
      </c>
      <c r="I883" t="s">
        <v>17877</v>
      </c>
      <c r="J883" t="s">
        <v>17878</v>
      </c>
      <c r="K883" t="s">
        <v>17879</v>
      </c>
      <c r="L883" t="s">
        <v>17880</v>
      </c>
      <c r="M883" t="s">
        <v>17881</v>
      </c>
      <c r="N883" t="s">
        <v>17882</v>
      </c>
      <c r="O883">
        <f>-912.391883311356 -29.0987411475262 -492.67644470704</f>
        <v>-1434.1670691659222</v>
      </c>
      <c r="P883">
        <f>-910.848320693672 -77.8976147744334 -202.491215069383</f>
        <v>-1191.2371505374886</v>
      </c>
      <c r="Q883">
        <f>-725.130664086083 -39.4424935101904 -351.087901846353</f>
        <v>-1115.6610594426265</v>
      </c>
      <c r="R883" t="s">
        <v>17883</v>
      </c>
      <c r="S883" t="s">
        <v>17884</v>
      </c>
      <c r="T883" t="s">
        <v>17885</v>
      </c>
      <c r="U883" t="s">
        <v>17886</v>
      </c>
      <c r="V883" t="s">
        <v>17887</v>
      </c>
      <c r="W883" t="s">
        <v>17888</v>
      </c>
      <c r="X883" t="s">
        <v>17889</v>
      </c>
      <c r="Y883" t="s">
        <v>17890</v>
      </c>
    </row>
    <row r="884" spans="1:25" x14ac:dyDescent="0.3">
      <c r="A884">
        <v>44150</v>
      </c>
      <c r="B884" t="s">
        <v>17891</v>
      </c>
      <c r="C884" t="s">
        <v>17892</v>
      </c>
      <c r="D884" t="s">
        <v>17893</v>
      </c>
      <c r="E884" t="s">
        <v>17894</v>
      </c>
      <c r="F884" t="s">
        <v>17895</v>
      </c>
      <c r="G884" t="s">
        <v>17896</v>
      </c>
      <c r="H884" t="s">
        <v>17897</v>
      </c>
      <c r="I884" t="s">
        <v>17898</v>
      </c>
      <c r="J884" t="s">
        <v>17899</v>
      </c>
      <c r="K884" t="s">
        <v>17900</v>
      </c>
      <c r="L884" t="s">
        <v>17901</v>
      </c>
      <c r="M884" t="s">
        <v>17902</v>
      </c>
      <c r="N884" t="s">
        <v>17903</v>
      </c>
      <c r="O884">
        <f>-911.990068185372 -29.7513317777084 -492.533556889668</f>
        <v>-1434.2749568527483</v>
      </c>
      <c r="P884">
        <f>-912.451892490011 -75.4143877459201 -201.834436730975</f>
        <v>-1189.7007169669062</v>
      </c>
      <c r="Q884">
        <f>-725.203893552843 -36.6835028756282 -348.42561260303</f>
        <v>-1110.3130090315012</v>
      </c>
      <c r="R884" t="s">
        <v>17904</v>
      </c>
      <c r="S884" t="s">
        <v>17905</v>
      </c>
      <c r="T884" t="s">
        <v>17906</v>
      </c>
      <c r="U884" t="s">
        <v>17907</v>
      </c>
      <c r="V884" t="s">
        <v>17908</v>
      </c>
      <c r="W884" t="s">
        <v>17909</v>
      </c>
      <c r="X884" t="s">
        <v>17910</v>
      </c>
      <c r="Y884" t="s">
        <v>17911</v>
      </c>
    </row>
    <row r="885" spans="1:25" x14ac:dyDescent="0.3">
      <c r="A885">
        <v>44200</v>
      </c>
      <c r="B885" t="s">
        <v>17912</v>
      </c>
      <c r="C885" t="s">
        <v>17913</v>
      </c>
      <c r="D885" t="s">
        <v>17914</v>
      </c>
      <c r="E885" t="s">
        <v>17915</v>
      </c>
      <c r="F885" t="s">
        <v>17916</v>
      </c>
      <c r="G885" t="s">
        <v>17917</v>
      </c>
      <c r="H885" t="s">
        <v>17918</v>
      </c>
      <c r="I885" t="s">
        <v>17919</v>
      </c>
      <c r="J885" t="s">
        <v>17920</v>
      </c>
      <c r="K885" t="s">
        <v>17921</v>
      </c>
      <c r="L885" t="s">
        <v>17922</v>
      </c>
      <c r="M885" t="s">
        <v>17923</v>
      </c>
      <c r="N885" t="s">
        <v>17924</v>
      </c>
      <c r="O885">
        <f>-911.535190654047 -31.0821564123589 -492.189517568611</f>
        <v>-1434.8068646350171</v>
      </c>
      <c r="P885">
        <f>-915.642506648222 -72.210744989198 -200.843012102278</f>
        <v>-1188.696263739698</v>
      </c>
      <c r="Q885">
        <f>-726.753877725231 -31.2189643623055 -344.688891791488</f>
        <v>-1102.6617338790245</v>
      </c>
      <c r="R885" t="s">
        <v>17925</v>
      </c>
      <c r="S885" t="s">
        <v>17926</v>
      </c>
      <c r="T885" t="s">
        <v>17927</v>
      </c>
      <c r="U885" t="s">
        <v>17928</v>
      </c>
      <c r="V885" t="s">
        <v>17929</v>
      </c>
      <c r="W885" t="s">
        <v>17930</v>
      </c>
      <c r="X885" t="s">
        <v>17931</v>
      </c>
      <c r="Y885" t="s">
        <v>17932</v>
      </c>
    </row>
    <row r="886" spans="1:25" x14ac:dyDescent="0.3">
      <c r="A886">
        <v>44250</v>
      </c>
      <c r="B886" t="s">
        <v>17933</v>
      </c>
      <c r="C886" t="s">
        <v>17934</v>
      </c>
      <c r="D886" t="s">
        <v>17935</v>
      </c>
      <c r="E886" t="s">
        <v>17936</v>
      </c>
      <c r="F886" t="s">
        <v>17937</v>
      </c>
      <c r="G886" t="s">
        <v>17938</v>
      </c>
      <c r="H886" t="s">
        <v>17939</v>
      </c>
      <c r="I886" t="s">
        <v>17940</v>
      </c>
      <c r="J886" t="s">
        <v>17941</v>
      </c>
      <c r="K886" t="s">
        <v>17942</v>
      </c>
      <c r="L886" t="s">
        <v>17943</v>
      </c>
      <c r="M886" t="s">
        <v>17944</v>
      </c>
      <c r="N886" t="s">
        <v>17945</v>
      </c>
      <c r="O886">
        <f>-911.423212623096 -31.489825355201 -492.123487311848</f>
        <v>-1435.0365252901449</v>
      </c>
      <c r="P886">
        <f>-916.716969821604 -70.9684650137808 -200.567973389723</f>
        <v>-1188.2534082251079</v>
      </c>
      <c r="Q886">
        <f>-727.312802490401 -28.6520298440619 -343.348446661812</f>
        <v>-1099.3132789962749</v>
      </c>
      <c r="R886" t="s">
        <v>17946</v>
      </c>
      <c r="S886" t="s">
        <v>17947</v>
      </c>
      <c r="T886" t="s">
        <v>17948</v>
      </c>
      <c r="U886" t="s">
        <v>17949</v>
      </c>
      <c r="V886" t="s">
        <v>17950</v>
      </c>
      <c r="W886" t="s">
        <v>17951</v>
      </c>
      <c r="X886" t="s">
        <v>17952</v>
      </c>
      <c r="Y886" t="s">
        <v>17953</v>
      </c>
    </row>
    <row r="887" spans="1:25" x14ac:dyDescent="0.3">
      <c r="A887">
        <v>44300</v>
      </c>
      <c r="B887" t="s">
        <v>17954</v>
      </c>
      <c r="C887" t="s">
        <v>17955</v>
      </c>
      <c r="D887" t="s">
        <v>17956</v>
      </c>
      <c r="E887" t="s">
        <v>17957</v>
      </c>
      <c r="F887" t="s">
        <v>17958</v>
      </c>
      <c r="G887" t="s">
        <v>17959</v>
      </c>
      <c r="H887" t="s">
        <v>17960</v>
      </c>
      <c r="I887" t="s">
        <v>17961</v>
      </c>
      <c r="J887" t="s">
        <v>17962</v>
      </c>
      <c r="K887" t="s">
        <v>17963</v>
      </c>
      <c r="L887" t="s">
        <v>17964</v>
      </c>
      <c r="M887" t="s">
        <v>17965</v>
      </c>
      <c r="N887" t="s">
        <v>17966</v>
      </c>
      <c r="O887">
        <f>-911.434239162448 -31.6267139336214 -492.208952511333</f>
        <v>-1435.2699056074025</v>
      </c>
      <c r="P887">
        <f>-918.12195471093 -69.403088644312 -200.456538931458</f>
        <v>-1187.9815822866999</v>
      </c>
      <c r="Q887">
        <f>-728.297251638297 -24.3849831734478 -341.845499707277</f>
        <v>-1094.5277345190218</v>
      </c>
      <c r="R887" t="s">
        <v>17967</v>
      </c>
      <c r="S887" t="s">
        <v>17968</v>
      </c>
      <c r="T887" t="s">
        <v>17969</v>
      </c>
      <c r="U887" t="s">
        <v>17970</v>
      </c>
      <c r="V887" t="s">
        <v>17971</v>
      </c>
      <c r="W887" t="s">
        <v>17972</v>
      </c>
      <c r="X887" t="s">
        <v>17973</v>
      </c>
      <c r="Y887" t="s">
        <v>17974</v>
      </c>
    </row>
    <row r="888" spans="1:25" x14ac:dyDescent="0.3">
      <c r="A888">
        <v>44350</v>
      </c>
      <c r="B888" t="s">
        <v>17975</v>
      </c>
      <c r="C888" t="s">
        <v>17976</v>
      </c>
      <c r="D888" t="s">
        <v>17977</v>
      </c>
      <c r="E888" t="s">
        <v>17978</v>
      </c>
      <c r="F888" t="s">
        <v>17979</v>
      </c>
      <c r="G888" t="s">
        <v>17980</v>
      </c>
      <c r="H888" t="s">
        <v>17981</v>
      </c>
      <c r="I888" t="s">
        <v>17982</v>
      </c>
      <c r="J888" t="s">
        <v>17983</v>
      </c>
      <c r="K888" t="s">
        <v>17984</v>
      </c>
      <c r="L888" t="s">
        <v>17985</v>
      </c>
      <c r="M888" t="s">
        <v>17986</v>
      </c>
      <c r="N888" t="s">
        <v>17987</v>
      </c>
      <c r="O888">
        <f>-911.317759584798 -31.2467869177763 -492.381255139961</f>
        <v>-1434.9458016425351</v>
      </c>
      <c r="P888">
        <f>-918.414310749783 -68.7660205500272 -200.60543838548</f>
        <v>-1187.7857696852902</v>
      </c>
      <c r="Q888">
        <f>-728.407314835148 -22.6651816291819 -341.399189677966</f>
        <v>-1092.4716861422958</v>
      </c>
      <c r="R888" t="s">
        <v>17988</v>
      </c>
      <c r="S888" t="s">
        <v>17989</v>
      </c>
      <c r="T888" t="s">
        <v>17990</v>
      </c>
      <c r="U888" t="s">
        <v>17991</v>
      </c>
      <c r="V888" t="s">
        <v>17992</v>
      </c>
      <c r="W888" t="s">
        <v>17993</v>
      </c>
      <c r="X888" t="s">
        <v>17994</v>
      </c>
      <c r="Y888" t="s">
        <v>17995</v>
      </c>
    </row>
    <row r="889" spans="1:25" x14ac:dyDescent="0.3">
      <c r="A889">
        <v>44400</v>
      </c>
      <c r="B889" t="s">
        <v>17996</v>
      </c>
      <c r="C889" t="s">
        <v>17997</v>
      </c>
      <c r="D889" t="s">
        <v>17998</v>
      </c>
      <c r="E889" t="s">
        <v>17999</v>
      </c>
      <c r="F889" t="s">
        <v>18000</v>
      </c>
      <c r="G889" t="s">
        <v>18001</v>
      </c>
      <c r="H889" t="s">
        <v>18002</v>
      </c>
      <c r="I889" t="s">
        <v>18003</v>
      </c>
      <c r="J889" t="s">
        <v>18004</v>
      </c>
      <c r="K889" t="s">
        <v>18005</v>
      </c>
      <c r="L889" t="s">
        <v>18006</v>
      </c>
      <c r="M889" t="s">
        <v>18007</v>
      </c>
      <c r="N889" t="s">
        <v>18008</v>
      </c>
      <c r="O889">
        <f>-911.101899895411 -30.3955143942876 -492.746921430685</f>
        <v>-1434.2443357203836</v>
      </c>
      <c r="P889">
        <f>-918.851860317773 -67.7884778187438 -200.971515363613</f>
        <v>-1187.6118535001299</v>
      </c>
      <c r="Q889">
        <f>-728.319552232638 -21.1049519920516 -340.860839728457</f>
        <v>-1090.2853439531466</v>
      </c>
      <c r="R889" t="s">
        <v>18009</v>
      </c>
      <c r="S889" t="s">
        <v>18010</v>
      </c>
      <c r="T889" t="s">
        <v>18011</v>
      </c>
      <c r="U889" t="s">
        <v>18012</v>
      </c>
      <c r="V889" t="s">
        <v>18013</v>
      </c>
      <c r="W889" t="s">
        <v>18014</v>
      </c>
      <c r="X889" t="s">
        <v>18015</v>
      </c>
      <c r="Y889" t="s">
        <v>18016</v>
      </c>
    </row>
    <row r="890" spans="1:25" x14ac:dyDescent="0.3">
      <c r="A890">
        <v>44450</v>
      </c>
      <c r="B890" t="s">
        <v>18017</v>
      </c>
      <c r="C890" t="s">
        <v>18018</v>
      </c>
      <c r="D890" t="s">
        <v>18019</v>
      </c>
      <c r="E890" t="s">
        <v>18020</v>
      </c>
      <c r="F890" t="s">
        <v>18021</v>
      </c>
      <c r="G890" t="s">
        <v>18022</v>
      </c>
      <c r="H890" t="s">
        <v>18023</v>
      </c>
      <c r="I890" t="s">
        <v>18024</v>
      </c>
      <c r="J890" t="s">
        <v>18025</v>
      </c>
      <c r="K890" t="s">
        <v>18026</v>
      </c>
      <c r="L890" t="s">
        <v>18027</v>
      </c>
      <c r="M890" t="s">
        <v>18028</v>
      </c>
      <c r="N890" t="s">
        <v>18029</v>
      </c>
      <c r="O890">
        <f>-911.10651004664 -29.9729159591411 -492.878524971866</f>
        <v>-1433.9579509776472</v>
      </c>
      <c r="P890">
        <f>-919.041178308713 -67.4339081942589 -201.11675226843</f>
        <v>-1187.5918387714019</v>
      </c>
      <c r="Q890">
        <f>-727.96348869784 -20.9770222742964 -340.335875069623</f>
        <v>-1089.2763860417595</v>
      </c>
      <c r="R890" t="s">
        <v>18030</v>
      </c>
      <c r="S890" t="s">
        <v>18031</v>
      </c>
      <c r="T890" t="s">
        <v>18032</v>
      </c>
      <c r="U890" t="s">
        <v>18033</v>
      </c>
      <c r="V890" t="s">
        <v>18034</v>
      </c>
      <c r="W890" t="s">
        <v>18035</v>
      </c>
      <c r="X890" t="s">
        <v>18036</v>
      </c>
      <c r="Y890" t="s">
        <v>18037</v>
      </c>
    </row>
    <row r="891" spans="1:25" x14ac:dyDescent="0.3">
      <c r="A891">
        <v>44500</v>
      </c>
      <c r="B891" t="s">
        <v>18038</v>
      </c>
      <c r="C891" t="s">
        <v>18039</v>
      </c>
      <c r="D891" t="s">
        <v>18040</v>
      </c>
      <c r="E891" t="s">
        <v>18041</v>
      </c>
      <c r="F891" t="s">
        <v>18042</v>
      </c>
      <c r="G891" t="s">
        <v>18043</v>
      </c>
      <c r="H891" t="s">
        <v>18044</v>
      </c>
      <c r="I891" t="s">
        <v>18045</v>
      </c>
      <c r="J891" t="s">
        <v>18046</v>
      </c>
      <c r="K891" t="s">
        <v>18047</v>
      </c>
      <c r="L891" t="s">
        <v>18048</v>
      </c>
      <c r="M891" t="s">
        <v>18049</v>
      </c>
      <c r="N891" t="s">
        <v>18050</v>
      </c>
      <c r="O891">
        <f>-910.918483162636 -28.8075628863421 -493.138112904258</f>
        <v>-1432.864158953236</v>
      </c>
      <c r="P891">
        <f>-919.455600489682 -66.2990736068352 -201.397307520381</f>
        <v>-1187.1519816168982</v>
      </c>
      <c r="Q891">
        <f>-726.775125974043 -20.6027257479445 -338.644722208304</f>
        <v>-1086.0225739302916</v>
      </c>
      <c r="R891" t="s">
        <v>18051</v>
      </c>
      <c r="S891" t="s">
        <v>18052</v>
      </c>
      <c r="T891" t="s">
        <v>18053</v>
      </c>
      <c r="U891" t="s">
        <v>18054</v>
      </c>
      <c r="V891" t="s">
        <v>18055</v>
      </c>
      <c r="W891" t="s">
        <v>18056</v>
      </c>
      <c r="X891" t="s">
        <v>18057</v>
      </c>
      <c r="Y891" t="s">
        <v>18058</v>
      </c>
    </row>
    <row r="892" spans="1:25" x14ac:dyDescent="0.3">
      <c r="A892">
        <v>44550</v>
      </c>
      <c r="B892" t="s">
        <v>18059</v>
      </c>
      <c r="C892" t="s">
        <v>18060</v>
      </c>
      <c r="D892" t="s">
        <v>18061</v>
      </c>
      <c r="E892" t="s">
        <v>18062</v>
      </c>
      <c r="F892" t="s">
        <v>18063</v>
      </c>
      <c r="G892" t="s">
        <v>18064</v>
      </c>
      <c r="H892" t="s">
        <v>18065</v>
      </c>
      <c r="I892" t="s">
        <v>18066</v>
      </c>
      <c r="J892" t="s">
        <v>18067</v>
      </c>
      <c r="K892" t="s">
        <v>18068</v>
      </c>
      <c r="L892" t="s">
        <v>18069</v>
      </c>
      <c r="M892" t="s">
        <v>18070</v>
      </c>
      <c r="N892" t="s">
        <v>18071</v>
      </c>
      <c r="O892">
        <f>-910.66809095768 -28.2718102644058 -493.263428572148</f>
        <v>-1432.2033297942337</v>
      </c>
      <c r="P892">
        <f>-919.792219282539 -65.7229772589935 -201.535230094084</f>
        <v>-1187.0504266356165</v>
      </c>
      <c r="Q892">
        <f>-726.369061527635 -20.2583729183511 -337.811805042668</f>
        <v>-1084.4392394886543</v>
      </c>
      <c r="R892" t="s">
        <v>18072</v>
      </c>
      <c r="S892" t="s">
        <v>18073</v>
      </c>
      <c r="T892" t="s">
        <v>18074</v>
      </c>
      <c r="U892" t="s">
        <v>18075</v>
      </c>
      <c r="V892" t="s">
        <v>18076</v>
      </c>
      <c r="W892" t="s">
        <v>18077</v>
      </c>
      <c r="X892" t="s">
        <v>18078</v>
      </c>
      <c r="Y892" t="s">
        <v>18079</v>
      </c>
    </row>
    <row r="893" spans="1:25" x14ac:dyDescent="0.3">
      <c r="A893">
        <v>44600</v>
      </c>
      <c r="B893" t="s">
        <v>18080</v>
      </c>
      <c r="C893" t="s">
        <v>18081</v>
      </c>
      <c r="D893" t="s">
        <v>18082</v>
      </c>
      <c r="E893" t="s">
        <v>18083</v>
      </c>
      <c r="F893" t="s">
        <v>18084</v>
      </c>
      <c r="G893" t="s">
        <v>18085</v>
      </c>
      <c r="H893" t="s">
        <v>18086</v>
      </c>
      <c r="I893" t="s">
        <v>18087</v>
      </c>
      <c r="J893" t="s">
        <v>18088</v>
      </c>
      <c r="K893" t="s">
        <v>18089</v>
      </c>
      <c r="L893" t="s">
        <v>18090</v>
      </c>
      <c r="M893" t="s">
        <v>18091</v>
      </c>
      <c r="N893" t="s">
        <v>18092</v>
      </c>
      <c r="O893">
        <f>-910.567458562403 -27.3020473115862 -493.4669263809</f>
        <v>-1431.3364322548891</v>
      </c>
      <c r="P893">
        <f>-920.500742013744 -64.0031809301668 -201.669750486679</f>
        <v>-1186.1736734305898</v>
      </c>
      <c r="Q893">
        <f>-725.400489114355 -19.5227997535321 -335.864600383034</f>
        <v>-1080.7878892509211</v>
      </c>
      <c r="R893" t="s">
        <v>18093</v>
      </c>
      <c r="S893" t="s">
        <v>18094</v>
      </c>
      <c r="T893" t="s">
        <v>18095</v>
      </c>
      <c r="U893" t="s">
        <v>18096</v>
      </c>
      <c r="V893" t="s">
        <v>18097</v>
      </c>
      <c r="W893" t="s">
        <v>18098</v>
      </c>
      <c r="X893" t="s">
        <v>18099</v>
      </c>
      <c r="Y893" t="s">
        <v>18100</v>
      </c>
    </row>
    <row r="894" spans="1:25" x14ac:dyDescent="0.3">
      <c r="A894">
        <v>44650</v>
      </c>
      <c r="B894" t="s">
        <v>18101</v>
      </c>
      <c r="C894" t="s">
        <v>18102</v>
      </c>
      <c r="D894" t="s">
        <v>18103</v>
      </c>
      <c r="E894" t="s">
        <v>18104</v>
      </c>
      <c r="F894" t="s">
        <v>18105</v>
      </c>
      <c r="G894" t="s">
        <v>18106</v>
      </c>
      <c r="H894" t="s">
        <v>18107</v>
      </c>
      <c r="I894" t="s">
        <v>18108</v>
      </c>
      <c r="J894" t="s">
        <v>18109</v>
      </c>
      <c r="K894" t="s">
        <v>18110</v>
      </c>
      <c r="L894" t="s">
        <v>18111</v>
      </c>
      <c r="M894" t="s">
        <v>18112</v>
      </c>
      <c r="N894" t="s">
        <v>18113</v>
      </c>
      <c r="O894">
        <f>-910.571165343456 -26.9635740452009 -493.478847351225</f>
        <v>-1431.0135867398817</v>
      </c>
      <c r="P894">
        <f>-920.798069786628 -63.4867550801473 -201.669524587975</f>
        <v>-1185.9543494547504</v>
      </c>
      <c r="Q894">
        <f>-725.132108989269 -19.1516466905541 -335.086539938706</f>
        <v>-1079.3702956185291</v>
      </c>
      <c r="R894" t="s">
        <v>18114</v>
      </c>
      <c r="S894" t="s">
        <v>18115</v>
      </c>
      <c r="T894" t="s">
        <v>18116</v>
      </c>
      <c r="U894" t="s">
        <v>18117</v>
      </c>
      <c r="V894" t="s">
        <v>18118</v>
      </c>
      <c r="W894" t="s">
        <v>18119</v>
      </c>
      <c r="X894" t="s">
        <v>18120</v>
      </c>
      <c r="Y894" t="s">
        <v>18121</v>
      </c>
    </row>
    <row r="895" spans="1:25" x14ac:dyDescent="0.3">
      <c r="A895">
        <v>44700</v>
      </c>
      <c r="B895" t="s">
        <v>18122</v>
      </c>
      <c r="C895" t="s">
        <v>18123</v>
      </c>
      <c r="D895" t="s">
        <v>18124</v>
      </c>
      <c r="E895" t="s">
        <v>18125</v>
      </c>
      <c r="F895" t="s">
        <v>18126</v>
      </c>
      <c r="G895" t="s">
        <v>18127</v>
      </c>
      <c r="H895" t="s">
        <v>18128</v>
      </c>
      <c r="I895" t="s">
        <v>18129</v>
      </c>
      <c r="J895" t="s">
        <v>18130</v>
      </c>
      <c r="K895" t="s">
        <v>18131</v>
      </c>
      <c r="L895" t="s">
        <v>18132</v>
      </c>
      <c r="M895" t="s">
        <v>18133</v>
      </c>
      <c r="N895" t="s">
        <v>18134</v>
      </c>
      <c r="O895">
        <f>-910.885295895485 -26.4580930617617 -493.486197633445</f>
        <v>-1430.8295865906916</v>
      </c>
      <c r="P895">
        <f>-921.204882409152 -62.6692546437441 -201.641300172727</f>
        <v>-1185.5154372256231</v>
      </c>
      <c r="Q895">
        <f>-723.854416591324 -18.5739110204704 -332.634466661111</f>
        <v>-1075.0627942729054</v>
      </c>
      <c r="R895" t="s">
        <v>18135</v>
      </c>
      <c r="S895" t="s">
        <v>18136</v>
      </c>
      <c r="T895" t="s">
        <v>18137</v>
      </c>
      <c r="U895" t="s">
        <v>18138</v>
      </c>
      <c r="V895" t="s">
        <v>18139</v>
      </c>
      <c r="W895" t="s">
        <v>18140</v>
      </c>
      <c r="X895" t="s">
        <v>18141</v>
      </c>
      <c r="Y895" t="s">
        <v>18142</v>
      </c>
    </row>
    <row r="896" spans="1:25" x14ac:dyDescent="0.3">
      <c r="A896">
        <v>44750</v>
      </c>
      <c r="B896" t="s">
        <v>18143</v>
      </c>
      <c r="C896" t="s">
        <v>18144</v>
      </c>
      <c r="D896" t="s">
        <v>18145</v>
      </c>
      <c r="E896" t="s">
        <v>18146</v>
      </c>
      <c r="F896" t="s">
        <v>18147</v>
      </c>
      <c r="G896" t="s">
        <v>18148</v>
      </c>
      <c r="H896" t="s">
        <v>18149</v>
      </c>
      <c r="I896" t="s">
        <v>18150</v>
      </c>
      <c r="J896" t="s">
        <v>18151</v>
      </c>
      <c r="K896" t="s">
        <v>18152</v>
      </c>
      <c r="L896" t="s">
        <v>18153</v>
      </c>
      <c r="M896" t="s">
        <v>18154</v>
      </c>
      <c r="N896" t="s">
        <v>18155</v>
      </c>
      <c r="O896">
        <f>-911.106551338241 -26.3216684154031 -493.461514774185</f>
        <v>-1430.8897345278292</v>
      </c>
      <c r="P896">
        <f>-921.496569496712 -62.6359986279097 -201.631797574885</f>
        <v>-1185.7643656995067</v>
      </c>
      <c r="Q896">
        <f>-723.575192224748 -18.2806822839939 -331.672710728909</f>
        <v>-1073.528585237651</v>
      </c>
      <c r="R896" t="s">
        <v>18156</v>
      </c>
      <c r="S896" t="s">
        <v>18157</v>
      </c>
      <c r="T896" t="s">
        <v>18158</v>
      </c>
      <c r="U896" t="s">
        <v>18159</v>
      </c>
      <c r="V896" t="s">
        <v>18160</v>
      </c>
      <c r="W896" t="s">
        <v>18161</v>
      </c>
      <c r="X896" t="s">
        <v>18162</v>
      </c>
      <c r="Y896" t="s">
        <v>18163</v>
      </c>
    </row>
    <row r="897" spans="1:25" x14ac:dyDescent="0.3">
      <c r="A897">
        <v>44800</v>
      </c>
      <c r="B897" t="s">
        <v>18164</v>
      </c>
      <c r="C897" t="s">
        <v>18165</v>
      </c>
      <c r="D897" t="s">
        <v>18166</v>
      </c>
      <c r="E897" t="s">
        <v>18167</v>
      </c>
      <c r="F897" t="s">
        <v>18168</v>
      </c>
      <c r="G897" t="s">
        <v>18169</v>
      </c>
      <c r="H897" t="s">
        <v>18170</v>
      </c>
      <c r="I897" t="s">
        <v>18171</v>
      </c>
      <c r="J897" t="s">
        <v>18172</v>
      </c>
      <c r="K897" t="s">
        <v>18173</v>
      </c>
      <c r="L897" t="s">
        <v>18174</v>
      </c>
      <c r="M897" t="s">
        <v>18175</v>
      </c>
      <c r="N897" t="s">
        <v>18176</v>
      </c>
      <c r="O897">
        <f>-911.699974001138 -25.8739538999275 -493.493616952168</f>
        <v>-1431.0675448532336</v>
      </c>
      <c r="P897">
        <f>-921.959382375152 -61.9648023463124 -201.631522402623</f>
        <v>-1185.5557071240873</v>
      </c>
      <c r="Q897">
        <f>-722.813534413331 -17.1579792745638 -329.632180987122</f>
        <v>-1069.6036946750169</v>
      </c>
      <c r="R897" t="s">
        <v>18177</v>
      </c>
      <c r="S897" t="s">
        <v>18178</v>
      </c>
      <c r="T897" t="s">
        <v>18179</v>
      </c>
      <c r="U897" t="s">
        <v>18180</v>
      </c>
      <c r="V897" t="s">
        <v>18181</v>
      </c>
      <c r="W897" t="s">
        <v>18182</v>
      </c>
      <c r="X897" t="s">
        <v>18183</v>
      </c>
      <c r="Y897" t="s">
        <v>18184</v>
      </c>
    </row>
    <row r="898" spans="1:25" x14ac:dyDescent="0.3">
      <c r="A898">
        <v>44850</v>
      </c>
      <c r="B898" t="s">
        <v>18185</v>
      </c>
      <c r="C898" t="s">
        <v>18186</v>
      </c>
      <c r="D898" t="s">
        <v>18187</v>
      </c>
      <c r="E898" t="s">
        <v>18188</v>
      </c>
      <c r="F898" t="s">
        <v>18189</v>
      </c>
      <c r="G898" t="s">
        <v>18190</v>
      </c>
      <c r="H898" t="s">
        <v>18191</v>
      </c>
      <c r="I898" t="s">
        <v>18192</v>
      </c>
      <c r="J898" t="s">
        <v>18193</v>
      </c>
      <c r="K898" t="s">
        <v>18194</v>
      </c>
      <c r="L898" t="s">
        <v>18195</v>
      </c>
      <c r="M898" t="s">
        <v>18196</v>
      </c>
      <c r="N898" t="s">
        <v>18197</v>
      </c>
      <c r="O898">
        <f>-912.105959979049 -25.6590095405259 -493.44191465647</f>
        <v>-1431.2068841760447</v>
      </c>
      <c r="P898">
        <f>-922.20351072021 -61.641876861024 -201.560987653548</f>
        <v>-1185.406375234782</v>
      </c>
      <c r="Q898">
        <f>-722.599877195572 -16.5289638872805 -328.73827711621</f>
        <v>-1067.8671181990626</v>
      </c>
      <c r="R898" t="s">
        <v>18198</v>
      </c>
      <c r="S898" t="s">
        <v>18199</v>
      </c>
      <c r="T898" t="s">
        <v>18200</v>
      </c>
      <c r="U898" t="s">
        <v>18201</v>
      </c>
      <c r="V898" t="s">
        <v>18202</v>
      </c>
      <c r="W898" t="s">
        <v>18203</v>
      </c>
      <c r="X898" t="s">
        <v>18204</v>
      </c>
      <c r="Y898" t="s">
        <v>18205</v>
      </c>
    </row>
    <row r="899" spans="1:25" x14ac:dyDescent="0.3">
      <c r="A899">
        <v>44900</v>
      </c>
      <c r="B899" t="s">
        <v>18206</v>
      </c>
      <c r="C899" t="s">
        <v>18207</v>
      </c>
      <c r="D899" t="s">
        <v>18208</v>
      </c>
      <c r="E899" t="s">
        <v>18209</v>
      </c>
      <c r="F899" t="s">
        <v>18210</v>
      </c>
      <c r="G899" t="s">
        <v>18211</v>
      </c>
      <c r="H899" t="s">
        <v>18212</v>
      </c>
      <c r="I899" t="s">
        <v>18213</v>
      </c>
      <c r="J899" t="s">
        <v>18214</v>
      </c>
      <c r="K899" t="s">
        <v>18215</v>
      </c>
      <c r="L899" t="s">
        <v>18216</v>
      </c>
      <c r="M899" t="s">
        <v>18217</v>
      </c>
      <c r="N899" t="s">
        <v>18218</v>
      </c>
      <c r="O899">
        <f>-912.668662094444 -25.6166739372475 -493.384921072263</f>
        <v>-1431.6702571039546</v>
      </c>
      <c r="P899">
        <f>-922.30582669328 -61.4968618202674 -201.475670167879</f>
        <v>-1185.2783586814264</v>
      </c>
      <c r="Q899">
        <f>-722.267555292298 -14.5710487556435 -327.307198332991</f>
        <v>-1064.1458023809323</v>
      </c>
      <c r="R899" t="s">
        <v>18219</v>
      </c>
      <c r="S899" t="s">
        <v>18220</v>
      </c>
      <c r="T899" t="s">
        <v>18221</v>
      </c>
      <c r="U899" t="s">
        <v>18222</v>
      </c>
      <c r="V899" t="s">
        <v>18223</v>
      </c>
      <c r="W899" t="s">
        <v>18224</v>
      </c>
      <c r="X899" t="s">
        <v>18225</v>
      </c>
      <c r="Y899" t="s">
        <v>18226</v>
      </c>
    </row>
    <row r="900" spans="1:25" x14ac:dyDescent="0.3">
      <c r="A900">
        <v>44950</v>
      </c>
      <c r="B900" t="s">
        <v>18227</v>
      </c>
      <c r="C900" t="s">
        <v>18228</v>
      </c>
      <c r="D900" t="s">
        <v>18229</v>
      </c>
      <c r="E900" t="s">
        <v>18230</v>
      </c>
      <c r="F900" t="s">
        <v>18231</v>
      </c>
      <c r="G900" t="s">
        <v>18232</v>
      </c>
      <c r="H900" t="s">
        <v>18233</v>
      </c>
      <c r="I900" t="s">
        <v>18234</v>
      </c>
      <c r="J900" t="s">
        <v>18235</v>
      </c>
      <c r="K900" t="s">
        <v>18236</v>
      </c>
      <c r="L900" t="s">
        <v>18237</v>
      </c>
      <c r="M900" t="s">
        <v>18238</v>
      </c>
      <c r="N900" t="s">
        <v>18239</v>
      </c>
      <c r="O900">
        <f>-912.836764560393 -25.6569379582129 -493.395780490262</f>
        <v>-1431.889483008868</v>
      </c>
      <c r="P900">
        <f>-922.111202363495 -61.4304178841739 -201.461733714892</f>
        <v>-1185.0033539625608</v>
      </c>
      <c r="Q900">
        <f>-721.736592738739 -13.430927392862 -326.349133047815</f>
        <v>-1061.5166531794159</v>
      </c>
      <c r="R900" t="s">
        <v>18240</v>
      </c>
      <c r="S900" t="s">
        <v>18241</v>
      </c>
      <c r="T900" t="s">
        <v>18242</v>
      </c>
      <c r="U900" t="s">
        <v>18243</v>
      </c>
      <c r="V900" t="s">
        <v>18244</v>
      </c>
      <c r="W900" t="s">
        <v>18245</v>
      </c>
      <c r="X900" t="s">
        <v>18246</v>
      </c>
      <c r="Y900" t="s">
        <v>18247</v>
      </c>
    </row>
    <row r="901" spans="1:25" x14ac:dyDescent="0.3">
      <c r="A901">
        <v>45000</v>
      </c>
      <c r="B901" t="s">
        <v>18248</v>
      </c>
      <c r="C901" t="s">
        <v>18249</v>
      </c>
      <c r="D901" t="s">
        <v>18250</v>
      </c>
      <c r="E901" t="s">
        <v>18251</v>
      </c>
      <c r="F901" t="s">
        <v>18252</v>
      </c>
      <c r="G901" t="s">
        <v>18253</v>
      </c>
      <c r="H901" t="s">
        <v>18254</v>
      </c>
      <c r="I901" t="s">
        <v>18255</v>
      </c>
      <c r="J901" t="s">
        <v>18256</v>
      </c>
      <c r="K901" t="s">
        <v>18257</v>
      </c>
      <c r="L901" t="s">
        <v>18258</v>
      </c>
      <c r="M901" t="s">
        <v>18259</v>
      </c>
      <c r="N901" t="s">
        <v>18260</v>
      </c>
      <c r="O901">
        <f>-912.465550888781 -25.8469116494157 -493.5289830833</f>
        <v>-1431.8414456214966</v>
      </c>
      <c r="P901">
        <f>-921.527098203558 -61.7000439550736 -201.597987115571</f>
        <v>-1184.8251292742027</v>
      </c>
      <c r="Q901">
        <f>-720.50968930664 -11.1525586915204 -324.430535342069</f>
        <v>-1056.0927833402293</v>
      </c>
      <c r="R901" t="s">
        <v>18261</v>
      </c>
      <c r="S901" t="s">
        <v>18262</v>
      </c>
      <c r="T901" t="s">
        <v>18263</v>
      </c>
      <c r="U901" t="s">
        <v>18264</v>
      </c>
      <c r="V901" t="s">
        <v>18265</v>
      </c>
      <c r="W901" t="s">
        <v>18266</v>
      </c>
      <c r="X901" t="s">
        <v>18267</v>
      </c>
      <c r="Y901" t="s">
        <v>18268</v>
      </c>
    </row>
    <row r="902" spans="1:25" x14ac:dyDescent="0.3">
      <c r="A902">
        <v>45050</v>
      </c>
      <c r="B902" t="s">
        <v>18269</v>
      </c>
      <c r="C902" t="s">
        <v>18270</v>
      </c>
      <c r="D902" t="s">
        <v>18271</v>
      </c>
      <c r="E902" t="s">
        <v>18272</v>
      </c>
      <c r="F902" t="s">
        <v>18273</v>
      </c>
      <c r="G902" t="s">
        <v>18274</v>
      </c>
      <c r="H902" t="s">
        <v>18275</v>
      </c>
      <c r="I902" t="s">
        <v>18276</v>
      </c>
      <c r="J902" t="s">
        <v>18277</v>
      </c>
      <c r="K902" t="s">
        <v>18278</v>
      </c>
      <c r="L902" t="s">
        <v>18279</v>
      </c>
      <c r="M902" t="s">
        <v>18280</v>
      </c>
      <c r="N902" t="s">
        <v>18281</v>
      </c>
      <c r="O902">
        <f>-912.336006031676 -25.8350168409588 -493.620426521655</f>
        <v>-1431.7914493942899</v>
      </c>
      <c r="P902">
        <f>-921.330579867274 -61.8572679388817 -201.708168645381</f>
        <v>-1184.8960164515368</v>
      </c>
      <c r="Q902">
        <f>-720.422304901066 -9.62449081777004 -324.01283510986</f>
        <v>-1054.0596308286961</v>
      </c>
      <c r="R902" t="s">
        <v>18282</v>
      </c>
      <c r="S902" t="s">
        <v>18283</v>
      </c>
      <c r="T902" t="s">
        <v>18284</v>
      </c>
      <c r="U902" t="s">
        <v>18285</v>
      </c>
      <c r="V902" t="s">
        <v>18286</v>
      </c>
      <c r="W902" t="s">
        <v>18287</v>
      </c>
      <c r="X902" t="s">
        <v>18288</v>
      </c>
      <c r="Y902" t="s">
        <v>18289</v>
      </c>
    </row>
    <row r="903" spans="1:25" x14ac:dyDescent="0.3">
      <c r="A903">
        <v>45100</v>
      </c>
      <c r="B903" t="s">
        <v>18290</v>
      </c>
      <c r="C903" t="s">
        <v>18291</v>
      </c>
      <c r="D903" t="s">
        <v>18292</v>
      </c>
      <c r="E903" t="s">
        <v>18293</v>
      </c>
      <c r="F903" t="s">
        <v>18294</v>
      </c>
      <c r="G903" t="s">
        <v>18295</v>
      </c>
      <c r="H903" t="s">
        <v>18296</v>
      </c>
      <c r="I903" t="s">
        <v>18297</v>
      </c>
      <c r="J903" t="s">
        <v>18298</v>
      </c>
      <c r="K903" t="s">
        <v>18299</v>
      </c>
      <c r="L903" t="s">
        <v>18300</v>
      </c>
      <c r="M903" t="s">
        <v>18301</v>
      </c>
      <c r="N903" t="s">
        <v>18302</v>
      </c>
      <c r="O903">
        <f>-912.084756818292 -25.3277685413182 -493.752773695218</f>
        <v>-1431.1652990548282</v>
      </c>
      <c r="P903">
        <f>-920.531521644995 -61.493392830791 -201.841862371382</f>
        <v>-1183.866776847168</v>
      </c>
      <c r="Q903">
        <f>-719.391331652129 -6.32993937245647 -322.467256826736</f>
        <v>-1048.1885278513214</v>
      </c>
      <c r="R903" t="s">
        <v>18303</v>
      </c>
      <c r="S903" t="s">
        <v>18304</v>
      </c>
      <c r="T903" t="s">
        <v>18305</v>
      </c>
      <c r="U903" t="s">
        <v>18306</v>
      </c>
      <c r="V903" t="s">
        <v>18307</v>
      </c>
      <c r="W903" t="s">
        <v>18308</v>
      </c>
      <c r="X903" t="s">
        <v>18309</v>
      </c>
      <c r="Y903" t="s">
        <v>18310</v>
      </c>
    </row>
    <row r="904" spans="1:25" x14ac:dyDescent="0.3">
      <c r="A904">
        <v>45150</v>
      </c>
      <c r="B904" t="s">
        <v>18311</v>
      </c>
      <c r="C904" t="s">
        <v>18312</v>
      </c>
      <c r="D904" t="s">
        <v>18313</v>
      </c>
      <c r="E904" t="s">
        <v>18314</v>
      </c>
      <c r="F904" t="s">
        <v>18315</v>
      </c>
      <c r="G904" t="s">
        <v>18316</v>
      </c>
      <c r="H904" t="s">
        <v>18317</v>
      </c>
      <c r="I904" t="s">
        <v>18318</v>
      </c>
      <c r="J904" t="s">
        <v>18319</v>
      </c>
      <c r="K904" t="s">
        <v>18320</v>
      </c>
      <c r="L904" t="s">
        <v>18321</v>
      </c>
      <c r="M904" t="s">
        <v>18322</v>
      </c>
      <c r="N904" t="s">
        <v>18323</v>
      </c>
      <c r="O904">
        <f>-912.035244054604 -24.9290121530385 -493.777433881378</f>
        <v>-1430.7416900890205</v>
      </c>
      <c r="P904">
        <f>-920.170580471008 -61.0886992330529 -201.857145324421</f>
        <v>-1183.1164250284819</v>
      </c>
      <c r="Q904">
        <f>-718.466013468554 -5.51061004888788 -321.344819527749</f>
        <v>-1045.3214430451908</v>
      </c>
      <c r="R904" t="s">
        <v>18324</v>
      </c>
      <c r="S904" t="s">
        <v>18325</v>
      </c>
      <c r="T904" t="s">
        <v>18326</v>
      </c>
      <c r="U904" t="s">
        <v>18327</v>
      </c>
      <c r="V904" t="s">
        <v>18328</v>
      </c>
      <c r="W904" t="s">
        <v>18329</v>
      </c>
      <c r="X904" t="s">
        <v>18330</v>
      </c>
      <c r="Y904" t="s">
        <v>18331</v>
      </c>
    </row>
    <row r="905" spans="1:25" x14ac:dyDescent="0.3">
      <c r="A905">
        <v>45200</v>
      </c>
      <c r="B905" t="s">
        <v>18332</v>
      </c>
      <c r="C905" t="s">
        <v>18333</v>
      </c>
      <c r="D905" t="s">
        <v>18334</v>
      </c>
      <c r="E905" t="s">
        <v>18335</v>
      </c>
      <c r="F905" t="s">
        <v>18336</v>
      </c>
      <c r="G905" t="s">
        <v>18337</v>
      </c>
      <c r="H905" t="s">
        <v>18338</v>
      </c>
      <c r="I905" t="s">
        <v>18339</v>
      </c>
      <c r="J905" t="s">
        <v>18340</v>
      </c>
      <c r="K905" t="s">
        <v>18341</v>
      </c>
      <c r="L905" t="s">
        <v>18342</v>
      </c>
      <c r="M905" t="s">
        <v>18343</v>
      </c>
      <c r="N905" t="s">
        <v>18344</v>
      </c>
      <c r="O905">
        <f>-911.789791790587 -24.4541239486139 -493.845376492434</f>
        <v>-1430.0892922316348</v>
      </c>
      <c r="P905">
        <f>-918.807848503142 -60.0632787823881 -201.828384966365</f>
        <v>-1180.6995122518952</v>
      </c>
      <c r="Q905">
        <f>-715.234951300765 -5.10969961224555 -318.40051649917</f>
        <v>-1038.7451674121805</v>
      </c>
      <c r="R905" t="s">
        <v>18345</v>
      </c>
      <c r="S905" t="s">
        <v>18346</v>
      </c>
      <c r="T905" t="s">
        <v>18347</v>
      </c>
      <c r="U905" t="s">
        <v>18348</v>
      </c>
      <c r="V905" t="s">
        <v>18349</v>
      </c>
      <c r="W905" t="s">
        <v>18350</v>
      </c>
      <c r="X905" t="s">
        <v>18351</v>
      </c>
      <c r="Y905" t="s">
        <v>18352</v>
      </c>
    </row>
    <row r="906" spans="1:25" x14ac:dyDescent="0.3">
      <c r="A906">
        <v>45250</v>
      </c>
      <c r="B906" t="s">
        <v>18353</v>
      </c>
      <c r="C906" t="s">
        <v>18354</v>
      </c>
      <c r="D906" t="s">
        <v>18355</v>
      </c>
      <c r="E906" t="s">
        <v>18356</v>
      </c>
      <c r="F906" t="s">
        <v>18357</v>
      </c>
      <c r="G906" t="s">
        <v>18358</v>
      </c>
      <c r="H906" t="s">
        <v>18359</v>
      </c>
      <c r="I906" t="s">
        <v>18360</v>
      </c>
      <c r="J906" t="s">
        <v>18361</v>
      </c>
      <c r="K906" t="s">
        <v>18362</v>
      </c>
      <c r="L906" t="s">
        <v>18363</v>
      </c>
      <c r="M906" t="s">
        <v>18364</v>
      </c>
      <c r="N906" t="s">
        <v>18365</v>
      </c>
      <c r="O906">
        <f>-911.55678800717 -24.2482574916953 -493.901551643701</f>
        <v>-1429.7065971425664</v>
      </c>
      <c r="P906">
        <f>-918.119844961751 -59.850019050331 -201.873148661572</f>
        <v>-1179.8430126736539</v>
      </c>
      <c r="Q906">
        <f>-713.519781595188 -5.02683087629248 -316.694999140554</f>
        <v>-1035.2416116120344</v>
      </c>
      <c r="R906" t="s">
        <v>18366</v>
      </c>
      <c r="S906" t="s">
        <v>18367</v>
      </c>
      <c r="T906" t="s">
        <v>18368</v>
      </c>
      <c r="U906" t="s">
        <v>18369</v>
      </c>
      <c r="V906" t="s">
        <v>18370</v>
      </c>
      <c r="W906" t="s">
        <v>18371</v>
      </c>
      <c r="X906" t="s">
        <v>18372</v>
      </c>
      <c r="Y906" t="s">
        <v>18373</v>
      </c>
    </row>
    <row r="907" spans="1:25" x14ac:dyDescent="0.3">
      <c r="A907">
        <v>45300</v>
      </c>
      <c r="B907" t="s">
        <v>18374</v>
      </c>
      <c r="C907" t="s">
        <v>18375</v>
      </c>
      <c r="D907" t="s">
        <v>18376</v>
      </c>
      <c r="E907" t="s">
        <v>18377</v>
      </c>
      <c r="F907" t="s">
        <v>18378</v>
      </c>
      <c r="G907" t="s">
        <v>18379</v>
      </c>
      <c r="H907" t="s">
        <v>18380</v>
      </c>
      <c r="I907" t="s">
        <v>18381</v>
      </c>
      <c r="J907" t="s">
        <v>18382</v>
      </c>
      <c r="K907" t="s">
        <v>18383</v>
      </c>
      <c r="L907" t="s">
        <v>18384</v>
      </c>
      <c r="M907" t="s">
        <v>18385</v>
      </c>
      <c r="N907" t="s">
        <v>18386</v>
      </c>
      <c r="O907">
        <f>-910.576380696159 -23.7902437521311 -494.197462004323</f>
        <v>-1428.5640864526131</v>
      </c>
      <c r="P907">
        <f>-917.691843813233 -59.6680854989847 -202.215714646213</f>
        <v>-1179.5756439584309</v>
      </c>
      <c r="Q907">
        <f>-711.060803019545 -6.12518763718299 -313.963979687941</f>
        <v>-1031.1499703446689</v>
      </c>
      <c r="R907" t="s">
        <v>18387</v>
      </c>
      <c r="S907" t="s">
        <v>18388</v>
      </c>
      <c r="T907" t="s">
        <v>18389</v>
      </c>
      <c r="U907" t="s">
        <v>18390</v>
      </c>
      <c r="V907" t="s">
        <v>18391</v>
      </c>
      <c r="W907" t="s">
        <v>18392</v>
      </c>
      <c r="X907" t="s">
        <v>18393</v>
      </c>
      <c r="Y907" t="s">
        <v>18394</v>
      </c>
    </row>
    <row r="908" spans="1:25" x14ac:dyDescent="0.3">
      <c r="A908">
        <v>45350</v>
      </c>
      <c r="B908" t="s">
        <v>18395</v>
      </c>
      <c r="C908" t="s">
        <v>18396</v>
      </c>
      <c r="D908" t="s">
        <v>18397</v>
      </c>
      <c r="E908" t="s">
        <v>18398</v>
      </c>
      <c r="F908" t="s">
        <v>18399</v>
      </c>
      <c r="G908" t="s">
        <v>18400</v>
      </c>
      <c r="H908" t="s">
        <v>18401</v>
      </c>
      <c r="I908" t="s">
        <v>18402</v>
      </c>
      <c r="J908" t="s">
        <v>18403</v>
      </c>
      <c r="K908" t="s">
        <v>18404</v>
      </c>
      <c r="L908" t="s">
        <v>18405</v>
      </c>
      <c r="M908" t="s">
        <v>18406</v>
      </c>
      <c r="N908" t="s">
        <v>18407</v>
      </c>
      <c r="O908">
        <f>-909.911257279287 -23.433530305304 -494.442128623198</f>
        <v>-1427.7869162077891</v>
      </c>
      <c r="P908">
        <f>-917.317233845693 -59.4427241885212 -202.483799939236</f>
        <v>-1179.2437579734501</v>
      </c>
      <c r="Q908">
        <f>-710.043622806202 -6.5890875700693 -313.366906471053</f>
        <v>-1029.9996168473244</v>
      </c>
      <c r="R908" t="s">
        <v>18408</v>
      </c>
      <c r="S908" t="s">
        <v>18409</v>
      </c>
      <c r="T908" t="s">
        <v>18410</v>
      </c>
      <c r="U908" t="s">
        <v>18411</v>
      </c>
      <c r="V908" t="s">
        <v>18412</v>
      </c>
      <c r="W908" t="s">
        <v>18413</v>
      </c>
      <c r="X908" t="s">
        <v>18414</v>
      </c>
      <c r="Y908" t="s">
        <v>18415</v>
      </c>
    </row>
    <row r="909" spans="1:25" x14ac:dyDescent="0.3">
      <c r="A909">
        <v>45400</v>
      </c>
      <c r="B909" t="s">
        <v>18416</v>
      </c>
      <c r="C909" t="s">
        <v>18417</v>
      </c>
      <c r="D909" t="s">
        <v>18418</v>
      </c>
      <c r="E909" t="s">
        <v>18419</v>
      </c>
      <c r="F909" t="s">
        <v>18420</v>
      </c>
      <c r="G909" t="s">
        <v>18421</v>
      </c>
      <c r="H909" t="s">
        <v>18422</v>
      </c>
      <c r="I909" t="s">
        <v>18423</v>
      </c>
      <c r="J909" t="s">
        <v>18424</v>
      </c>
      <c r="K909" t="s">
        <v>18425</v>
      </c>
      <c r="L909" t="s">
        <v>18426</v>
      </c>
      <c r="M909" t="s">
        <v>18427</v>
      </c>
      <c r="N909" t="s">
        <v>18428</v>
      </c>
      <c r="O909">
        <f>-908.878181687123 -22.6043701825865 -494.852793830417</f>
        <v>-1426.3353457001265</v>
      </c>
      <c r="P909">
        <f>-916.386899206022 -59.233919690909 -202.974208888964</f>
        <v>-1178.5950277858951</v>
      </c>
      <c r="Q909">
        <f>-708.094001182777 -7.67422244071031 -312.548751730239</f>
        <v>-1028.3169753537263</v>
      </c>
      <c r="R909" t="s">
        <v>18429</v>
      </c>
      <c r="S909" t="s">
        <v>18430</v>
      </c>
      <c r="T909" t="s">
        <v>18431</v>
      </c>
      <c r="U909" t="s">
        <v>18432</v>
      </c>
      <c r="V909" t="s">
        <v>18433</v>
      </c>
      <c r="W909" t="s">
        <v>18434</v>
      </c>
      <c r="X909" t="s">
        <v>18435</v>
      </c>
      <c r="Y909" t="s">
        <v>18436</v>
      </c>
    </row>
    <row r="910" spans="1:25" x14ac:dyDescent="0.3">
      <c r="A910">
        <v>45450</v>
      </c>
      <c r="B910" t="s">
        <v>18437</v>
      </c>
      <c r="C910" t="s">
        <v>18438</v>
      </c>
      <c r="D910" t="s">
        <v>18439</v>
      </c>
      <c r="E910" t="s">
        <v>18440</v>
      </c>
      <c r="F910" t="s">
        <v>18441</v>
      </c>
      <c r="G910" t="s">
        <v>18442</v>
      </c>
      <c r="H910" t="s">
        <v>18443</v>
      </c>
      <c r="I910" t="s">
        <v>18444</v>
      </c>
      <c r="J910" t="s">
        <v>18445</v>
      </c>
      <c r="K910" t="s">
        <v>18446</v>
      </c>
      <c r="L910" t="s">
        <v>18447</v>
      </c>
      <c r="M910" t="s">
        <v>18448</v>
      </c>
      <c r="N910" t="s">
        <v>18449</v>
      </c>
      <c r="O910">
        <f>-908.469486832977 -22.2174062292984 -494.9607041025</f>
        <v>-1425.6475971647756</v>
      </c>
      <c r="P910">
        <f>-915.58107815923 -59.4842983089234 -203.152890224102</f>
        <v>-1178.2182666922554</v>
      </c>
      <c r="Q910">
        <f>-706.973645183088 -8.2984949843717 -312.303250419666</f>
        <v>-1027.5753905871256</v>
      </c>
      <c r="R910" t="s">
        <v>18450</v>
      </c>
      <c r="S910" t="s">
        <v>18451</v>
      </c>
      <c r="T910" t="s">
        <v>18452</v>
      </c>
      <c r="U910" t="s">
        <v>18453</v>
      </c>
      <c r="V910" t="s">
        <v>18454</v>
      </c>
      <c r="W910" t="s">
        <v>18455</v>
      </c>
      <c r="X910" t="s">
        <v>18456</v>
      </c>
      <c r="Y910" t="s">
        <v>18457</v>
      </c>
    </row>
    <row r="911" spans="1:25" x14ac:dyDescent="0.3">
      <c r="A911">
        <v>45500</v>
      </c>
      <c r="B911" t="s">
        <v>18458</v>
      </c>
      <c r="C911" t="s">
        <v>18459</v>
      </c>
      <c r="D911" t="s">
        <v>18460</v>
      </c>
      <c r="E911" t="s">
        <v>18461</v>
      </c>
      <c r="F911" t="s">
        <v>18462</v>
      </c>
      <c r="G911" t="s">
        <v>18463</v>
      </c>
      <c r="H911" t="s">
        <v>18464</v>
      </c>
      <c r="I911" t="s">
        <v>18465</v>
      </c>
      <c r="J911" t="s">
        <v>18466</v>
      </c>
      <c r="K911" t="s">
        <v>18467</v>
      </c>
      <c r="L911" t="s">
        <v>18468</v>
      </c>
      <c r="M911" t="s">
        <v>18469</v>
      </c>
      <c r="N911" t="s">
        <v>18470</v>
      </c>
      <c r="O911">
        <f>-907.69343847126 -21.5316258086391 -495.218868318943</f>
        <v>-1424.4439325988421</v>
      </c>
      <c r="P911">
        <f>-913.351029085934 -61.6990451956099 -203.764316002386</f>
        <v>-1178.8143902839299</v>
      </c>
      <c r="Q911">
        <f>-704.059165289082 -10.7071968445462 -311.688220122448</f>
        <v>-1026.4545822560763</v>
      </c>
      <c r="R911" t="s">
        <v>18471</v>
      </c>
      <c r="S911" t="s">
        <v>18472</v>
      </c>
      <c r="T911" t="s">
        <v>18473</v>
      </c>
      <c r="U911" t="s">
        <v>18474</v>
      </c>
      <c r="V911" t="s">
        <v>18475</v>
      </c>
      <c r="W911" t="s">
        <v>18476</v>
      </c>
      <c r="X911" t="s">
        <v>18477</v>
      </c>
      <c r="Y911" t="s">
        <v>18478</v>
      </c>
    </row>
    <row r="912" spans="1:25" x14ac:dyDescent="0.3">
      <c r="A912">
        <v>45550</v>
      </c>
      <c r="B912" t="s">
        <v>18479</v>
      </c>
      <c r="C912" t="s">
        <v>18480</v>
      </c>
      <c r="D912" t="s">
        <v>18481</v>
      </c>
      <c r="E912" t="s">
        <v>18482</v>
      </c>
      <c r="F912" t="s">
        <v>18483</v>
      </c>
      <c r="G912" t="s">
        <v>18484</v>
      </c>
      <c r="H912" t="s">
        <v>18485</v>
      </c>
      <c r="I912" t="s">
        <v>18486</v>
      </c>
      <c r="J912" t="s">
        <v>18487</v>
      </c>
      <c r="K912" t="s">
        <v>18488</v>
      </c>
      <c r="L912" t="s">
        <v>18489</v>
      </c>
      <c r="M912" t="s">
        <v>18490</v>
      </c>
      <c r="N912" t="s">
        <v>18491</v>
      </c>
      <c r="O912">
        <f>-907.364808723635 -21.0601746258058 -495.458732175984</f>
        <v>-1423.8837155254246</v>
      </c>
      <c r="P912">
        <f>-911.888942879305 -63.1112782657335 -204.250227025256</f>
        <v>-1179.2504481702945</v>
      </c>
      <c r="Q912">
        <f>-702.181933190674 -12.2482212846421 -311.426748292913</f>
        <v>-1025.8569027682292</v>
      </c>
      <c r="R912" t="s">
        <v>18492</v>
      </c>
      <c r="S912" t="s">
        <v>18493</v>
      </c>
      <c r="T912" t="s">
        <v>18494</v>
      </c>
      <c r="U912" t="s">
        <v>18495</v>
      </c>
      <c r="V912" t="s">
        <v>18496</v>
      </c>
      <c r="W912" t="s">
        <v>18497</v>
      </c>
      <c r="X912" t="s">
        <v>18498</v>
      </c>
      <c r="Y912" t="s">
        <v>18499</v>
      </c>
    </row>
    <row r="913" spans="1:25" x14ac:dyDescent="0.3">
      <c r="A913">
        <v>45600</v>
      </c>
      <c r="B913" t="s">
        <v>18500</v>
      </c>
      <c r="C913" t="s">
        <v>18501</v>
      </c>
      <c r="D913" t="s">
        <v>18502</v>
      </c>
      <c r="E913" t="s">
        <v>18503</v>
      </c>
      <c r="F913" t="s">
        <v>18504</v>
      </c>
      <c r="G913" t="s">
        <v>18505</v>
      </c>
      <c r="H913" t="s">
        <v>18506</v>
      </c>
      <c r="I913" t="s">
        <v>18507</v>
      </c>
      <c r="J913" t="s">
        <v>18508</v>
      </c>
      <c r="K913" t="s">
        <v>18509</v>
      </c>
      <c r="L913" t="s">
        <v>18510</v>
      </c>
      <c r="M913" t="s">
        <v>18511</v>
      </c>
      <c r="N913" t="s">
        <v>18512</v>
      </c>
      <c r="O913">
        <f>-906.767902736654 -19.8060432503007 -496.129297593239</f>
        <v>-1422.7032435801939</v>
      </c>
      <c r="P913">
        <f>-909.205444853967 -65.5512496540146 -205.453092798417</f>
        <v>-1180.2097873063985</v>
      </c>
      <c r="Q913">
        <f>-698.953779826247 -14.4919239275555 -311.462781631667</f>
        <v>-1024.9084853854695</v>
      </c>
      <c r="R913" t="s">
        <v>18513</v>
      </c>
      <c r="S913" t="s">
        <v>18514</v>
      </c>
      <c r="T913" t="s">
        <v>18515</v>
      </c>
      <c r="U913" t="s">
        <v>18516</v>
      </c>
      <c r="V913" t="s">
        <v>18517</v>
      </c>
      <c r="W913" t="s">
        <v>18518</v>
      </c>
      <c r="X913" t="s">
        <v>18519</v>
      </c>
      <c r="Y913" t="s">
        <v>18520</v>
      </c>
    </row>
    <row r="914" spans="1:25" x14ac:dyDescent="0.3">
      <c r="A914">
        <v>45650</v>
      </c>
      <c r="B914" t="s">
        <v>18521</v>
      </c>
      <c r="C914" t="s">
        <v>18522</v>
      </c>
      <c r="D914" t="s">
        <v>18523</v>
      </c>
      <c r="E914" t="s">
        <v>18524</v>
      </c>
      <c r="F914" t="s">
        <v>18525</v>
      </c>
      <c r="G914" t="s">
        <v>18526</v>
      </c>
      <c r="H914" t="s">
        <v>18527</v>
      </c>
      <c r="I914" t="s">
        <v>18528</v>
      </c>
      <c r="J914" t="s">
        <v>18529</v>
      </c>
      <c r="K914" t="s">
        <v>18530</v>
      </c>
      <c r="L914" t="s">
        <v>18531</v>
      </c>
      <c r="M914" t="s">
        <v>18532</v>
      </c>
      <c r="N914" t="s">
        <v>18533</v>
      </c>
      <c r="O914">
        <f>-906.433442991753 -19.00657801137 -496.546471434911</f>
        <v>-1421.986492438034</v>
      </c>
      <c r="P914">
        <f>-908.273708668684 -66.2972268807309 -206.113288626264</f>
        <v>-1180.684224175679</v>
      </c>
      <c r="Q914">
        <f>-697.82490337981 -15.1779179784512 -311.702230119935</f>
        <v>-1024.7050514781963</v>
      </c>
      <c r="R914" t="s">
        <v>18534</v>
      </c>
      <c r="S914" t="s">
        <v>18535</v>
      </c>
      <c r="T914" t="s">
        <v>18536</v>
      </c>
      <c r="U914" t="s">
        <v>18537</v>
      </c>
      <c r="V914" t="s">
        <v>18538</v>
      </c>
      <c r="W914" t="s">
        <v>18539</v>
      </c>
      <c r="X914" t="s">
        <v>18540</v>
      </c>
      <c r="Y914" t="s">
        <v>18541</v>
      </c>
    </row>
    <row r="915" spans="1:25" x14ac:dyDescent="0.3">
      <c r="A915">
        <v>45700</v>
      </c>
      <c r="B915" t="s">
        <v>18542</v>
      </c>
      <c r="C915" t="s">
        <v>18543</v>
      </c>
      <c r="D915" t="s">
        <v>18544</v>
      </c>
      <c r="E915" t="s">
        <v>18545</v>
      </c>
      <c r="F915" t="s">
        <v>18546</v>
      </c>
      <c r="G915" t="s">
        <v>18547</v>
      </c>
      <c r="H915" t="s">
        <v>18548</v>
      </c>
      <c r="I915" t="s">
        <v>18549</v>
      </c>
      <c r="J915" t="s">
        <v>18550</v>
      </c>
      <c r="K915" t="s">
        <v>18551</v>
      </c>
      <c r="L915" t="s">
        <v>18552</v>
      </c>
      <c r="M915" t="s">
        <v>18553</v>
      </c>
      <c r="N915" t="s">
        <v>18554</v>
      </c>
      <c r="O915">
        <f>-905.588122482242 -17.6426993232267 -497.312334700888</f>
        <v>-1420.5431565063568</v>
      </c>
      <c r="P915">
        <f>-906.818753404178 -66.6383484098678 -207.158785972247</f>
        <v>-1180.6158877862929</v>
      </c>
      <c r="Q915">
        <f>-696.271282033885 -14.4848642311558 -312.04260156075</f>
        <v>-1022.7987478257908</v>
      </c>
      <c r="R915" t="s">
        <v>18555</v>
      </c>
      <c r="S915" t="s">
        <v>18556</v>
      </c>
      <c r="T915" t="s">
        <v>18557</v>
      </c>
      <c r="U915" t="s">
        <v>18558</v>
      </c>
      <c r="V915" t="s">
        <v>18559</v>
      </c>
      <c r="W915" t="s">
        <v>18560</v>
      </c>
      <c r="X915" t="s">
        <v>18561</v>
      </c>
      <c r="Y915" t="s">
        <v>18562</v>
      </c>
    </row>
    <row r="916" spans="1:25" x14ac:dyDescent="0.3">
      <c r="A916">
        <v>45750</v>
      </c>
      <c r="B916" t="s">
        <v>18563</v>
      </c>
      <c r="C916" t="s">
        <v>18564</v>
      </c>
      <c r="D916" t="s">
        <v>18565</v>
      </c>
      <c r="E916" t="s">
        <v>18566</v>
      </c>
      <c r="F916" t="s">
        <v>18567</v>
      </c>
      <c r="G916" t="s">
        <v>18568</v>
      </c>
      <c r="H916" t="s">
        <v>18569</v>
      </c>
      <c r="I916" t="s">
        <v>18570</v>
      </c>
      <c r="J916" t="s">
        <v>18571</v>
      </c>
      <c r="K916" t="s">
        <v>18572</v>
      </c>
      <c r="L916" t="s">
        <v>18573</v>
      </c>
      <c r="M916" t="s">
        <v>18574</v>
      </c>
      <c r="N916" t="s">
        <v>18575</v>
      </c>
      <c r="O916">
        <f>-905.132046002883 -17.0232342874915 -497.649946177474</f>
        <v>-1419.8052264678486</v>
      </c>
      <c r="P916">
        <f>-906.278892155332 -66.6224615078077 -207.598585444814</f>
        <v>-1180.4999391079537</v>
      </c>
      <c r="Q916">
        <f>-695.685584755558 -13.822456436691 -312.066164724763</f>
        <v>-1021.574205917012</v>
      </c>
      <c r="R916" t="s">
        <v>18576</v>
      </c>
      <c r="S916" t="s">
        <v>18577</v>
      </c>
      <c r="T916" t="s">
        <v>18578</v>
      </c>
      <c r="U916" t="s">
        <v>18579</v>
      </c>
      <c r="V916" t="s">
        <v>18580</v>
      </c>
      <c r="W916" t="s">
        <v>18581</v>
      </c>
      <c r="X916" t="s">
        <v>18582</v>
      </c>
      <c r="Y916" t="s">
        <v>18583</v>
      </c>
    </row>
    <row r="917" spans="1:25" x14ac:dyDescent="0.3">
      <c r="A917">
        <v>45800</v>
      </c>
      <c r="B917" t="s">
        <v>18584</v>
      </c>
      <c r="C917" t="s">
        <v>18585</v>
      </c>
      <c r="D917" t="s">
        <v>18586</v>
      </c>
      <c r="E917" t="s">
        <v>18587</v>
      </c>
      <c r="F917" t="s">
        <v>18588</v>
      </c>
      <c r="G917" t="s">
        <v>18589</v>
      </c>
      <c r="H917" t="s">
        <v>18590</v>
      </c>
      <c r="I917" t="s">
        <v>18591</v>
      </c>
      <c r="J917" t="s">
        <v>18592</v>
      </c>
      <c r="K917" t="s">
        <v>18593</v>
      </c>
      <c r="L917" t="s">
        <v>18594</v>
      </c>
      <c r="M917" t="s">
        <v>18595</v>
      </c>
      <c r="N917" t="s">
        <v>18596</v>
      </c>
      <c r="O917">
        <f>-904.464174354667 -15.7272715561044 -498.289557419498</f>
        <v>-1418.4810033302692</v>
      </c>
      <c r="P917">
        <f>-905.156664317082 -66.3503662981618 -208.413693885618</f>
        <v>-1179.9207245008618</v>
      </c>
      <c r="Q917">
        <f>-695.151110006006 -11.2022676084421 -312.85134684503</f>
        <v>-1019.204724459478</v>
      </c>
      <c r="R917" t="s">
        <v>18597</v>
      </c>
      <c r="S917" t="s">
        <v>18598</v>
      </c>
      <c r="T917" t="s">
        <v>18599</v>
      </c>
      <c r="U917" t="s">
        <v>18600</v>
      </c>
      <c r="V917" t="s">
        <v>18601</v>
      </c>
      <c r="W917" t="s">
        <v>18602</v>
      </c>
      <c r="X917" t="s">
        <v>18603</v>
      </c>
      <c r="Y917" t="s">
        <v>18604</v>
      </c>
    </row>
    <row r="918" spans="1:25" x14ac:dyDescent="0.3">
      <c r="A918">
        <v>45850</v>
      </c>
      <c r="B918" t="s">
        <v>18605</v>
      </c>
      <c r="C918" t="s">
        <v>18606</v>
      </c>
      <c r="D918" t="s">
        <v>18607</v>
      </c>
      <c r="E918" t="s">
        <v>18608</v>
      </c>
      <c r="F918" t="s">
        <v>18609</v>
      </c>
      <c r="G918" t="s">
        <v>18610</v>
      </c>
      <c r="H918" t="s">
        <v>18611</v>
      </c>
      <c r="I918" t="s">
        <v>18612</v>
      </c>
      <c r="J918" t="s">
        <v>18613</v>
      </c>
      <c r="K918" t="s">
        <v>18614</v>
      </c>
      <c r="L918" t="s">
        <v>18615</v>
      </c>
      <c r="M918" t="s">
        <v>18616</v>
      </c>
      <c r="N918" t="s">
        <v>18617</v>
      </c>
      <c r="O918">
        <f>-904.094461972888 -15.1272038101101 -498.581402909008</f>
        <v>-1417.803068692006</v>
      </c>
      <c r="P918">
        <f>-904.58283529389 -66.0427066232628 -208.756360752727</f>
        <v>-1179.3819026698798</v>
      </c>
      <c r="Q918">
        <f>-694.930292209565 -9.67546906706548 -313.25237118073</f>
        <v>-1017.8581324573604</v>
      </c>
      <c r="R918" t="s">
        <v>18618</v>
      </c>
      <c r="S918" t="s">
        <v>18619</v>
      </c>
      <c r="T918" t="s">
        <v>18620</v>
      </c>
      <c r="U918" t="s">
        <v>18621</v>
      </c>
      <c r="V918" t="s">
        <v>18622</v>
      </c>
      <c r="W918" t="s">
        <v>18623</v>
      </c>
      <c r="X918" t="s">
        <v>18624</v>
      </c>
      <c r="Y918" t="s">
        <v>18625</v>
      </c>
    </row>
    <row r="919" spans="1:25" x14ac:dyDescent="0.3">
      <c r="A919">
        <v>45900</v>
      </c>
      <c r="B919" t="s">
        <v>18626</v>
      </c>
      <c r="C919" t="s">
        <v>18627</v>
      </c>
      <c r="D919" t="s">
        <v>18628</v>
      </c>
      <c r="E919" t="s">
        <v>18629</v>
      </c>
      <c r="F919" t="s">
        <v>18630</v>
      </c>
      <c r="G919" t="s">
        <v>18631</v>
      </c>
      <c r="H919" t="s">
        <v>18632</v>
      </c>
      <c r="I919" t="s">
        <v>18633</v>
      </c>
      <c r="J919" t="s">
        <v>18634</v>
      </c>
      <c r="K919" t="s">
        <v>18635</v>
      </c>
      <c r="L919" t="s">
        <v>18636</v>
      </c>
      <c r="M919" t="s">
        <v>18637</v>
      </c>
      <c r="N919" t="s">
        <v>18638</v>
      </c>
      <c r="O919">
        <f>-903.41223819824 -14.0883742349115 -499.070698151743</f>
        <v>-1416.5713105848945</v>
      </c>
      <c r="P919">
        <f>-903.576018250891 -66.1157796146513 -209.442693674559</f>
        <v>-1179.1344915401014</v>
      </c>
      <c r="Q919">
        <f>-694.897836603161 -6.6862668223016 -314.191887424399</f>
        <v>-1015.7759908498615</v>
      </c>
      <c r="R919" t="s">
        <v>18639</v>
      </c>
      <c r="S919" t="s">
        <v>18640</v>
      </c>
      <c r="T919" t="s">
        <v>18641</v>
      </c>
      <c r="U919" t="s">
        <v>18642</v>
      </c>
      <c r="V919" t="s">
        <v>18643</v>
      </c>
      <c r="W919" t="s">
        <v>18644</v>
      </c>
      <c r="X919" t="s">
        <v>18645</v>
      </c>
      <c r="Y919" t="s">
        <v>18646</v>
      </c>
    </row>
    <row r="920" spans="1:25" x14ac:dyDescent="0.3">
      <c r="A920">
        <v>45950</v>
      </c>
      <c r="B920" t="s">
        <v>18647</v>
      </c>
      <c r="C920" t="s">
        <v>18648</v>
      </c>
      <c r="D920" t="s">
        <v>18649</v>
      </c>
      <c r="E920" t="s">
        <v>18650</v>
      </c>
      <c r="F920" t="s">
        <v>18651</v>
      </c>
      <c r="G920" t="s">
        <v>18652</v>
      </c>
      <c r="H920" t="s">
        <v>18653</v>
      </c>
      <c r="I920" t="s">
        <v>18654</v>
      </c>
      <c r="J920" t="s">
        <v>18655</v>
      </c>
      <c r="K920" t="s">
        <v>18656</v>
      </c>
      <c r="L920" t="s">
        <v>18657</v>
      </c>
      <c r="M920" t="s">
        <v>18658</v>
      </c>
      <c r="N920" t="s">
        <v>18659</v>
      </c>
      <c r="O920">
        <f>-903.143053914955 -13.5257200822825 -499.251697802781</f>
        <v>-1415.9204718000185</v>
      </c>
      <c r="P920">
        <f>-903.177025633928 -66.1185497383708 -209.725977295488</f>
        <v>-1179.0215526677869</v>
      </c>
      <c r="Q920">
        <f>-694.916843034101 -6.00148137565475 -314.913536607608</f>
        <v>-1015.8318610173637</v>
      </c>
      <c r="R920" t="s">
        <v>18660</v>
      </c>
      <c r="S920" t="s">
        <v>18661</v>
      </c>
      <c r="T920" t="s">
        <v>18662</v>
      </c>
      <c r="U920" t="s">
        <v>18663</v>
      </c>
      <c r="V920" t="s">
        <v>18664</v>
      </c>
      <c r="W920" t="s">
        <v>18665</v>
      </c>
      <c r="X920" t="s">
        <v>18666</v>
      </c>
      <c r="Y920" t="s">
        <v>18667</v>
      </c>
    </row>
    <row r="921" spans="1:25" x14ac:dyDescent="0.3">
      <c r="A921">
        <v>46000</v>
      </c>
      <c r="B921" t="s">
        <v>18668</v>
      </c>
      <c r="C921" t="s">
        <v>18669</v>
      </c>
      <c r="D921" t="s">
        <v>18670</v>
      </c>
      <c r="E921" t="s">
        <v>18671</v>
      </c>
      <c r="F921" t="s">
        <v>18672</v>
      </c>
      <c r="G921" t="s">
        <v>18673</v>
      </c>
      <c r="H921" t="s">
        <v>18674</v>
      </c>
      <c r="I921" t="s">
        <v>18675</v>
      </c>
      <c r="J921" t="s">
        <v>18676</v>
      </c>
      <c r="K921" t="s">
        <v>18677</v>
      </c>
      <c r="L921" t="s">
        <v>18678</v>
      </c>
      <c r="M921" t="s">
        <v>18679</v>
      </c>
      <c r="N921" t="s">
        <v>18680</v>
      </c>
      <c r="O921">
        <f>-903.143324647255 -12.272403671418 -499.479484949431</f>
        <v>-1414.895213268104</v>
      </c>
      <c r="P921">
        <f>-902.628209804054 -65.2165220242748 -210.018134865196</f>
        <v>-1177.8628666935249</v>
      </c>
      <c r="Q921">
        <f>-694.506605458612 -5.54764779240622 -315.734105385053</f>
        <v>-1015.7883586360712</v>
      </c>
      <c r="R921" t="s">
        <v>18681</v>
      </c>
      <c r="S921" t="s">
        <v>18682</v>
      </c>
      <c r="T921" t="s">
        <v>18683</v>
      </c>
      <c r="U921" t="s">
        <v>18684</v>
      </c>
      <c r="V921" t="s">
        <v>18685</v>
      </c>
      <c r="W921" t="s">
        <v>18686</v>
      </c>
      <c r="X921" t="s">
        <v>18687</v>
      </c>
      <c r="Y921" t="s">
        <v>18688</v>
      </c>
    </row>
    <row r="922" spans="1:25" x14ac:dyDescent="0.3">
      <c r="A922">
        <v>46050</v>
      </c>
      <c r="B922" t="s">
        <v>18689</v>
      </c>
      <c r="C922" t="s">
        <v>18690</v>
      </c>
      <c r="D922" t="s">
        <v>18691</v>
      </c>
      <c r="E922" t="s">
        <v>18692</v>
      </c>
      <c r="F922" t="s">
        <v>18693</v>
      </c>
      <c r="G922" t="s">
        <v>18694</v>
      </c>
      <c r="H922" t="s">
        <v>18695</v>
      </c>
      <c r="I922" t="s">
        <v>18696</v>
      </c>
      <c r="J922" t="s">
        <v>18697</v>
      </c>
      <c r="K922" t="s">
        <v>18698</v>
      </c>
      <c r="L922" t="s">
        <v>18699</v>
      </c>
      <c r="M922" t="s">
        <v>18700</v>
      </c>
      <c r="N922" t="s">
        <v>18701</v>
      </c>
      <c r="O922">
        <f>-903.308025122263 -11.6489524740555 -499.541121079704</f>
        <v>-1414.4980986760224</v>
      </c>
      <c r="P922">
        <f>-902.574733086821 -64.6817248503737 -210.096471073474</f>
        <v>-1177.3529290106687</v>
      </c>
      <c r="Q922">
        <f>-694.117064896813 -6.17115050570783 -315.797496198123</f>
        <v>-1016.0857116006438</v>
      </c>
      <c r="R922" t="s">
        <v>18702</v>
      </c>
      <c r="S922" t="s">
        <v>18703</v>
      </c>
      <c r="T922" t="s">
        <v>18704</v>
      </c>
      <c r="U922" t="s">
        <v>18705</v>
      </c>
      <c r="V922" t="s">
        <v>18706</v>
      </c>
      <c r="W922" t="s">
        <v>18707</v>
      </c>
      <c r="X922" t="s">
        <v>18708</v>
      </c>
      <c r="Y922" t="s">
        <v>18709</v>
      </c>
    </row>
    <row r="923" spans="1:25" x14ac:dyDescent="0.3">
      <c r="A923">
        <v>46100</v>
      </c>
      <c r="B923" t="s">
        <v>18710</v>
      </c>
      <c r="C923" t="s">
        <v>18711</v>
      </c>
      <c r="D923" t="s">
        <v>18712</v>
      </c>
      <c r="E923" t="s">
        <v>18713</v>
      </c>
      <c r="F923" t="s">
        <v>18714</v>
      </c>
      <c r="G923" t="s">
        <v>18715</v>
      </c>
      <c r="H923" t="s">
        <v>18716</v>
      </c>
      <c r="I923" t="s">
        <v>18717</v>
      </c>
      <c r="J923" t="s">
        <v>18718</v>
      </c>
      <c r="K923" t="s">
        <v>18719</v>
      </c>
      <c r="L923" t="s">
        <v>18720</v>
      </c>
      <c r="M923" t="s">
        <v>18721</v>
      </c>
      <c r="N923" t="s">
        <v>18722</v>
      </c>
      <c r="O923">
        <f>-903.512997252183 -10.2868294663454 -499.71663882821</f>
        <v>-1413.5164655467383</v>
      </c>
      <c r="P923">
        <f>-902.489970132498 -63.5138027176815 -210.308528207585</f>
        <v>-1176.3123010577644</v>
      </c>
      <c r="Q923">
        <f>-693.440069006549 -6.39141320284989 -315.598781275212</f>
        <v>-1015.4302634846109</v>
      </c>
      <c r="R923" t="s">
        <v>18723</v>
      </c>
      <c r="S923" t="s">
        <v>18724</v>
      </c>
      <c r="T923" t="s">
        <v>18725</v>
      </c>
      <c r="U923" t="s">
        <v>18726</v>
      </c>
      <c r="V923" t="s">
        <v>18727</v>
      </c>
      <c r="W923" t="s">
        <v>18728</v>
      </c>
      <c r="X923" t="s">
        <v>18729</v>
      </c>
      <c r="Y923" t="s">
        <v>18730</v>
      </c>
    </row>
    <row r="924" spans="1:25" x14ac:dyDescent="0.3">
      <c r="A924">
        <v>46150</v>
      </c>
      <c r="B924" t="s">
        <v>18731</v>
      </c>
      <c r="C924" t="s">
        <v>18732</v>
      </c>
      <c r="D924" t="s">
        <v>18733</v>
      </c>
      <c r="E924" t="s">
        <v>18734</v>
      </c>
      <c r="F924" t="s">
        <v>18735</v>
      </c>
      <c r="G924" t="s">
        <v>18736</v>
      </c>
      <c r="H924" t="s">
        <v>18737</v>
      </c>
      <c r="I924" t="s">
        <v>18738</v>
      </c>
      <c r="J924" t="s">
        <v>18739</v>
      </c>
      <c r="K924" t="s">
        <v>18740</v>
      </c>
      <c r="L924" t="s">
        <v>18741</v>
      </c>
      <c r="M924" t="s">
        <v>18742</v>
      </c>
      <c r="N924" t="s">
        <v>18743</v>
      </c>
      <c r="O924">
        <f>-903.49647146341 -9.54831313426666 -499.819672272555</f>
        <v>-1412.8644568702316</v>
      </c>
      <c r="P924">
        <f>-902.538650100561 -63.0578043740315 -210.463476893903</f>
        <v>-1176.0599313684954</v>
      </c>
      <c r="Q924">
        <f>-693.318236245019 -6.39231786171831 -315.661663285242</f>
        <v>-1015.3722173919793</v>
      </c>
      <c r="R924" t="s">
        <v>18744</v>
      </c>
      <c r="S924" t="s">
        <v>18745</v>
      </c>
      <c r="T924" t="s">
        <v>18746</v>
      </c>
      <c r="U924" t="s">
        <v>18747</v>
      </c>
      <c r="V924" t="s">
        <v>18748</v>
      </c>
      <c r="W924" t="s">
        <v>18749</v>
      </c>
      <c r="X924" t="s">
        <v>18750</v>
      </c>
      <c r="Y924" t="s">
        <v>18751</v>
      </c>
    </row>
    <row r="925" spans="1:25" x14ac:dyDescent="0.3">
      <c r="A925">
        <v>46200</v>
      </c>
      <c r="B925" t="s">
        <v>18752</v>
      </c>
      <c r="C925" t="s">
        <v>18753</v>
      </c>
      <c r="D925" t="s">
        <v>18754</v>
      </c>
      <c r="E925" t="s">
        <v>18755</v>
      </c>
      <c r="F925" t="s">
        <v>18756</v>
      </c>
      <c r="G925" t="s">
        <v>18757</v>
      </c>
      <c r="H925" t="s">
        <v>18758</v>
      </c>
      <c r="I925" t="s">
        <v>18759</v>
      </c>
      <c r="J925" t="s">
        <v>18760</v>
      </c>
      <c r="K925" t="s">
        <v>18761</v>
      </c>
      <c r="L925" t="s">
        <v>18762</v>
      </c>
      <c r="M925" t="s">
        <v>18763</v>
      </c>
      <c r="N925" t="s">
        <v>18764</v>
      </c>
      <c r="O925">
        <f>-903.42909727784 -7.81794082271972 -500.086760586168</f>
        <v>-1411.3337986867277</v>
      </c>
      <c r="P925">
        <f>-902.370016757143 -61.7811879521971 -210.81515086568</f>
        <v>-1174.9663555750201</v>
      </c>
      <c r="Q925">
        <f>-693.326857611745 -5.06962478699552 -316.340234579859</f>
        <v>-1014.7367169785996</v>
      </c>
      <c r="R925" t="s">
        <v>18765</v>
      </c>
      <c r="S925" t="s">
        <v>18766</v>
      </c>
      <c r="T925" t="s">
        <v>18767</v>
      </c>
      <c r="U925" t="s">
        <v>18768</v>
      </c>
      <c r="V925" t="s">
        <v>18769</v>
      </c>
      <c r="W925" t="s">
        <v>18770</v>
      </c>
      <c r="X925" t="s">
        <v>18771</v>
      </c>
      <c r="Y925" t="s">
        <v>18772</v>
      </c>
    </row>
    <row r="926" spans="1:25" x14ac:dyDescent="0.3">
      <c r="A926">
        <v>46250</v>
      </c>
      <c r="B926" t="s">
        <v>18773</v>
      </c>
      <c r="C926" t="s">
        <v>18774</v>
      </c>
      <c r="D926" t="s">
        <v>18775</v>
      </c>
      <c r="E926" t="s">
        <v>18776</v>
      </c>
      <c r="F926" t="s">
        <v>18777</v>
      </c>
      <c r="G926" t="s">
        <v>18778</v>
      </c>
      <c r="H926" t="s">
        <v>18779</v>
      </c>
      <c r="I926" t="s">
        <v>18780</v>
      </c>
      <c r="J926" t="s">
        <v>18781</v>
      </c>
      <c r="K926" t="s">
        <v>18782</v>
      </c>
      <c r="L926" t="s">
        <v>18783</v>
      </c>
      <c r="M926" t="s">
        <v>18784</v>
      </c>
      <c r="N926" t="s">
        <v>18785</v>
      </c>
      <c r="O926">
        <f>-903.345575708737 -6.9090161361737 -500.275101920084</f>
        <v>-1410.5296937649946</v>
      </c>
      <c r="P926">
        <f>-902.153751668942 -61.2068033287924 -211.066674639378</f>
        <v>-1174.4272296371123</v>
      </c>
      <c r="Q926">
        <f>-693.144260577868 -4.71164053424627 -316.774924256953</f>
        <v>-1014.6308253690672</v>
      </c>
      <c r="R926" t="s">
        <v>18786</v>
      </c>
      <c r="S926" t="s">
        <v>18787</v>
      </c>
      <c r="T926" t="s">
        <v>18788</v>
      </c>
      <c r="U926" t="s">
        <v>18789</v>
      </c>
      <c r="V926" t="s">
        <v>18790</v>
      </c>
      <c r="W926" t="s">
        <v>18791</v>
      </c>
      <c r="X926" t="s">
        <v>18792</v>
      </c>
      <c r="Y926" t="s">
        <v>18793</v>
      </c>
    </row>
    <row r="927" spans="1:25" x14ac:dyDescent="0.3">
      <c r="A927">
        <v>46300</v>
      </c>
      <c r="B927" t="s">
        <v>18794</v>
      </c>
      <c r="C927" t="s">
        <v>18795</v>
      </c>
      <c r="D927" t="s">
        <v>18796</v>
      </c>
      <c r="E927" t="s">
        <v>18797</v>
      </c>
      <c r="F927" t="s">
        <v>18798</v>
      </c>
      <c r="G927" t="s">
        <v>18799</v>
      </c>
      <c r="H927" t="s">
        <v>18800</v>
      </c>
      <c r="I927" t="s">
        <v>18801</v>
      </c>
      <c r="J927" t="s">
        <v>18802</v>
      </c>
      <c r="K927" t="s">
        <v>18803</v>
      </c>
      <c r="L927" t="s">
        <v>18804</v>
      </c>
      <c r="M927" t="s">
        <v>18805</v>
      </c>
      <c r="N927" t="s">
        <v>18806</v>
      </c>
      <c r="O927">
        <f>-903.005159457191 -5.0317178996188 -500.779275849795</f>
        <v>-1408.8161532066047</v>
      </c>
      <c r="P927">
        <f>-901.466466015461 -60.4974753314334 -211.79417575096</f>
        <v>-1173.7581170978544</v>
      </c>
      <c r="Q927">
        <f>-692.335010664521 -4.55651591576861 -317.555714529168</f>
        <v>-1014.4472411094575</v>
      </c>
      <c r="R927" t="s">
        <v>18807</v>
      </c>
      <c r="S927" t="s">
        <v>18808</v>
      </c>
      <c r="T927" t="s">
        <v>18809</v>
      </c>
      <c r="U927" t="s">
        <v>18810</v>
      </c>
      <c r="V927" t="s">
        <v>18811</v>
      </c>
      <c r="W927" t="s">
        <v>18812</v>
      </c>
      <c r="X927" t="s">
        <v>18813</v>
      </c>
      <c r="Y927" t="s">
        <v>18814</v>
      </c>
    </row>
    <row r="928" spans="1:25" x14ac:dyDescent="0.3">
      <c r="A928">
        <v>46350</v>
      </c>
      <c r="B928" t="s">
        <v>18815</v>
      </c>
      <c r="C928" t="s">
        <v>18816</v>
      </c>
      <c r="D928" t="s">
        <v>18817</v>
      </c>
      <c r="E928" t="s">
        <v>18818</v>
      </c>
      <c r="F928" t="s">
        <v>18819</v>
      </c>
      <c r="G928" t="s">
        <v>18820</v>
      </c>
      <c r="H928" t="s">
        <v>18821</v>
      </c>
      <c r="I928" t="s">
        <v>18822</v>
      </c>
      <c r="J928" t="s">
        <v>18823</v>
      </c>
      <c r="K928" t="s">
        <v>18824</v>
      </c>
      <c r="L928" t="s">
        <v>18825</v>
      </c>
      <c r="M928" t="s">
        <v>18826</v>
      </c>
      <c r="N928" t="s">
        <v>18827</v>
      </c>
      <c r="O928">
        <f>-902.651065649371 -3.97389345038437 -501.120604046315</f>
        <v>-1407.7455631460705</v>
      </c>
      <c r="P928">
        <f>-901.05977585703 -60.300501264383 -212.302286262785</f>
        <v>-1173.6625633841979</v>
      </c>
      <c r="Q928">
        <f>-691.698851319704 -4.39510131614634 -317.627946295501</f>
        <v>-1013.7218989313512</v>
      </c>
      <c r="R928" t="s">
        <v>18828</v>
      </c>
      <c r="S928" t="s">
        <v>18829</v>
      </c>
      <c r="T928" t="s">
        <v>18830</v>
      </c>
      <c r="U928" t="s">
        <v>18831</v>
      </c>
      <c r="V928" t="s">
        <v>18832</v>
      </c>
      <c r="W928" t="s">
        <v>18833</v>
      </c>
      <c r="X928" t="s">
        <v>18834</v>
      </c>
      <c r="Y928" t="s">
        <v>18835</v>
      </c>
    </row>
    <row r="929" spans="1:25" x14ac:dyDescent="0.3">
      <c r="A929">
        <v>46400</v>
      </c>
      <c r="B929" t="s">
        <v>18836</v>
      </c>
      <c r="C929" t="s">
        <v>18837</v>
      </c>
      <c r="D929" t="s">
        <v>18838</v>
      </c>
      <c r="E929" t="s">
        <v>18839</v>
      </c>
      <c r="F929" t="s">
        <v>18840</v>
      </c>
      <c r="G929" t="s">
        <v>18841</v>
      </c>
      <c r="H929" t="s">
        <v>18842</v>
      </c>
      <c r="I929" t="s">
        <v>18843</v>
      </c>
      <c r="J929" t="s">
        <v>18844</v>
      </c>
      <c r="K929" t="s">
        <v>18845</v>
      </c>
      <c r="L929" t="s">
        <v>18846</v>
      </c>
      <c r="M929" t="s">
        <v>18847</v>
      </c>
      <c r="N929" t="s">
        <v>18848</v>
      </c>
      <c r="O929">
        <f>-901.184269397456 -1.77524603283246 -502.04035751923</f>
        <v>-1404.9998729495185</v>
      </c>
      <c r="P929">
        <f>-900.117582106935 -60.333732599594 -213.663972967476</f>
        <v>-1174.115287674005</v>
      </c>
      <c r="Q929">
        <f>-690.086715034292 -3.52318359271476 -317.154893280761</f>
        <v>-1010.7647919077676</v>
      </c>
      <c r="R929" t="s">
        <v>18849</v>
      </c>
      <c r="S929" t="s">
        <v>18850</v>
      </c>
      <c r="T929" t="s">
        <v>18851</v>
      </c>
      <c r="U929" t="s">
        <v>18852</v>
      </c>
      <c r="V929" t="s">
        <v>18853</v>
      </c>
      <c r="W929" t="s">
        <v>18854</v>
      </c>
      <c r="X929" t="s">
        <v>18855</v>
      </c>
      <c r="Y929" t="s">
        <v>18856</v>
      </c>
    </row>
    <row r="930" spans="1:25" x14ac:dyDescent="0.3">
      <c r="A930">
        <v>46450</v>
      </c>
      <c r="B930" t="s">
        <v>18857</v>
      </c>
      <c r="C930" t="s">
        <v>18858</v>
      </c>
      <c r="D930" t="s">
        <v>18859</v>
      </c>
      <c r="E930" t="s">
        <v>18860</v>
      </c>
      <c r="F930" t="s">
        <v>18861</v>
      </c>
      <c r="G930" t="s">
        <v>18862</v>
      </c>
      <c r="H930" t="s">
        <v>18863</v>
      </c>
      <c r="I930" t="s">
        <v>18864</v>
      </c>
      <c r="J930" t="s">
        <v>18865</v>
      </c>
      <c r="K930" t="s">
        <v>18866</v>
      </c>
      <c r="L930" t="s">
        <v>18867</v>
      </c>
      <c r="M930" t="s">
        <v>18868</v>
      </c>
      <c r="N930" t="s">
        <v>18869</v>
      </c>
      <c r="O930">
        <f>-900.303603469125 -0.756407259725165 -502.525835585453</f>
        <v>-1403.5858463143031</v>
      </c>
      <c r="P930">
        <f>-899.640632063138 -60.641108749988 -214.420761565497</f>
        <v>-1174.702502378623</v>
      </c>
      <c r="Q930">
        <f>-689.313461021158 -2.96792406947179 -316.8268472437</f>
        <v>-1009.1082323343298</v>
      </c>
      <c r="R930" t="s">
        <v>18870</v>
      </c>
      <c r="S930" t="s">
        <v>18871</v>
      </c>
      <c r="T930" t="s">
        <v>18872</v>
      </c>
      <c r="U930" t="s">
        <v>18873</v>
      </c>
      <c r="V930" t="s">
        <v>18874</v>
      </c>
      <c r="W930" t="s">
        <v>18875</v>
      </c>
      <c r="X930" t="s">
        <v>18876</v>
      </c>
      <c r="Y930" t="s">
        <v>18877</v>
      </c>
    </row>
    <row r="931" spans="1:25" x14ac:dyDescent="0.3">
      <c r="A931">
        <v>46500</v>
      </c>
      <c r="B931" t="s">
        <v>18878</v>
      </c>
      <c r="C931" t="s">
        <v>18879</v>
      </c>
      <c r="D931" t="s">
        <v>18880</v>
      </c>
      <c r="E931" t="s">
        <v>18881</v>
      </c>
      <c r="F931" t="s">
        <v>18882</v>
      </c>
      <c r="G931" t="s">
        <v>18883</v>
      </c>
      <c r="H931" t="s">
        <v>18884</v>
      </c>
      <c r="I931" t="s">
        <v>18885</v>
      </c>
      <c r="J931" t="s">
        <v>18886</v>
      </c>
      <c r="K931" t="s">
        <v>18887</v>
      </c>
      <c r="L931" t="s">
        <v>18888</v>
      </c>
      <c r="M931" t="s">
        <v>18889</v>
      </c>
      <c r="N931" t="s">
        <v>18890</v>
      </c>
      <c r="O931" t="s">
        <v>18891</v>
      </c>
      <c r="P931">
        <f>-898.65139316567 -61.1491192719611 -216.095915265368</f>
        <v>-1175.8964277029991</v>
      </c>
      <c r="Q931">
        <f>-688.179020755989 -1.4128089241517 -317.010504431012</f>
        <v>-1006.6023341111527</v>
      </c>
      <c r="R931" t="s">
        <v>18892</v>
      </c>
      <c r="S931" t="s">
        <v>18893</v>
      </c>
      <c r="T931" t="s">
        <v>18894</v>
      </c>
      <c r="U931" t="s">
        <v>18895</v>
      </c>
      <c r="V931" t="s">
        <v>18896</v>
      </c>
      <c r="W931" t="s">
        <v>18897</v>
      </c>
      <c r="X931" t="s">
        <v>18898</v>
      </c>
      <c r="Y931" t="s">
        <v>18899</v>
      </c>
    </row>
    <row r="932" spans="1:25" x14ac:dyDescent="0.3">
      <c r="A932">
        <v>46550</v>
      </c>
      <c r="B932" t="s">
        <v>18900</v>
      </c>
      <c r="C932" t="s">
        <v>18901</v>
      </c>
      <c r="D932" t="s">
        <v>18902</v>
      </c>
      <c r="E932" t="s">
        <v>18903</v>
      </c>
      <c r="F932" t="s">
        <v>18904</v>
      </c>
      <c r="G932" t="s">
        <v>18905</v>
      </c>
      <c r="H932" t="s">
        <v>18906</v>
      </c>
      <c r="I932" t="s">
        <v>18907</v>
      </c>
      <c r="J932" t="s">
        <v>18908</v>
      </c>
      <c r="K932" t="s">
        <v>18909</v>
      </c>
      <c r="L932" t="s">
        <v>18910</v>
      </c>
      <c r="M932" t="s">
        <v>18911</v>
      </c>
      <c r="N932" t="s">
        <v>18912</v>
      </c>
      <c r="O932" t="s">
        <v>18913</v>
      </c>
      <c r="P932">
        <f>-898.227822896083 -61.1210789994127 -216.925859990014</f>
        <v>-1176.2747618855096</v>
      </c>
      <c r="Q932">
        <f>-687.779827706931 -0.564657135372272 -317.401805282528</f>
        <v>-1005.7462901248313</v>
      </c>
      <c r="R932" t="s">
        <v>18914</v>
      </c>
      <c r="S932" t="s">
        <v>18915</v>
      </c>
      <c r="T932" t="s">
        <v>18916</v>
      </c>
      <c r="U932" t="s">
        <v>18917</v>
      </c>
      <c r="V932" t="s">
        <v>18918</v>
      </c>
      <c r="W932" t="s">
        <v>18919</v>
      </c>
      <c r="X932" t="s">
        <v>18920</v>
      </c>
      <c r="Y932" t="s">
        <v>18921</v>
      </c>
    </row>
    <row r="933" spans="1:25" x14ac:dyDescent="0.3">
      <c r="A933">
        <v>46600</v>
      </c>
      <c r="B933" t="s">
        <v>18922</v>
      </c>
      <c r="C933" t="s">
        <v>18923</v>
      </c>
      <c r="D933" t="s">
        <v>18924</v>
      </c>
      <c r="E933" t="s">
        <v>18925</v>
      </c>
      <c r="F933" t="s">
        <v>18926</v>
      </c>
      <c r="G933" t="s">
        <v>18927</v>
      </c>
      <c r="H933" t="s">
        <v>18928</v>
      </c>
      <c r="I933" t="s">
        <v>18929</v>
      </c>
      <c r="J933" t="s">
        <v>18930</v>
      </c>
      <c r="K933" t="s">
        <v>18931</v>
      </c>
      <c r="L933" t="s">
        <v>18932</v>
      </c>
      <c r="M933" t="s">
        <v>18933</v>
      </c>
      <c r="N933" t="s">
        <v>18934</v>
      </c>
      <c r="O933" t="s">
        <v>18935</v>
      </c>
      <c r="P933">
        <f>-897.701405017374 -60.5630371901684 -218.165882483535</f>
        <v>-1176.4303246910774</v>
      </c>
      <c r="Q933" t="s">
        <v>18936</v>
      </c>
      <c r="R933" t="s">
        <v>18937</v>
      </c>
      <c r="S933" t="s">
        <v>18938</v>
      </c>
      <c r="T933" t="s">
        <v>18939</v>
      </c>
      <c r="U933" t="s">
        <v>18940</v>
      </c>
      <c r="V933" t="s">
        <v>18941</v>
      </c>
      <c r="W933" t="s">
        <v>18942</v>
      </c>
      <c r="X933" t="s">
        <v>18943</v>
      </c>
      <c r="Y933" t="s">
        <v>18944</v>
      </c>
    </row>
    <row r="934" spans="1:25" x14ac:dyDescent="0.3">
      <c r="A934">
        <v>46650</v>
      </c>
      <c r="B934" t="s">
        <v>18945</v>
      </c>
      <c r="C934" t="s">
        <v>18946</v>
      </c>
      <c r="D934" t="s">
        <v>18947</v>
      </c>
      <c r="E934" t="s">
        <v>18948</v>
      </c>
      <c r="F934" t="s">
        <v>18949</v>
      </c>
      <c r="G934" t="s">
        <v>18950</v>
      </c>
      <c r="H934" t="s">
        <v>18951</v>
      </c>
      <c r="I934" t="s">
        <v>18952</v>
      </c>
      <c r="J934" t="s">
        <v>18953</v>
      </c>
      <c r="K934" t="s">
        <v>18954</v>
      </c>
      <c r="L934" t="s">
        <v>18955</v>
      </c>
      <c r="M934" t="s">
        <v>18956</v>
      </c>
      <c r="N934" t="s">
        <v>18957</v>
      </c>
      <c r="O934" t="s">
        <v>18958</v>
      </c>
      <c r="P934">
        <f>-897.556080893542 -60.0784337729569 -218.557275958088</f>
        <v>-1176.1917906245869</v>
      </c>
      <c r="Q934" t="s">
        <v>18959</v>
      </c>
      <c r="R934" t="s">
        <v>18960</v>
      </c>
      <c r="S934" t="s">
        <v>18961</v>
      </c>
      <c r="T934" t="s">
        <v>18962</v>
      </c>
      <c r="U934" t="s">
        <v>18963</v>
      </c>
      <c r="V934" t="s">
        <v>18964</v>
      </c>
      <c r="W934" t="s">
        <v>18965</v>
      </c>
      <c r="X934" t="s">
        <v>18966</v>
      </c>
      <c r="Y934" t="s">
        <v>18967</v>
      </c>
    </row>
    <row r="935" spans="1:25" x14ac:dyDescent="0.3">
      <c r="A935">
        <v>46700</v>
      </c>
      <c r="B935" t="s">
        <v>18968</v>
      </c>
      <c r="C935" t="s">
        <v>18969</v>
      </c>
      <c r="D935" t="s">
        <v>18970</v>
      </c>
      <c r="E935" t="s">
        <v>18971</v>
      </c>
      <c r="F935" t="s">
        <v>18972</v>
      </c>
      <c r="G935" t="s">
        <v>18973</v>
      </c>
      <c r="H935" t="s">
        <v>18974</v>
      </c>
      <c r="I935" t="s">
        <v>18975</v>
      </c>
      <c r="J935" t="s">
        <v>18976</v>
      </c>
      <c r="K935" t="s">
        <v>18977</v>
      </c>
      <c r="L935" t="s">
        <v>18978</v>
      </c>
      <c r="M935" t="s">
        <v>18979</v>
      </c>
      <c r="N935" t="s">
        <v>18980</v>
      </c>
      <c r="O935" t="s">
        <v>18981</v>
      </c>
      <c r="P935">
        <f>-897.152421636489 -58.5850908032353 -219.004192285509</f>
        <v>-1174.7417047252331</v>
      </c>
      <c r="Q935" t="s">
        <v>18982</v>
      </c>
      <c r="R935" t="s">
        <v>18983</v>
      </c>
      <c r="S935" t="s">
        <v>18984</v>
      </c>
      <c r="T935" t="s">
        <v>18985</v>
      </c>
      <c r="U935" t="s">
        <v>18986</v>
      </c>
      <c r="V935" t="s">
        <v>18987</v>
      </c>
      <c r="W935" t="s">
        <v>18988</v>
      </c>
      <c r="X935" t="s">
        <v>18989</v>
      </c>
      <c r="Y935" t="s">
        <v>18990</v>
      </c>
    </row>
    <row r="936" spans="1:25" x14ac:dyDescent="0.3">
      <c r="A936">
        <v>46750</v>
      </c>
      <c r="B936" t="s">
        <v>18991</v>
      </c>
      <c r="C936" t="s">
        <v>18992</v>
      </c>
      <c r="D936" t="s">
        <v>18993</v>
      </c>
      <c r="E936" t="s">
        <v>18994</v>
      </c>
      <c r="F936" t="s">
        <v>18995</v>
      </c>
      <c r="G936" t="s">
        <v>18996</v>
      </c>
      <c r="H936" t="s">
        <v>18997</v>
      </c>
      <c r="I936" t="s">
        <v>18998</v>
      </c>
      <c r="J936" t="s">
        <v>18999</v>
      </c>
      <c r="K936" t="s">
        <v>19000</v>
      </c>
      <c r="L936" t="s">
        <v>19001</v>
      </c>
      <c r="M936" t="s">
        <v>19002</v>
      </c>
      <c r="N936" t="s">
        <v>19003</v>
      </c>
      <c r="O936" t="s">
        <v>19004</v>
      </c>
      <c r="P936">
        <f>-897.173144245924 -58.0168138820643 -219.156994143124</f>
        <v>-1174.3469522711123</v>
      </c>
      <c r="Q936" t="s">
        <v>19005</v>
      </c>
      <c r="R936" t="s">
        <v>19006</v>
      </c>
      <c r="S936" t="s">
        <v>19007</v>
      </c>
      <c r="T936" t="s">
        <v>19008</v>
      </c>
      <c r="U936" t="s">
        <v>19009</v>
      </c>
      <c r="V936" t="s">
        <v>19010</v>
      </c>
      <c r="W936" t="s">
        <v>19011</v>
      </c>
      <c r="X936" t="s">
        <v>19012</v>
      </c>
      <c r="Y936" t="s">
        <v>19013</v>
      </c>
    </row>
    <row r="937" spans="1:25" x14ac:dyDescent="0.3">
      <c r="A937">
        <v>46800</v>
      </c>
      <c r="B937" t="s">
        <v>19014</v>
      </c>
      <c r="C937" t="s">
        <v>19015</v>
      </c>
      <c r="D937" t="s">
        <v>19016</v>
      </c>
      <c r="E937" t="s">
        <v>19017</v>
      </c>
      <c r="F937" t="s">
        <v>19018</v>
      </c>
      <c r="G937" t="s">
        <v>19019</v>
      </c>
      <c r="H937" t="s">
        <v>19020</v>
      </c>
      <c r="I937" t="s">
        <v>19021</v>
      </c>
      <c r="J937" t="s">
        <v>19022</v>
      </c>
      <c r="K937" t="s">
        <v>19023</v>
      </c>
      <c r="L937" t="s">
        <v>19024</v>
      </c>
      <c r="M937" t="s">
        <v>19025</v>
      </c>
      <c r="N937" t="s">
        <v>19026</v>
      </c>
      <c r="O937" t="s">
        <v>19027</v>
      </c>
      <c r="P937">
        <f>-898.055325430886 -56.5100623337423 -219.313356680576</f>
        <v>-1173.8787444452043</v>
      </c>
      <c r="Q937" t="s">
        <v>19028</v>
      </c>
      <c r="R937" t="s">
        <v>19029</v>
      </c>
      <c r="S937" t="s">
        <v>19030</v>
      </c>
      <c r="T937" t="s">
        <v>19031</v>
      </c>
      <c r="U937" t="s">
        <v>19032</v>
      </c>
      <c r="V937" t="s">
        <v>19033</v>
      </c>
      <c r="W937" t="s">
        <v>19034</v>
      </c>
      <c r="X937" t="s">
        <v>19035</v>
      </c>
      <c r="Y937" t="s">
        <v>19036</v>
      </c>
    </row>
    <row r="938" spans="1:25" x14ac:dyDescent="0.3">
      <c r="A938">
        <v>46850</v>
      </c>
      <c r="B938" t="s">
        <v>19037</v>
      </c>
      <c r="C938" t="s">
        <v>19038</v>
      </c>
      <c r="D938" t="s">
        <v>19039</v>
      </c>
      <c r="E938" t="s">
        <v>19040</v>
      </c>
      <c r="F938" t="s">
        <v>19041</v>
      </c>
      <c r="G938" t="s">
        <v>19042</v>
      </c>
      <c r="H938" t="s">
        <v>19043</v>
      </c>
      <c r="I938" t="s">
        <v>19044</v>
      </c>
      <c r="J938" t="s">
        <v>19045</v>
      </c>
      <c r="K938" t="s">
        <v>19046</v>
      </c>
      <c r="L938" t="s">
        <v>19047</v>
      </c>
      <c r="M938" t="s">
        <v>19048</v>
      </c>
      <c r="N938" t="s">
        <v>19049</v>
      </c>
      <c r="O938" t="s">
        <v>19050</v>
      </c>
      <c r="P938">
        <f>-898.97532140051 -55.2380287131243 -219.263634785906</f>
        <v>-1173.4769848995402</v>
      </c>
      <c r="Q938" t="s">
        <v>19051</v>
      </c>
      <c r="R938" t="s">
        <v>19052</v>
      </c>
      <c r="S938" t="s">
        <v>19053</v>
      </c>
      <c r="T938" t="s">
        <v>19054</v>
      </c>
      <c r="U938" t="s">
        <v>19055</v>
      </c>
      <c r="V938" t="s">
        <v>19056</v>
      </c>
      <c r="W938" t="s">
        <v>19057</v>
      </c>
      <c r="X938" t="s">
        <v>19058</v>
      </c>
      <c r="Y938" t="s">
        <v>19059</v>
      </c>
    </row>
    <row r="939" spans="1:25" x14ac:dyDescent="0.3">
      <c r="A939">
        <v>46900</v>
      </c>
      <c r="B939" t="s">
        <v>19060</v>
      </c>
      <c r="C939" t="s">
        <v>19061</v>
      </c>
      <c r="D939" t="s">
        <v>19062</v>
      </c>
      <c r="E939" t="s">
        <v>19063</v>
      </c>
      <c r="F939" t="s">
        <v>19064</v>
      </c>
      <c r="G939" t="s">
        <v>19065</v>
      </c>
      <c r="H939" t="s">
        <v>19066</v>
      </c>
      <c r="I939" t="s">
        <v>19067</v>
      </c>
      <c r="J939" t="s">
        <v>19068</v>
      </c>
      <c r="K939" t="s">
        <v>19069</v>
      </c>
      <c r="L939" t="s">
        <v>19070</v>
      </c>
      <c r="M939" t="s">
        <v>19071</v>
      </c>
      <c r="N939" t="s">
        <v>19072</v>
      </c>
      <c r="O939" t="s">
        <v>19073</v>
      </c>
      <c r="P939">
        <f>-900.412054714531 -52.4426445073279 -219.068589314189</f>
        <v>-1171.9232885360479</v>
      </c>
      <c r="Q939" t="s">
        <v>19074</v>
      </c>
      <c r="R939" t="s">
        <v>19075</v>
      </c>
      <c r="S939" t="s">
        <v>19076</v>
      </c>
      <c r="T939" t="s">
        <v>19077</v>
      </c>
      <c r="U939" t="s">
        <v>19078</v>
      </c>
      <c r="V939" t="s">
        <v>19079</v>
      </c>
      <c r="W939" t="s">
        <v>19080</v>
      </c>
      <c r="X939" t="s">
        <v>19081</v>
      </c>
      <c r="Y939" t="s">
        <v>19082</v>
      </c>
    </row>
    <row r="940" spans="1:25" x14ac:dyDescent="0.3">
      <c r="A940">
        <v>46950</v>
      </c>
      <c r="B940" t="s">
        <v>19083</v>
      </c>
      <c r="C940" t="s">
        <v>19084</v>
      </c>
      <c r="D940" t="s">
        <v>19085</v>
      </c>
      <c r="E940" t="s">
        <v>19086</v>
      </c>
      <c r="F940" t="s">
        <v>19087</v>
      </c>
      <c r="G940" t="s">
        <v>19088</v>
      </c>
      <c r="H940" t="s">
        <v>19089</v>
      </c>
      <c r="I940" t="s">
        <v>19090</v>
      </c>
      <c r="J940" t="s">
        <v>19091</v>
      </c>
      <c r="K940" t="s">
        <v>19092</v>
      </c>
      <c r="L940" t="s">
        <v>19093</v>
      </c>
      <c r="M940" t="s">
        <v>19094</v>
      </c>
      <c r="N940" t="s">
        <v>19095</v>
      </c>
      <c r="O940" t="s">
        <v>19096</v>
      </c>
      <c r="P940">
        <f>-900.996232114964 -51.2575408173373 -219.00135538363</f>
        <v>-1171.2551283159312</v>
      </c>
      <c r="Q940" t="s">
        <v>19097</v>
      </c>
      <c r="R940" t="s">
        <v>19098</v>
      </c>
      <c r="S940" t="s">
        <v>19099</v>
      </c>
      <c r="T940" t="s">
        <v>19100</v>
      </c>
      <c r="U940" t="s">
        <v>19101</v>
      </c>
      <c r="V940" t="s">
        <v>19102</v>
      </c>
      <c r="W940" t="s">
        <v>19103</v>
      </c>
      <c r="X940" t="s">
        <v>19104</v>
      </c>
      <c r="Y940" t="s">
        <v>19105</v>
      </c>
    </row>
    <row r="941" spans="1:25" x14ac:dyDescent="0.3">
      <c r="A941">
        <v>47000</v>
      </c>
      <c r="B941" t="s">
        <v>19106</v>
      </c>
      <c r="C941" t="s">
        <v>19107</v>
      </c>
      <c r="D941" t="s">
        <v>19108</v>
      </c>
      <c r="E941" t="s">
        <v>19109</v>
      </c>
      <c r="F941" t="s">
        <v>19110</v>
      </c>
      <c r="G941" t="s">
        <v>19111</v>
      </c>
      <c r="H941" t="s">
        <v>19112</v>
      </c>
      <c r="I941" t="s">
        <v>19113</v>
      </c>
      <c r="J941" t="s">
        <v>19114</v>
      </c>
      <c r="K941" t="s">
        <v>19115</v>
      </c>
      <c r="L941" t="s">
        <v>19116</v>
      </c>
      <c r="M941" t="s">
        <v>19117</v>
      </c>
      <c r="N941" t="s">
        <v>19118</v>
      </c>
      <c r="O941" t="s">
        <v>19119</v>
      </c>
      <c r="P941">
        <f>-901.447818657771 -49.5407970109707 -219.008180708585</f>
        <v>-1169.9967963773267</v>
      </c>
      <c r="Q941" t="s">
        <v>19120</v>
      </c>
      <c r="R941" t="s">
        <v>19121</v>
      </c>
      <c r="S941" t="s">
        <v>19122</v>
      </c>
      <c r="T941" t="s">
        <v>19123</v>
      </c>
      <c r="U941" t="s">
        <v>19124</v>
      </c>
      <c r="V941" t="s">
        <v>19125</v>
      </c>
      <c r="W941" t="s">
        <v>19126</v>
      </c>
      <c r="X941" t="s">
        <v>19127</v>
      </c>
      <c r="Y941" t="s">
        <v>19128</v>
      </c>
    </row>
    <row r="942" spans="1:25" x14ac:dyDescent="0.3">
      <c r="A942">
        <v>47050</v>
      </c>
      <c r="B942" t="s">
        <v>19129</v>
      </c>
      <c r="C942" t="s">
        <v>19130</v>
      </c>
      <c r="D942" t="s">
        <v>19131</v>
      </c>
      <c r="E942" t="s">
        <v>19132</v>
      </c>
      <c r="F942" t="s">
        <v>19133</v>
      </c>
      <c r="G942" t="s">
        <v>19134</v>
      </c>
      <c r="H942" t="s">
        <v>19135</v>
      </c>
      <c r="I942" t="s">
        <v>19136</v>
      </c>
      <c r="J942" t="s">
        <v>19137</v>
      </c>
      <c r="K942" t="s">
        <v>19138</v>
      </c>
      <c r="L942" t="s">
        <v>19139</v>
      </c>
      <c r="M942" t="s">
        <v>19140</v>
      </c>
      <c r="N942" t="s">
        <v>19141</v>
      </c>
      <c r="O942" t="s">
        <v>19142</v>
      </c>
      <c r="P942">
        <f>-901.870521535091 -48.5277856200705 -219.184917545944</f>
        <v>-1169.5832247011056</v>
      </c>
      <c r="Q942" t="s">
        <v>19143</v>
      </c>
      <c r="R942" t="s">
        <v>19144</v>
      </c>
      <c r="S942" t="s">
        <v>19145</v>
      </c>
      <c r="T942" t="s">
        <v>19146</v>
      </c>
      <c r="U942" t="s">
        <v>19147</v>
      </c>
      <c r="V942" t="s">
        <v>19148</v>
      </c>
      <c r="W942" t="s">
        <v>19149</v>
      </c>
      <c r="X942" t="s">
        <v>19150</v>
      </c>
      <c r="Y942" t="s">
        <v>19151</v>
      </c>
    </row>
    <row r="943" spans="1:25" x14ac:dyDescent="0.3">
      <c r="A943">
        <v>47100</v>
      </c>
      <c r="B943" t="s">
        <v>19152</v>
      </c>
      <c r="C943" t="s">
        <v>19153</v>
      </c>
      <c r="D943" t="s">
        <v>19154</v>
      </c>
      <c r="E943" t="s">
        <v>19155</v>
      </c>
      <c r="F943" t="s">
        <v>19156</v>
      </c>
      <c r="G943" t="s">
        <v>19157</v>
      </c>
      <c r="H943" t="s">
        <v>19158</v>
      </c>
      <c r="I943" t="s">
        <v>19159</v>
      </c>
      <c r="J943" t="s">
        <v>19160</v>
      </c>
      <c r="K943" t="s">
        <v>19161</v>
      </c>
      <c r="L943" t="s">
        <v>19162</v>
      </c>
      <c r="M943" t="s">
        <v>19163</v>
      </c>
      <c r="N943" t="s">
        <v>19164</v>
      </c>
      <c r="O943" t="s">
        <v>19165</v>
      </c>
      <c r="P943">
        <f>-903.215001569775 -47.0492110492842 -219.943896830121</f>
        <v>-1170.2081094491803</v>
      </c>
      <c r="Q943" t="s">
        <v>19166</v>
      </c>
      <c r="R943" t="s">
        <v>19167</v>
      </c>
      <c r="S943" t="s">
        <v>19168</v>
      </c>
      <c r="T943" t="s">
        <v>19169</v>
      </c>
      <c r="U943" t="s">
        <v>19170</v>
      </c>
      <c r="V943" t="s">
        <v>19171</v>
      </c>
      <c r="W943" t="s">
        <v>19172</v>
      </c>
      <c r="X943" t="s">
        <v>19173</v>
      </c>
      <c r="Y943" t="s">
        <v>19174</v>
      </c>
    </row>
    <row r="944" spans="1:25" x14ac:dyDescent="0.3">
      <c r="A944">
        <v>47150</v>
      </c>
      <c r="B944" t="s">
        <v>19175</v>
      </c>
      <c r="C944" t="s">
        <v>19176</v>
      </c>
      <c r="D944" t="s">
        <v>19177</v>
      </c>
      <c r="E944" t="s">
        <v>19178</v>
      </c>
      <c r="F944" t="s">
        <v>19179</v>
      </c>
      <c r="G944" t="s">
        <v>19180</v>
      </c>
      <c r="H944" t="s">
        <v>19181</v>
      </c>
      <c r="I944" t="s">
        <v>19182</v>
      </c>
      <c r="J944" t="s">
        <v>19183</v>
      </c>
      <c r="K944" t="s">
        <v>19184</v>
      </c>
      <c r="L944" t="s">
        <v>19185</v>
      </c>
      <c r="M944" t="s">
        <v>19186</v>
      </c>
      <c r="N944" t="s">
        <v>19187</v>
      </c>
      <c r="O944" t="s">
        <v>19188</v>
      </c>
      <c r="P944">
        <f>-903.595201835241 -46.7705696100197 -220.328882376033</f>
        <v>-1170.6946538212937</v>
      </c>
      <c r="Q944" t="s">
        <v>19189</v>
      </c>
      <c r="R944" t="s">
        <v>19190</v>
      </c>
      <c r="S944" t="s">
        <v>19191</v>
      </c>
      <c r="T944" t="s">
        <v>19192</v>
      </c>
      <c r="U944" t="s">
        <v>19193</v>
      </c>
      <c r="V944" t="s">
        <v>19194</v>
      </c>
      <c r="W944" t="s">
        <v>19195</v>
      </c>
      <c r="X944" t="s">
        <v>19196</v>
      </c>
      <c r="Y944" t="s">
        <v>19197</v>
      </c>
    </row>
    <row r="945" spans="1:25" x14ac:dyDescent="0.3">
      <c r="A945">
        <v>47200</v>
      </c>
      <c r="B945" t="s">
        <v>19198</v>
      </c>
      <c r="C945" t="s">
        <v>19199</v>
      </c>
      <c r="D945" t="s">
        <v>19200</v>
      </c>
      <c r="E945" t="s">
        <v>19201</v>
      </c>
      <c r="F945" t="s">
        <v>19202</v>
      </c>
      <c r="G945" t="s">
        <v>19203</v>
      </c>
      <c r="H945" t="s">
        <v>19204</v>
      </c>
      <c r="I945" t="s">
        <v>19205</v>
      </c>
      <c r="J945" t="s">
        <v>19206</v>
      </c>
      <c r="K945" t="s">
        <v>19207</v>
      </c>
      <c r="L945" t="s">
        <v>19208</v>
      </c>
      <c r="M945" t="s">
        <v>19209</v>
      </c>
      <c r="N945" t="s">
        <v>19210</v>
      </c>
      <c r="O945" t="s">
        <v>19211</v>
      </c>
      <c r="P945">
        <f>-903.6787625512 -46.9757114726144 -220.888241713488</f>
        <v>-1171.5427157373024</v>
      </c>
      <c r="Q945" t="s">
        <v>19212</v>
      </c>
      <c r="R945" t="s">
        <v>19213</v>
      </c>
      <c r="S945" t="s">
        <v>19214</v>
      </c>
      <c r="T945" t="s">
        <v>19215</v>
      </c>
      <c r="U945" t="s">
        <v>19216</v>
      </c>
      <c r="V945" t="s">
        <v>19217</v>
      </c>
      <c r="W945" t="s">
        <v>19218</v>
      </c>
      <c r="X945" t="s">
        <v>19219</v>
      </c>
      <c r="Y945" t="s">
        <v>19220</v>
      </c>
    </row>
    <row r="946" spans="1:25" x14ac:dyDescent="0.3">
      <c r="A946">
        <v>47250</v>
      </c>
      <c r="B946" t="s">
        <v>19221</v>
      </c>
      <c r="C946" t="s">
        <v>19222</v>
      </c>
      <c r="D946" t="s">
        <v>19223</v>
      </c>
      <c r="E946" t="s">
        <v>19224</v>
      </c>
      <c r="F946" t="s">
        <v>19225</v>
      </c>
      <c r="G946" t="s">
        <v>19226</v>
      </c>
      <c r="H946" t="s">
        <v>19227</v>
      </c>
      <c r="I946" t="s">
        <v>19228</v>
      </c>
      <c r="J946" t="s">
        <v>19229</v>
      </c>
      <c r="K946" t="s">
        <v>19230</v>
      </c>
      <c r="L946" t="s">
        <v>19231</v>
      </c>
      <c r="M946" t="s">
        <v>19232</v>
      </c>
      <c r="N946" t="s">
        <v>19233</v>
      </c>
      <c r="O946" t="s">
        <v>19234</v>
      </c>
      <c r="P946">
        <f>-903.345413216545 -47.3464977894255 -221.170999451054</f>
        <v>-1171.8629104570246</v>
      </c>
      <c r="Q946" t="s">
        <v>19235</v>
      </c>
      <c r="R946" t="s">
        <v>19236</v>
      </c>
      <c r="S946" t="s">
        <v>19237</v>
      </c>
      <c r="T946" t="s">
        <v>19238</v>
      </c>
      <c r="U946" t="s">
        <v>19239</v>
      </c>
      <c r="V946" t="s">
        <v>19240</v>
      </c>
      <c r="W946" t="s">
        <v>19241</v>
      </c>
      <c r="X946" t="s">
        <v>19242</v>
      </c>
      <c r="Y946" t="s">
        <v>19243</v>
      </c>
    </row>
    <row r="947" spans="1:25" x14ac:dyDescent="0.3">
      <c r="A947">
        <v>47300</v>
      </c>
      <c r="B947" t="s">
        <v>19244</v>
      </c>
      <c r="C947" t="s">
        <v>19245</v>
      </c>
      <c r="D947" t="s">
        <v>19246</v>
      </c>
      <c r="E947" t="s">
        <v>19247</v>
      </c>
      <c r="F947" t="s">
        <v>19248</v>
      </c>
      <c r="G947" t="s">
        <v>19249</v>
      </c>
      <c r="H947" t="s">
        <v>19250</v>
      </c>
      <c r="I947" t="s">
        <v>19251</v>
      </c>
      <c r="J947" t="s">
        <v>19252</v>
      </c>
      <c r="K947" t="s">
        <v>19253</v>
      </c>
      <c r="L947" t="s">
        <v>19254</v>
      </c>
      <c r="M947" t="s">
        <v>19255</v>
      </c>
      <c r="N947" t="s">
        <v>19256</v>
      </c>
      <c r="O947" t="s">
        <v>19257</v>
      </c>
      <c r="P947">
        <f>-902.351159703496 -48.0307520519839 -221.728466793368</f>
        <v>-1172.1103785488478</v>
      </c>
      <c r="Q947" t="s">
        <v>19258</v>
      </c>
      <c r="R947" t="s">
        <v>19259</v>
      </c>
      <c r="S947" t="s">
        <v>19260</v>
      </c>
      <c r="T947" t="s">
        <v>19261</v>
      </c>
      <c r="U947" t="s">
        <v>19262</v>
      </c>
      <c r="V947" t="s">
        <v>19263</v>
      </c>
      <c r="W947" t="s">
        <v>19264</v>
      </c>
      <c r="X947" t="s">
        <v>19265</v>
      </c>
      <c r="Y947" t="s">
        <v>19266</v>
      </c>
    </row>
    <row r="948" spans="1:25" x14ac:dyDescent="0.3">
      <c r="A948">
        <v>47350</v>
      </c>
      <c r="B948" t="s">
        <v>19267</v>
      </c>
      <c r="C948" t="s">
        <v>19268</v>
      </c>
      <c r="D948" t="s">
        <v>19269</v>
      </c>
      <c r="E948" t="s">
        <v>19270</v>
      </c>
      <c r="F948" t="s">
        <v>19271</v>
      </c>
      <c r="G948" t="s">
        <v>19272</v>
      </c>
      <c r="H948" t="s">
        <v>19273</v>
      </c>
      <c r="I948" t="s">
        <v>19274</v>
      </c>
      <c r="J948" t="s">
        <v>19275</v>
      </c>
      <c r="K948" t="s">
        <v>19276</v>
      </c>
      <c r="L948" t="s">
        <v>19277</v>
      </c>
      <c r="M948" t="s">
        <v>19278</v>
      </c>
      <c r="N948" t="s">
        <v>19279</v>
      </c>
      <c r="O948" t="s">
        <v>19280</v>
      </c>
      <c r="P948">
        <f>-901.85614367631 -48.1445417573145 -221.881417275026</f>
        <v>-1171.8821027086506</v>
      </c>
      <c r="Q948" t="s">
        <v>19281</v>
      </c>
      <c r="R948" t="s">
        <v>19282</v>
      </c>
      <c r="S948" t="s">
        <v>19283</v>
      </c>
      <c r="T948" t="s">
        <v>19284</v>
      </c>
      <c r="U948" t="s">
        <v>19285</v>
      </c>
      <c r="V948" t="s">
        <v>19286</v>
      </c>
      <c r="W948" t="s">
        <v>19287</v>
      </c>
      <c r="X948" t="s">
        <v>19288</v>
      </c>
      <c r="Y948" t="s">
        <v>19289</v>
      </c>
    </row>
    <row r="949" spans="1:25" x14ac:dyDescent="0.3">
      <c r="A949">
        <v>47400</v>
      </c>
      <c r="B949" t="s">
        <v>19290</v>
      </c>
      <c r="C949" t="s">
        <v>19291</v>
      </c>
      <c r="D949" t="s">
        <v>19292</v>
      </c>
      <c r="E949" t="s">
        <v>19293</v>
      </c>
      <c r="F949" t="s">
        <v>19294</v>
      </c>
      <c r="G949" t="s">
        <v>19295</v>
      </c>
      <c r="H949" t="s">
        <v>19296</v>
      </c>
      <c r="I949" t="s">
        <v>19297</v>
      </c>
      <c r="J949" t="s">
        <v>19298</v>
      </c>
      <c r="K949" t="s">
        <v>19299</v>
      </c>
      <c r="L949" t="s">
        <v>19300</v>
      </c>
      <c r="M949" t="s">
        <v>19301</v>
      </c>
      <c r="N949" t="s">
        <v>19302</v>
      </c>
      <c r="O949" t="s">
        <v>19303</v>
      </c>
      <c r="P949">
        <f>-900.822099709935 -47.5979473935438 -221.939323405699</f>
        <v>-1170.3593705091778</v>
      </c>
      <c r="Q949" t="s">
        <v>19304</v>
      </c>
      <c r="R949" t="s">
        <v>19305</v>
      </c>
      <c r="S949" t="s">
        <v>19306</v>
      </c>
      <c r="T949" t="s">
        <v>19307</v>
      </c>
      <c r="U949" t="s">
        <v>19308</v>
      </c>
      <c r="V949" t="s">
        <v>19309</v>
      </c>
      <c r="W949" t="s">
        <v>19310</v>
      </c>
      <c r="X949" t="s">
        <v>19311</v>
      </c>
      <c r="Y949" t="s">
        <v>19312</v>
      </c>
    </row>
    <row r="950" spans="1:25" x14ac:dyDescent="0.3">
      <c r="A950">
        <v>47450</v>
      </c>
      <c r="B950" t="s">
        <v>19313</v>
      </c>
      <c r="C950" t="s">
        <v>19314</v>
      </c>
      <c r="D950" t="s">
        <v>19315</v>
      </c>
      <c r="E950" t="s">
        <v>19316</v>
      </c>
      <c r="F950" t="s">
        <v>19317</v>
      </c>
      <c r="G950" t="s">
        <v>19318</v>
      </c>
      <c r="H950" t="s">
        <v>19319</v>
      </c>
      <c r="I950" t="s">
        <v>19320</v>
      </c>
      <c r="J950" t="s">
        <v>19321</v>
      </c>
      <c r="K950" t="s">
        <v>19322</v>
      </c>
      <c r="L950" t="s">
        <v>19323</v>
      </c>
      <c r="M950" t="s">
        <v>19324</v>
      </c>
      <c r="N950" t="s">
        <v>19325</v>
      </c>
      <c r="O950" t="s">
        <v>19326</v>
      </c>
      <c r="P950">
        <f>-900.218468539212 -46.98452933569 -221.865061074372</f>
        <v>-1169.068058949274</v>
      </c>
      <c r="Q950" t="s">
        <v>19327</v>
      </c>
      <c r="R950" t="s">
        <v>19328</v>
      </c>
      <c r="S950" t="s">
        <v>19329</v>
      </c>
      <c r="T950" t="s">
        <v>19330</v>
      </c>
      <c r="U950" t="s">
        <v>19331</v>
      </c>
      <c r="V950" t="s">
        <v>19332</v>
      </c>
      <c r="W950" t="s">
        <v>19333</v>
      </c>
      <c r="X950" t="s">
        <v>19334</v>
      </c>
      <c r="Y950" t="s">
        <v>19335</v>
      </c>
    </row>
    <row r="951" spans="1:25" x14ac:dyDescent="0.3">
      <c r="A951">
        <v>47500</v>
      </c>
      <c r="B951" t="s">
        <v>19336</v>
      </c>
      <c r="C951" t="s">
        <v>19337</v>
      </c>
      <c r="D951" t="s">
        <v>19338</v>
      </c>
      <c r="E951" t="s">
        <v>19339</v>
      </c>
      <c r="F951" t="s">
        <v>19340</v>
      </c>
      <c r="G951" t="s">
        <v>19341</v>
      </c>
      <c r="H951" t="s">
        <v>19342</v>
      </c>
      <c r="I951" t="s">
        <v>19343</v>
      </c>
      <c r="J951" t="s">
        <v>19344</v>
      </c>
      <c r="K951" t="s">
        <v>19345</v>
      </c>
      <c r="L951" t="s">
        <v>19346</v>
      </c>
      <c r="M951" t="s">
        <v>19347</v>
      </c>
      <c r="N951" t="s">
        <v>19348</v>
      </c>
      <c r="O951" t="s">
        <v>19349</v>
      </c>
      <c r="P951">
        <f>-898.628301808659 -45.8436312065437 -221.544912908916</f>
        <v>-1166.0168459241186</v>
      </c>
      <c r="Q951" t="s">
        <v>19350</v>
      </c>
      <c r="R951" t="s">
        <v>19351</v>
      </c>
      <c r="S951" t="s">
        <v>19352</v>
      </c>
      <c r="T951" t="s">
        <v>19353</v>
      </c>
      <c r="U951" t="s">
        <v>19354</v>
      </c>
      <c r="V951" t="s">
        <v>19355</v>
      </c>
      <c r="W951" t="s">
        <v>19356</v>
      </c>
      <c r="X951" t="s">
        <v>19357</v>
      </c>
      <c r="Y951" t="s">
        <v>19358</v>
      </c>
    </row>
    <row r="952" spans="1:25" x14ac:dyDescent="0.3">
      <c r="A952">
        <v>47550</v>
      </c>
      <c r="B952" t="s">
        <v>19359</v>
      </c>
      <c r="C952" t="s">
        <v>19360</v>
      </c>
      <c r="D952" t="s">
        <v>19361</v>
      </c>
      <c r="E952" t="s">
        <v>19362</v>
      </c>
      <c r="F952" t="s">
        <v>19363</v>
      </c>
      <c r="G952" t="s">
        <v>19364</v>
      </c>
      <c r="H952" t="s">
        <v>19365</v>
      </c>
      <c r="I952" t="s">
        <v>19366</v>
      </c>
      <c r="J952" t="s">
        <v>19367</v>
      </c>
      <c r="K952" t="s">
        <v>19368</v>
      </c>
      <c r="L952" t="s">
        <v>19369</v>
      </c>
      <c r="M952" t="s">
        <v>19370</v>
      </c>
      <c r="N952" t="s">
        <v>19371</v>
      </c>
      <c r="O952" t="s">
        <v>19372</v>
      </c>
      <c r="P952">
        <f>-897.641056812918 -45.4120409472091 -221.338008214279</f>
        <v>-1164.3911059744062</v>
      </c>
      <c r="Q952" t="s">
        <v>19373</v>
      </c>
      <c r="R952" t="s">
        <v>19374</v>
      </c>
      <c r="S952" t="s">
        <v>19375</v>
      </c>
      <c r="T952" t="s">
        <v>19376</v>
      </c>
      <c r="U952" t="s">
        <v>19377</v>
      </c>
      <c r="V952" t="s">
        <v>19378</v>
      </c>
      <c r="W952" t="s">
        <v>19379</v>
      </c>
      <c r="X952" t="s">
        <v>19380</v>
      </c>
      <c r="Y952" t="s">
        <v>19381</v>
      </c>
    </row>
    <row r="953" spans="1:25" x14ac:dyDescent="0.3">
      <c r="A953">
        <v>47600</v>
      </c>
      <c r="B953" t="s">
        <v>19382</v>
      </c>
      <c r="C953" t="s">
        <v>19383</v>
      </c>
      <c r="D953" t="s">
        <v>19384</v>
      </c>
      <c r="E953" t="s">
        <v>19385</v>
      </c>
      <c r="F953" t="s">
        <v>19386</v>
      </c>
      <c r="G953" t="s">
        <v>19387</v>
      </c>
      <c r="H953" t="s">
        <v>19388</v>
      </c>
      <c r="I953" t="s">
        <v>19389</v>
      </c>
      <c r="J953" t="s">
        <v>19390</v>
      </c>
      <c r="K953" t="s">
        <v>19391</v>
      </c>
      <c r="L953" t="s">
        <v>19392</v>
      </c>
      <c r="M953" t="s">
        <v>19393</v>
      </c>
      <c r="N953" t="s">
        <v>19394</v>
      </c>
      <c r="O953" t="s">
        <v>19395</v>
      </c>
      <c r="P953">
        <f>-895.210955284462 -44.2148830993058 -220.732744579061</f>
        <v>-1160.1585829628289</v>
      </c>
      <c r="Q953" t="s">
        <v>19396</v>
      </c>
      <c r="R953" t="s">
        <v>19397</v>
      </c>
      <c r="S953" t="s">
        <v>19398</v>
      </c>
      <c r="T953" t="s">
        <v>19399</v>
      </c>
      <c r="U953" t="s">
        <v>19400</v>
      </c>
      <c r="V953" t="s">
        <v>19401</v>
      </c>
      <c r="W953" t="s">
        <v>19402</v>
      </c>
      <c r="X953" t="s">
        <v>19403</v>
      </c>
      <c r="Y953" t="s">
        <v>19404</v>
      </c>
    </row>
    <row r="954" spans="1:25" x14ac:dyDescent="0.3">
      <c r="A954">
        <v>47650</v>
      </c>
      <c r="B954" t="s">
        <v>19405</v>
      </c>
      <c r="C954" t="s">
        <v>19406</v>
      </c>
      <c r="D954" t="s">
        <v>19407</v>
      </c>
      <c r="E954" t="s">
        <v>19408</v>
      </c>
      <c r="F954" t="s">
        <v>19409</v>
      </c>
      <c r="G954" t="s">
        <v>19410</v>
      </c>
      <c r="H954" t="s">
        <v>19411</v>
      </c>
      <c r="I954" t="s">
        <v>19412</v>
      </c>
      <c r="J954" t="s">
        <v>19413</v>
      </c>
      <c r="K954" t="s">
        <v>19414</v>
      </c>
      <c r="L954" t="s">
        <v>19415</v>
      </c>
      <c r="M954" t="s">
        <v>19416</v>
      </c>
      <c r="N954" t="s">
        <v>19417</v>
      </c>
      <c r="O954" t="s">
        <v>19418</v>
      </c>
      <c r="P954">
        <f>-893.528640824372 -43.4765760887112 -220.269878335865</f>
        <v>-1157.2750952489482</v>
      </c>
      <c r="Q954" t="s">
        <v>19419</v>
      </c>
      <c r="R954" t="s">
        <v>19420</v>
      </c>
      <c r="S954" t="s">
        <v>19421</v>
      </c>
      <c r="T954" t="s">
        <v>19422</v>
      </c>
      <c r="U954" t="s">
        <v>19423</v>
      </c>
      <c r="V954" t="s">
        <v>19424</v>
      </c>
      <c r="W954" t="s">
        <v>19425</v>
      </c>
      <c r="X954" t="s">
        <v>19426</v>
      </c>
      <c r="Y954" t="s">
        <v>19427</v>
      </c>
    </row>
    <row r="955" spans="1:25" x14ac:dyDescent="0.3">
      <c r="A955">
        <v>47700</v>
      </c>
      <c r="B955" t="s">
        <v>19428</v>
      </c>
      <c r="C955" t="s">
        <v>19429</v>
      </c>
      <c r="D955" t="s">
        <v>19430</v>
      </c>
      <c r="E955" t="s">
        <v>19431</v>
      </c>
      <c r="F955" t="s">
        <v>19432</v>
      </c>
      <c r="G955" t="s">
        <v>19433</v>
      </c>
      <c r="H955" t="s">
        <v>19434</v>
      </c>
      <c r="I955" t="s">
        <v>19435</v>
      </c>
      <c r="J955" t="s">
        <v>19436</v>
      </c>
      <c r="K955" t="s">
        <v>19437</v>
      </c>
      <c r="L955" t="s">
        <v>19438</v>
      </c>
      <c r="M955" t="s">
        <v>19439</v>
      </c>
      <c r="N955" t="s">
        <v>19440</v>
      </c>
      <c r="O955" t="s">
        <v>19441</v>
      </c>
      <c r="P955">
        <f>-890.301409410379 -40.3386275473397 -218.970350433178</f>
        <v>-1149.6103873908967</v>
      </c>
      <c r="Q955" t="s">
        <v>19442</v>
      </c>
      <c r="R955" t="s">
        <v>19443</v>
      </c>
      <c r="S955" t="s">
        <v>19444</v>
      </c>
      <c r="T955" t="s">
        <v>19445</v>
      </c>
      <c r="U955" t="s">
        <v>19446</v>
      </c>
      <c r="V955" t="s">
        <v>19447</v>
      </c>
      <c r="W955" t="s">
        <v>19448</v>
      </c>
      <c r="X955" t="s">
        <v>19449</v>
      </c>
      <c r="Y955" t="s">
        <v>19450</v>
      </c>
    </row>
    <row r="956" spans="1:25" x14ac:dyDescent="0.3">
      <c r="A956">
        <v>47750</v>
      </c>
      <c r="B956" t="s">
        <v>19451</v>
      </c>
      <c r="C956" t="s">
        <v>19452</v>
      </c>
      <c r="D956" t="s">
        <v>19453</v>
      </c>
      <c r="E956" t="s">
        <v>19454</v>
      </c>
      <c r="F956" t="s">
        <v>19455</v>
      </c>
      <c r="G956" t="s">
        <v>19456</v>
      </c>
      <c r="H956" t="s">
        <v>19457</v>
      </c>
      <c r="I956" t="s">
        <v>19458</v>
      </c>
      <c r="J956" t="s">
        <v>19459</v>
      </c>
      <c r="K956" t="s">
        <v>19460</v>
      </c>
      <c r="L956" t="s">
        <v>19461</v>
      </c>
      <c r="M956" t="s">
        <v>19462</v>
      </c>
      <c r="N956" t="s">
        <v>19463</v>
      </c>
      <c r="O956" t="s">
        <v>19464</v>
      </c>
      <c r="P956">
        <f>-889.37926184562 -37.5973826203733 -218.259797844031</f>
        <v>-1145.2364423100244</v>
      </c>
      <c r="Q956" t="s">
        <v>19465</v>
      </c>
      <c r="R956" t="s">
        <v>19466</v>
      </c>
      <c r="S956" t="s">
        <v>19467</v>
      </c>
      <c r="T956" t="s">
        <v>19468</v>
      </c>
      <c r="U956" t="s">
        <v>19469</v>
      </c>
      <c r="V956" t="s">
        <v>19470</v>
      </c>
      <c r="W956" t="s">
        <v>19471</v>
      </c>
      <c r="X956" t="s">
        <v>19472</v>
      </c>
      <c r="Y956" t="s">
        <v>19473</v>
      </c>
    </row>
    <row r="957" spans="1:25" x14ac:dyDescent="0.3">
      <c r="A957">
        <v>47800</v>
      </c>
      <c r="B957" t="s">
        <v>19474</v>
      </c>
      <c r="C957" t="s">
        <v>19475</v>
      </c>
      <c r="D957" t="s">
        <v>19476</v>
      </c>
      <c r="E957" t="s">
        <v>19477</v>
      </c>
      <c r="F957" t="s">
        <v>19478</v>
      </c>
      <c r="G957" t="s">
        <v>19479</v>
      </c>
      <c r="H957" t="s">
        <v>19480</v>
      </c>
      <c r="I957" t="s">
        <v>19481</v>
      </c>
      <c r="J957" t="s">
        <v>19482</v>
      </c>
      <c r="K957" t="s">
        <v>19483</v>
      </c>
      <c r="L957" t="s">
        <v>19484</v>
      </c>
      <c r="M957" t="s">
        <v>19485</v>
      </c>
      <c r="N957" t="s">
        <v>19486</v>
      </c>
      <c r="O957" t="s">
        <v>19487</v>
      </c>
      <c r="P957">
        <f>-888.912403472869 -31.5474556135728 -216.957140453937</f>
        <v>-1137.4169995403788</v>
      </c>
      <c r="Q957" t="s">
        <v>19488</v>
      </c>
      <c r="R957" t="s">
        <v>19489</v>
      </c>
      <c r="S957" t="s">
        <v>19490</v>
      </c>
      <c r="T957" t="s">
        <v>19491</v>
      </c>
      <c r="U957" t="s">
        <v>19492</v>
      </c>
      <c r="V957" t="s">
        <v>19493</v>
      </c>
      <c r="W957" t="s">
        <v>19494</v>
      </c>
      <c r="X957" t="s">
        <v>19495</v>
      </c>
      <c r="Y957" t="s">
        <v>19496</v>
      </c>
    </row>
    <row r="958" spans="1:25" x14ac:dyDescent="0.3">
      <c r="A958">
        <v>47850</v>
      </c>
      <c r="B958" t="s">
        <v>19497</v>
      </c>
      <c r="C958" t="s">
        <v>19498</v>
      </c>
      <c r="D958" t="s">
        <v>19499</v>
      </c>
      <c r="E958" t="s">
        <v>19500</v>
      </c>
      <c r="F958" t="s">
        <v>19501</v>
      </c>
      <c r="G958" t="s">
        <v>19502</v>
      </c>
      <c r="H958" t="s">
        <v>19503</v>
      </c>
      <c r="I958" t="s">
        <v>19504</v>
      </c>
      <c r="J958" t="s">
        <v>19505</v>
      </c>
      <c r="K958" t="s">
        <v>19506</v>
      </c>
      <c r="L958" t="s">
        <v>19507</v>
      </c>
      <c r="M958" t="s">
        <v>19508</v>
      </c>
      <c r="N958" t="s">
        <v>19509</v>
      </c>
      <c r="O958" t="s">
        <v>19510</v>
      </c>
      <c r="P958">
        <f>-889.264187566373 -28.9110890360357 -216.367145775543</f>
        <v>-1134.5424223779519</v>
      </c>
      <c r="Q958" t="s">
        <v>19511</v>
      </c>
      <c r="R958" t="s">
        <v>19512</v>
      </c>
      <c r="S958" t="s">
        <v>19513</v>
      </c>
      <c r="T958" t="s">
        <v>19514</v>
      </c>
      <c r="U958" t="s">
        <v>19515</v>
      </c>
      <c r="V958" t="s">
        <v>19516</v>
      </c>
      <c r="W958" t="s">
        <v>19517</v>
      </c>
      <c r="X958" t="s">
        <v>19518</v>
      </c>
      <c r="Y958" t="s">
        <v>19519</v>
      </c>
    </row>
    <row r="959" spans="1:25" x14ac:dyDescent="0.3">
      <c r="A959">
        <v>47900</v>
      </c>
      <c r="B959" t="s">
        <v>19520</v>
      </c>
      <c r="C959" t="s">
        <v>19521</v>
      </c>
      <c r="D959" t="s">
        <v>19522</v>
      </c>
      <c r="E959" t="s">
        <v>19523</v>
      </c>
      <c r="F959" t="s">
        <v>19524</v>
      </c>
      <c r="G959" t="s">
        <v>19525</v>
      </c>
      <c r="H959" t="s">
        <v>19526</v>
      </c>
      <c r="I959" t="s">
        <v>19527</v>
      </c>
      <c r="J959" t="s">
        <v>19528</v>
      </c>
      <c r="K959" t="s">
        <v>19529</v>
      </c>
      <c r="L959" t="s">
        <v>19530</v>
      </c>
      <c r="M959" t="s">
        <v>19531</v>
      </c>
      <c r="N959" t="s">
        <v>19532</v>
      </c>
      <c r="O959" t="s">
        <v>19533</v>
      </c>
      <c r="P959">
        <f>-890.104032920101 -24.7058553534689 -215.297087236931</f>
        <v>-1130.1069755105009</v>
      </c>
      <c r="Q959" t="s">
        <v>19534</v>
      </c>
      <c r="R959" t="s">
        <v>19535</v>
      </c>
      <c r="S959" t="s">
        <v>19536</v>
      </c>
      <c r="T959" t="s">
        <v>19537</v>
      </c>
      <c r="U959" t="s">
        <v>19538</v>
      </c>
      <c r="V959" t="s">
        <v>19539</v>
      </c>
      <c r="W959" t="s">
        <v>19540</v>
      </c>
      <c r="X959" t="s">
        <v>19541</v>
      </c>
      <c r="Y959" t="s">
        <v>19542</v>
      </c>
    </row>
    <row r="960" spans="1:25" x14ac:dyDescent="0.3">
      <c r="A960">
        <v>47950</v>
      </c>
      <c r="B960" t="s">
        <v>19543</v>
      </c>
      <c r="C960" t="s">
        <v>19544</v>
      </c>
      <c r="D960" t="s">
        <v>19545</v>
      </c>
      <c r="E960" t="s">
        <v>19546</v>
      </c>
      <c r="F960" t="s">
        <v>19547</v>
      </c>
      <c r="G960" t="s">
        <v>19548</v>
      </c>
      <c r="H960" t="s">
        <v>19549</v>
      </c>
      <c r="I960" t="s">
        <v>19550</v>
      </c>
      <c r="J960" t="s">
        <v>19551</v>
      </c>
      <c r="K960" t="s">
        <v>19552</v>
      </c>
      <c r="L960" t="s">
        <v>19553</v>
      </c>
      <c r="M960" t="s">
        <v>19554</v>
      </c>
      <c r="N960" t="s">
        <v>19555</v>
      </c>
      <c r="O960" t="s">
        <v>19556</v>
      </c>
      <c r="P960">
        <f>-890.806935974215 -23.0072766494741 -214.891611846995</f>
        <v>-1128.7058244706841</v>
      </c>
      <c r="Q960" t="s">
        <v>19557</v>
      </c>
      <c r="R960" t="s">
        <v>19558</v>
      </c>
      <c r="S960" t="s">
        <v>19559</v>
      </c>
      <c r="T960" t="s">
        <v>19560</v>
      </c>
      <c r="U960" t="s">
        <v>19561</v>
      </c>
      <c r="V960" t="s">
        <v>19562</v>
      </c>
      <c r="W960" t="s">
        <v>19563</v>
      </c>
      <c r="X960" t="s">
        <v>19564</v>
      </c>
      <c r="Y960" t="s">
        <v>19565</v>
      </c>
    </row>
    <row r="961" spans="1:25" x14ac:dyDescent="0.3">
      <c r="A961">
        <v>48000</v>
      </c>
      <c r="B961" t="s">
        <v>19566</v>
      </c>
      <c r="C961" t="s">
        <v>19567</v>
      </c>
      <c r="D961" t="s">
        <v>19568</v>
      </c>
      <c r="E961" t="s">
        <v>19569</v>
      </c>
      <c r="F961" t="s">
        <v>19570</v>
      </c>
      <c r="G961" t="s">
        <v>19571</v>
      </c>
      <c r="H961" t="s">
        <v>19572</v>
      </c>
      <c r="I961" t="s">
        <v>19573</v>
      </c>
      <c r="J961" t="s">
        <v>19574</v>
      </c>
      <c r="K961" t="s">
        <v>19575</v>
      </c>
      <c r="L961" t="s">
        <v>19576</v>
      </c>
      <c r="M961" t="s">
        <v>19577</v>
      </c>
      <c r="N961" t="s">
        <v>19578</v>
      </c>
      <c r="O961" t="s">
        <v>19579</v>
      </c>
      <c r="P961">
        <f>-892.023789575968 -20.0962152041643 -214.147361564411</f>
        <v>-1126.2673663445432</v>
      </c>
      <c r="Q961" t="s">
        <v>19580</v>
      </c>
      <c r="R961" t="s">
        <v>19581</v>
      </c>
      <c r="S961" t="s">
        <v>19582</v>
      </c>
      <c r="T961" t="s">
        <v>19583</v>
      </c>
      <c r="U961" t="s">
        <v>19584</v>
      </c>
      <c r="V961" t="s">
        <v>19585</v>
      </c>
      <c r="W961" t="s">
        <v>19586</v>
      </c>
      <c r="X961" t="s">
        <v>19587</v>
      </c>
      <c r="Y961" t="s">
        <v>19588</v>
      </c>
    </row>
    <row r="962" spans="1:25" x14ac:dyDescent="0.3">
      <c r="A962">
        <v>48050</v>
      </c>
      <c r="B962" t="s">
        <v>19589</v>
      </c>
      <c r="C962" t="s">
        <v>19590</v>
      </c>
      <c r="D962" t="s">
        <v>19591</v>
      </c>
      <c r="E962" t="s">
        <v>19592</v>
      </c>
      <c r="F962" t="s">
        <v>19593</v>
      </c>
      <c r="G962" t="s">
        <v>19594</v>
      </c>
      <c r="H962" t="s">
        <v>19595</v>
      </c>
      <c r="I962" t="s">
        <v>19596</v>
      </c>
      <c r="J962" t="s">
        <v>19597</v>
      </c>
      <c r="K962" t="s">
        <v>19598</v>
      </c>
      <c r="L962" t="s">
        <v>19599</v>
      </c>
      <c r="M962" t="s">
        <v>19600</v>
      </c>
      <c r="N962" t="s">
        <v>19601</v>
      </c>
      <c r="O962" t="s">
        <v>19602</v>
      </c>
      <c r="P962">
        <f>-892.639532769243 -18.63872079166 -213.757129168461</f>
        <v>-1125.0353827293641</v>
      </c>
      <c r="Q962" t="s">
        <v>19603</v>
      </c>
      <c r="R962" t="s">
        <v>19604</v>
      </c>
      <c r="S962" t="s">
        <v>19605</v>
      </c>
      <c r="T962" t="s">
        <v>19606</v>
      </c>
      <c r="U962" t="s">
        <v>19607</v>
      </c>
      <c r="V962" t="s">
        <v>19608</v>
      </c>
      <c r="W962" t="s">
        <v>19609</v>
      </c>
      <c r="X962" t="s">
        <v>19610</v>
      </c>
      <c r="Y962" t="s">
        <v>19611</v>
      </c>
    </row>
    <row r="963" spans="1:25" x14ac:dyDescent="0.3">
      <c r="A963">
        <v>48100</v>
      </c>
      <c r="B963" t="s">
        <v>19612</v>
      </c>
      <c r="C963" t="s">
        <v>19613</v>
      </c>
      <c r="D963" t="s">
        <v>19614</v>
      </c>
      <c r="E963" t="s">
        <v>19615</v>
      </c>
      <c r="F963" t="s">
        <v>19616</v>
      </c>
      <c r="G963" t="s">
        <v>19617</v>
      </c>
      <c r="H963" t="s">
        <v>19618</v>
      </c>
      <c r="I963" t="s">
        <v>19619</v>
      </c>
      <c r="J963" t="s">
        <v>19620</v>
      </c>
      <c r="K963" t="s">
        <v>19621</v>
      </c>
      <c r="L963" t="s">
        <v>19622</v>
      </c>
      <c r="M963" t="s">
        <v>19623</v>
      </c>
      <c r="N963" t="s">
        <v>19624</v>
      </c>
      <c r="O963" t="s">
        <v>19625</v>
      </c>
      <c r="P963">
        <f>-893.452694091333 -17.5470136266335 -213.379292668814</f>
        <v>-1124.3790003867805</v>
      </c>
      <c r="Q963" t="s">
        <v>19626</v>
      </c>
      <c r="R963" t="s">
        <v>19627</v>
      </c>
      <c r="S963" t="s">
        <v>19628</v>
      </c>
      <c r="T963" t="s">
        <v>19629</v>
      </c>
      <c r="U963" t="s">
        <v>19630</v>
      </c>
      <c r="V963" t="s">
        <v>19631</v>
      </c>
      <c r="W963" t="s">
        <v>19632</v>
      </c>
      <c r="X963" t="s">
        <v>19633</v>
      </c>
      <c r="Y963" t="s">
        <v>19634</v>
      </c>
    </row>
    <row r="964" spans="1:25" x14ac:dyDescent="0.3">
      <c r="A964">
        <v>48150</v>
      </c>
      <c r="B964" t="s">
        <v>19635</v>
      </c>
      <c r="C964" t="s">
        <v>19636</v>
      </c>
      <c r="D964" t="s">
        <v>19637</v>
      </c>
      <c r="E964" t="s">
        <v>19638</v>
      </c>
      <c r="F964" t="s">
        <v>19639</v>
      </c>
      <c r="G964" t="s">
        <v>19640</v>
      </c>
      <c r="H964" t="s">
        <v>19641</v>
      </c>
      <c r="I964" t="s">
        <v>19642</v>
      </c>
      <c r="J964" t="s">
        <v>19643</v>
      </c>
      <c r="K964" t="s">
        <v>19644</v>
      </c>
      <c r="L964" t="s">
        <v>19645</v>
      </c>
      <c r="M964" t="s">
        <v>19646</v>
      </c>
      <c r="N964" t="s">
        <v>19647</v>
      </c>
      <c r="O964" t="s">
        <v>19648</v>
      </c>
      <c r="P964">
        <f>-893.328610307765 -18.2686532299772 -213.510796323504</f>
        <v>-1125.1080598612461</v>
      </c>
      <c r="Q964" t="s">
        <v>19649</v>
      </c>
      <c r="R964" t="s">
        <v>19650</v>
      </c>
      <c r="S964" t="s">
        <v>19651</v>
      </c>
      <c r="T964" t="s">
        <v>19652</v>
      </c>
      <c r="U964" t="s">
        <v>19653</v>
      </c>
      <c r="V964" t="s">
        <v>19654</v>
      </c>
      <c r="W964" t="s">
        <v>19655</v>
      </c>
      <c r="X964" t="s">
        <v>19656</v>
      </c>
      <c r="Y964" t="s">
        <v>19657</v>
      </c>
    </row>
    <row r="965" spans="1:25" x14ac:dyDescent="0.3">
      <c r="A965">
        <v>48200</v>
      </c>
      <c r="B965" t="s">
        <v>19658</v>
      </c>
      <c r="C965" t="s">
        <v>19659</v>
      </c>
      <c r="D965" t="s">
        <v>19660</v>
      </c>
      <c r="E965" t="s">
        <v>19661</v>
      </c>
      <c r="F965" t="s">
        <v>19662</v>
      </c>
      <c r="G965" t="s">
        <v>19663</v>
      </c>
      <c r="H965" t="s">
        <v>19664</v>
      </c>
      <c r="I965" t="s">
        <v>19665</v>
      </c>
      <c r="J965" t="s">
        <v>19666</v>
      </c>
      <c r="K965" t="s">
        <v>19667</v>
      </c>
      <c r="L965" t="s">
        <v>19668</v>
      </c>
      <c r="M965" t="s">
        <v>19669</v>
      </c>
      <c r="N965" t="s">
        <v>19670</v>
      </c>
      <c r="O965" t="s">
        <v>19671</v>
      </c>
      <c r="P965">
        <f>-893.183488788464 -19.7073713759614 -213.944666808067</f>
        <v>-1126.8355269724925</v>
      </c>
      <c r="Q965" t="s">
        <v>19672</v>
      </c>
      <c r="R965" t="s">
        <v>19673</v>
      </c>
      <c r="S965" t="s">
        <v>19674</v>
      </c>
      <c r="T965" t="s">
        <v>19675</v>
      </c>
      <c r="U965" t="s">
        <v>19676</v>
      </c>
      <c r="V965" t="s">
        <v>19677</v>
      </c>
      <c r="W965" t="s">
        <v>19678</v>
      </c>
      <c r="X965" t="s">
        <v>19679</v>
      </c>
      <c r="Y965" t="s">
        <v>19680</v>
      </c>
    </row>
    <row r="966" spans="1:25" x14ac:dyDescent="0.3">
      <c r="A966">
        <v>48250</v>
      </c>
      <c r="B966" t="s">
        <v>19681</v>
      </c>
      <c r="C966" t="s">
        <v>19682</v>
      </c>
      <c r="D966" t="s">
        <v>19683</v>
      </c>
      <c r="E966" t="s">
        <v>19684</v>
      </c>
      <c r="F966" t="s">
        <v>19685</v>
      </c>
      <c r="G966" t="s">
        <v>19686</v>
      </c>
      <c r="H966" t="s">
        <v>19687</v>
      </c>
      <c r="I966" t="s">
        <v>19688</v>
      </c>
      <c r="J966" t="s">
        <v>19689</v>
      </c>
      <c r="K966" t="s">
        <v>19690</v>
      </c>
      <c r="L966" t="s">
        <v>19691</v>
      </c>
      <c r="M966" t="s">
        <v>19692</v>
      </c>
      <c r="N966" t="s">
        <v>19693</v>
      </c>
      <c r="O966" t="s">
        <v>19694</v>
      </c>
      <c r="P966">
        <f>-892.66602382429 -24.7992952150316 -215.196853355859</f>
        <v>-1132.6621723951807</v>
      </c>
      <c r="Q966" t="s">
        <v>19695</v>
      </c>
      <c r="R966" t="s">
        <v>19696</v>
      </c>
      <c r="S966" t="s">
        <v>19697</v>
      </c>
      <c r="T966" t="s">
        <v>19698</v>
      </c>
      <c r="U966" t="s">
        <v>19699</v>
      </c>
      <c r="V966" t="s">
        <v>19700</v>
      </c>
      <c r="W966" t="s">
        <v>19701</v>
      </c>
      <c r="X966" t="s">
        <v>19702</v>
      </c>
      <c r="Y966" t="s">
        <v>19703</v>
      </c>
    </row>
    <row r="967" spans="1:25" x14ac:dyDescent="0.3">
      <c r="A967">
        <v>48300</v>
      </c>
      <c r="B967" t="s">
        <v>19704</v>
      </c>
      <c r="C967" t="s">
        <v>19705</v>
      </c>
      <c r="D967" t="s">
        <v>19706</v>
      </c>
      <c r="E967" t="s">
        <v>19707</v>
      </c>
      <c r="F967" t="s">
        <v>19708</v>
      </c>
      <c r="G967" t="s">
        <v>19709</v>
      </c>
      <c r="H967" t="s">
        <v>19710</v>
      </c>
      <c r="I967" t="s">
        <v>19711</v>
      </c>
      <c r="J967" t="s">
        <v>19712</v>
      </c>
      <c r="K967" t="s">
        <v>19713</v>
      </c>
      <c r="L967" t="s">
        <v>19714</v>
      </c>
      <c r="M967" t="s">
        <v>19715</v>
      </c>
      <c r="N967" t="s">
        <v>19716</v>
      </c>
      <c r="O967" t="s">
        <v>19717</v>
      </c>
      <c r="P967">
        <f>-891.518003369029 -29.3621587357629 -215.589866881889</f>
        <v>-1136.470028986681</v>
      </c>
      <c r="Q967" t="s">
        <v>19718</v>
      </c>
      <c r="R967" t="s">
        <v>19719</v>
      </c>
      <c r="S967" t="s">
        <v>19720</v>
      </c>
      <c r="T967" t="s">
        <v>19721</v>
      </c>
      <c r="U967" t="s">
        <v>19722</v>
      </c>
      <c r="V967" t="s">
        <v>19723</v>
      </c>
      <c r="W967" t="s">
        <v>19724</v>
      </c>
      <c r="X967" t="s">
        <v>19725</v>
      </c>
      <c r="Y967" t="s">
        <v>19726</v>
      </c>
    </row>
    <row r="968" spans="1:25" x14ac:dyDescent="0.3">
      <c r="A968">
        <v>48350</v>
      </c>
      <c r="B968" t="s">
        <v>19727</v>
      </c>
      <c r="C968" t="s">
        <v>19728</v>
      </c>
      <c r="D968" t="s">
        <v>19729</v>
      </c>
      <c r="E968" t="s">
        <v>19730</v>
      </c>
      <c r="F968" t="s">
        <v>19731</v>
      </c>
      <c r="G968" t="s">
        <v>19732</v>
      </c>
      <c r="H968" t="s">
        <v>19733</v>
      </c>
      <c r="I968" t="s">
        <v>19734</v>
      </c>
      <c r="J968" t="s">
        <v>19735</v>
      </c>
      <c r="K968" t="s">
        <v>19736</v>
      </c>
      <c r="L968" t="s">
        <v>19737</v>
      </c>
      <c r="M968" t="s">
        <v>19738</v>
      </c>
      <c r="N968" t="s">
        <v>19739</v>
      </c>
      <c r="O968" t="s">
        <v>19740</v>
      </c>
      <c r="P968">
        <f>-890.868524546824 -31.0859369548475 -215.53016027227</f>
        <v>-1137.4846217739414</v>
      </c>
      <c r="Q968" t="s">
        <v>19741</v>
      </c>
      <c r="R968" t="s">
        <v>19742</v>
      </c>
      <c r="S968" t="s">
        <v>19743</v>
      </c>
      <c r="T968" t="s">
        <v>19744</v>
      </c>
      <c r="U968" t="s">
        <v>19745</v>
      </c>
      <c r="V968" t="s">
        <v>19746</v>
      </c>
      <c r="W968" t="s">
        <v>19747</v>
      </c>
      <c r="X968" t="s">
        <v>19748</v>
      </c>
      <c r="Y968" t="s">
        <v>19749</v>
      </c>
    </row>
    <row r="969" spans="1:25" x14ac:dyDescent="0.3">
      <c r="A969">
        <v>48400</v>
      </c>
      <c r="B969" t="s">
        <v>19750</v>
      </c>
      <c r="C969" t="s">
        <v>19751</v>
      </c>
      <c r="D969" t="s">
        <v>19752</v>
      </c>
      <c r="E969" t="s">
        <v>19753</v>
      </c>
      <c r="F969" t="s">
        <v>19754</v>
      </c>
      <c r="G969" t="s">
        <v>19755</v>
      </c>
      <c r="H969" t="s">
        <v>19756</v>
      </c>
      <c r="I969" t="s">
        <v>19757</v>
      </c>
      <c r="J969" t="s">
        <v>19758</v>
      </c>
      <c r="K969" t="s">
        <v>19759</v>
      </c>
      <c r="L969" t="s">
        <v>19760</v>
      </c>
      <c r="M969" t="s">
        <v>19761</v>
      </c>
      <c r="N969" t="s">
        <v>19762</v>
      </c>
      <c r="O969" t="s">
        <v>19763</v>
      </c>
      <c r="P969">
        <f>-889.102158682989 -34.231349101839 -215.831055503988</f>
        <v>-1139.164563288816</v>
      </c>
      <c r="Q969" t="s">
        <v>19764</v>
      </c>
      <c r="R969" t="s">
        <v>19765</v>
      </c>
      <c r="S969" t="s">
        <v>19766</v>
      </c>
      <c r="T969" t="s">
        <v>19767</v>
      </c>
      <c r="U969" t="s">
        <v>19768</v>
      </c>
      <c r="V969" t="s">
        <v>19769</v>
      </c>
      <c r="W969" t="s">
        <v>19770</v>
      </c>
      <c r="X969" t="s">
        <v>19771</v>
      </c>
      <c r="Y969" t="s">
        <v>19772</v>
      </c>
    </row>
    <row r="970" spans="1:25" x14ac:dyDescent="0.3">
      <c r="A970">
        <v>48450</v>
      </c>
      <c r="B970" t="s">
        <v>19773</v>
      </c>
      <c r="C970" t="s">
        <v>19774</v>
      </c>
      <c r="D970" t="s">
        <v>19775</v>
      </c>
      <c r="E970" t="s">
        <v>19776</v>
      </c>
      <c r="F970" t="s">
        <v>19777</v>
      </c>
      <c r="G970" t="s">
        <v>19778</v>
      </c>
      <c r="H970" t="s">
        <v>19779</v>
      </c>
      <c r="I970" t="s">
        <v>19780</v>
      </c>
      <c r="J970" t="s">
        <v>19781</v>
      </c>
      <c r="K970" t="s">
        <v>19782</v>
      </c>
      <c r="L970" t="s">
        <v>19783</v>
      </c>
      <c r="M970" t="s">
        <v>19784</v>
      </c>
      <c r="N970" t="s">
        <v>19785</v>
      </c>
      <c r="O970" t="s">
        <v>19786</v>
      </c>
      <c r="P970">
        <f>-888.403036385084 -36.0170348824558 -216.266894678625</f>
        <v>-1140.6869659461647</v>
      </c>
      <c r="Q970" t="s">
        <v>19787</v>
      </c>
      <c r="R970" t="s">
        <v>19788</v>
      </c>
      <c r="S970" t="s">
        <v>19789</v>
      </c>
      <c r="T970" t="s">
        <v>19790</v>
      </c>
      <c r="U970" t="s">
        <v>19791</v>
      </c>
      <c r="V970" t="s">
        <v>19792</v>
      </c>
      <c r="W970" t="s">
        <v>19793</v>
      </c>
      <c r="X970" t="s">
        <v>19794</v>
      </c>
      <c r="Y970" t="s">
        <v>19795</v>
      </c>
    </row>
    <row r="971" spans="1:25" x14ac:dyDescent="0.3">
      <c r="A971">
        <v>48500</v>
      </c>
      <c r="B971" t="s">
        <v>19796</v>
      </c>
      <c r="C971" t="s">
        <v>19797</v>
      </c>
      <c r="D971" t="s">
        <v>19798</v>
      </c>
      <c r="E971" t="s">
        <v>19799</v>
      </c>
      <c r="F971" t="s">
        <v>19800</v>
      </c>
      <c r="G971" t="s">
        <v>19801</v>
      </c>
      <c r="H971" t="s">
        <v>19802</v>
      </c>
      <c r="I971" t="s">
        <v>19803</v>
      </c>
      <c r="J971" t="s">
        <v>19804</v>
      </c>
      <c r="K971" t="s">
        <v>19805</v>
      </c>
      <c r="L971" t="s">
        <v>19806</v>
      </c>
      <c r="M971" t="s">
        <v>19807</v>
      </c>
      <c r="N971" t="s">
        <v>19808</v>
      </c>
      <c r="O971" t="s">
        <v>19809</v>
      </c>
      <c r="P971">
        <f>-886.726606470441 -40.3069364551757 -217.33430642137</f>
        <v>-1144.3678493469865</v>
      </c>
      <c r="Q971" t="s">
        <v>19810</v>
      </c>
      <c r="R971" t="s">
        <v>19811</v>
      </c>
      <c r="S971" t="s">
        <v>19812</v>
      </c>
      <c r="T971" t="s">
        <v>19813</v>
      </c>
      <c r="U971" t="s">
        <v>19814</v>
      </c>
      <c r="V971" t="s">
        <v>19815</v>
      </c>
      <c r="W971" t="s">
        <v>19816</v>
      </c>
      <c r="X971" t="s">
        <v>19817</v>
      </c>
      <c r="Y971" t="s">
        <v>19818</v>
      </c>
    </row>
    <row r="972" spans="1:25" x14ac:dyDescent="0.3">
      <c r="A972">
        <v>48550</v>
      </c>
      <c r="B972" t="s">
        <v>19819</v>
      </c>
      <c r="C972" t="s">
        <v>19820</v>
      </c>
      <c r="D972" t="s">
        <v>19821</v>
      </c>
      <c r="E972" t="s">
        <v>19822</v>
      </c>
      <c r="F972" t="s">
        <v>19823</v>
      </c>
      <c r="G972" t="s">
        <v>19824</v>
      </c>
      <c r="H972" t="s">
        <v>19825</v>
      </c>
      <c r="I972" t="s">
        <v>19826</v>
      </c>
      <c r="J972" t="s">
        <v>19827</v>
      </c>
      <c r="K972" t="s">
        <v>19828</v>
      </c>
      <c r="L972" t="s">
        <v>19829</v>
      </c>
      <c r="M972" t="s">
        <v>19830</v>
      </c>
      <c r="N972" t="s">
        <v>19831</v>
      </c>
      <c r="O972" t="s">
        <v>19832</v>
      </c>
      <c r="P972">
        <f>-885.700621321798 -42.9353773149212 -217.975299237277</f>
        <v>-1146.6112978739961</v>
      </c>
      <c r="Q972" t="s">
        <v>19833</v>
      </c>
      <c r="R972" t="s">
        <v>19834</v>
      </c>
      <c r="S972" t="s">
        <v>19835</v>
      </c>
      <c r="T972" t="s">
        <v>19836</v>
      </c>
      <c r="U972" t="s">
        <v>19837</v>
      </c>
      <c r="V972" t="s">
        <v>19838</v>
      </c>
      <c r="W972" t="s">
        <v>19839</v>
      </c>
      <c r="X972" t="s">
        <v>19840</v>
      </c>
      <c r="Y972" t="s">
        <v>19841</v>
      </c>
    </row>
    <row r="973" spans="1:25" x14ac:dyDescent="0.3">
      <c r="A973">
        <v>48600</v>
      </c>
      <c r="B973" t="s">
        <v>19842</v>
      </c>
      <c r="C973" t="s">
        <v>19843</v>
      </c>
      <c r="D973" t="s">
        <v>19844</v>
      </c>
      <c r="E973" t="s">
        <v>19845</v>
      </c>
      <c r="F973" t="s">
        <v>19846</v>
      </c>
      <c r="G973" t="s">
        <v>19847</v>
      </c>
      <c r="H973" t="s">
        <v>19848</v>
      </c>
      <c r="I973" t="s">
        <v>19849</v>
      </c>
      <c r="J973" t="s">
        <v>19850</v>
      </c>
      <c r="K973" t="s">
        <v>19851</v>
      </c>
      <c r="L973" t="s">
        <v>19852</v>
      </c>
      <c r="M973" t="s">
        <v>19853</v>
      </c>
      <c r="N973" t="s">
        <v>19854</v>
      </c>
      <c r="O973" t="s">
        <v>19855</v>
      </c>
      <c r="P973">
        <f>-884.009645565483 -47.7887779546595 -218.973748384976</f>
        <v>-1150.7721719051185</v>
      </c>
      <c r="Q973" t="s">
        <v>19856</v>
      </c>
      <c r="R973" t="s">
        <v>19857</v>
      </c>
      <c r="S973" t="s">
        <v>19858</v>
      </c>
      <c r="T973" t="s">
        <v>19859</v>
      </c>
      <c r="U973" t="s">
        <v>19860</v>
      </c>
      <c r="V973" t="s">
        <v>19861</v>
      </c>
      <c r="W973" t="s">
        <v>19862</v>
      </c>
      <c r="X973" t="s">
        <v>19863</v>
      </c>
      <c r="Y973" t="s">
        <v>19864</v>
      </c>
    </row>
    <row r="974" spans="1:25" x14ac:dyDescent="0.3">
      <c r="A974">
        <v>48650</v>
      </c>
      <c r="B974" t="s">
        <v>19865</v>
      </c>
      <c r="C974" t="s">
        <v>19866</v>
      </c>
      <c r="D974" t="s">
        <v>19867</v>
      </c>
      <c r="E974" t="s">
        <v>19868</v>
      </c>
      <c r="F974" t="s">
        <v>19869</v>
      </c>
      <c r="G974" t="s">
        <v>19870</v>
      </c>
      <c r="H974" t="s">
        <v>19871</v>
      </c>
      <c r="I974" t="s">
        <v>19872</v>
      </c>
      <c r="J974" t="s">
        <v>19873</v>
      </c>
      <c r="K974" t="s">
        <v>19874</v>
      </c>
      <c r="L974" t="s">
        <v>19875</v>
      </c>
      <c r="M974" t="s">
        <v>19876</v>
      </c>
      <c r="N974" t="s">
        <v>19877</v>
      </c>
      <c r="O974" t="s">
        <v>19878</v>
      </c>
      <c r="P974">
        <f>-883.497569466679 -49.1418320506798 -218.969240320142</f>
        <v>-1151.6086418375007</v>
      </c>
      <c r="Q974" t="s">
        <v>19879</v>
      </c>
      <c r="R974" t="s">
        <v>19880</v>
      </c>
      <c r="S974" t="s">
        <v>19881</v>
      </c>
      <c r="T974" t="s">
        <v>19882</v>
      </c>
      <c r="U974" t="s">
        <v>19883</v>
      </c>
      <c r="V974" t="s">
        <v>19884</v>
      </c>
      <c r="W974" t="s">
        <v>19885</v>
      </c>
      <c r="X974" t="s">
        <v>19886</v>
      </c>
      <c r="Y974" t="s">
        <v>19887</v>
      </c>
    </row>
    <row r="975" spans="1:25" x14ac:dyDescent="0.3">
      <c r="A975">
        <v>48700</v>
      </c>
      <c r="B975" t="s">
        <v>19888</v>
      </c>
      <c r="C975" t="s">
        <v>19889</v>
      </c>
      <c r="D975" t="s">
        <v>19890</v>
      </c>
      <c r="E975" t="s">
        <v>19891</v>
      </c>
      <c r="F975" t="s">
        <v>19892</v>
      </c>
      <c r="G975" t="s">
        <v>19893</v>
      </c>
      <c r="H975" t="s">
        <v>19894</v>
      </c>
      <c r="I975" t="s">
        <v>19895</v>
      </c>
      <c r="J975" t="s">
        <v>19896</v>
      </c>
      <c r="K975" t="s">
        <v>19897</v>
      </c>
      <c r="L975" t="s">
        <v>19898</v>
      </c>
      <c r="M975" t="s">
        <v>19899</v>
      </c>
      <c r="N975" t="s">
        <v>19900</v>
      </c>
      <c r="O975" t="s">
        <v>19901</v>
      </c>
      <c r="P975">
        <f>-883.131390580211 -49.9151784242197 -218.283584821875</f>
        <v>-1151.3301538263056</v>
      </c>
      <c r="Q975" t="s">
        <v>19902</v>
      </c>
      <c r="R975" t="s">
        <v>19903</v>
      </c>
      <c r="S975" t="s">
        <v>19904</v>
      </c>
      <c r="T975" t="s">
        <v>19905</v>
      </c>
      <c r="U975" t="s">
        <v>19906</v>
      </c>
      <c r="V975" t="s">
        <v>19907</v>
      </c>
      <c r="W975" t="s">
        <v>19908</v>
      </c>
      <c r="X975" t="s">
        <v>19909</v>
      </c>
      <c r="Y975" t="s">
        <v>19910</v>
      </c>
    </row>
    <row r="976" spans="1:25" x14ac:dyDescent="0.3">
      <c r="A976">
        <v>48750</v>
      </c>
      <c r="B976" t="s">
        <v>19911</v>
      </c>
      <c r="C976" t="s">
        <v>19912</v>
      </c>
      <c r="D976" t="s">
        <v>19913</v>
      </c>
      <c r="E976" t="s">
        <v>19914</v>
      </c>
      <c r="F976" t="s">
        <v>19915</v>
      </c>
      <c r="G976" t="s">
        <v>19916</v>
      </c>
      <c r="H976" t="s">
        <v>19917</v>
      </c>
      <c r="I976" t="s">
        <v>19918</v>
      </c>
      <c r="J976" t="s">
        <v>19919</v>
      </c>
      <c r="K976" t="s">
        <v>19920</v>
      </c>
      <c r="L976" t="s">
        <v>19921</v>
      </c>
      <c r="M976" t="s">
        <v>19922</v>
      </c>
      <c r="N976" t="s">
        <v>19923</v>
      </c>
      <c r="O976" t="s">
        <v>19924</v>
      </c>
      <c r="P976">
        <f>-882.819185863877 -49.6800562540075 -217.828125880329</f>
        <v>-1150.3273679982135</v>
      </c>
      <c r="Q976" t="s">
        <v>19925</v>
      </c>
      <c r="R976" t="s">
        <v>19926</v>
      </c>
      <c r="S976" t="s">
        <v>19927</v>
      </c>
      <c r="T976" t="s">
        <v>19928</v>
      </c>
      <c r="U976" t="s">
        <v>19929</v>
      </c>
      <c r="V976" t="s">
        <v>19930</v>
      </c>
      <c r="W976" t="s">
        <v>19931</v>
      </c>
      <c r="X976" t="s">
        <v>19932</v>
      </c>
      <c r="Y976" t="s">
        <v>19933</v>
      </c>
    </row>
    <row r="977" spans="1:25" x14ac:dyDescent="0.3">
      <c r="A977">
        <v>48800</v>
      </c>
      <c r="B977" t="s">
        <v>19934</v>
      </c>
      <c r="C977" t="s">
        <v>19935</v>
      </c>
      <c r="D977" t="s">
        <v>19936</v>
      </c>
      <c r="E977" t="s">
        <v>19937</v>
      </c>
      <c r="F977" t="s">
        <v>19938</v>
      </c>
      <c r="G977" t="s">
        <v>19939</v>
      </c>
      <c r="H977" t="s">
        <v>19940</v>
      </c>
      <c r="I977" t="s">
        <v>19941</v>
      </c>
      <c r="J977" t="s">
        <v>19942</v>
      </c>
      <c r="K977" t="s">
        <v>19943</v>
      </c>
      <c r="L977" t="s">
        <v>19944</v>
      </c>
      <c r="M977" t="s">
        <v>19945</v>
      </c>
      <c r="N977" t="s">
        <v>19946</v>
      </c>
      <c r="O977" t="s">
        <v>19947</v>
      </c>
      <c r="P977">
        <f>-881.57440631316 -49.4749742166152 -217.152215974399</f>
        <v>-1148.2015965041742</v>
      </c>
      <c r="Q977" t="s">
        <v>19948</v>
      </c>
      <c r="R977" t="s">
        <v>19949</v>
      </c>
      <c r="S977" t="s">
        <v>19950</v>
      </c>
      <c r="T977" t="s">
        <v>19951</v>
      </c>
      <c r="U977" t="s">
        <v>19952</v>
      </c>
      <c r="V977" t="s">
        <v>19953</v>
      </c>
      <c r="W977" t="s">
        <v>19954</v>
      </c>
      <c r="X977" t="s">
        <v>19955</v>
      </c>
      <c r="Y977" t="s">
        <v>19956</v>
      </c>
    </row>
    <row r="978" spans="1:25" x14ac:dyDescent="0.3">
      <c r="A978">
        <v>48850</v>
      </c>
      <c r="B978" t="s">
        <v>19957</v>
      </c>
      <c r="C978" t="s">
        <v>19958</v>
      </c>
      <c r="D978" t="s">
        <v>19959</v>
      </c>
      <c r="E978" t="s">
        <v>19960</v>
      </c>
      <c r="F978" t="s">
        <v>19961</v>
      </c>
      <c r="G978" t="s">
        <v>19962</v>
      </c>
      <c r="H978" t="s">
        <v>19963</v>
      </c>
      <c r="I978" t="s">
        <v>19964</v>
      </c>
      <c r="J978" t="s">
        <v>19965</v>
      </c>
      <c r="K978" t="s">
        <v>19966</v>
      </c>
      <c r="L978" t="s">
        <v>19967</v>
      </c>
      <c r="M978" t="s">
        <v>19968</v>
      </c>
      <c r="N978" t="s">
        <v>19969</v>
      </c>
      <c r="O978" t="s">
        <v>19970</v>
      </c>
      <c r="P978">
        <f>-880.439292428279 -50.0367419631546 -217.059772133195</f>
        <v>-1147.5358065246287</v>
      </c>
      <c r="Q978" t="s">
        <v>19971</v>
      </c>
      <c r="R978" t="s">
        <v>19972</v>
      </c>
      <c r="S978" t="s">
        <v>19973</v>
      </c>
      <c r="T978" t="s">
        <v>19974</v>
      </c>
      <c r="U978" t="s">
        <v>19975</v>
      </c>
      <c r="V978" t="s">
        <v>19976</v>
      </c>
      <c r="W978" t="s">
        <v>19977</v>
      </c>
      <c r="X978" t="s">
        <v>19978</v>
      </c>
      <c r="Y978" t="s">
        <v>19979</v>
      </c>
    </row>
    <row r="979" spans="1:25" x14ac:dyDescent="0.3">
      <c r="A979">
        <v>48900</v>
      </c>
      <c r="B979" t="s">
        <v>19980</v>
      </c>
      <c r="C979" t="s">
        <v>19981</v>
      </c>
      <c r="D979" t="s">
        <v>19982</v>
      </c>
      <c r="E979" t="s">
        <v>19983</v>
      </c>
      <c r="F979" t="s">
        <v>19984</v>
      </c>
      <c r="G979" t="s">
        <v>19985</v>
      </c>
      <c r="H979" t="s">
        <v>19986</v>
      </c>
      <c r="I979" t="s">
        <v>19987</v>
      </c>
      <c r="J979" t="s">
        <v>19988</v>
      </c>
      <c r="K979" t="s">
        <v>19989</v>
      </c>
      <c r="L979" t="s">
        <v>19990</v>
      </c>
      <c r="M979" t="s">
        <v>19991</v>
      </c>
      <c r="N979" t="s">
        <v>19992</v>
      </c>
      <c r="O979" t="s">
        <v>19993</v>
      </c>
      <c r="P979">
        <f>-877.998007001878 -51.8578960693233 -217.492697645943</f>
        <v>-1147.3486007171443</v>
      </c>
      <c r="Q979" t="s">
        <v>19994</v>
      </c>
      <c r="R979" t="s">
        <v>19995</v>
      </c>
      <c r="S979" t="s">
        <v>19996</v>
      </c>
      <c r="T979" t="s">
        <v>19997</v>
      </c>
      <c r="U979" t="s">
        <v>19998</v>
      </c>
      <c r="V979" t="s">
        <v>19999</v>
      </c>
      <c r="W979" t="s">
        <v>20000</v>
      </c>
      <c r="X979" t="s">
        <v>20001</v>
      </c>
      <c r="Y979" t="s">
        <v>20002</v>
      </c>
    </row>
    <row r="980" spans="1:25" x14ac:dyDescent="0.3">
      <c r="A980">
        <v>48950</v>
      </c>
      <c r="B980" t="s">
        <v>20003</v>
      </c>
      <c r="C980" t="s">
        <v>20004</v>
      </c>
      <c r="D980" t="s">
        <v>20005</v>
      </c>
      <c r="E980" t="s">
        <v>20006</v>
      </c>
      <c r="F980" t="s">
        <v>20007</v>
      </c>
      <c r="G980" t="s">
        <v>20008</v>
      </c>
      <c r="H980" t="s">
        <v>20009</v>
      </c>
      <c r="I980" t="s">
        <v>20010</v>
      </c>
      <c r="J980" t="s">
        <v>20011</v>
      </c>
      <c r="K980" t="s">
        <v>20012</v>
      </c>
      <c r="L980" t="s">
        <v>20013</v>
      </c>
      <c r="M980" t="s">
        <v>20014</v>
      </c>
      <c r="N980" t="s">
        <v>20015</v>
      </c>
      <c r="O980" t="s">
        <v>20016</v>
      </c>
      <c r="P980">
        <f>-876.998612715427 -52.1652758872256 -217.801987072512</f>
        <v>-1146.9658756751646</v>
      </c>
      <c r="Q980" t="s">
        <v>20017</v>
      </c>
      <c r="R980" t="s">
        <v>20018</v>
      </c>
      <c r="S980" t="s">
        <v>20019</v>
      </c>
      <c r="T980" t="s">
        <v>20020</v>
      </c>
      <c r="U980" t="s">
        <v>20021</v>
      </c>
      <c r="V980" t="s">
        <v>20022</v>
      </c>
      <c r="W980" t="s">
        <v>20023</v>
      </c>
      <c r="X980" t="s">
        <v>20024</v>
      </c>
      <c r="Y980" t="s">
        <v>20025</v>
      </c>
    </row>
    <row r="981" spans="1:25" x14ac:dyDescent="0.3">
      <c r="A981">
        <v>49000</v>
      </c>
      <c r="B981" t="s">
        <v>20026</v>
      </c>
      <c r="C981" t="s">
        <v>20027</v>
      </c>
      <c r="D981" t="s">
        <v>20028</v>
      </c>
      <c r="E981" t="s">
        <v>20029</v>
      </c>
      <c r="F981" t="s">
        <v>20030</v>
      </c>
      <c r="G981" t="s">
        <v>20031</v>
      </c>
      <c r="H981" t="s">
        <v>20032</v>
      </c>
      <c r="I981" t="s">
        <v>20033</v>
      </c>
      <c r="J981" t="s">
        <v>20034</v>
      </c>
      <c r="K981" t="s">
        <v>20035</v>
      </c>
      <c r="L981" t="s">
        <v>20036</v>
      </c>
      <c r="M981" t="s">
        <v>20037</v>
      </c>
      <c r="N981" t="s">
        <v>20038</v>
      </c>
      <c r="O981" t="s">
        <v>20039</v>
      </c>
      <c r="P981">
        <f>-875.236711388406 -51.7105569333478 -218.008196967704</f>
        <v>-1144.9554652894578</v>
      </c>
      <c r="Q981" t="s">
        <v>20040</v>
      </c>
      <c r="R981" t="s">
        <v>20041</v>
      </c>
      <c r="S981" t="s">
        <v>20042</v>
      </c>
      <c r="T981" t="s">
        <v>20043</v>
      </c>
      <c r="U981" t="s">
        <v>20044</v>
      </c>
      <c r="V981" t="s">
        <v>20045</v>
      </c>
      <c r="W981" t="s">
        <v>20046</v>
      </c>
      <c r="X981" t="s">
        <v>20047</v>
      </c>
      <c r="Y981" t="s">
        <v>20048</v>
      </c>
    </row>
    <row r="982" spans="1:25" x14ac:dyDescent="0.3">
      <c r="A982">
        <v>49050</v>
      </c>
      <c r="B982" t="s">
        <v>20049</v>
      </c>
      <c r="C982" t="s">
        <v>20050</v>
      </c>
      <c r="D982" t="s">
        <v>20051</v>
      </c>
      <c r="E982" t="s">
        <v>20052</v>
      </c>
      <c r="F982" t="s">
        <v>20053</v>
      </c>
      <c r="G982" t="s">
        <v>20054</v>
      </c>
      <c r="H982" t="s">
        <v>20055</v>
      </c>
      <c r="I982" t="s">
        <v>20056</v>
      </c>
      <c r="J982" t="s">
        <v>20057</v>
      </c>
      <c r="K982" t="s">
        <v>20058</v>
      </c>
      <c r="L982" t="s">
        <v>20059</v>
      </c>
      <c r="M982" t="s">
        <v>20060</v>
      </c>
      <c r="N982" t="s">
        <v>20061</v>
      </c>
      <c r="O982" t="s">
        <v>20062</v>
      </c>
      <c r="P982">
        <f>-874.783874334552 -51.0422356762867 -217.832627440872</f>
        <v>-1143.6587374517107</v>
      </c>
      <c r="Q982" t="s">
        <v>20063</v>
      </c>
      <c r="R982" t="s">
        <v>20064</v>
      </c>
      <c r="S982" t="s">
        <v>20065</v>
      </c>
      <c r="T982" t="s">
        <v>20066</v>
      </c>
      <c r="U982" t="s">
        <v>20067</v>
      </c>
      <c r="V982" t="s">
        <v>20068</v>
      </c>
      <c r="W982" t="s">
        <v>20069</v>
      </c>
      <c r="X982" t="s">
        <v>20070</v>
      </c>
      <c r="Y982" t="s">
        <v>20071</v>
      </c>
    </row>
    <row r="983" spans="1:25" x14ac:dyDescent="0.3">
      <c r="A983">
        <v>49100</v>
      </c>
      <c r="B983" t="s">
        <v>20072</v>
      </c>
      <c r="C983" t="s">
        <v>20073</v>
      </c>
      <c r="D983" t="s">
        <v>20074</v>
      </c>
      <c r="E983" t="s">
        <v>20075</v>
      </c>
      <c r="F983" t="s">
        <v>20076</v>
      </c>
      <c r="G983" t="s">
        <v>20077</v>
      </c>
      <c r="H983" t="s">
        <v>20078</v>
      </c>
      <c r="I983" t="s">
        <v>20079</v>
      </c>
      <c r="J983" t="s">
        <v>20080</v>
      </c>
      <c r="K983" t="s">
        <v>20081</v>
      </c>
      <c r="L983" t="s">
        <v>20082</v>
      </c>
      <c r="M983" t="s">
        <v>20083</v>
      </c>
      <c r="N983" t="s">
        <v>20084</v>
      </c>
      <c r="O983" t="s">
        <v>20085</v>
      </c>
      <c r="P983">
        <f>-874.919662885148 -48.7408691752878 -217.190075098924</f>
        <v>-1140.8506071593597</v>
      </c>
      <c r="Q983" t="s">
        <v>20086</v>
      </c>
      <c r="R983" t="s">
        <v>20087</v>
      </c>
      <c r="S983" t="s">
        <v>20088</v>
      </c>
      <c r="T983" t="s">
        <v>20089</v>
      </c>
      <c r="U983" t="s">
        <v>20090</v>
      </c>
      <c r="V983" t="s">
        <v>20091</v>
      </c>
      <c r="W983" t="s">
        <v>20092</v>
      </c>
      <c r="X983" t="s">
        <v>20093</v>
      </c>
      <c r="Y983" t="s">
        <v>20094</v>
      </c>
    </row>
    <row r="984" spans="1:25" x14ac:dyDescent="0.3">
      <c r="A984">
        <v>49150</v>
      </c>
      <c r="B984" t="s">
        <v>20095</v>
      </c>
      <c r="C984" t="s">
        <v>20096</v>
      </c>
      <c r="D984" t="s">
        <v>20097</v>
      </c>
      <c r="E984" t="s">
        <v>20098</v>
      </c>
      <c r="F984" t="s">
        <v>20099</v>
      </c>
      <c r="G984" t="s">
        <v>20100</v>
      </c>
      <c r="H984" t="s">
        <v>20101</v>
      </c>
      <c r="I984" t="s">
        <v>20102</v>
      </c>
      <c r="J984" t="s">
        <v>20103</v>
      </c>
      <c r="K984" t="s">
        <v>20104</v>
      </c>
      <c r="L984" t="s">
        <v>20105</v>
      </c>
      <c r="M984" t="s">
        <v>20106</v>
      </c>
      <c r="N984" t="s">
        <v>20107</v>
      </c>
      <c r="O984" t="s">
        <v>20108</v>
      </c>
      <c r="P984">
        <f>-875.548667119023 -47.4062388643163 -216.86113596006</f>
        <v>-1139.8160419433993</v>
      </c>
      <c r="Q984" t="s">
        <v>20109</v>
      </c>
      <c r="R984" t="s">
        <v>20110</v>
      </c>
      <c r="S984" t="s">
        <v>20111</v>
      </c>
      <c r="T984" t="s">
        <v>20112</v>
      </c>
      <c r="U984" t="s">
        <v>20113</v>
      </c>
      <c r="V984" t="s">
        <v>20114</v>
      </c>
      <c r="W984" t="s">
        <v>20115</v>
      </c>
      <c r="X984" t="s">
        <v>20116</v>
      </c>
      <c r="Y984" t="s">
        <v>20117</v>
      </c>
    </row>
    <row r="985" spans="1:25" x14ac:dyDescent="0.3">
      <c r="A985">
        <v>49200</v>
      </c>
      <c r="B985" t="s">
        <v>20118</v>
      </c>
      <c r="C985" t="s">
        <v>20119</v>
      </c>
      <c r="D985" t="s">
        <v>20120</v>
      </c>
      <c r="E985" t="s">
        <v>20121</v>
      </c>
      <c r="F985" t="s">
        <v>20122</v>
      </c>
      <c r="G985" t="s">
        <v>20123</v>
      </c>
      <c r="H985" t="s">
        <v>20124</v>
      </c>
      <c r="I985" t="s">
        <v>20125</v>
      </c>
      <c r="J985" t="s">
        <v>20126</v>
      </c>
      <c r="K985" t="s">
        <v>20127</v>
      </c>
      <c r="L985" t="s">
        <v>20128</v>
      </c>
      <c r="M985" t="s">
        <v>20129</v>
      </c>
      <c r="N985" t="s">
        <v>20130</v>
      </c>
      <c r="O985" t="s">
        <v>20131</v>
      </c>
      <c r="P985">
        <f>-876.760910506596 -44.9285005621527 -216.141167845842</f>
        <v>-1137.8305789145907</v>
      </c>
      <c r="Q985" t="s">
        <v>20132</v>
      </c>
      <c r="R985" t="s">
        <v>20133</v>
      </c>
      <c r="S985" t="s">
        <v>20134</v>
      </c>
      <c r="T985" t="s">
        <v>20135</v>
      </c>
      <c r="U985" t="s">
        <v>20136</v>
      </c>
      <c r="V985" t="s">
        <v>20137</v>
      </c>
      <c r="W985" t="s">
        <v>20138</v>
      </c>
      <c r="X985" t="s">
        <v>20139</v>
      </c>
      <c r="Y985" t="s">
        <v>20140</v>
      </c>
    </row>
    <row r="986" spans="1:25" x14ac:dyDescent="0.3">
      <c r="A986">
        <v>49250</v>
      </c>
      <c r="B986" t="s">
        <v>20141</v>
      </c>
      <c r="C986" t="s">
        <v>20142</v>
      </c>
      <c r="D986" t="s">
        <v>20143</v>
      </c>
      <c r="E986" t="s">
        <v>20144</v>
      </c>
      <c r="F986" t="s">
        <v>20145</v>
      </c>
      <c r="G986" t="s">
        <v>20146</v>
      </c>
      <c r="H986" t="s">
        <v>20147</v>
      </c>
      <c r="I986" t="s">
        <v>20148</v>
      </c>
      <c r="J986" t="s">
        <v>20149</v>
      </c>
      <c r="K986" t="s">
        <v>20150</v>
      </c>
      <c r="L986" t="s">
        <v>20151</v>
      </c>
      <c r="M986" t="s">
        <v>20152</v>
      </c>
      <c r="N986" t="s">
        <v>20153</v>
      </c>
      <c r="O986" t="s">
        <v>20154</v>
      </c>
      <c r="P986">
        <f>-877.31522656519 -44.195322952866 -215.883605442173</f>
        <v>-1137.3941549602291</v>
      </c>
      <c r="Q986" t="s">
        <v>20155</v>
      </c>
      <c r="R986" t="s">
        <v>20156</v>
      </c>
      <c r="S986" t="s">
        <v>20157</v>
      </c>
      <c r="T986" t="s">
        <v>20158</v>
      </c>
      <c r="U986" t="s">
        <v>20159</v>
      </c>
      <c r="V986" t="s">
        <v>20160</v>
      </c>
      <c r="W986" t="s">
        <v>20161</v>
      </c>
      <c r="X986" t="s">
        <v>20162</v>
      </c>
      <c r="Y986" t="s">
        <v>20163</v>
      </c>
    </row>
    <row r="987" spans="1:25" x14ac:dyDescent="0.3">
      <c r="A987">
        <v>49300</v>
      </c>
      <c r="B987" t="s">
        <v>20164</v>
      </c>
      <c r="C987" t="s">
        <v>20165</v>
      </c>
      <c r="D987" t="s">
        <v>20166</v>
      </c>
      <c r="E987" t="s">
        <v>20167</v>
      </c>
      <c r="F987" t="s">
        <v>20168</v>
      </c>
      <c r="G987" t="s">
        <v>20169</v>
      </c>
      <c r="H987" t="s">
        <v>20170</v>
      </c>
      <c r="I987" t="s">
        <v>20171</v>
      </c>
      <c r="J987" t="s">
        <v>20172</v>
      </c>
      <c r="K987" t="s">
        <v>20173</v>
      </c>
      <c r="L987" t="s">
        <v>20174</v>
      </c>
      <c r="M987" t="s">
        <v>20175</v>
      </c>
      <c r="N987" t="s">
        <v>20176</v>
      </c>
      <c r="O987" t="s">
        <v>20177</v>
      </c>
      <c r="P987">
        <f>-877.785962153818 -43.6068418173359 -215.722320846308</f>
        <v>-1137.1151248174619</v>
      </c>
      <c r="Q987" t="s">
        <v>20178</v>
      </c>
      <c r="R987" t="s">
        <v>20179</v>
      </c>
      <c r="S987" t="s">
        <v>20180</v>
      </c>
      <c r="T987" t="s">
        <v>20181</v>
      </c>
      <c r="U987" t="s">
        <v>20182</v>
      </c>
      <c r="V987" t="s">
        <v>20183</v>
      </c>
      <c r="W987" t="s">
        <v>20184</v>
      </c>
      <c r="X987" t="s">
        <v>20185</v>
      </c>
      <c r="Y987" t="s">
        <v>20186</v>
      </c>
    </row>
    <row r="988" spans="1:25" x14ac:dyDescent="0.3">
      <c r="A988">
        <v>49350</v>
      </c>
      <c r="B988" t="s">
        <v>20187</v>
      </c>
      <c r="C988" t="s">
        <v>20188</v>
      </c>
      <c r="D988" t="s">
        <v>20189</v>
      </c>
      <c r="E988" t="s">
        <v>20190</v>
      </c>
      <c r="F988" t="s">
        <v>20191</v>
      </c>
      <c r="G988" t="s">
        <v>20192</v>
      </c>
      <c r="H988" t="s">
        <v>20193</v>
      </c>
      <c r="I988" t="s">
        <v>20194</v>
      </c>
      <c r="J988" t="s">
        <v>20195</v>
      </c>
      <c r="K988" t="s">
        <v>20196</v>
      </c>
      <c r="L988" t="s">
        <v>20197</v>
      </c>
      <c r="M988" t="s">
        <v>20198</v>
      </c>
      <c r="N988" t="s">
        <v>20199</v>
      </c>
      <c r="O988" t="s">
        <v>20200</v>
      </c>
      <c r="P988">
        <f>-878.291361576533 -42.7233776726798 -215.614065941872</f>
        <v>-1136.6288051910847</v>
      </c>
      <c r="Q988" t="s">
        <v>20201</v>
      </c>
      <c r="R988" t="s">
        <v>20202</v>
      </c>
      <c r="S988" t="s">
        <v>20203</v>
      </c>
      <c r="T988" t="s">
        <v>20204</v>
      </c>
      <c r="U988" t="s">
        <v>20205</v>
      </c>
      <c r="V988" t="s">
        <v>20206</v>
      </c>
      <c r="W988" t="s">
        <v>20207</v>
      </c>
      <c r="X988" t="s">
        <v>20208</v>
      </c>
      <c r="Y988" t="s">
        <v>20209</v>
      </c>
    </row>
    <row r="989" spans="1:25" x14ac:dyDescent="0.3">
      <c r="A989">
        <v>49400</v>
      </c>
      <c r="B989" t="s">
        <v>20210</v>
      </c>
      <c r="C989" t="s">
        <v>20211</v>
      </c>
      <c r="D989" t="s">
        <v>20212</v>
      </c>
      <c r="E989" t="s">
        <v>20213</v>
      </c>
      <c r="F989" t="s">
        <v>20214</v>
      </c>
      <c r="G989" t="s">
        <v>20215</v>
      </c>
      <c r="H989" t="s">
        <v>20216</v>
      </c>
      <c r="I989" t="s">
        <v>20217</v>
      </c>
      <c r="J989" t="s">
        <v>20218</v>
      </c>
      <c r="K989" t="s">
        <v>20219</v>
      </c>
      <c r="L989" t="s">
        <v>20220</v>
      </c>
      <c r="M989" t="s">
        <v>20221</v>
      </c>
      <c r="N989" t="s">
        <v>20222</v>
      </c>
      <c r="O989" t="s">
        <v>20223</v>
      </c>
      <c r="P989">
        <f>-878.035628737765 -42.0153485874937 -215.491836323237</f>
        <v>-1135.5428136484957</v>
      </c>
      <c r="Q989" t="s">
        <v>20224</v>
      </c>
      <c r="R989" t="s">
        <v>20225</v>
      </c>
      <c r="S989" t="s">
        <v>20226</v>
      </c>
      <c r="T989" t="s">
        <v>20227</v>
      </c>
      <c r="U989" t="s">
        <v>20228</v>
      </c>
      <c r="V989" t="s">
        <v>20229</v>
      </c>
      <c r="W989" t="s">
        <v>20230</v>
      </c>
      <c r="X989" t="s">
        <v>20231</v>
      </c>
      <c r="Y989" t="s">
        <v>20232</v>
      </c>
    </row>
    <row r="990" spans="1:25" x14ac:dyDescent="0.3">
      <c r="A990">
        <v>49450</v>
      </c>
      <c r="B990" t="s">
        <v>20233</v>
      </c>
      <c r="C990" t="s">
        <v>20234</v>
      </c>
      <c r="D990" t="s">
        <v>20235</v>
      </c>
      <c r="E990" t="s">
        <v>20236</v>
      </c>
      <c r="F990" t="s">
        <v>20237</v>
      </c>
      <c r="G990" t="s">
        <v>20238</v>
      </c>
      <c r="H990" t="s">
        <v>20239</v>
      </c>
      <c r="I990" t="s">
        <v>20240</v>
      </c>
      <c r="J990" t="s">
        <v>20241</v>
      </c>
      <c r="K990" t="s">
        <v>20242</v>
      </c>
      <c r="L990" t="s">
        <v>20243</v>
      </c>
      <c r="M990" t="s">
        <v>20244</v>
      </c>
      <c r="N990" t="s">
        <v>20245</v>
      </c>
      <c r="O990" t="s">
        <v>20246</v>
      </c>
      <c r="P990">
        <f>-877.886000793651 -41.6807766075758 -215.403944152982</f>
        <v>-1134.9707215542087</v>
      </c>
      <c r="Q990" t="s">
        <v>20247</v>
      </c>
      <c r="R990" t="s">
        <v>20248</v>
      </c>
      <c r="S990" t="s">
        <v>20249</v>
      </c>
      <c r="T990" t="s">
        <v>20250</v>
      </c>
      <c r="U990" t="s">
        <v>20251</v>
      </c>
      <c r="V990" t="s">
        <v>20252</v>
      </c>
      <c r="W990" t="s">
        <v>20253</v>
      </c>
      <c r="X990" t="s">
        <v>20254</v>
      </c>
      <c r="Y990" t="s">
        <v>20255</v>
      </c>
    </row>
    <row r="991" spans="1:25" x14ac:dyDescent="0.3">
      <c r="A991">
        <v>49500</v>
      </c>
      <c r="B991" t="s">
        <v>20256</v>
      </c>
      <c r="C991" t="s">
        <v>20257</v>
      </c>
      <c r="D991" t="s">
        <v>20258</v>
      </c>
      <c r="E991" t="s">
        <v>20259</v>
      </c>
      <c r="F991" t="s">
        <v>20260</v>
      </c>
      <c r="G991" t="s">
        <v>20261</v>
      </c>
      <c r="H991" t="s">
        <v>20262</v>
      </c>
      <c r="I991" t="s">
        <v>20263</v>
      </c>
      <c r="J991" t="s">
        <v>20264</v>
      </c>
      <c r="K991" t="s">
        <v>20265</v>
      </c>
      <c r="L991" t="s">
        <v>20266</v>
      </c>
      <c r="M991" t="s">
        <v>20267</v>
      </c>
      <c r="N991" t="s">
        <v>20268</v>
      </c>
      <c r="O991" t="s">
        <v>20269</v>
      </c>
      <c r="P991">
        <f>-878.533820014007 -40.2212189889226 -215.093036511179</f>
        <v>-1133.8480755141086</v>
      </c>
      <c r="Q991" t="s">
        <v>20270</v>
      </c>
      <c r="R991" t="s">
        <v>20271</v>
      </c>
      <c r="S991" t="s">
        <v>20272</v>
      </c>
      <c r="T991" t="s">
        <v>20273</v>
      </c>
      <c r="U991" t="s">
        <v>20274</v>
      </c>
      <c r="V991" t="s">
        <v>20275</v>
      </c>
      <c r="W991" t="s">
        <v>20276</v>
      </c>
      <c r="X991" t="s">
        <v>20277</v>
      </c>
      <c r="Y991" t="s">
        <v>20278</v>
      </c>
    </row>
    <row r="992" spans="1:25" x14ac:dyDescent="0.3">
      <c r="A992">
        <v>49550</v>
      </c>
      <c r="B992" t="s">
        <v>20279</v>
      </c>
      <c r="C992" t="s">
        <v>20280</v>
      </c>
      <c r="D992" t="s">
        <v>20281</v>
      </c>
      <c r="E992" t="s">
        <v>20282</v>
      </c>
      <c r="F992" t="s">
        <v>20283</v>
      </c>
      <c r="G992" t="s">
        <v>20284</v>
      </c>
      <c r="H992" t="s">
        <v>20285</v>
      </c>
      <c r="I992" t="s">
        <v>20286</v>
      </c>
      <c r="J992" t="s">
        <v>20287</v>
      </c>
      <c r="K992" t="s">
        <v>20288</v>
      </c>
      <c r="L992" t="s">
        <v>20289</v>
      </c>
      <c r="M992" t="s">
        <v>20290</v>
      </c>
      <c r="N992" t="s">
        <v>20291</v>
      </c>
      <c r="O992" t="s">
        <v>20292</v>
      </c>
      <c r="P992">
        <f>-879.023924839262 -39.2837242855874 -214.9292098982</f>
        <v>-1133.2368590230494</v>
      </c>
      <c r="Q992" t="s">
        <v>20293</v>
      </c>
      <c r="R992" t="s">
        <v>20294</v>
      </c>
      <c r="S992" t="s">
        <v>20295</v>
      </c>
      <c r="T992" t="s">
        <v>20296</v>
      </c>
      <c r="U992" t="s">
        <v>20297</v>
      </c>
      <c r="V992" t="s">
        <v>20298</v>
      </c>
      <c r="W992" t="s">
        <v>20299</v>
      </c>
      <c r="X992" t="s">
        <v>20300</v>
      </c>
      <c r="Y992" t="s">
        <v>20301</v>
      </c>
    </row>
    <row r="993" spans="1:25" x14ac:dyDescent="0.3">
      <c r="A993">
        <v>49600</v>
      </c>
      <c r="B993" t="s">
        <v>20302</v>
      </c>
      <c r="C993" t="s">
        <v>20303</v>
      </c>
      <c r="D993" t="s">
        <v>20304</v>
      </c>
      <c r="E993" t="s">
        <v>20305</v>
      </c>
      <c r="F993" t="s">
        <v>20306</v>
      </c>
      <c r="G993" t="s">
        <v>20307</v>
      </c>
      <c r="H993" t="s">
        <v>20308</v>
      </c>
      <c r="I993" t="s">
        <v>20309</v>
      </c>
      <c r="J993" t="s">
        <v>20310</v>
      </c>
      <c r="K993" t="s">
        <v>20311</v>
      </c>
      <c r="L993" t="s">
        <v>20312</v>
      </c>
      <c r="M993" t="s">
        <v>20313</v>
      </c>
      <c r="N993" t="s">
        <v>20314</v>
      </c>
      <c r="O993" t="s">
        <v>20315</v>
      </c>
      <c r="P993">
        <f>-880.860731429886 -37.3322148567747 -214.628474597332</f>
        <v>-1132.8214208839927</v>
      </c>
      <c r="Q993" t="s">
        <v>20316</v>
      </c>
      <c r="R993" t="s">
        <v>20317</v>
      </c>
      <c r="S993" t="s">
        <v>20318</v>
      </c>
      <c r="T993" t="s">
        <v>20319</v>
      </c>
      <c r="U993" t="s">
        <v>20320</v>
      </c>
      <c r="V993" t="s">
        <v>20321</v>
      </c>
      <c r="W993" t="s">
        <v>20322</v>
      </c>
      <c r="X993" t="s">
        <v>20323</v>
      </c>
      <c r="Y993" t="s">
        <v>20324</v>
      </c>
    </row>
    <row r="994" spans="1:25" x14ac:dyDescent="0.3">
      <c r="A994">
        <v>49650</v>
      </c>
      <c r="B994" t="s">
        <v>20325</v>
      </c>
      <c r="C994" t="s">
        <v>20326</v>
      </c>
      <c r="D994" t="s">
        <v>20327</v>
      </c>
      <c r="E994" t="s">
        <v>20328</v>
      </c>
      <c r="F994" t="s">
        <v>20329</v>
      </c>
      <c r="G994" t="s">
        <v>20330</v>
      </c>
      <c r="H994" t="s">
        <v>20331</v>
      </c>
      <c r="I994" t="s">
        <v>20332</v>
      </c>
      <c r="J994" t="s">
        <v>20333</v>
      </c>
      <c r="K994" t="s">
        <v>20334</v>
      </c>
      <c r="L994" t="s">
        <v>20335</v>
      </c>
      <c r="M994" t="s">
        <v>20336</v>
      </c>
      <c r="N994" t="s">
        <v>20337</v>
      </c>
      <c r="O994" t="s">
        <v>20338</v>
      </c>
      <c r="P994">
        <f>-882.015841618828 -36.4236625561741 -214.443881212046</f>
        <v>-1132.8833853870481</v>
      </c>
      <c r="Q994" t="s">
        <v>20339</v>
      </c>
      <c r="R994" t="s">
        <v>20340</v>
      </c>
      <c r="S994" t="s">
        <v>20341</v>
      </c>
      <c r="T994" t="s">
        <v>20342</v>
      </c>
      <c r="U994" t="s">
        <v>20343</v>
      </c>
      <c r="V994" t="s">
        <v>20344</v>
      </c>
      <c r="W994" t="s">
        <v>20345</v>
      </c>
      <c r="X994" t="s">
        <v>20346</v>
      </c>
      <c r="Y994" t="s">
        <v>20347</v>
      </c>
    </row>
    <row r="995" spans="1:25" x14ac:dyDescent="0.3">
      <c r="A995">
        <v>49700</v>
      </c>
      <c r="B995" t="s">
        <v>20348</v>
      </c>
      <c r="C995" t="s">
        <v>20349</v>
      </c>
      <c r="D995" t="s">
        <v>20350</v>
      </c>
      <c r="E995" t="s">
        <v>20351</v>
      </c>
      <c r="F995" t="s">
        <v>20352</v>
      </c>
      <c r="G995" t="s">
        <v>20353</v>
      </c>
      <c r="H995" t="s">
        <v>20354</v>
      </c>
      <c r="I995" t="s">
        <v>20355</v>
      </c>
      <c r="J995" t="s">
        <v>20356</v>
      </c>
      <c r="K995" t="s">
        <v>20357</v>
      </c>
      <c r="L995" t="s">
        <v>20358</v>
      </c>
      <c r="M995" t="s">
        <v>20359</v>
      </c>
      <c r="N995" t="s">
        <v>20360</v>
      </c>
      <c r="O995" t="s">
        <v>20361</v>
      </c>
      <c r="P995">
        <f>-884.604294223715 -34.7656219044234 -214.111061310673</f>
        <v>-1133.4809774388114</v>
      </c>
      <c r="Q995" t="s">
        <v>20362</v>
      </c>
      <c r="R995" t="s">
        <v>20363</v>
      </c>
      <c r="S995" t="s">
        <v>20364</v>
      </c>
      <c r="T995" t="s">
        <v>20365</v>
      </c>
      <c r="U995" t="s">
        <v>20366</v>
      </c>
      <c r="V995" t="s">
        <v>20367</v>
      </c>
      <c r="W995" t="s">
        <v>20368</v>
      </c>
      <c r="X995" t="s">
        <v>20369</v>
      </c>
      <c r="Y995" t="s">
        <v>20370</v>
      </c>
    </row>
    <row r="996" spans="1:25" x14ac:dyDescent="0.3">
      <c r="A996">
        <v>49750</v>
      </c>
      <c r="B996" t="s">
        <v>20371</v>
      </c>
      <c r="C996" t="s">
        <v>20372</v>
      </c>
      <c r="D996" t="s">
        <v>20373</v>
      </c>
      <c r="E996" t="s">
        <v>20374</v>
      </c>
      <c r="F996" t="s">
        <v>20375</v>
      </c>
      <c r="G996" t="s">
        <v>20376</v>
      </c>
      <c r="H996" t="s">
        <v>20377</v>
      </c>
      <c r="I996" t="s">
        <v>20378</v>
      </c>
      <c r="J996" t="s">
        <v>20379</v>
      </c>
      <c r="K996" t="s">
        <v>20380</v>
      </c>
      <c r="L996" t="s">
        <v>20381</v>
      </c>
      <c r="M996" t="s">
        <v>20382</v>
      </c>
      <c r="N996" t="s">
        <v>20383</v>
      </c>
      <c r="O996" t="s">
        <v>20384</v>
      </c>
      <c r="P996">
        <f>-886.106949727749 -34.1506920991587 -213.937945510948</f>
        <v>-1134.1955873378556</v>
      </c>
      <c r="Q996" t="s">
        <v>20385</v>
      </c>
      <c r="R996" t="s">
        <v>20386</v>
      </c>
      <c r="S996" t="s">
        <v>20387</v>
      </c>
      <c r="T996" t="s">
        <v>20388</v>
      </c>
      <c r="U996" t="s">
        <v>20389</v>
      </c>
      <c r="V996" t="s">
        <v>20390</v>
      </c>
      <c r="W996" t="s">
        <v>20391</v>
      </c>
      <c r="X996" t="s">
        <v>20392</v>
      </c>
      <c r="Y996" t="s">
        <v>20393</v>
      </c>
    </row>
    <row r="997" spans="1:25" x14ac:dyDescent="0.3">
      <c r="A997">
        <v>49800</v>
      </c>
      <c r="B997" t="s">
        <v>20394</v>
      </c>
      <c r="C997" t="s">
        <v>20395</v>
      </c>
      <c r="D997" t="s">
        <v>20396</v>
      </c>
      <c r="E997" t="s">
        <v>20397</v>
      </c>
      <c r="F997" t="s">
        <v>20398</v>
      </c>
      <c r="G997" t="s">
        <v>20399</v>
      </c>
      <c r="H997" t="s">
        <v>20400</v>
      </c>
      <c r="I997" t="s">
        <v>20401</v>
      </c>
      <c r="J997" t="s">
        <v>20402</v>
      </c>
      <c r="K997" t="s">
        <v>20403</v>
      </c>
      <c r="L997" t="s">
        <v>20404</v>
      </c>
      <c r="M997" t="s">
        <v>20405</v>
      </c>
      <c r="N997" t="s">
        <v>20406</v>
      </c>
      <c r="O997" t="s">
        <v>20407</v>
      </c>
      <c r="P997">
        <f>-888.936864961682 -32.2664445752075 -213.367378328133</f>
        <v>-1134.5706878650226</v>
      </c>
      <c r="Q997" t="s">
        <v>20408</v>
      </c>
      <c r="R997" t="s">
        <v>20409</v>
      </c>
      <c r="S997" t="s">
        <v>20410</v>
      </c>
      <c r="T997" t="s">
        <v>20411</v>
      </c>
      <c r="U997" t="s">
        <v>20412</v>
      </c>
      <c r="V997" t="s">
        <v>20413</v>
      </c>
      <c r="W997" t="s">
        <v>20414</v>
      </c>
      <c r="X997" t="s">
        <v>20415</v>
      </c>
      <c r="Y997" t="s">
        <v>20416</v>
      </c>
    </row>
    <row r="998" spans="1:25" x14ac:dyDescent="0.3">
      <c r="A998">
        <v>49850</v>
      </c>
      <c r="B998" t="s">
        <v>20417</v>
      </c>
      <c r="C998" t="s">
        <v>20418</v>
      </c>
      <c r="D998" t="s">
        <v>20419</v>
      </c>
      <c r="E998" t="s">
        <v>20420</v>
      </c>
      <c r="F998" t="s">
        <v>20421</v>
      </c>
      <c r="G998" t="s">
        <v>20422</v>
      </c>
      <c r="H998" t="s">
        <v>20423</v>
      </c>
      <c r="I998" t="s">
        <v>20424</v>
      </c>
      <c r="J998" t="s">
        <v>20425</v>
      </c>
      <c r="K998" t="s">
        <v>20426</v>
      </c>
      <c r="L998" t="s">
        <v>20427</v>
      </c>
      <c r="M998" t="s">
        <v>20428</v>
      </c>
      <c r="N998" t="s">
        <v>20429</v>
      </c>
      <c r="O998" t="s">
        <v>20430</v>
      </c>
      <c r="P998">
        <f>-890.492346728808 -31.3995632210399 -213.107664558356</f>
        <v>-1134.999574508204</v>
      </c>
      <c r="Q998" t="s">
        <v>20431</v>
      </c>
      <c r="R998" t="s">
        <v>20432</v>
      </c>
      <c r="S998" t="s">
        <v>20433</v>
      </c>
      <c r="T998" t="s">
        <v>20434</v>
      </c>
      <c r="U998" t="s">
        <v>20435</v>
      </c>
      <c r="V998" t="s">
        <v>20436</v>
      </c>
      <c r="W998" t="s">
        <v>20437</v>
      </c>
      <c r="X998" t="s">
        <v>20438</v>
      </c>
      <c r="Y998" t="s">
        <v>20439</v>
      </c>
    </row>
    <row r="999" spans="1:25" x14ac:dyDescent="0.3">
      <c r="A999">
        <v>49900</v>
      </c>
      <c r="B999" t="s">
        <v>20440</v>
      </c>
      <c r="C999" t="s">
        <v>20441</v>
      </c>
      <c r="D999" t="s">
        <v>20442</v>
      </c>
      <c r="E999" t="s">
        <v>20443</v>
      </c>
      <c r="F999" t="s">
        <v>20444</v>
      </c>
      <c r="G999" t="s">
        <v>20445</v>
      </c>
      <c r="H999" t="s">
        <v>20446</v>
      </c>
      <c r="I999" t="s">
        <v>20447</v>
      </c>
      <c r="J999" t="s">
        <v>20448</v>
      </c>
      <c r="K999" t="s">
        <v>20449</v>
      </c>
      <c r="L999" t="s">
        <v>20450</v>
      </c>
      <c r="M999" t="s">
        <v>20451</v>
      </c>
      <c r="N999" t="s">
        <v>20452</v>
      </c>
      <c r="O999" t="s">
        <v>20453</v>
      </c>
      <c r="P999">
        <f>-893.946088344387 -30.7714929725744 -213.013066792724</f>
        <v>-1137.7306481096855</v>
      </c>
      <c r="Q999" t="s">
        <v>20454</v>
      </c>
      <c r="R999" t="s">
        <v>20455</v>
      </c>
      <c r="S999" t="s">
        <v>20456</v>
      </c>
      <c r="T999" t="s">
        <v>20457</v>
      </c>
      <c r="U999" t="s">
        <v>20458</v>
      </c>
      <c r="V999" t="s">
        <v>20459</v>
      </c>
      <c r="W999" t="s">
        <v>20460</v>
      </c>
      <c r="X999" t="s">
        <v>20461</v>
      </c>
      <c r="Y999" t="s">
        <v>20462</v>
      </c>
    </row>
    <row r="1000" spans="1:25" x14ac:dyDescent="0.3">
      <c r="A1000">
        <v>49950</v>
      </c>
      <c r="B1000" t="s">
        <v>20463</v>
      </c>
      <c r="C1000" t="s">
        <v>20464</v>
      </c>
      <c r="D1000" t="s">
        <v>20465</v>
      </c>
      <c r="E1000" t="s">
        <v>20466</v>
      </c>
      <c r="F1000" t="s">
        <v>20467</v>
      </c>
      <c r="G1000" t="s">
        <v>20468</v>
      </c>
      <c r="H1000" t="s">
        <v>20469</v>
      </c>
      <c r="I1000" t="s">
        <v>20470</v>
      </c>
      <c r="J1000" t="s">
        <v>20471</v>
      </c>
      <c r="K1000" t="s">
        <v>20472</v>
      </c>
      <c r="L1000" t="s">
        <v>20473</v>
      </c>
      <c r="M1000" t="s">
        <v>20474</v>
      </c>
      <c r="N1000" t="s">
        <v>20475</v>
      </c>
      <c r="O1000" t="s">
        <v>20476</v>
      </c>
      <c r="P1000">
        <f>-895.739251040251 -30.0286991259909 -212.993711800383</f>
        <v>-1138.7616619666248</v>
      </c>
      <c r="Q1000" t="s">
        <v>20477</v>
      </c>
      <c r="R1000" t="s">
        <v>20478</v>
      </c>
      <c r="S1000" t="s">
        <v>20479</v>
      </c>
      <c r="T1000" t="s">
        <v>20480</v>
      </c>
      <c r="U1000" t="s">
        <v>20481</v>
      </c>
      <c r="V1000" t="s">
        <v>20482</v>
      </c>
      <c r="W1000" t="s">
        <v>20483</v>
      </c>
      <c r="X1000" t="s">
        <v>20484</v>
      </c>
      <c r="Y1000" t="s">
        <v>20485</v>
      </c>
    </row>
    <row r="1001" spans="1:25" x14ac:dyDescent="0.3">
      <c r="A1001">
        <v>50000</v>
      </c>
      <c r="B1001" t="s">
        <v>20486</v>
      </c>
      <c r="C1001" t="s">
        <v>20487</v>
      </c>
      <c r="D1001" t="s">
        <v>20488</v>
      </c>
      <c r="E1001" t="s">
        <v>20489</v>
      </c>
      <c r="F1001" t="s">
        <v>20490</v>
      </c>
      <c r="G1001" t="s">
        <v>20491</v>
      </c>
      <c r="H1001" t="s">
        <v>20492</v>
      </c>
      <c r="I1001" t="s">
        <v>20493</v>
      </c>
      <c r="J1001" t="s">
        <v>20494</v>
      </c>
      <c r="K1001" t="s">
        <v>20495</v>
      </c>
      <c r="L1001" t="s">
        <v>20496</v>
      </c>
      <c r="M1001" t="s">
        <v>20497</v>
      </c>
      <c r="N1001" t="s">
        <v>20498</v>
      </c>
      <c r="O1001" t="s">
        <v>20499</v>
      </c>
      <c r="P1001">
        <f>-899.031709687674 -29.1800773496088 -212.827905890135</f>
        <v>-1141.0396929274179</v>
      </c>
      <c r="Q1001" t="s">
        <v>20500</v>
      </c>
      <c r="R1001" t="s">
        <v>20501</v>
      </c>
      <c r="S1001" t="s">
        <v>20502</v>
      </c>
      <c r="T1001" t="s">
        <v>20503</v>
      </c>
      <c r="U1001" t="s">
        <v>20504</v>
      </c>
      <c r="V1001" t="s">
        <v>20505</v>
      </c>
      <c r="W1001" t="s">
        <v>20506</v>
      </c>
      <c r="X1001" t="s">
        <v>20507</v>
      </c>
      <c r="Y1001" t="s">
        <v>20508</v>
      </c>
    </row>
    <row r="1002" spans="1:25" x14ac:dyDescent="0.3">
      <c r="A1002">
        <v>50050</v>
      </c>
      <c r="B1002" t="s">
        <v>20509</v>
      </c>
      <c r="C1002" t="s">
        <v>20510</v>
      </c>
      <c r="D1002" t="s">
        <v>20511</v>
      </c>
      <c r="E1002" t="s">
        <v>20512</v>
      </c>
      <c r="F1002" t="s">
        <v>20513</v>
      </c>
      <c r="G1002" t="s">
        <v>20514</v>
      </c>
      <c r="H1002" t="s">
        <v>20515</v>
      </c>
      <c r="I1002" t="s">
        <v>20516</v>
      </c>
      <c r="J1002" t="s">
        <v>20517</v>
      </c>
      <c r="K1002" t="s">
        <v>20518</v>
      </c>
      <c r="L1002" t="s">
        <v>20519</v>
      </c>
      <c r="M1002" t="s">
        <v>20520</v>
      </c>
      <c r="N1002" t="s">
        <v>20521</v>
      </c>
      <c r="O1002" t="s">
        <v>20522</v>
      </c>
      <c r="P1002">
        <f>-900.576714352425 -28.9894731453983 -212.663600198459</f>
        <v>-1142.2297876962823</v>
      </c>
      <c r="Q1002" t="s">
        <v>20523</v>
      </c>
      <c r="R1002" t="s">
        <v>20524</v>
      </c>
      <c r="S1002" t="s">
        <v>20525</v>
      </c>
      <c r="T1002" t="s">
        <v>20526</v>
      </c>
      <c r="U1002" t="s">
        <v>20527</v>
      </c>
      <c r="V1002" t="s">
        <v>20528</v>
      </c>
      <c r="W1002" t="s">
        <v>20529</v>
      </c>
      <c r="X1002" t="s">
        <v>20530</v>
      </c>
      <c r="Y1002" t="s">
        <v>20531</v>
      </c>
    </row>
    <row r="1003" spans="1:25" x14ac:dyDescent="0.3">
      <c r="A1003">
        <v>50100</v>
      </c>
      <c r="B1003" t="s">
        <v>20532</v>
      </c>
      <c r="C1003" t="s">
        <v>20533</v>
      </c>
      <c r="D1003" t="s">
        <v>20534</v>
      </c>
      <c r="E1003" t="s">
        <v>20535</v>
      </c>
      <c r="F1003" t="s">
        <v>20536</v>
      </c>
      <c r="G1003" t="s">
        <v>20537</v>
      </c>
      <c r="H1003" t="s">
        <v>20538</v>
      </c>
      <c r="I1003" t="s">
        <v>20539</v>
      </c>
      <c r="J1003" t="s">
        <v>20540</v>
      </c>
      <c r="K1003" t="s">
        <v>20541</v>
      </c>
      <c r="L1003" t="s">
        <v>20542</v>
      </c>
      <c r="M1003" t="s">
        <v>20543</v>
      </c>
      <c r="N1003" t="s">
        <v>20544</v>
      </c>
      <c r="O1003" t="s">
        <v>20545</v>
      </c>
      <c r="P1003">
        <f>-903.823319806888 -27.4922018300745 -211.921431044993</f>
        <v>-1143.2369526819555</v>
      </c>
      <c r="Q1003" t="s">
        <v>20546</v>
      </c>
      <c r="R1003" t="s">
        <v>20547</v>
      </c>
      <c r="S1003" t="s">
        <v>20548</v>
      </c>
      <c r="T1003" t="s">
        <v>20549</v>
      </c>
      <c r="U1003" t="s">
        <v>20550</v>
      </c>
      <c r="V1003" t="s">
        <v>20551</v>
      </c>
      <c r="W1003" t="s">
        <v>20552</v>
      </c>
      <c r="X1003" t="s">
        <v>20553</v>
      </c>
      <c r="Y1003" t="s">
        <v>20554</v>
      </c>
    </row>
    <row r="1004" spans="1:25" x14ac:dyDescent="0.3">
      <c r="A1004">
        <v>50150</v>
      </c>
      <c r="B1004" t="s">
        <v>20555</v>
      </c>
      <c r="C1004" t="s">
        <v>20556</v>
      </c>
      <c r="D1004" t="s">
        <v>20557</v>
      </c>
      <c r="E1004" t="s">
        <v>20558</v>
      </c>
      <c r="F1004" t="s">
        <v>20559</v>
      </c>
      <c r="G1004" t="s">
        <v>20560</v>
      </c>
      <c r="H1004" t="s">
        <v>20561</v>
      </c>
      <c r="I1004" t="s">
        <v>20562</v>
      </c>
      <c r="J1004" t="s">
        <v>20563</v>
      </c>
      <c r="K1004" t="s">
        <v>20564</v>
      </c>
      <c r="L1004" t="s">
        <v>20565</v>
      </c>
      <c r="M1004" t="s">
        <v>20566</v>
      </c>
      <c r="N1004" t="s">
        <v>20567</v>
      </c>
      <c r="O1004" t="s">
        <v>20568</v>
      </c>
      <c r="P1004">
        <f>-905.607750862436 -26.2770947387053 -211.360430715253</f>
        <v>-1143.2452763163942</v>
      </c>
      <c r="Q1004" t="s">
        <v>20569</v>
      </c>
      <c r="R1004" t="s">
        <v>20570</v>
      </c>
      <c r="S1004" t="s">
        <v>20571</v>
      </c>
      <c r="T1004" t="s">
        <v>20572</v>
      </c>
      <c r="U1004" t="s">
        <v>20573</v>
      </c>
      <c r="V1004" t="s">
        <v>20574</v>
      </c>
      <c r="W1004" t="s">
        <v>20575</v>
      </c>
      <c r="X1004" t="s">
        <v>20576</v>
      </c>
      <c r="Y1004" t="s">
        <v>20577</v>
      </c>
    </row>
    <row r="1005" spans="1:25" x14ac:dyDescent="0.3">
      <c r="A1005">
        <v>50200</v>
      </c>
      <c r="B1005" t="s">
        <v>20578</v>
      </c>
      <c r="C1005" t="s">
        <v>20579</v>
      </c>
      <c r="D1005" t="s">
        <v>20580</v>
      </c>
      <c r="E1005" t="s">
        <v>20581</v>
      </c>
      <c r="F1005" t="s">
        <v>20582</v>
      </c>
      <c r="G1005" t="s">
        <v>20583</v>
      </c>
      <c r="H1005" t="s">
        <v>20584</v>
      </c>
      <c r="I1005" t="s">
        <v>20585</v>
      </c>
      <c r="J1005" t="s">
        <v>20586</v>
      </c>
      <c r="K1005" t="s">
        <v>20587</v>
      </c>
      <c r="L1005" t="s">
        <v>20588</v>
      </c>
      <c r="M1005" t="s">
        <v>20589</v>
      </c>
      <c r="N1005" t="s">
        <v>20590</v>
      </c>
      <c r="O1005" t="s">
        <v>20591</v>
      </c>
      <c r="P1005">
        <f>-909.347392509373 -24.6790909227916 -210.741924011436</f>
        <v>-1144.7684074436006</v>
      </c>
      <c r="Q1005" t="s">
        <v>20592</v>
      </c>
      <c r="R1005" t="s">
        <v>20593</v>
      </c>
      <c r="S1005" t="s">
        <v>20594</v>
      </c>
      <c r="T1005" t="s">
        <v>20595</v>
      </c>
      <c r="U1005" t="s">
        <v>20596</v>
      </c>
      <c r="V1005" t="s">
        <v>20597</v>
      </c>
      <c r="W1005" t="s">
        <v>20598</v>
      </c>
      <c r="X1005" t="s">
        <v>20599</v>
      </c>
      <c r="Y1005" t="s">
        <v>20600</v>
      </c>
    </row>
    <row r="1006" spans="1:25" x14ac:dyDescent="0.3">
      <c r="A1006">
        <v>50250</v>
      </c>
      <c r="B1006" t="s">
        <v>20601</v>
      </c>
      <c r="C1006" t="s">
        <v>20602</v>
      </c>
      <c r="D1006" t="s">
        <v>20603</v>
      </c>
      <c r="E1006" t="s">
        <v>20604</v>
      </c>
      <c r="F1006" t="s">
        <v>20605</v>
      </c>
      <c r="G1006" t="s">
        <v>20606</v>
      </c>
      <c r="H1006" t="s">
        <v>20607</v>
      </c>
      <c r="I1006" t="s">
        <v>20608</v>
      </c>
      <c r="J1006" t="s">
        <v>20609</v>
      </c>
      <c r="K1006" t="s">
        <v>20610</v>
      </c>
      <c r="L1006" t="s">
        <v>20611</v>
      </c>
      <c r="M1006" t="s">
        <v>20612</v>
      </c>
      <c r="N1006" t="s">
        <v>20613</v>
      </c>
      <c r="O1006" t="s">
        <v>20614</v>
      </c>
      <c r="P1006">
        <f>-910.873677767542 -24.3475990386787 -210.713300909173</f>
        <v>-1145.9345777153937</v>
      </c>
      <c r="Q1006" t="s">
        <v>20615</v>
      </c>
      <c r="R1006" t="s">
        <v>20616</v>
      </c>
      <c r="S1006" t="s">
        <v>20617</v>
      </c>
      <c r="T1006" t="s">
        <v>20618</v>
      </c>
      <c r="U1006" t="s">
        <v>20619</v>
      </c>
      <c r="V1006" t="s">
        <v>20620</v>
      </c>
      <c r="W1006" t="s">
        <v>20621</v>
      </c>
      <c r="X1006" t="s">
        <v>20622</v>
      </c>
      <c r="Y1006" t="s">
        <v>20623</v>
      </c>
    </row>
    <row r="1007" spans="1:25" x14ac:dyDescent="0.3">
      <c r="A1007">
        <v>50300</v>
      </c>
      <c r="B1007" t="s">
        <v>20624</v>
      </c>
      <c r="C1007" t="s">
        <v>20625</v>
      </c>
      <c r="D1007" t="s">
        <v>20626</v>
      </c>
      <c r="E1007" t="s">
        <v>20627</v>
      </c>
      <c r="F1007" t="s">
        <v>20628</v>
      </c>
      <c r="G1007" t="s">
        <v>20629</v>
      </c>
      <c r="H1007" t="s">
        <v>20630</v>
      </c>
      <c r="I1007" t="s">
        <v>20631</v>
      </c>
      <c r="J1007" t="s">
        <v>20632</v>
      </c>
      <c r="K1007" t="s">
        <v>20633</v>
      </c>
      <c r="L1007" t="s">
        <v>20634</v>
      </c>
      <c r="M1007" t="s">
        <v>20635</v>
      </c>
      <c r="N1007" t="s">
        <v>20636</v>
      </c>
      <c r="O1007" t="s">
        <v>20637</v>
      </c>
      <c r="P1007">
        <f>-912.664369917682 -25.913723485095 -210.99687906612</f>
        <v>-1149.5749724688972</v>
      </c>
      <c r="Q1007" t="s">
        <v>20638</v>
      </c>
      <c r="R1007" t="s">
        <v>20639</v>
      </c>
      <c r="S1007" t="s">
        <v>20640</v>
      </c>
      <c r="T1007" t="s">
        <v>20641</v>
      </c>
      <c r="U1007" t="s">
        <v>20642</v>
      </c>
      <c r="V1007" t="s">
        <v>20643</v>
      </c>
      <c r="W1007" t="s">
        <v>20644</v>
      </c>
      <c r="X1007" t="s">
        <v>20645</v>
      </c>
      <c r="Y1007" t="s">
        <v>20646</v>
      </c>
    </row>
    <row r="1008" spans="1:25" x14ac:dyDescent="0.3">
      <c r="A1008">
        <v>50350</v>
      </c>
      <c r="B1008" t="s">
        <v>20647</v>
      </c>
      <c r="C1008" t="s">
        <v>20648</v>
      </c>
      <c r="D1008" t="s">
        <v>20649</v>
      </c>
      <c r="E1008" t="s">
        <v>20650</v>
      </c>
      <c r="F1008" t="s">
        <v>20651</v>
      </c>
      <c r="G1008" t="s">
        <v>20652</v>
      </c>
      <c r="H1008" t="s">
        <v>20653</v>
      </c>
      <c r="I1008" t="s">
        <v>20654</v>
      </c>
      <c r="J1008" t="s">
        <v>20655</v>
      </c>
      <c r="K1008" t="s">
        <v>20656</v>
      </c>
      <c r="L1008" t="s">
        <v>20657</v>
      </c>
      <c r="M1008" t="s">
        <v>20658</v>
      </c>
      <c r="N1008" t="s">
        <v>20659</v>
      </c>
      <c r="O1008" t="s">
        <v>20660</v>
      </c>
      <c r="P1008">
        <f>-913.490162548219 -26.6695062006729 -210.974376279408</f>
        <v>-1151.1340450282999</v>
      </c>
      <c r="Q1008" t="s">
        <v>20661</v>
      </c>
      <c r="R1008" t="s">
        <v>20662</v>
      </c>
      <c r="S1008" t="s">
        <v>20663</v>
      </c>
      <c r="T1008" t="s">
        <v>20664</v>
      </c>
      <c r="U1008" t="s">
        <v>20665</v>
      </c>
      <c r="V1008" t="s">
        <v>20666</v>
      </c>
      <c r="W1008" t="s">
        <v>20667</v>
      </c>
      <c r="X1008" t="s">
        <v>20668</v>
      </c>
      <c r="Y1008" t="s">
        <v>20669</v>
      </c>
    </row>
    <row r="1009" spans="1:25" x14ac:dyDescent="0.3">
      <c r="A1009">
        <v>50400</v>
      </c>
      <c r="B1009" t="s">
        <v>20670</v>
      </c>
      <c r="C1009" t="s">
        <v>20671</v>
      </c>
      <c r="D1009" t="s">
        <v>20672</v>
      </c>
      <c r="E1009" t="s">
        <v>20673</v>
      </c>
      <c r="F1009" t="s">
        <v>20674</v>
      </c>
      <c r="G1009" t="s">
        <v>20675</v>
      </c>
      <c r="H1009" t="s">
        <v>20676</v>
      </c>
      <c r="I1009" t="s">
        <v>20677</v>
      </c>
      <c r="J1009" t="s">
        <v>20678</v>
      </c>
      <c r="K1009" t="s">
        <v>20679</v>
      </c>
      <c r="L1009" t="s">
        <v>20680</v>
      </c>
      <c r="M1009" t="s">
        <v>20681</v>
      </c>
      <c r="N1009" t="s">
        <v>20682</v>
      </c>
      <c r="O1009" t="s">
        <v>20683</v>
      </c>
      <c r="P1009">
        <f>-915.859195495928 -27.0777612873076 -210.451918857733</f>
        <v>-1153.3888756409685</v>
      </c>
      <c r="Q1009" t="s">
        <v>20684</v>
      </c>
      <c r="R1009" t="s">
        <v>20685</v>
      </c>
      <c r="S1009" t="s">
        <v>20686</v>
      </c>
      <c r="T1009" t="s">
        <v>20687</v>
      </c>
      <c r="U1009" t="s">
        <v>20688</v>
      </c>
      <c r="V1009" t="s">
        <v>20689</v>
      </c>
      <c r="W1009" t="s">
        <v>20690</v>
      </c>
      <c r="X1009" t="s">
        <v>20691</v>
      </c>
      <c r="Y1009" t="s">
        <v>20692</v>
      </c>
    </row>
    <row r="1010" spans="1:25" x14ac:dyDescent="0.3">
      <c r="A1010">
        <v>50450</v>
      </c>
      <c r="B1010" t="s">
        <v>20693</v>
      </c>
      <c r="C1010" t="s">
        <v>20694</v>
      </c>
      <c r="D1010" t="s">
        <v>20695</v>
      </c>
      <c r="E1010" t="s">
        <v>20696</v>
      </c>
      <c r="F1010" t="s">
        <v>20697</v>
      </c>
      <c r="G1010" t="s">
        <v>20698</v>
      </c>
      <c r="H1010" t="s">
        <v>20699</v>
      </c>
      <c r="I1010" t="s">
        <v>20700</v>
      </c>
      <c r="J1010" t="s">
        <v>20701</v>
      </c>
      <c r="K1010" t="s">
        <v>20702</v>
      </c>
      <c r="L1010" t="s">
        <v>20703</v>
      </c>
      <c r="M1010" t="s">
        <v>20704</v>
      </c>
      <c r="N1010" t="s">
        <v>20705</v>
      </c>
      <c r="O1010" t="s">
        <v>20706</v>
      </c>
      <c r="P1010">
        <f>-917.362790078697 -26.3748696737889 -210.124403521315</f>
        <v>-1153.8620632738009</v>
      </c>
      <c r="Q1010" t="s">
        <v>20707</v>
      </c>
      <c r="R1010" t="s">
        <v>20708</v>
      </c>
      <c r="S1010" t="s">
        <v>20709</v>
      </c>
      <c r="T1010" t="s">
        <v>20710</v>
      </c>
      <c r="U1010" t="s">
        <v>20711</v>
      </c>
      <c r="V1010" t="s">
        <v>20712</v>
      </c>
      <c r="W1010" t="s">
        <v>20713</v>
      </c>
      <c r="X1010" t="s">
        <v>20714</v>
      </c>
      <c r="Y1010" t="s">
        <v>20715</v>
      </c>
    </row>
    <row r="1011" spans="1:25" x14ac:dyDescent="0.3">
      <c r="A1011">
        <v>50500</v>
      </c>
      <c r="B1011" t="s">
        <v>20716</v>
      </c>
      <c r="C1011" t="s">
        <v>20717</v>
      </c>
      <c r="D1011" t="s">
        <v>20718</v>
      </c>
      <c r="E1011" t="s">
        <v>20719</v>
      </c>
      <c r="F1011" t="s">
        <v>20720</v>
      </c>
      <c r="G1011" t="s">
        <v>20721</v>
      </c>
      <c r="H1011" t="s">
        <v>20722</v>
      </c>
      <c r="I1011" t="s">
        <v>20723</v>
      </c>
      <c r="J1011" t="s">
        <v>20724</v>
      </c>
      <c r="K1011" t="s">
        <v>20725</v>
      </c>
      <c r="L1011" t="s">
        <v>20726</v>
      </c>
      <c r="M1011" t="s">
        <v>20727</v>
      </c>
      <c r="N1011" t="s">
        <v>20728</v>
      </c>
      <c r="O1011" t="s">
        <v>20729</v>
      </c>
      <c r="P1011">
        <f>-919.89633245438 -25.6536972967806 -209.873019110872</f>
        <v>-1155.4230488620326</v>
      </c>
      <c r="Q1011" t="s">
        <v>20730</v>
      </c>
      <c r="R1011" t="s">
        <v>20731</v>
      </c>
      <c r="S1011" t="s">
        <v>20732</v>
      </c>
      <c r="T1011" t="s">
        <v>20733</v>
      </c>
      <c r="U1011" t="s">
        <v>20734</v>
      </c>
      <c r="V1011" t="s">
        <v>20735</v>
      </c>
      <c r="W1011" t="s">
        <v>20736</v>
      </c>
      <c r="X1011" t="s">
        <v>20737</v>
      </c>
      <c r="Y1011" t="s">
        <v>20738</v>
      </c>
    </row>
    <row r="1012" spans="1:25" x14ac:dyDescent="0.3">
      <c r="A1012">
        <v>50550</v>
      </c>
      <c r="B1012" t="s">
        <v>20739</v>
      </c>
      <c r="C1012" t="s">
        <v>20740</v>
      </c>
      <c r="D1012" t="s">
        <v>20741</v>
      </c>
      <c r="E1012" t="s">
        <v>20742</v>
      </c>
      <c r="F1012" t="s">
        <v>20743</v>
      </c>
      <c r="G1012" t="s">
        <v>20744</v>
      </c>
      <c r="H1012" t="s">
        <v>20745</v>
      </c>
      <c r="I1012" t="s">
        <v>20746</v>
      </c>
      <c r="J1012" t="s">
        <v>20747</v>
      </c>
      <c r="K1012" t="s">
        <v>20748</v>
      </c>
      <c r="L1012" t="s">
        <v>20749</v>
      </c>
      <c r="M1012" t="s">
        <v>20750</v>
      </c>
      <c r="N1012" t="s">
        <v>20751</v>
      </c>
      <c r="O1012" t="s">
        <v>20752</v>
      </c>
      <c r="P1012">
        <f>-920.437961315556 -25.7952272734151 -209.857358161919</f>
        <v>-1156.0905467508901</v>
      </c>
      <c r="Q1012" t="s">
        <v>20753</v>
      </c>
      <c r="R1012" t="s">
        <v>20754</v>
      </c>
      <c r="S1012" t="s">
        <v>20755</v>
      </c>
      <c r="T1012" t="s">
        <v>20756</v>
      </c>
      <c r="U1012" t="s">
        <v>20757</v>
      </c>
      <c r="V1012" t="s">
        <v>20758</v>
      </c>
      <c r="W1012" t="s">
        <v>20759</v>
      </c>
      <c r="X1012" t="s">
        <v>20760</v>
      </c>
      <c r="Y1012" t="s">
        <v>20761</v>
      </c>
    </row>
    <row r="1013" spans="1:25" x14ac:dyDescent="0.3">
      <c r="A1013">
        <v>50600</v>
      </c>
      <c r="B1013" t="s">
        <v>20762</v>
      </c>
      <c r="C1013" t="s">
        <v>20763</v>
      </c>
      <c r="D1013" t="s">
        <v>20764</v>
      </c>
      <c r="E1013" t="s">
        <v>20765</v>
      </c>
      <c r="F1013" t="s">
        <v>20766</v>
      </c>
      <c r="G1013" t="s">
        <v>20767</v>
      </c>
      <c r="H1013" t="s">
        <v>20768</v>
      </c>
      <c r="I1013" t="s">
        <v>20769</v>
      </c>
      <c r="J1013" t="s">
        <v>20770</v>
      </c>
      <c r="K1013" t="s">
        <v>20771</v>
      </c>
      <c r="L1013" t="s">
        <v>20772</v>
      </c>
      <c r="M1013" t="s">
        <v>20773</v>
      </c>
      <c r="N1013" t="s">
        <v>20774</v>
      </c>
      <c r="O1013" t="s">
        <v>20775</v>
      </c>
      <c r="P1013">
        <f>-920.912470433274 -27.1073855243408 -210.068990831305</f>
        <v>-1158.0888467889199</v>
      </c>
      <c r="Q1013" t="s">
        <v>20776</v>
      </c>
      <c r="R1013" t="s">
        <v>20777</v>
      </c>
      <c r="S1013" t="s">
        <v>20778</v>
      </c>
      <c r="T1013" t="s">
        <v>20779</v>
      </c>
      <c r="U1013" t="s">
        <v>20780</v>
      </c>
      <c r="V1013" t="s">
        <v>20781</v>
      </c>
      <c r="W1013" t="s">
        <v>20782</v>
      </c>
      <c r="X1013" t="s">
        <v>20783</v>
      </c>
      <c r="Y1013" t="s">
        <v>20784</v>
      </c>
    </row>
    <row r="1014" spans="1:25" x14ac:dyDescent="0.3">
      <c r="A1014">
        <v>50650</v>
      </c>
      <c r="B1014" t="s">
        <v>20785</v>
      </c>
      <c r="C1014" t="s">
        <v>20786</v>
      </c>
      <c r="D1014" t="s">
        <v>20787</v>
      </c>
      <c r="E1014" t="s">
        <v>20788</v>
      </c>
      <c r="F1014" t="s">
        <v>20789</v>
      </c>
      <c r="G1014" t="s">
        <v>20790</v>
      </c>
      <c r="H1014" t="s">
        <v>20791</v>
      </c>
      <c r="I1014" t="s">
        <v>20792</v>
      </c>
      <c r="J1014" t="s">
        <v>20793</v>
      </c>
      <c r="K1014" t="s">
        <v>20794</v>
      </c>
      <c r="L1014" t="s">
        <v>20795</v>
      </c>
      <c r="M1014" t="s">
        <v>20796</v>
      </c>
      <c r="N1014" t="s">
        <v>20797</v>
      </c>
      <c r="O1014" t="s">
        <v>20798</v>
      </c>
      <c r="P1014">
        <f>-920.915287243064 -27.4353964122197 -210.206769239964</f>
        <v>-1158.5574528952477</v>
      </c>
      <c r="Q1014" t="s">
        <v>20799</v>
      </c>
      <c r="R1014" t="s">
        <v>20800</v>
      </c>
      <c r="S1014" t="s">
        <v>20801</v>
      </c>
      <c r="T1014" t="s">
        <v>20802</v>
      </c>
      <c r="U1014" t="s">
        <v>20803</v>
      </c>
      <c r="V1014" t="s">
        <v>20804</v>
      </c>
      <c r="W1014" t="s">
        <v>20805</v>
      </c>
      <c r="X1014" t="s">
        <v>20806</v>
      </c>
      <c r="Y1014" t="s">
        <v>20807</v>
      </c>
    </row>
    <row r="1015" spans="1:25" x14ac:dyDescent="0.3">
      <c r="A1015">
        <v>50700</v>
      </c>
      <c r="B1015" t="s">
        <v>20808</v>
      </c>
      <c r="C1015" t="s">
        <v>20809</v>
      </c>
      <c r="D1015" t="s">
        <v>20810</v>
      </c>
      <c r="E1015" t="s">
        <v>20811</v>
      </c>
      <c r="F1015" t="s">
        <v>20812</v>
      </c>
      <c r="G1015" t="s">
        <v>20813</v>
      </c>
      <c r="H1015" t="s">
        <v>20814</v>
      </c>
      <c r="I1015" t="s">
        <v>20815</v>
      </c>
      <c r="J1015" t="s">
        <v>20816</v>
      </c>
      <c r="K1015" t="s">
        <v>20817</v>
      </c>
      <c r="L1015" t="s">
        <v>20818</v>
      </c>
      <c r="M1015" t="s">
        <v>20819</v>
      </c>
      <c r="N1015" t="s">
        <v>20820</v>
      </c>
      <c r="O1015" t="s">
        <v>20821</v>
      </c>
      <c r="P1015">
        <f>-920.493237652782 -27.9456381811019 -210.331119549539</f>
        <v>-1158.7699953834228</v>
      </c>
      <c r="Q1015" t="s">
        <v>20822</v>
      </c>
      <c r="R1015" t="s">
        <v>20823</v>
      </c>
      <c r="S1015" t="s">
        <v>20824</v>
      </c>
      <c r="T1015" t="s">
        <v>20825</v>
      </c>
      <c r="U1015" t="s">
        <v>20826</v>
      </c>
      <c r="V1015" t="s">
        <v>20827</v>
      </c>
      <c r="W1015" t="s">
        <v>20828</v>
      </c>
      <c r="X1015" t="s">
        <v>20829</v>
      </c>
      <c r="Y1015" t="s">
        <v>20830</v>
      </c>
    </row>
    <row r="1016" spans="1:25" x14ac:dyDescent="0.3">
      <c r="A1016">
        <v>50750</v>
      </c>
      <c r="B1016" t="s">
        <v>20831</v>
      </c>
      <c r="C1016" t="s">
        <v>20832</v>
      </c>
      <c r="D1016" t="s">
        <v>20833</v>
      </c>
      <c r="E1016" t="s">
        <v>20834</v>
      </c>
      <c r="F1016" t="s">
        <v>20835</v>
      </c>
      <c r="G1016" t="s">
        <v>20836</v>
      </c>
      <c r="H1016" t="s">
        <v>20837</v>
      </c>
      <c r="I1016" t="s">
        <v>20838</v>
      </c>
      <c r="J1016" t="s">
        <v>20839</v>
      </c>
      <c r="K1016" t="s">
        <v>20840</v>
      </c>
      <c r="L1016" t="s">
        <v>20841</v>
      </c>
      <c r="M1016" t="s">
        <v>20842</v>
      </c>
      <c r="N1016" t="s">
        <v>20843</v>
      </c>
      <c r="O1016" t="s">
        <v>20844</v>
      </c>
      <c r="P1016">
        <f>-920.240318282181 -28.5036117963737 -210.32401437094</f>
        <v>-1159.0679444494947</v>
      </c>
      <c r="Q1016" t="s">
        <v>20845</v>
      </c>
      <c r="R1016" t="s">
        <v>20846</v>
      </c>
      <c r="S1016" t="s">
        <v>20847</v>
      </c>
      <c r="T1016" t="s">
        <v>20848</v>
      </c>
      <c r="U1016" t="s">
        <v>20849</v>
      </c>
      <c r="V1016" t="s">
        <v>20850</v>
      </c>
      <c r="W1016" t="s">
        <v>20851</v>
      </c>
      <c r="X1016" t="s">
        <v>20852</v>
      </c>
      <c r="Y1016" t="s">
        <v>20853</v>
      </c>
    </row>
    <row r="1017" spans="1:25" x14ac:dyDescent="0.3">
      <c r="A1017">
        <v>50800</v>
      </c>
      <c r="B1017" t="s">
        <v>20854</v>
      </c>
      <c r="C1017" t="s">
        <v>20855</v>
      </c>
      <c r="D1017" t="s">
        <v>20856</v>
      </c>
      <c r="E1017" t="s">
        <v>20857</v>
      </c>
      <c r="F1017" t="s">
        <v>20858</v>
      </c>
      <c r="G1017" t="s">
        <v>20859</v>
      </c>
      <c r="H1017" t="s">
        <v>20860</v>
      </c>
      <c r="I1017" t="s">
        <v>20861</v>
      </c>
      <c r="J1017" t="s">
        <v>20862</v>
      </c>
      <c r="K1017" t="s">
        <v>20863</v>
      </c>
      <c r="L1017" t="s">
        <v>20864</v>
      </c>
      <c r="M1017" t="s">
        <v>20865</v>
      </c>
      <c r="N1017" t="s">
        <v>20866</v>
      </c>
      <c r="O1017" t="s">
        <v>20867</v>
      </c>
      <c r="P1017">
        <f>-920.060947516567 -29.728090149757 -210.34632992989</f>
        <v>-1160.1353675962141</v>
      </c>
      <c r="Q1017" t="s">
        <v>20868</v>
      </c>
      <c r="R1017" t="s">
        <v>20869</v>
      </c>
      <c r="S1017" t="s">
        <v>20870</v>
      </c>
      <c r="T1017" t="s">
        <v>20871</v>
      </c>
      <c r="U1017" t="s">
        <v>20872</v>
      </c>
      <c r="V1017" t="s">
        <v>20873</v>
      </c>
      <c r="W1017" t="s">
        <v>20874</v>
      </c>
      <c r="X1017" t="s">
        <v>20875</v>
      </c>
      <c r="Y1017" t="s">
        <v>20876</v>
      </c>
    </row>
    <row r="1018" spans="1:25" x14ac:dyDescent="0.3">
      <c r="A1018">
        <v>50850</v>
      </c>
      <c r="B1018" t="s">
        <v>20877</v>
      </c>
      <c r="C1018" t="s">
        <v>20878</v>
      </c>
      <c r="D1018" t="s">
        <v>20879</v>
      </c>
      <c r="E1018" t="s">
        <v>20880</v>
      </c>
      <c r="F1018" t="s">
        <v>20881</v>
      </c>
      <c r="G1018" t="s">
        <v>20882</v>
      </c>
      <c r="H1018" t="s">
        <v>20883</v>
      </c>
      <c r="I1018" t="s">
        <v>20884</v>
      </c>
      <c r="J1018" t="s">
        <v>20885</v>
      </c>
      <c r="K1018" t="s">
        <v>20886</v>
      </c>
      <c r="L1018" t="s">
        <v>20887</v>
      </c>
      <c r="M1018" t="s">
        <v>20888</v>
      </c>
      <c r="N1018" t="s">
        <v>20889</v>
      </c>
      <c r="O1018" t="s">
        <v>20890</v>
      </c>
      <c r="P1018">
        <f>-920.098584014497 -30.1581200427563 -210.389009636732</f>
        <v>-1160.6457136939853</v>
      </c>
      <c r="Q1018" t="s">
        <v>20891</v>
      </c>
      <c r="R1018" t="s">
        <v>20892</v>
      </c>
      <c r="S1018" t="s">
        <v>20893</v>
      </c>
      <c r="T1018" t="s">
        <v>20894</v>
      </c>
      <c r="U1018" t="s">
        <v>20895</v>
      </c>
      <c r="V1018" t="s">
        <v>20896</v>
      </c>
      <c r="W1018" t="s">
        <v>20897</v>
      </c>
      <c r="X1018" t="s">
        <v>20898</v>
      </c>
      <c r="Y1018" t="s">
        <v>20899</v>
      </c>
    </row>
    <row r="1019" spans="1:25" x14ac:dyDescent="0.3">
      <c r="A1019">
        <v>50900</v>
      </c>
      <c r="B1019" t="s">
        <v>20900</v>
      </c>
      <c r="C1019" t="s">
        <v>20901</v>
      </c>
      <c r="D1019" t="s">
        <v>20902</v>
      </c>
      <c r="E1019" t="s">
        <v>20903</v>
      </c>
      <c r="F1019" t="s">
        <v>20904</v>
      </c>
      <c r="G1019" t="s">
        <v>20905</v>
      </c>
      <c r="H1019" t="s">
        <v>20906</v>
      </c>
      <c r="I1019" t="s">
        <v>20907</v>
      </c>
      <c r="J1019" t="s">
        <v>20908</v>
      </c>
      <c r="K1019" t="s">
        <v>20909</v>
      </c>
      <c r="L1019" t="s">
        <v>20910</v>
      </c>
      <c r="M1019" t="s">
        <v>20911</v>
      </c>
      <c r="N1019" t="s">
        <v>20912</v>
      </c>
      <c r="O1019" t="s">
        <v>20913</v>
      </c>
      <c r="P1019">
        <f>-920.93989867076 -31.251901038383 -210.313239247099</f>
        <v>-1162.5050389562421</v>
      </c>
      <c r="Q1019" t="s">
        <v>20914</v>
      </c>
      <c r="R1019" t="s">
        <v>20915</v>
      </c>
      <c r="S1019" t="s">
        <v>20916</v>
      </c>
      <c r="T1019" t="s">
        <v>20917</v>
      </c>
      <c r="U1019" t="s">
        <v>20918</v>
      </c>
      <c r="V1019" t="s">
        <v>20919</v>
      </c>
      <c r="W1019" t="s">
        <v>20920</v>
      </c>
      <c r="X1019" t="s">
        <v>20921</v>
      </c>
      <c r="Y1019" t="s">
        <v>20922</v>
      </c>
    </row>
    <row r="1020" spans="1:25" x14ac:dyDescent="0.3">
      <c r="A1020">
        <v>50950</v>
      </c>
      <c r="B1020" t="s">
        <v>20923</v>
      </c>
      <c r="C1020" t="s">
        <v>20924</v>
      </c>
      <c r="D1020" t="s">
        <v>20925</v>
      </c>
      <c r="E1020" t="s">
        <v>20926</v>
      </c>
      <c r="F1020" t="s">
        <v>20927</v>
      </c>
      <c r="G1020" t="s">
        <v>20928</v>
      </c>
      <c r="H1020" t="s">
        <v>20929</v>
      </c>
      <c r="I1020" t="s">
        <v>20930</v>
      </c>
      <c r="J1020" t="s">
        <v>20931</v>
      </c>
      <c r="K1020" t="s">
        <v>20932</v>
      </c>
      <c r="L1020" t="s">
        <v>20933</v>
      </c>
      <c r="M1020" t="s">
        <v>20934</v>
      </c>
      <c r="N1020" t="s">
        <v>20935</v>
      </c>
      <c r="O1020" t="s">
        <v>20936</v>
      </c>
      <c r="P1020">
        <f>-921.551520868048 -31.6682126501373 -210.150482003787</f>
        <v>-1163.3702155219723</v>
      </c>
      <c r="Q1020" t="s">
        <v>20937</v>
      </c>
      <c r="R1020" t="s">
        <v>20938</v>
      </c>
      <c r="S1020" t="s">
        <v>20939</v>
      </c>
      <c r="T1020" t="s">
        <v>20940</v>
      </c>
      <c r="U1020" t="s">
        <v>20941</v>
      </c>
      <c r="V1020" t="s">
        <v>20942</v>
      </c>
      <c r="W1020" t="s">
        <v>20943</v>
      </c>
      <c r="X1020" t="s">
        <v>20944</v>
      </c>
      <c r="Y1020" t="s">
        <v>20945</v>
      </c>
    </row>
    <row r="1021" spans="1:25" x14ac:dyDescent="0.3">
      <c r="A1021">
        <v>51000</v>
      </c>
      <c r="B1021" t="s">
        <v>20946</v>
      </c>
      <c r="C1021" t="s">
        <v>20947</v>
      </c>
      <c r="D1021" t="s">
        <v>20948</v>
      </c>
      <c r="E1021" t="s">
        <v>20949</v>
      </c>
      <c r="F1021" t="s">
        <v>20950</v>
      </c>
      <c r="G1021" t="s">
        <v>20951</v>
      </c>
      <c r="H1021" t="s">
        <v>20952</v>
      </c>
      <c r="I1021" t="s">
        <v>20953</v>
      </c>
      <c r="J1021" t="s">
        <v>20954</v>
      </c>
      <c r="K1021" t="s">
        <v>20955</v>
      </c>
      <c r="L1021" t="s">
        <v>20956</v>
      </c>
      <c r="M1021" t="s">
        <v>20957</v>
      </c>
      <c r="N1021" t="s">
        <v>20958</v>
      </c>
      <c r="O1021" t="s">
        <v>20959</v>
      </c>
      <c r="P1021">
        <f>-923.017044027743 -31.357635496448 -209.683741514103</f>
        <v>-1164.058421038294</v>
      </c>
      <c r="Q1021" t="s">
        <v>20960</v>
      </c>
      <c r="R1021" t="s">
        <v>20961</v>
      </c>
      <c r="S1021" t="s">
        <v>20962</v>
      </c>
      <c r="T1021" t="s">
        <v>20963</v>
      </c>
      <c r="U1021" t="s">
        <v>20964</v>
      </c>
      <c r="V1021" t="s">
        <v>20965</v>
      </c>
      <c r="W1021" t="s">
        <v>20966</v>
      </c>
      <c r="X1021" t="s">
        <v>20967</v>
      </c>
      <c r="Y1021" t="s">
        <v>20968</v>
      </c>
    </row>
    <row r="1022" spans="1:25" x14ac:dyDescent="0.3">
      <c r="A1022">
        <v>51050</v>
      </c>
      <c r="B1022" t="s">
        <v>20969</v>
      </c>
      <c r="C1022" t="s">
        <v>20970</v>
      </c>
      <c r="D1022" t="s">
        <v>20971</v>
      </c>
      <c r="E1022" t="s">
        <v>20972</v>
      </c>
      <c r="F1022" t="s">
        <v>20973</v>
      </c>
      <c r="G1022" t="s">
        <v>20974</v>
      </c>
      <c r="H1022" t="s">
        <v>20975</v>
      </c>
      <c r="I1022" t="s">
        <v>20976</v>
      </c>
      <c r="J1022" t="s">
        <v>20977</v>
      </c>
      <c r="K1022" t="s">
        <v>20978</v>
      </c>
      <c r="L1022" t="s">
        <v>20979</v>
      </c>
      <c r="M1022" t="s">
        <v>20980</v>
      </c>
      <c r="N1022" t="s">
        <v>20981</v>
      </c>
      <c r="O1022" t="s">
        <v>20982</v>
      </c>
      <c r="P1022">
        <f>-923.895190031594 -30.9022588404796 -209.428730572283</f>
        <v>-1164.2261794443566</v>
      </c>
      <c r="Q1022" t="s">
        <v>20983</v>
      </c>
      <c r="R1022" t="s">
        <v>20984</v>
      </c>
      <c r="S1022" t="s">
        <v>20985</v>
      </c>
      <c r="T1022" t="s">
        <v>20986</v>
      </c>
      <c r="U1022" t="s">
        <v>20987</v>
      </c>
      <c r="V1022" t="s">
        <v>20988</v>
      </c>
      <c r="W1022" t="s">
        <v>20989</v>
      </c>
      <c r="X1022" t="s">
        <v>20990</v>
      </c>
      <c r="Y1022" t="s">
        <v>20991</v>
      </c>
    </row>
    <row r="1023" spans="1:25" x14ac:dyDescent="0.3">
      <c r="A1023">
        <v>51100</v>
      </c>
      <c r="B1023" t="s">
        <v>20992</v>
      </c>
      <c r="C1023" t="s">
        <v>20993</v>
      </c>
      <c r="D1023" t="s">
        <v>20994</v>
      </c>
      <c r="E1023" t="s">
        <v>20995</v>
      </c>
      <c r="F1023" t="s">
        <v>20996</v>
      </c>
      <c r="G1023" t="s">
        <v>20997</v>
      </c>
      <c r="H1023" t="s">
        <v>20998</v>
      </c>
      <c r="I1023" t="s">
        <v>20999</v>
      </c>
      <c r="J1023" t="s">
        <v>21000</v>
      </c>
      <c r="K1023" t="s">
        <v>21001</v>
      </c>
      <c r="L1023" t="s">
        <v>21002</v>
      </c>
      <c r="M1023" t="s">
        <v>21003</v>
      </c>
      <c r="N1023" t="s">
        <v>21004</v>
      </c>
      <c r="O1023" t="s">
        <v>21005</v>
      </c>
      <c r="P1023">
        <f>-925.708895149087 -30.6822561822228 -209.192952386606</f>
        <v>-1165.5841037179157</v>
      </c>
      <c r="Q1023" t="s">
        <v>21006</v>
      </c>
      <c r="R1023" t="s">
        <v>21007</v>
      </c>
      <c r="S1023" t="s">
        <v>21008</v>
      </c>
      <c r="T1023" t="s">
        <v>21009</v>
      </c>
      <c r="U1023" t="s">
        <v>21010</v>
      </c>
      <c r="V1023" t="s">
        <v>21011</v>
      </c>
      <c r="W1023" t="s">
        <v>21012</v>
      </c>
      <c r="X1023" t="s">
        <v>21013</v>
      </c>
      <c r="Y1023" t="s">
        <v>21014</v>
      </c>
    </row>
    <row r="1024" spans="1:25" x14ac:dyDescent="0.3">
      <c r="A1024">
        <v>51150</v>
      </c>
      <c r="B1024" t="s">
        <v>21015</v>
      </c>
      <c r="C1024" t="s">
        <v>21016</v>
      </c>
      <c r="D1024" t="s">
        <v>21017</v>
      </c>
      <c r="E1024" t="s">
        <v>21018</v>
      </c>
      <c r="F1024" t="s">
        <v>21019</v>
      </c>
      <c r="G1024" t="s">
        <v>21020</v>
      </c>
      <c r="H1024" t="s">
        <v>21021</v>
      </c>
      <c r="I1024" t="s">
        <v>21022</v>
      </c>
      <c r="J1024" t="s">
        <v>21023</v>
      </c>
      <c r="K1024" t="s">
        <v>21024</v>
      </c>
      <c r="L1024" t="s">
        <v>21025</v>
      </c>
      <c r="M1024" t="s">
        <v>21026</v>
      </c>
      <c r="N1024" t="s">
        <v>21027</v>
      </c>
      <c r="O1024" t="s">
        <v>21028</v>
      </c>
      <c r="P1024">
        <f>-926.465136474709 -30.4419364668693 -209.142215429235</f>
        <v>-1166.0492883708132</v>
      </c>
      <c r="Q1024" t="s">
        <v>21029</v>
      </c>
      <c r="R1024" t="s">
        <v>21030</v>
      </c>
      <c r="S1024" t="s">
        <v>21031</v>
      </c>
      <c r="T1024" t="s">
        <v>21032</v>
      </c>
      <c r="U1024" t="s">
        <v>21033</v>
      </c>
      <c r="V1024" t="s">
        <v>21034</v>
      </c>
      <c r="W1024" t="s">
        <v>21035</v>
      </c>
      <c r="X1024" t="s">
        <v>21036</v>
      </c>
      <c r="Y1024" t="s">
        <v>21037</v>
      </c>
    </row>
    <row r="1025" spans="1:25" x14ac:dyDescent="0.3">
      <c r="A1025">
        <v>51200</v>
      </c>
      <c r="B1025" t="s">
        <v>21038</v>
      </c>
      <c r="C1025" t="s">
        <v>21039</v>
      </c>
      <c r="D1025" t="s">
        <v>21040</v>
      </c>
      <c r="E1025" t="s">
        <v>21041</v>
      </c>
      <c r="F1025" t="s">
        <v>21042</v>
      </c>
      <c r="G1025" t="s">
        <v>21043</v>
      </c>
      <c r="H1025" t="s">
        <v>21044</v>
      </c>
      <c r="I1025" t="s">
        <v>21045</v>
      </c>
      <c r="J1025" t="s">
        <v>21046</v>
      </c>
      <c r="K1025" t="s">
        <v>21047</v>
      </c>
      <c r="L1025" t="s">
        <v>21048</v>
      </c>
      <c r="M1025" t="s">
        <v>21049</v>
      </c>
      <c r="N1025" t="s">
        <v>21050</v>
      </c>
      <c r="O1025" t="s">
        <v>21051</v>
      </c>
      <c r="P1025">
        <f>-927.994625281134 -30.0844498781894 -208.861444338438</f>
        <v>-1166.9405194977612</v>
      </c>
      <c r="Q1025" t="s">
        <v>21052</v>
      </c>
      <c r="R1025" t="s">
        <v>21053</v>
      </c>
      <c r="S1025" t="s">
        <v>21054</v>
      </c>
      <c r="T1025" t="s">
        <v>21055</v>
      </c>
      <c r="U1025" t="s">
        <v>21056</v>
      </c>
      <c r="V1025" t="s">
        <v>21057</v>
      </c>
      <c r="W1025" t="s">
        <v>21058</v>
      </c>
      <c r="X1025" t="s">
        <v>21059</v>
      </c>
      <c r="Y1025" t="s">
        <v>21060</v>
      </c>
    </row>
    <row r="1026" spans="1:25" x14ac:dyDescent="0.3">
      <c r="A1026">
        <v>51250</v>
      </c>
      <c r="B1026" t="s">
        <v>21061</v>
      </c>
      <c r="C1026" t="s">
        <v>21062</v>
      </c>
      <c r="D1026" t="s">
        <v>21063</v>
      </c>
      <c r="E1026" t="s">
        <v>21064</v>
      </c>
      <c r="F1026" t="s">
        <v>21065</v>
      </c>
      <c r="G1026" t="s">
        <v>21066</v>
      </c>
      <c r="H1026" t="s">
        <v>21067</v>
      </c>
      <c r="I1026" t="s">
        <v>21068</v>
      </c>
      <c r="J1026" t="s">
        <v>21069</v>
      </c>
      <c r="K1026" t="s">
        <v>21070</v>
      </c>
      <c r="L1026" t="s">
        <v>21071</v>
      </c>
      <c r="M1026" t="s">
        <v>21072</v>
      </c>
      <c r="N1026" t="s">
        <v>21073</v>
      </c>
      <c r="O1026" t="s">
        <v>21074</v>
      </c>
      <c r="P1026">
        <f>-928.686894772137 -29.6402686973338 -208.525295547528</f>
        <v>-1166.8524590169986</v>
      </c>
      <c r="Q1026" t="s">
        <v>21075</v>
      </c>
      <c r="R1026" t="s">
        <v>21076</v>
      </c>
      <c r="S1026" t="s">
        <v>21077</v>
      </c>
      <c r="T1026" t="s">
        <v>21078</v>
      </c>
      <c r="U1026" t="s">
        <v>21079</v>
      </c>
      <c r="V1026" t="s">
        <v>21080</v>
      </c>
      <c r="W1026" t="s">
        <v>21081</v>
      </c>
      <c r="X1026" t="s">
        <v>21082</v>
      </c>
      <c r="Y1026" t="s">
        <v>21083</v>
      </c>
    </row>
    <row r="1027" spans="1:25" x14ac:dyDescent="0.3">
      <c r="A1027">
        <v>51300</v>
      </c>
      <c r="B1027" t="s">
        <v>21084</v>
      </c>
      <c r="C1027" t="s">
        <v>21085</v>
      </c>
      <c r="D1027" t="s">
        <v>21086</v>
      </c>
      <c r="E1027" t="s">
        <v>21087</v>
      </c>
      <c r="F1027" t="s">
        <v>21088</v>
      </c>
      <c r="G1027" t="s">
        <v>21089</v>
      </c>
      <c r="H1027" t="s">
        <v>21090</v>
      </c>
      <c r="I1027" t="s">
        <v>21091</v>
      </c>
      <c r="J1027" t="s">
        <v>21092</v>
      </c>
      <c r="K1027" t="s">
        <v>21093</v>
      </c>
      <c r="L1027" t="s">
        <v>21094</v>
      </c>
      <c r="M1027" t="s">
        <v>21095</v>
      </c>
      <c r="N1027" t="s">
        <v>21096</v>
      </c>
      <c r="O1027" t="s">
        <v>21097</v>
      </c>
      <c r="P1027">
        <f>-930.021124722189 -28.3994123633488 -207.681066753623</f>
        <v>-1166.1016038391608</v>
      </c>
      <c r="Q1027" t="s">
        <v>21098</v>
      </c>
      <c r="R1027" t="s">
        <v>21099</v>
      </c>
      <c r="S1027" t="s">
        <v>21100</v>
      </c>
      <c r="T1027" t="s">
        <v>21101</v>
      </c>
      <c r="U1027" t="s">
        <v>21102</v>
      </c>
      <c r="V1027" t="s">
        <v>21103</v>
      </c>
      <c r="W1027" t="s">
        <v>21104</v>
      </c>
      <c r="X1027" t="s">
        <v>21105</v>
      </c>
      <c r="Y1027" t="s">
        <v>21106</v>
      </c>
    </row>
    <row r="1028" spans="1:25" x14ac:dyDescent="0.3">
      <c r="A1028">
        <v>51350</v>
      </c>
      <c r="B1028" t="s">
        <v>21107</v>
      </c>
      <c r="C1028" t="s">
        <v>21108</v>
      </c>
      <c r="D1028" t="s">
        <v>21109</v>
      </c>
      <c r="E1028" t="s">
        <v>21110</v>
      </c>
      <c r="F1028" t="s">
        <v>21111</v>
      </c>
      <c r="G1028" t="s">
        <v>21112</v>
      </c>
      <c r="H1028" t="s">
        <v>21113</v>
      </c>
      <c r="I1028" t="s">
        <v>21114</v>
      </c>
      <c r="J1028" t="s">
        <v>21115</v>
      </c>
      <c r="K1028" t="s">
        <v>21116</v>
      </c>
      <c r="L1028" t="s">
        <v>21117</v>
      </c>
      <c r="M1028" t="s">
        <v>21118</v>
      </c>
      <c r="N1028" t="s">
        <v>21119</v>
      </c>
      <c r="O1028" t="s">
        <v>21120</v>
      </c>
      <c r="P1028">
        <f>-930.804702870127 -27.6418488680702 -207.339236728945</f>
        <v>-1165.7857884671421</v>
      </c>
      <c r="Q1028" t="s">
        <v>21121</v>
      </c>
      <c r="R1028" t="s">
        <v>21122</v>
      </c>
      <c r="S1028" t="s">
        <v>21123</v>
      </c>
      <c r="T1028" t="s">
        <v>21124</v>
      </c>
      <c r="U1028" t="s">
        <v>21125</v>
      </c>
      <c r="V1028" t="s">
        <v>21126</v>
      </c>
      <c r="W1028" t="s">
        <v>21127</v>
      </c>
      <c r="X1028" t="s">
        <v>21128</v>
      </c>
      <c r="Y1028" t="s">
        <v>21129</v>
      </c>
    </row>
    <row r="1029" spans="1:25" x14ac:dyDescent="0.3">
      <c r="A1029">
        <v>51400</v>
      </c>
      <c r="B1029" t="s">
        <v>21130</v>
      </c>
      <c r="C1029" t="s">
        <v>21131</v>
      </c>
      <c r="D1029" t="s">
        <v>21132</v>
      </c>
      <c r="E1029" t="s">
        <v>21133</v>
      </c>
      <c r="F1029" t="s">
        <v>21134</v>
      </c>
      <c r="G1029" t="s">
        <v>21135</v>
      </c>
      <c r="H1029" t="s">
        <v>21136</v>
      </c>
      <c r="I1029" t="s">
        <v>21137</v>
      </c>
      <c r="J1029" t="s">
        <v>21138</v>
      </c>
      <c r="K1029" t="s">
        <v>21139</v>
      </c>
      <c r="L1029" t="s">
        <v>21140</v>
      </c>
      <c r="M1029" t="s">
        <v>21141</v>
      </c>
      <c r="N1029" t="s">
        <v>21142</v>
      </c>
      <c r="O1029" t="s">
        <v>21143</v>
      </c>
      <c r="P1029">
        <f>-932.179777886031 -26.3686692344518 -206.853826759822</f>
        <v>-1165.4022738803048</v>
      </c>
      <c r="Q1029" t="s">
        <v>21144</v>
      </c>
      <c r="R1029" t="s">
        <v>21145</v>
      </c>
      <c r="S1029" t="s">
        <v>21146</v>
      </c>
      <c r="T1029" t="s">
        <v>21147</v>
      </c>
      <c r="U1029" t="s">
        <v>21148</v>
      </c>
      <c r="V1029" t="s">
        <v>21149</v>
      </c>
      <c r="W1029" t="s">
        <v>21150</v>
      </c>
      <c r="X1029" t="s">
        <v>21151</v>
      </c>
      <c r="Y1029" t="s">
        <v>21152</v>
      </c>
    </row>
    <row r="1030" spans="1:25" x14ac:dyDescent="0.3">
      <c r="A1030">
        <v>51450</v>
      </c>
      <c r="B1030" t="s">
        <v>21153</v>
      </c>
      <c r="C1030" t="s">
        <v>21154</v>
      </c>
      <c r="D1030" t="s">
        <v>21155</v>
      </c>
      <c r="E1030" t="s">
        <v>21156</v>
      </c>
      <c r="F1030" t="s">
        <v>21157</v>
      </c>
      <c r="G1030" t="s">
        <v>21158</v>
      </c>
      <c r="H1030" t="s">
        <v>21159</v>
      </c>
      <c r="I1030" t="s">
        <v>21160</v>
      </c>
      <c r="J1030" t="s">
        <v>21161</v>
      </c>
      <c r="K1030" t="s">
        <v>21162</v>
      </c>
      <c r="L1030" t="s">
        <v>21163</v>
      </c>
      <c r="M1030" t="s">
        <v>21164</v>
      </c>
      <c r="N1030" t="s">
        <v>21165</v>
      </c>
      <c r="O1030" t="s">
        <v>21166</v>
      </c>
      <c r="P1030">
        <f>-932.652503333672 -25.8331138226526 -206.727346222819</f>
        <v>-1165.2129633791437</v>
      </c>
      <c r="Q1030" t="s">
        <v>21167</v>
      </c>
      <c r="R1030" t="s">
        <v>21168</v>
      </c>
      <c r="S1030" t="s">
        <v>21169</v>
      </c>
      <c r="T1030" t="s">
        <v>21170</v>
      </c>
      <c r="U1030" t="s">
        <v>21171</v>
      </c>
      <c r="V1030" t="s">
        <v>21172</v>
      </c>
      <c r="W1030" t="s">
        <v>21173</v>
      </c>
      <c r="X1030" t="s">
        <v>21174</v>
      </c>
      <c r="Y1030" t="s">
        <v>21175</v>
      </c>
    </row>
    <row r="1031" spans="1:25" x14ac:dyDescent="0.3">
      <c r="A1031">
        <v>51500</v>
      </c>
      <c r="B1031" t="s">
        <v>21176</v>
      </c>
      <c r="C1031" t="s">
        <v>21177</v>
      </c>
      <c r="D1031" t="s">
        <v>21178</v>
      </c>
      <c r="E1031" t="s">
        <v>21179</v>
      </c>
      <c r="F1031" t="s">
        <v>21180</v>
      </c>
      <c r="G1031" t="s">
        <v>21181</v>
      </c>
      <c r="H1031" t="s">
        <v>21182</v>
      </c>
      <c r="I1031" t="s">
        <v>21183</v>
      </c>
      <c r="J1031" t="s">
        <v>21184</v>
      </c>
      <c r="K1031" t="s">
        <v>21185</v>
      </c>
      <c r="L1031" t="s">
        <v>21186</v>
      </c>
      <c r="M1031" t="s">
        <v>21187</v>
      </c>
      <c r="N1031" t="s">
        <v>21188</v>
      </c>
      <c r="O1031" t="s">
        <v>21189</v>
      </c>
      <c r="P1031">
        <f>-933.612944688916 -25.1510370557262 -206.520078774634</f>
        <v>-1165.2840605192762</v>
      </c>
      <c r="Q1031" t="s">
        <v>21190</v>
      </c>
      <c r="R1031" t="s">
        <v>21191</v>
      </c>
      <c r="S1031" t="s">
        <v>21192</v>
      </c>
      <c r="T1031" t="s">
        <v>21193</v>
      </c>
      <c r="U1031" t="s">
        <v>21194</v>
      </c>
      <c r="V1031" t="s">
        <v>21195</v>
      </c>
      <c r="W1031" t="s">
        <v>21196</v>
      </c>
      <c r="X1031" t="s">
        <v>21197</v>
      </c>
      <c r="Y1031" t="s">
        <v>21198</v>
      </c>
    </row>
    <row r="1032" spans="1:25" x14ac:dyDescent="0.3">
      <c r="A1032">
        <v>51550</v>
      </c>
      <c r="B1032" t="s">
        <v>21199</v>
      </c>
      <c r="C1032" t="s">
        <v>21200</v>
      </c>
      <c r="D1032" t="s">
        <v>21201</v>
      </c>
      <c r="E1032" t="s">
        <v>21202</v>
      </c>
      <c r="F1032" t="s">
        <v>21203</v>
      </c>
      <c r="G1032" t="s">
        <v>21204</v>
      </c>
      <c r="H1032" t="s">
        <v>21205</v>
      </c>
      <c r="I1032" t="s">
        <v>21206</v>
      </c>
      <c r="J1032" t="s">
        <v>21207</v>
      </c>
      <c r="K1032" t="s">
        <v>21208</v>
      </c>
      <c r="L1032" t="s">
        <v>21209</v>
      </c>
      <c r="M1032" t="s">
        <v>21210</v>
      </c>
      <c r="N1032" t="s">
        <v>21211</v>
      </c>
      <c r="O1032" t="s">
        <v>21212</v>
      </c>
      <c r="P1032">
        <f>-934.0849309481 -24.8378071366042 -206.345921930383</f>
        <v>-1165.2686600150871</v>
      </c>
      <c r="Q1032" t="s">
        <v>21213</v>
      </c>
      <c r="R1032" t="s">
        <v>21214</v>
      </c>
      <c r="S1032" t="s">
        <v>21215</v>
      </c>
      <c r="T1032" t="s">
        <v>21216</v>
      </c>
      <c r="U1032" t="s">
        <v>21217</v>
      </c>
      <c r="V1032" t="s">
        <v>21218</v>
      </c>
      <c r="W1032" t="s">
        <v>21219</v>
      </c>
      <c r="X1032" t="s">
        <v>21220</v>
      </c>
      <c r="Y1032" t="s">
        <v>21221</v>
      </c>
    </row>
    <row r="1033" spans="1:25" x14ac:dyDescent="0.3">
      <c r="A1033">
        <v>51600</v>
      </c>
      <c r="B1033" t="s">
        <v>21222</v>
      </c>
      <c r="C1033" t="s">
        <v>21223</v>
      </c>
      <c r="D1033" t="s">
        <v>21224</v>
      </c>
      <c r="E1033" t="s">
        <v>21225</v>
      </c>
      <c r="F1033" t="s">
        <v>21226</v>
      </c>
      <c r="G1033" t="s">
        <v>21227</v>
      </c>
      <c r="H1033" t="s">
        <v>21228</v>
      </c>
      <c r="I1033" t="s">
        <v>21229</v>
      </c>
      <c r="J1033" t="s">
        <v>21230</v>
      </c>
      <c r="K1033" t="s">
        <v>21231</v>
      </c>
      <c r="L1033" t="s">
        <v>21232</v>
      </c>
      <c r="M1033" t="s">
        <v>21233</v>
      </c>
      <c r="N1033" t="s">
        <v>21234</v>
      </c>
      <c r="O1033" t="s">
        <v>21235</v>
      </c>
      <c r="P1033">
        <f>-934.822461187208 -24.5039550368974 -205.893213755709</f>
        <v>-1165.2196299798145</v>
      </c>
      <c r="Q1033" t="s">
        <v>21236</v>
      </c>
      <c r="R1033" t="s">
        <v>21237</v>
      </c>
      <c r="S1033" t="s">
        <v>21238</v>
      </c>
      <c r="T1033" t="s">
        <v>21239</v>
      </c>
      <c r="U1033" t="s">
        <v>21240</v>
      </c>
      <c r="V1033" t="s">
        <v>21241</v>
      </c>
      <c r="W1033" t="s">
        <v>21242</v>
      </c>
      <c r="X1033" t="s">
        <v>21243</v>
      </c>
      <c r="Y1033" t="s">
        <v>21244</v>
      </c>
    </row>
    <row r="1034" spans="1:25" x14ac:dyDescent="0.3">
      <c r="A1034">
        <v>51650</v>
      </c>
      <c r="B1034" t="s">
        <v>21245</v>
      </c>
      <c r="C1034" t="s">
        <v>21246</v>
      </c>
      <c r="D1034" t="s">
        <v>21247</v>
      </c>
      <c r="E1034" t="s">
        <v>21248</v>
      </c>
      <c r="F1034" t="s">
        <v>21249</v>
      </c>
      <c r="G1034" t="s">
        <v>21250</v>
      </c>
      <c r="H1034" t="s">
        <v>21251</v>
      </c>
      <c r="I1034" t="s">
        <v>21252</v>
      </c>
      <c r="J1034" t="s">
        <v>21253</v>
      </c>
      <c r="K1034" t="s">
        <v>21254</v>
      </c>
      <c r="L1034" t="s">
        <v>21255</v>
      </c>
      <c r="M1034" t="s">
        <v>21256</v>
      </c>
      <c r="N1034" t="s">
        <v>21257</v>
      </c>
      <c r="O1034" t="s">
        <v>21258</v>
      </c>
      <c r="P1034">
        <f>-935.194509570731 -24.0674311838438 -205.590426503299</f>
        <v>-1164.852367257874</v>
      </c>
      <c r="Q1034" t="s">
        <v>21259</v>
      </c>
      <c r="R1034" t="s">
        <v>21260</v>
      </c>
      <c r="S1034" t="s">
        <v>21261</v>
      </c>
      <c r="T1034" t="s">
        <v>21262</v>
      </c>
      <c r="U1034" t="s">
        <v>21263</v>
      </c>
      <c r="V1034" t="s">
        <v>21264</v>
      </c>
      <c r="W1034" t="s">
        <v>21265</v>
      </c>
      <c r="X1034" t="s">
        <v>21266</v>
      </c>
      <c r="Y1034" t="s">
        <v>21267</v>
      </c>
    </row>
    <row r="1035" spans="1:25" x14ac:dyDescent="0.3">
      <c r="A1035">
        <v>51700</v>
      </c>
      <c r="B1035" t="s">
        <v>21268</v>
      </c>
      <c r="C1035" t="s">
        <v>21269</v>
      </c>
      <c r="D1035" t="s">
        <v>21270</v>
      </c>
      <c r="E1035" t="s">
        <v>21271</v>
      </c>
      <c r="F1035" t="s">
        <v>21272</v>
      </c>
      <c r="G1035" t="s">
        <v>21273</v>
      </c>
      <c r="H1035" t="s">
        <v>21274</v>
      </c>
      <c r="I1035" t="s">
        <v>21275</v>
      </c>
      <c r="J1035" t="s">
        <v>21276</v>
      </c>
      <c r="K1035" t="s">
        <v>21277</v>
      </c>
      <c r="L1035" t="s">
        <v>21278</v>
      </c>
      <c r="M1035" t="s">
        <v>21279</v>
      </c>
      <c r="N1035" t="s">
        <v>21280</v>
      </c>
      <c r="O1035" t="s">
        <v>21281</v>
      </c>
      <c r="P1035">
        <f>-935.794504092031 -23.1647787476272 -205.098129424454</f>
        <v>-1164.0574122641124</v>
      </c>
      <c r="Q1035" t="s">
        <v>21282</v>
      </c>
      <c r="R1035" t="s">
        <v>21283</v>
      </c>
      <c r="S1035" t="s">
        <v>21284</v>
      </c>
      <c r="T1035" t="s">
        <v>21285</v>
      </c>
      <c r="U1035" t="s">
        <v>21286</v>
      </c>
      <c r="V1035" t="s">
        <v>21287</v>
      </c>
      <c r="W1035" t="s">
        <v>21288</v>
      </c>
      <c r="X1035" t="s">
        <v>21289</v>
      </c>
      <c r="Y1035" t="s">
        <v>21290</v>
      </c>
    </row>
    <row r="1036" spans="1:25" x14ac:dyDescent="0.3">
      <c r="A1036">
        <v>51750</v>
      </c>
      <c r="B1036" t="s">
        <v>21291</v>
      </c>
      <c r="C1036" t="s">
        <v>21292</v>
      </c>
      <c r="D1036" t="s">
        <v>21293</v>
      </c>
      <c r="E1036" t="s">
        <v>21294</v>
      </c>
      <c r="F1036" t="s">
        <v>21295</v>
      </c>
      <c r="G1036" t="s">
        <v>21296</v>
      </c>
      <c r="H1036" t="s">
        <v>21297</v>
      </c>
      <c r="I1036" t="s">
        <v>21298</v>
      </c>
      <c r="J1036" t="s">
        <v>21299</v>
      </c>
      <c r="K1036" t="s">
        <v>21300</v>
      </c>
      <c r="L1036" t="s">
        <v>21301</v>
      </c>
      <c r="M1036" t="s">
        <v>21302</v>
      </c>
      <c r="N1036" t="s">
        <v>21303</v>
      </c>
      <c r="O1036" t="s">
        <v>21304</v>
      </c>
      <c r="P1036">
        <f>-936.032242987125 -22.9427552493744 -205.050157473933</f>
        <v>-1164.0251557104323</v>
      </c>
      <c r="Q1036" t="s">
        <v>21305</v>
      </c>
      <c r="R1036" t="s">
        <v>21306</v>
      </c>
      <c r="S1036" t="s">
        <v>21307</v>
      </c>
      <c r="T1036" t="s">
        <v>21308</v>
      </c>
      <c r="U1036" t="s">
        <v>21309</v>
      </c>
      <c r="V1036" t="s">
        <v>21310</v>
      </c>
      <c r="W1036" t="s">
        <v>21311</v>
      </c>
      <c r="X1036" t="s">
        <v>21312</v>
      </c>
      <c r="Y1036" t="s">
        <v>21313</v>
      </c>
    </row>
    <row r="1037" spans="1:25" x14ac:dyDescent="0.3">
      <c r="A1037">
        <v>51800</v>
      </c>
      <c r="B1037" t="s">
        <v>21314</v>
      </c>
      <c r="C1037" t="s">
        <v>21315</v>
      </c>
      <c r="D1037" t="s">
        <v>21316</v>
      </c>
      <c r="E1037" t="s">
        <v>21317</v>
      </c>
      <c r="F1037" t="s">
        <v>21318</v>
      </c>
      <c r="G1037" t="s">
        <v>21319</v>
      </c>
      <c r="H1037" t="s">
        <v>21320</v>
      </c>
      <c r="I1037" t="s">
        <v>21321</v>
      </c>
      <c r="J1037" t="s">
        <v>21322</v>
      </c>
      <c r="K1037" t="s">
        <v>21323</v>
      </c>
      <c r="L1037" t="s">
        <v>21324</v>
      </c>
      <c r="M1037" t="s">
        <v>21325</v>
      </c>
      <c r="N1037" t="s">
        <v>21326</v>
      </c>
      <c r="O1037" t="s">
        <v>21327</v>
      </c>
      <c r="P1037">
        <f>-936.382931860484 -23.4700086458793 -205.257298501575</f>
        <v>-1165.1102390079382</v>
      </c>
      <c r="Q1037" t="s">
        <v>21328</v>
      </c>
      <c r="R1037" t="s">
        <v>21329</v>
      </c>
      <c r="S1037" t="s">
        <v>21330</v>
      </c>
      <c r="T1037" t="s">
        <v>21331</v>
      </c>
      <c r="U1037" t="s">
        <v>21332</v>
      </c>
      <c r="V1037" t="s">
        <v>21333</v>
      </c>
      <c r="W1037" t="s">
        <v>21334</v>
      </c>
      <c r="X1037" t="s">
        <v>21335</v>
      </c>
      <c r="Y1037" t="s">
        <v>21336</v>
      </c>
    </row>
    <row r="1038" spans="1:25" x14ac:dyDescent="0.3">
      <c r="A1038">
        <v>51850</v>
      </c>
      <c r="B1038" t="s">
        <v>21337</v>
      </c>
      <c r="C1038" t="s">
        <v>21338</v>
      </c>
      <c r="D1038" t="s">
        <v>21339</v>
      </c>
      <c r="E1038" t="s">
        <v>21340</v>
      </c>
      <c r="F1038" t="s">
        <v>21341</v>
      </c>
      <c r="G1038" t="s">
        <v>21342</v>
      </c>
      <c r="H1038" t="s">
        <v>21343</v>
      </c>
      <c r="I1038" t="s">
        <v>21344</v>
      </c>
      <c r="J1038" t="s">
        <v>21345</v>
      </c>
      <c r="K1038" t="s">
        <v>21346</v>
      </c>
      <c r="L1038" t="s">
        <v>21347</v>
      </c>
      <c r="M1038" t="s">
        <v>21348</v>
      </c>
      <c r="N1038" t="s">
        <v>21349</v>
      </c>
      <c r="O1038" t="s">
        <v>21350</v>
      </c>
      <c r="P1038">
        <f>-936.605627181313 -23.8802126603509 -205.337125737261</f>
        <v>-1165.8229655789251</v>
      </c>
      <c r="Q1038" t="s">
        <v>21351</v>
      </c>
      <c r="R1038" t="s">
        <v>21352</v>
      </c>
      <c r="S1038" t="s">
        <v>21353</v>
      </c>
      <c r="T1038" t="s">
        <v>21354</v>
      </c>
      <c r="U1038" t="s">
        <v>21355</v>
      </c>
      <c r="V1038" t="s">
        <v>21356</v>
      </c>
      <c r="W1038" t="s">
        <v>21357</v>
      </c>
      <c r="X1038" t="s">
        <v>21358</v>
      </c>
      <c r="Y1038" t="s">
        <v>21359</v>
      </c>
    </row>
    <row r="1039" spans="1:25" x14ac:dyDescent="0.3">
      <c r="A1039">
        <v>51900</v>
      </c>
      <c r="B1039" t="s">
        <v>21360</v>
      </c>
      <c r="C1039" t="s">
        <v>21361</v>
      </c>
      <c r="D1039" t="s">
        <v>21362</v>
      </c>
      <c r="E1039" t="s">
        <v>21363</v>
      </c>
      <c r="F1039" t="s">
        <v>21364</v>
      </c>
      <c r="G1039" t="s">
        <v>21365</v>
      </c>
      <c r="H1039" t="s">
        <v>21366</v>
      </c>
      <c r="I1039" t="s">
        <v>21367</v>
      </c>
      <c r="J1039" t="s">
        <v>21368</v>
      </c>
      <c r="K1039" t="s">
        <v>21369</v>
      </c>
      <c r="L1039" t="s">
        <v>21370</v>
      </c>
      <c r="M1039" t="s">
        <v>21371</v>
      </c>
      <c r="N1039" t="s">
        <v>21372</v>
      </c>
      <c r="O1039" t="s">
        <v>21373</v>
      </c>
      <c r="P1039">
        <f>-937.341439032473 -24.0775577811332 -205.256258381739</f>
        <v>-1166.6752551953452</v>
      </c>
      <c r="Q1039" t="s">
        <v>21374</v>
      </c>
      <c r="R1039" t="s">
        <v>21375</v>
      </c>
      <c r="S1039" t="s">
        <v>21376</v>
      </c>
      <c r="T1039" t="s">
        <v>21377</v>
      </c>
      <c r="U1039" t="s">
        <v>21378</v>
      </c>
      <c r="V1039" t="s">
        <v>21379</v>
      </c>
      <c r="W1039" t="s">
        <v>21380</v>
      </c>
      <c r="X1039" t="s">
        <v>21381</v>
      </c>
      <c r="Y1039" t="s">
        <v>21382</v>
      </c>
    </row>
    <row r="1040" spans="1:25" x14ac:dyDescent="0.3">
      <c r="A1040">
        <v>51950</v>
      </c>
      <c r="B1040" t="s">
        <v>21383</v>
      </c>
      <c r="C1040" t="s">
        <v>21384</v>
      </c>
      <c r="D1040" t="s">
        <v>21385</v>
      </c>
      <c r="E1040" t="s">
        <v>21386</v>
      </c>
      <c r="F1040" t="s">
        <v>21387</v>
      </c>
      <c r="G1040" t="s">
        <v>21388</v>
      </c>
      <c r="H1040" t="s">
        <v>21389</v>
      </c>
      <c r="I1040" t="s">
        <v>21390</v>
      </c>
      <c r="J1040" t="s">
        <v>21391</v>
      </c>
      <c r="K1040" t="s">
        <v>21392</v>
      </c>
      <c r="L1040" t="s">
        <v>21393</v>
      </c>
      <c r="M1040" t="s">
        <v>21394</v>
      </c>
      <c r="N1040" t="s">
        <v>21395</v>
      </c>
      <c r="O1040" t="s">
        <v>21396</v>
      </c>
      <c r="P1040">
        <f>-937.670122595772 -23.9034869054426 -205.155432049936</f>
        <v>-1166.7290415511507</v>
      </c>
      <c r="Q1040" t="s">
        <v>21397</v>
      </c>
      <c r="R1040" t="s">
        <v>21398</v>
      </c>
      <c r="S1040" t="s">
        <v>21399</v>
      </c>
      <c r="T1040" t="s">
        <v>21400</v>
      </c>
      <c r="U1040" t="s">
        <v>21401</v>
      </c>
      <c r="V1040" t="s">
        <v>21402</v>
      </c>
      <c r="W1040" t="s">
        <v>21403</v>
      </c>
      <c r="X1040" t="s">
        <v>21404</v>
      </c>
      <c r="Y1040" t="s">
        <v>21405</v>
      </c>
    </row>
    <row r="1041" spans="1:25" x14ac:dyDescent="0.3">
      <c r="A1041">
        <v>52000</v>
      </c>
      <c r="B1041" t="s">
        <v>21406</v>
      </c>
      <c r="C1041" t="s">
        <v>21407</v>
      </c>
      <c r="D1041" t="s">
        <v>21408</v>
      </c>
      <c r="E1041" t="s">
        <v>21409</v>
      </c>
      <c r="F1041" t="s">
        <v>21410</v>
      </c>
      <c r="G1041" t="s">
        <v>21411</v>
      </c>
      <c r="H1041" t="s">
        <v>21412</v>
      </c>
      <c r="I1041" t="s">
        <v>21413</v>
      </c>
      <c r="J1041" t="s">
        <v>21414</v>
      </c>
      <c r="K1041" t="s">
        <v>21415</v>
      </c>
      <c r="L1041" t="s">
        <v>21416</v>
      </c>
      <c r="M1041" t="s">
        <v>21417</v>
      </c>
      <c r="N1041" t="s">
        <v>21418</v>
      </c>
      <c r="O1041" t="s">
        <v>21419</v>
      </c>
      <c r="P1041">
        <f>-937.797919108042 -23.5547668720387 -204.95335993282</f>
        <v>-1166.3060459129008</v>
      </c>
      <c r="Q1041" t="s">
        <v>21420</v>
      </c>
      <c r="R1041" t="s">
        <v>21421</v>
      </c>
      <c r="S1041" t="s">
        <v>21422</v>
      </c>
      <c r="T1041" t="s">
        <v>21423</v>
      </c>
      <c r="U1041" t="s">
        <v>21424</v>
      </c>
      <c r="V1041" t="s">
        <v>21425</v>
      </c>
      <c r="W1041" t="s">
        <v>21426</v>
      </c>
      <c r="X1041" t="s">
        <v>21427</v>
      </c>
      <c r="Y1041" t="s">
        <v>21428</v>
      </c>
    </row>
    <row r="1042" spans="1:25" x14ac:dyDescent="0.3">
      <c r="A1042">
        <v>52050</v>
      </c>
      <c r="B1042" t="s">
        <v>21429</v>
      </c>
      <c r="C1042" t="s">
        <v>21430</v>
      </c>
      <c r="D1042" t="s">
        <v>21431</v>
      </c>
      <c r="E1042" t="s">
        <v>21432</v>
      </c>
      <c r="F1042" t="s">
        <v>21433</v>
      </c>
      <c r="G1042" t="s">
        <v>21434</v>
      </c>
      <c r="H1042" t="s">
        <v>21435</v>
      </c>
      <c r="I1042" t="s">
        <v>21436</v>
      </c>
      <c r="J1042" t="s">
        <v>21437</v>
      </c>
      <c r="K1042" t="s">
        <v>21438</v>
      </c>
      <c r="L1042" t="s">
        <v>21439</v>
      </c>
      <c r="M1042" t="s">
        <v>21440</v>
      </c>
      <c r="N1042" t="s">
        <v>21441</v>
      </c>
      <c r="O1042" t="s">
        <v>21442</v>
      </c>
      <c r="P1042">
        <f>-937.588373172458 -23.5858977035446 -204.913615355395</f>
        <v>-1166.0878862313975</v>
      </c>
      <c r="Q1042" t="s">
        <v>21443</v>
      </c>
      <c r="R1042" t="s">
        <v>21444</v>
      </c>
      <c r="S1042" t="s">
        <v>21445</v>
      </c>
      <c r="T1042" t="s">
        <v>21446</v>
      </c>
      <c r="U1042" t="s">
        <v>21447</v>
      </c>
      <c r="V1042" t="s">
        <v>21448</v>
      </c>
      <c r="W1042" t="s">
        <v>21449</v>
      </c>
      <c r="X1042" t="s">
        <v>21450</v>
      </c>
      <c r="Y1042" t="s">
        <v>21451</v>
      </c>
    </row>
    <row r="1043" spans="1:25" x14ac:dyDescent="0.3">
      <c r="A1043">
        <v>52100</v>
      </c>
      <c r="B1043" t="s">
        <v>21452</v>
      </c>
      <c r="C1043" t="s">
        <v>21453</v>
      </c>
      <c r="D1043" t="s">
        <v>21454</v>
      </c>
      <c r="E1043" t="s">
        <v>21455</v>
      </c>
      <c r="F1043" t="s">
        <v>21456</v>
      </c>
      <c r="G1043" t="s">
        <v>21457</v>
      </c>
      <c r="H1043" t="s">
        <v>21458</v>
      </c>
      <c r="I1043" t="s">
        <v>21459</v>
      </c>
      <c r="J1043" t="s">
        <v>21460</v>
      </c>
      <c r="K1043" t="s">
        <v>21461</v>
      </c>
      <c r="L1043" t="s">
        <v>21462</v>
      </c>
      <c r="M1043" t="s">
        <v>21463</v>
      </c>
      <c r="N1043" t="s">
        <v>21464</v>
      </c>
      <c r="O1043" t="s">
        <v>21465</v>
      </c>
      <c r="P1043">
        <f>-936.967865842805 -24.0067002761534 -204.91622765667</f>
        <v>-1165.8907937756285</v>
      </c>
      <c r="Q1043" t="s">
        <v>21466</v>
      </c>
      <c r="R1043" t="s">
        <v>21467</v>
      </c>
      <c r="S1043" t="s">
        <v>21468</v>
      </c>
      <c r="T1043" t="s">
        <v>21469</v>
      </c>
      <c r="U1043" t="s">
        <v>21470</v>
      </c>
      <c r="V1043" t="s">
        <v>21471</v>
      </c>
      <c r="W1043" t="s">
        <v>21472</v>
      </c>
      <c r="X1043" t="s">
        <v>21473</v>
      </c>
      <c r="Y1043" t="s">
        <v>21474</v>
      </c>
    </row>
    <row r="1044" spans="1:25" x14ac:dyDescent="0.3">
      <c r="A1044">
        <v>52150</v>
      </c>
      <c r="B1044" t="s">
        <v>21475</v>
      </c>
      <c r="C1044" t="s">
        <v>21476</v>
      </c>
      <c r="D1044" t="s">
        <v>21477</v>
      </c>
      <c r="E1044" t="s">
        <v>21478</v>
      </c>
      <c r="F1044" t="s">
        <v>21479</v>
      </c>
      <c r="G1044" t="s">
        <v>21480</v>
      </c>
      <c r="H1044" t="s">
        <v>21481</v>
      </c>
      <c r="I1044" t="s">
        <v>21482</v>
      </c>
      <c r="J1044" t="s">
        <v>21483</v>
      </c>
      <c r="K1044" t="s">
        <v>21484</v>
      </c>
      <c r="L1044" t="s">
        <v>21485</v>
      </c>
      <c r="M1044" t="s">
        <v>21486</v>
      </c>
      <c r="N1044" t="s">
        <v>21487</v>
      </c>
      <c r="O1044" t="s">
        <v>21488</v>
      </c>
      <c r="P1044">
        <f>-936.601384174722 -24.1887538012002 -204.909683004685</f>
        <v>-1165.6998209806072</v>
      </c>
      <c r="Q1044" t="s">
        <v>21489</v>
      </c>
      <c r="R1044" t="s">
        <v>21490</v>
      </c>
      <c r="S1044" t="s">
        <v>21491</v>
      </c>
      <c r="T1044" t="s">
        <v>21492</v>
      </c>
      <c r="U1044" t="s">
        <v>21493</v>
      </c>
      <c r="V1044" t="s">
        <v>21494</v>
      </c>
      <c r="W1044" t="s">
        <v>21495</v>
      </c>
      <c r="X1044" t="s">
        <v>21496</v>
      </c>
      <c r="Y1044" t="s">
        <v>21497</v>
      </c>
    </row>
    <row r="1045" spans="1:25" x14ac:dyDescent="0.3">
      <c r="A1045">
        <v>52200</v>
      </c>
      <c r="B1045" t="s">
        <v>21498</v>
      </c>
      <c r="C1045" t="s">
        <v>21499</v>
      </c>
      <c r="D1045" t="s">
        <v>21500</v>
      </c>
      <c r="E1045" t="s">
        <v>21501</v>
      </c>
      <c r="F1045" t="s">
        <v>21502</v>
      </c>
      <c r="G1045" t="s">
        <v>21503</v>
      </c>
      <c r="H1045" t="s">
        <v>21504</v>
      </c>
      <c r="I1045" t="s">
        <v>21505</v>
      </c>
      <c r="J1045" t="s">
        <v>21506</v>
      </c>
      <c r="K1045" t="s">
        <v>21507</v>
      </c>
      <c r="L1045" t="s">
        <v>21508</v>
      </c>
      <c r="M1045" t="s">
        <v>21509</v>
      </c>
      <c r="N1045" t="s">
        <v>21510</v>
      </c>
      <c r="O1045" t="s">
        <v>21511</v>
      </c>
      <c r="P1045">
        <f>-935.826521950808 -24.4206203908379 -204.72314590305</f>
        <v>-1164.9702882446959</v>
      </c>
      <c r="Q1045" t="s">
        <v>21512</v>
      </c>
      <c r="R1045" t="s">
        <v>21513</v>
      </c>
      <c r="S1045" t="s">
        <v>21514</v>
      </c>
      <c r="T1045" t="s">
        <v>21515</v>
      </c>
      <c r="U1045" t="s">
        <v>21516</v>
      </c>
      <c r="V1045" t="s">
        <v>21517</v>
      </c>
      <c r="W1045" t="s">
        <v>21518</v>
      </c>
      <c r="X1045" t="s">
        <v>21519</v>
      </c>
      <c r="Y1045" t="s">
        <v>21520</v>
      </c>
    </row>
    <row r="1046" spans="1:25" x14ac:dyDescent="0.3">
      <c r="A1046">
        <v>52250</v>
      </c>
      <c r="B1046" t="s">
        <v>21521</v>
      </c>
      <c r="C1046" t="s">
        <v>21522</v>
      </c>
      <c r="D1046" t="s">
        <v>21523</v>
      </c>
      <c r="E1046" t="s">
        <v>21524</v>
      </c>
      <c r="F1046" t="s">
        <v>21525</v>
      </c>
      <c r="G1046" t="s">
        <v>21526</v>
      </c>
      <c r="H1046" t="s">
        <v>21527</v>
      </c>
      <c r="I1046" t="s">
        <v>21528</v>
      </c>
      <c r="J1046" t="s">
        <v>21529</v>
      </c>
      <c r="K1046" t="s">
        <v>21530</v>
      </c>
      <c r="L1046" t="s">
        <v>21531</v>
      </c>
      <c r="M1046" t="s">
        <v>21532</v>
      </c>
      <c r="N1046" t="s">
        <v>21533</v>
      </c>
      <c r="O1046" t="s">
        <v>21534</v>
      </c>
      <c r="P1046">
        <f>-935.265872280153 -24.3579573720281 -204.515909547625</f>
        <v>-1164.1397391998059</v>
      </c>
      <c r="Q1046" t="s">
        <v>21535</v>
      </c>
      <c r="R1046" t="s">
        <v>21536</v>
      </c>
      <c r="S1046" t="s">
        <v>21537</v>
      </c>
      <c r="T1046" t="s">
        <v>21538</v>
      </c>
      <c r="U1046" t="s">
        <v>21539</v>
      </c>
      <c r="V1046" t="s">
        <v>21540</v>
      </c>
      <c r="W1046" t="s">
        <v>21541</v>
      </c>
      <c r="X1046" t="s">
        <v>21542</v>
      </c>
      <c r="Y1046" t="s">
        <v>21543</v>
      </c>
    </row>
    <row r="1047" spans="1:25" x14ac:dyDescent="0.3">
      <c r="A1047">
        <v>52300</v>
      </c>
      <c r="B1047" t="s">
        <v>21544</v>
      </c>
      <c r="C1047" t="s">
        <v>21545</v>
      </c>
      <c r="D1047" t="s">
        <v>21546</v>
      </c>
      <c r="E1047" t="s">
        <v>21547</v>
      </c>
      <c r="F1047" t="s">
        <v>21548</v>
      </c>
      <c r="G1047" t="s">
        <v>21549</v>
      </c>
      <c r="H1047" t="s">
        <v>21550</v>
      </c>
      <c r="I1047" t="s">
        <v>21551</v>
      </c>
      <c r="J1047" t="s">
        <v>21552</v>
      </c>
      <c r="K1047" t="s">
        <v>21553</v>
      </c>
      <c r="L1047" t="s">
        <v>21554</v>
      </c>
      <c r="M1047" t="s">
        <v>21555</v>
      </c>
      <c r="N1047" t="s">
        <v>21556</v>
      </c>
      <c r="O1047" t="s">
        <v>21557</v>
      </c>
      <c r="P1047">
        <f>-934.449596351234 -24.1051827613169 -204.066154740738</f>
        <v>-1162.620933853289</v>
      </c>
      <c r="Q1047" t="s">
        <v>21558</v>
      </c>
      <c r="R1047" t="s">
        <v>21559</v>
      </c>
      <c r="S1047" t="s">
        <v>21560</v>
      </c>
      <c r="T1047" t="s">
        <v>21561</v>
      </c>
      <c r="U1047" t="s">
        <v>21562</v>
      </c>
      <c r="V1047" t="s">
        <v>21563</v>
      </c>
      <c r="W1047" t="s">
        <v>21564</v>
      </c>
      <c r="X1047" t="s">
        <v>21565</v>
      </c>
      <c r="Y1047" t="s">
        <v>21566</v>
      </c>
    </row>
    <row r="1048" spans="1:25" x14ac:dyDescent="0.3">
      <c r="A1048">
        <v>52350</v>
      </c>
      <c r="B1048" t="s">
        <v>21567</v>
      </c>
      <c r="C1048" t="s">
        <v>21568</v>
      </c>
      <c r="D1048" t="s">
        <v>21569</v>
      </c>
      <c r="E1048" t="s">
        <v>21570</v>
      </c>
      <c r="F1048" t="s">
        <v>21571</v>
      </c>
      <c r="G1048" t="s">
        <v>21572</v>
      </c>
      <c r="H1048" t="s">
        <v>21573</v>
      </c>
      <c r="I1048" t="s">
        <v>21574</v>
      </c>
      <c r="J1048" t="s">
        <v>21575</v>
      </c>
      <c r="K1048" t="s">
        <v>21576</v>
      </c>
      <c r="L1048" t="s">
        <v>21577</v>
      </c>
      <c r="M1048" t="s">
        <v>21578</v>
      </c>
      <c r="N1048" t="s">
        <v>21579</v>
      </c>
      <c r="O1048" t="s">
        <v>21580</v>
      </c>
      <c r="P1048">
        <f>-933.932687983175 -24.101915885291 -203.829182291282</f>
        <v>-1161.8637861597481</v>
      </c>
      <c r="Q1048" t="s">
        <v>21581</v>
      </c>
      <c r="R1048" t="s">
        <v>21582</v>
      </c>
      <c r="S1048" t="s">
        <v>21583</v>
      </c>
      <c r="T1048" t="s">
        <v>21584</v>
      </c>
      <c r="U1048" t="s">
        <v>21585</v>
      </c>
      <c r="V1048" t="s">
        <v>21586</v>
      </c>
      <c r="W1048" t="s">
        <v>21587</v>
      </c>
      <c r="X1048" t="s">
        <v>21588</v>
      </c>
      <c r="Y1048" t="s">
        <v>21589</v>
      </c>
    </row>
    <row r="1049" spans="1:25" x14ac:dyDescent="0.3">
      <c r="A1049">
        <v>52400</v>
      </c>
      <c r="B1049" t="s">
        <v>21590</v>
      </c>
      <c r="C1049" t="s">
        <v>21591</v>
      </c>
      <c r="D1049" t="s">
        <v>21592</v>
      </c>
      <c r="E1049" t="s">
        <v>21593</v>
      </c>
      <c r="F1049" t="s">
        <v>21594</v>
      </c>
      <c r="G1049" t="s">
        <v>21595</v>
      </c>
      <c r="H1049" t="s">
        <v>21596</v>
      </c>
      <c r="I1049" t="s">
        <v>21597</v>
      </c>
      <c r="J1049" t="s">
        <v>21598</v>
      </c>
      <c r="K1049" t="s">
        <v>21599</v>
      </c>
      <c r="L1049" t="s">
        <v>21600</v>
      </c>
      <c r="M1049" t="s">
        <v>21601</v>
      </c>
      <c r="N1049" t="s">
        <v>21602</v>
      </c>
      <c r="O1049" t="s">
        <v>21603</v>
      </c>
      <c r="P1049">
        <f>-932.865191629168 -24.1165453315029 -203.251066166964</f>
        <v>-1160.232803127635</v>
      </c>
      <c r="Q1049" t="s">
        <v>21604</v>
      </c>
      <c r="R1049" t="s">
        <v>21605</v>
      </c>
      <c r="S1049" t="s">
        <v>21606</v>
      </c>
      <c r="T1049" t="s">
        <v>21607</v>
      </c>
      <c r="U1049" t="s">
        <v>21608</v>
      </c>
      <c r="V1049" t="s">
        <v>21609</v>
      </c>
      <c r="W1049" t="s">
        <v>21610</v>
      </c>
      <c r="X1049" t="s">
        <v>21611</v>
      </c>
      <c r="Y1049" t="s">
        <v>21612</v>
      </c>
    </row>
    <row r="1050" spans="1:25" x14ac:dyDescent="0.3">
      <c r="A1050">
        <v>52450</v>
      </c>
      <c r="B1050" t="s">
        <v>21613</v>
      </c>
      <c r="C1050" t="s">
        <v>21614</v>
      </c>
      <c r="D1050" t="s">
        <v>21615</v>
      </c>
      <c r="E1050" t="s">
        <v>21616</v>
      </c>
      <c r="F1050" t="s">
        <v>21617</v>
      </c>
      <c r="G1050" t="s">
        <v>21618</v>
      </c>
      <c r="H1050" t="s">
        <v>21619</v>
      </c>
      <c r="I1050" t="s">
        <v>21620</v>
      </c>
      <c r="J1050" t="s">
        <v>21621</v>
      </c>
      <c r="K1050" t="s">
        <v>21622</v>
      </c>
      <c r="L1050" t="s">
        <v>21623</v>
      </c>
      <c r="M1050" t="s">
        <v>21624</v>
      </c>
      <c r="N1050" t="s">
        <v>21625</v>
      </c>
      <c r="O1050" t="s">
        <v>21626</v>
      </c>
      <c r="P1050">
        <f>-932.586350037149 -23.9088940667757 -202.974965468548</f>
        <v>-1159.4702095724726</v>
      </c>
      <c r="Q1050" t="s">
        <v>21627</v>
      </c>
      <c r="R1050" t="s">
        <v>21628</v>
      </c>
      <c r="S1050" t="s">
        <v>21629</v>
      </c>
      <c r="T1050" t="s">
        <v>21630</v>
      </c>
      <c r="U1050" t="s">
        <v>21631</v>
      </c>
      <c r="V1050" t="s">
        <v>21632</v>
      </c>
      <c r="W1050" t="s">
        <v>21633</v>
      </c>
      <c r="X1050" t="s">
        <v>21634</v>
      </c>
      <c r="Y1050" t="s">
        <v>21635</v>
      </c>
    </row>
    <row r="1051" spans="1:25" x14ac:dyDescent="0.3">
      <c r="A1051">
        <v>52500</v>
      </c>
      <c r="B1051" t="s">
        <v>21636</v>
      </c>
      <c r="C1051" t="s">
        <v>21637</v>
      </c>
      <c r="D1051" t="s">
        <v>21638</v>
      </c>
      <c r="E1051" t="s">
        <v>21639</v>
      </c>
      <c r="F1051" t="s">
        <v>21640</v>
      </c>
      <c r="G1051" t="s">
        <v>21641</v>
      </c>
      <c r="H1051" t="s">
        <v>21642</v>
      </c>
      <c r="I1051" t="s">
        <v>21643</v>
      </c>
      <c r="J1051" t="s">
        <v>21644</v>
      </c>
      <c r="K1051" t="s">
        <v>21645</v>
      </c>
      <c r="L1051" t="s">
        <v>21646</v>
      </c>
      <c r="M1051" t="s">
        <v>21647</v>
      </c>
      <c r="N1051" t="s">
        <v>21648</v>
      </c>
      <c r="O1051" t="s">
        <v>21649</v>
      </c>
      <c r="P1051">
        <f>-932.40909994871 -22.9404258650807 -202.433604551237</f>
        <v>-1157.7831303650278</v>
      </c>
      <c r="Q1051" t="s">
        <v>21650</v>
      </c>
      <c r="R1051" t="s">
        <v>21651</v>
      </c>
      <c r="S1051" t="s">
        <v>21652</v>
      </c>
      <c r="T1051" t="s">
        <v>21653</v>
      </c>
      <c r="U1051" t="s">
        <v>21654</v>
      </c>
      <c r="V1051" t="s">
        <v>21655</v>
      </c>
      <c r="W1051" t="s">
        <v>21656</v>
      </c>
      <c r="X1051" t="s">
        <v>21657</v>
      </c>
      <c r="Y1051" t="s">
        <v>21658</v>
      </c>
    </row>
    <row r="1052" spans="1:25" x14ac:dyDescent="0.3">
      <c r="A1052">
        <v>52550</v>
      </c>
      <c r="B1052" t="s">
        <v>21659</v>
      </c>
      <c r="C1052" t="s">
        <v>21660</v>
      </c>
      <c r="D1052" t="s">
        <v>21661</v>
      </c>
      <c r="E1052" t="s">
        <v>21662</v>
      </c>
      <c r="F1052" t="s">
        <v>21663</v>
      </c>
      <c r="G1052" t="s">
        <v>21664</v>
      </c>
      <c r="H1052" t="s">
        <v>21665</v>
      </c>
      <c r="I1052" t="s">
        <v>21666</v>
      </c>
      <c r="J1052" t="s">
        <v>21667</v>
      </c>
      <c r="K1052" t="s">
        <v>21668</v>
      </c>
      <c r="L1052" t="s">
        <v>21669</v>
      </c>
      <c r="M1052" t="s">
        <v>21670</v>
      </c>
      <c r="N1052" t="s">
        <v>21671</v>
      </c>
      <c r="O1052" t="s">
        <v>21672</v>
      </c>
      <c r="P1052">
        <f>-932.474897033359 -22.5850299773315 -202.194886030315</f>
        <v>-1157.2548130410055</v>
      </c>
      <c r="Q1052" t="s">
        <v>21673</v>
      </c>
      <c r="R1052" t="s">
        <v>21674</v>
      </c>
      <c r="S1052" t="s">
        <v>21675</v>
      </c>
      <c r="T1052" t="s">
        <v>21676</v>
      </c>
      <c r="U1052" t="s">
        <v>21677</v>
      </c>
      <c r="V1052" t="s">
        <v>21678</v>
      </c>
      <c r="W1052" t="s">
        <v>21679</v>
      </c>
      <c r="X1052" t="s">
        <v>21680</v>
      </c>
      <c r="Y1052" t="s">
        <v>21681</v>
      </c>
    </row>
    <row r="1053" spans="1:25" x14ac:dyDescent="0.3">
      <c r="A1053">
        <v>52600</v>
      </c>
      <c r="B1053" t="s">
        <v>21682</v>
      </c>
      <c r="C1053" t="s">
        <v>21683</v>
      </c>
      <c r="D1053" t="s">
        <v>21684</v>
      </c>
      <c r="E1053" t="s">
        <v>21685</v>
      </c>
      <c r="F1053" t="s">
        <v>21686</v>
      </c>
      <c r="G1053" t="s">
        <v>21687</v>
      </c>
      <c r="H1053" t="s">
        <v>21688</v>
      </c>
      <c r="I1053" t="s">
        <v>21689</v>
      </c>
      <c r="J1053" t="s">
        <v>21690</v>
      </c>
      <c r="K1053" t="s">
        <v>21691</v>
      </c>
      <c r="L1053" t="s">
        <v>21692</v>
      </c>
      <c r="M1053" t="s">
        <v>21693</v>
      </c>
      <c r="N1053" t="s">
        <v>21694</v>
      </c>
      <c r="O1053" t="s">
        <v>21695</v>
      </c>
      <c r="P1053">
        <f>-932.619804033341 -22.0684102036876 -201.841022580133</f>
        <v>-1156.5292368171615</v>
      </c>
      <c r="Q1053" t="s">
        <v>21696</v>
      </c>
      <c r="R1053" t="s">
        <v>21697</v>
      </c>
      <c r="S1053" t="s">
        <v>21698</v>
      </c>
      <c r="T1053" t="s">
        <v>21699</v>
      </c>
      <c r="U1053" t="s">
        <v>21700</v>
      </c>
      <c r="V1053" t="s">
        <v>21701</v>
      </c>
      <c r="W1053" t="s">
        <v>21702</v>
      </c>
      <c r="X1053" t="s">
        <v>21703</v>
      </c>
      <c r="Y1053" t="s">
        <v>21704</v>
      </c>
    </row>
    <row r="1054" spans="1:25" x14ac:dyDescent="0.3">
      <c r="A1054">
        <v>52650</v>
      </c>
      <c r="B1054" t="s">
        <v>21705</v>
      </c>
      <c r="C1054" t="s">
        <v>21706</v>
      </c>
      <c r="D1054" t="s">
        <v>21707</v>
      </c>
      <c r="E1054" t="s">
        <v>21708</v>
      </c>
      <c r="F1054" t="s">
        <v>21709</v>
      </c>
      <c r="G1054" t="s">
        <v>21710</v>
      </c>
      <c r="H1054" t="s">
        <v>21711</v>
      </c>
      <c r="I1054" t="s">
        <v>21712</v>
      </c>
      <c r="J1054" t="s">
        <v>21713</v>
      </c>
      <c r="K1054" t="s">
        <v>21714</v>
      </c>
      <c r="L1054" t="s">
        <v>21715</v>
      </c>
      <c r="M1054" t="s">
        <v>21716</v>
      </c>
      <c r="N1054" t="s">
        <v>21717</v>
      </c>
      <c r="O1054" t="s">
        <v>21718</v>
      </c>
      <c r="P1054">
        <f>-932.821754031085 -21.9247671762223 -201.735451322212</f>
        <v>-1156.4819725295192</v>
      </c>
      <c r="Q1054" t="s">
        <v>21719</v>
      </c>
      <c r="R1054" t="s">
        <v>21720</v>
      </c>
      <c r="S1054" t="s">
        <v>21721</v>
      </c>
      <c r="T1054" t="s">
        <v>21722</v>
      </c>
      <c r="U1054" t="s">
        <v>21723</v>
      </c>
      <c r="V1054" t="s">
        <v>21724</v>
      </c>
      <c r="W1054" t="s">
        <v>21725</v>
      </c>
      <c r="X1054" t="s">
        <v>21726</v>
      </c>
      <c r="Y1054" t="s">
        <v>21727</v>
      </c>
    </row>
    <row r="1055" spans="1:25" x14ac:dyDescent="0.3">
      <c r="A1055">
        <v>52700</v>
      </c>
      <c r="B1055" t="s">
        <v>21728</v>
      </c>
      <c r="C1055" t="s">
        <v>21729</v>
      </c>
      <c r="D1055" t="s">
        <v>21730</v>
      </c>
      <c r="E1055" t="s">
        <v>21731</v>
      </c>
      <c r="F1055" t="s">
        <v>21732</v>
      </c>
      <c r="G1055" t="s">
        <v>21733</v>
      </c>
      <c r="H1055" t="s">
        <v>21734</v>
      </c>
      <c r="I1055" t="s">
        <v>21735</v>
      </c>
      <c r="J1055" t="s">
        <v>21736</v>
      </c>
      <c r="K1055" t="s">
        <v>21737</v>
      </c>
      <c r="L1055" t="s">
        <v>21738</v>
      </c>
      <c r="M1055" t="s">
        <v>21739</v>
      </c>
      <c r="N1055" t="s">
        <v>21740</v>
      </c>
      <c r="O1055" t="s">
        <v>21741</v>
      </c>
      <c r="P1055">
        <f>-933.304622445903 -22.0840250796609 -201.579558505518</f>
        <v>-1156.968206031082</v>
      </c>
      <c r="Q1055" t="s">
        <v>21742</v>
      </c>
      <c r="R1055" t="s">
        <v>21743</v>
      </c>
      <c r="S1055" t="s">
        <v>21744</v>
      </c>
      <c r="T1055" t="s">
        <v>21745</v>
      </c>
      <c r="U1055" t="s">
        <v>21746</v>
      </c>
      <c r="V1055" t="s">
        <v>21747</v>
      </c>
      <c r="W1055" t="s">
        <v>21748</v>
      </c>
      <c r="X1055" t="s">
        <v>21749</v>
      </c>
      <c r="Y1055" t="s">
        <v>21750</v>
      </c>
    </row>
    <row r="1056" spans="1:25" x14ac:dyDescent="0.3">
      <c r="A1056">
        <v>52750</v>
      </c>
      <c r="B1056" t="s">
        <v>21751</v>
      </c>
      <c r="C1056" t="s">
        <v>21752</v>
      </c>
      <c r="D1056" t="s">
        <v>21753</v>
      </c>
      <c r="E1056" t="s">
        <v>21754</v>
      </c>
      <c r="F1056" t="s">
        <v>21755</v>
      </c>
      <c r="G1056" t="s">
        <v>21756</v>
      </c>
      <c r="H1056" t="s">
        <v>21757</v>
      </c>
      <c r="I1056" t="s">
        <v>21758</v>
      </c>
      <c r="J1056" t="s">
        <v>21759</v>
      </c>
      <c r="K1056" t="s">
        <v>21760</v>
      </c>
      <c r="L1056" t="s">
        <v>21761</v>
      </c>
      <c r="M1056" t="s">
        <v>21762</v>
      </c>
      <c r="N1056" t="s">
        <v>21763</v>
      </c>
      <c r="O1056" t="s">
        <v>21764</v>
      </c>
      <c r="P1056">
        <f>-933.874761088522 -22.3353607515692 -201.545314653735</f>
        <v>-1157.7554364938262</v>
      </c>
      <c r="Q1056" t="s">
        <v>21765</v>
      </c>
      <c r="R1056" t="s">
        <v>21766</v>
      </c>
      <c r="S1056" t="s">
        <v>21767</v>
      </c>
      <c r="T1056" t="s">
        <v>21768</v>
      </c>
      <c r="U1056" t="s">
        <v>21769</v>
      </c>
      <c r="V1056" t="s">
        <v>21770</v>
      </c>
      <c r="W1056" t="s">
        <v>21771</v>
      </c>
      <c r="X1056" t="s">
        <v>21772</v>
      </c>
      <c r="Y1056" t="s">
        <v>21773</v>
      </c>
    </row>
    <row r="1057" spans="1:25" x14ac:dyDescent="0.3">
      <c r="A1057">
        <v>52800</v>
      </c>
      <c r="B1057" t="s">
        <v>21774</v>
      </c>
      <c r="C1057" t="s">
        <v>21775</v>
      </c>
      <c r="D1057" t="s">
        <v>21776</v>
      </c>
      <c r="E1057" t="s">
        <v>21777</v>
      </c>
      <c r="F1057" t="s">
        <v>21778</v>
      </c>
      <c r="G1057" t="s">
        <v>21779</v>
      </c>
      <c r="H1057" t="s">
        <v>21780</v>
      </c>
      <c r="I1057" t="s">
        <v>21781</v>
      </c>
      <c r="J1057" t="s">
        <v>21782</v>
      </c>
      <c r="K1057" t="s">
        <v>21783</v>
      </c>
      <c r="L1057" t="s">
        <v>21784</v>
      </c>
      <c r="M1057" t="s">
        <v>21785</v>
      </c>
      <c r="N1057" t="s">
        <v>21786</v>
      </c>
      <c r="O1057" t="s">
        <v>21787</v>
      </c>
      <c r="P1057">
        <f>-935.771923205844 -22.4828505094142 -201.745320740153</f>
        <v>-1160.0000944554113</v>
      </c>
      <c r="Q1057" t="s">
        <v>21788</v>
      </c>
      <c r="R1057" t="s">
        <v>21789</v>
      </c>
      <c r="S1057" t="s">
        <v>21790</v>
      </c>
      <c r="T1057" t="s">
        <v>21791</v>
      </c>
      <c r="U1057" t="s">
        <v>21792</v>
      </c>
      <c r="V1057" t="s">
        <v>21793</v>
      </c>
      <c r="W1057" t="s">
        <v>21794</v>
      </c>
      <c r="X1057" t="s">
        <v>21795</v>
      </c>
      <c r="Y1057" t="s">
        <v>21796</v>
      </c>
    </row>
    <row r="1058" spans="1:25" x14ac:dyDescent="0.3">
      <c r="A1058">
        <v>52850</v>
      </c>
      <c r="B1058" t="s">
        <v>21797</v>
      </c>
      <c r="C1058" t="s">
        <v>21798</v>
      </c>
      <c r="D1058" t="s">
        <v>21799</v>
      </c>
      <c r="E1058" t="s">
        <v>21800</v>
      </c>
      <c r="F1058" t="s">
        <v>21801</v>
      </c>
      <c r="G1058" t="s">
        <v>21802</v>
      </c>
      <c r="H1058" t="s">
        <v>21803</v>
      </c>
      <c r="I1058" t="s">
        <v>21804</v>
      </c>
      <c r="J1058" t="s">
        <v>21805</v>
      </c>
      <c r="K1058" t="s">
        <v>21806</v>
      </c>
      <c r="L1058" t="s">
        <v>21807</v>
      </c>
      <c r="M1058" t="s">
        <v>21808</v>
      </c>
      <c r="N1058" t="s">
        <v>21809</v>
      </c>
      <c r="O1058" t="s">
        <v>21810</v>
      </c>
      <c r="P1058">
        <f>-937.078360940851 -22.0180076944789 -201.924957616726</f>
        <v>-1161.0213262520558</v>
      </c>
      <c r="Q1058" t="s">
        <v>21811</v>
      </c>
      <c r="R1058" t="s">
        <v>21812</v>
      </c>
      <c r="S1058" t="s">
        <v>21813</v>
      </c>
      <c r="T1058" t="s">
        <v>21814</v>
      </c>
      <c r="U1058" t="s">
        <v>21815</v>
      </c>
      <c r="V1058" t="s">
        <v>21816</v>
      </c>
      <c r="W1058" t="s">
        <v>21817</v>
      </c>
      <c r="X1058" t="s">
        <v>21818</v>
      </c>
      <c r="Y1058" t="s">
        <v>21819</v>
      </c>
    </row>
    <row r="1059" spans="1:25" x14ac:dyDescent="0.3">
      <c r="A1059">
        <v>52900</v>
      </c>
      <c r="B1059" t="s">
        <v>21820</v>
      </c>
      <c r="C1059" t="s">
        <v>21821</v>
      </c>
      <c r="D1059" t="s">
        <v>21822</v>
      </c>
      <c r="E1059" t="s">
        <v>21823</v>
      </c>
      <c r="F1059" t="s">
        <v>21824</v>
      </c>
      <c r="G1059" t="s">
        <v>21825</v>
      </c>
      <c r="H1059" t="s">
        <v>21826</v>
      </c>
      <c r="I1059" t="s">
        <v>21827</v>
      </c>
      <c r="J1059" t="s">
        <v>21828</v>
      </c>
      <c r="K1059" t="s">
        <v>21829</v>
      </c>
      <c r="L1059" t="s">
        <v>21830</v>
      </c>
      <c r="M1059" t="s">
        <v>21831</v>
      </c>
      <c r="N1059" t="s">
        <v>21832</v>
      </c>
      <c r="O1059" t="s">
        <v>21833</v>
      </c>
      <c r="P1059">
        <f>-939.489014053801 -21.3213596920332 -202.228061231912</f>
        <v>-1163.0384349777462</v>
      </c>
      <c r="Q1059" t="s">
        <v>21834</v>
      </c>
      <c r="R1059" t="s">
        <v>21835</v>
      </c>
      <c r="S1059" t="s">
        <v>21836</v>
      </c>
      <c r="T1059" t="s">
        <v>21837</v>
      </c>
      <c r="U1059" t="s">
        <v>21838</v>
      </c>
      <c r="V1059" t="s">
        <v>21839</v>
      </c>
      <c r="W1059" t="s">
        <v>21840</v>
      </c>
      <c r="X1059" t="s">
        <v>21841</v>
      </c>
      <c r="Y1059" t="s">
        <v>21842</v>
      </c>
    </row>
    <row r="1060" spans="1:25" x14ac:dyDescent="0.3">
      <c r="A1060">
        <v>52950</v>
      </c>
      <c r="B1060" t="s">
        <v>21843</v>
      </c>
      <c r="C1060" t="s">
        <v>21844</v>
      </c>
      <c r="D1060" t="s">
        <v>21845</v>
      </c>
      <c r="E1060" t="s">
        <v>21846</v>
      </c>
      <c r="F1060" t="s">
        <v>21847</v>
      </c>
      <c r="G1060" t="s">
        <v>21848</v>
      </c>
      <c r="H1060" t="s">
        <v>21849</v>
      </c>
      <c r="I1060" t="s">
        <v>21850</v>
      </c>
      <c r="J1060" t="s">
        <v>21851</v>
      </c>
      <c r="K1060" t="s">
        <v>21852</v>
      </c>
      <c r="L1060" t="s">
        <v>21853</v>
      </c>
      <c r="M1060" t="s">
        <v>21854</v>
      </c>
      <c r="N1060" t="s">
        <v>21855</v>
      </c>
      <c r="O1060" t="s">
        <v>21856</v>
      </c>
      <c r="P1060">
        <f>-940.736712427888 -20.9840494111363 -202.271138351733</f>
        <v>-1163.9919001907574</v>
      </c>
      <c r="Q1060" t="s">
        <v>21857</v>
      </c>
      <c r="R1060" t="s">
        <v>21858</v>
      </c>
      <c r="S1060" t="s">
        <v>21859</v>
      </c>
      <c r="T1060" t="s">
        <v>21860</v>
      </c>
      <c r="U1060" t="s">
        <v>21861</v>
      </c>
      <c r="V1060" t="s">
        <v>21862</v>
      </c>
      <c r="W1060" t="s">
        <v>21863</v>
      </c>
      <c r="X1060" t="s">
        <v>21864</v>
      </c>
      <c r="Y1060" t="s">
        <v>21865</v>
      </c>
    </row>
    <row r="1061" spans="1:25" x14ac:dyDescent="0.3">
      <c r="A1061">
        <v>53000</v>
      </c>
      <c r="B1061" t="s">
        <v>21866</v>
      </c>
      <c r="C1061" t="s">
        <v>21867</v>
      </c>
      <c r="D1061" t="s">
        <v>21868</v>
      </c>
      <c r="E1061" t="s">
        <v>21869</v>
      </c>
      <c r="F1061" t="s">
        <v>21870</v>
      </c>
      <c r="G1061" t="s">
        <v>21871</v>
      </c>
      <c r="H1061" t="s">
        <v>21872</v>
      </c>
      <c r="I1061" t="s">
        <v>21873</v>
      </c>
      <c r="J1061" t="s">
        <v>21874</v>
      </c>
      <c r="K1061" t="s">
        <v>21875</v>
      </c>
      <c r="L1061" t="s">
        <v>21876</v>
      </c>
      <c r="M1061" t="s">
        <v>21877</v>
      </c>
      <c r="N1061" t="s">
        <v>21878</v>
      </c>
      <c r="O1061" t="s">
        <v>21879</v>
      </c>
      <c r="P1061">
        <f>-942.468966888329 -21.6832836131421 -202.411632610707</f>
        <v>-1166.563883112178</v>
      </c>
      <c r="Q1061" t="s">
        <v>21880</v>
      </c>
      <c r="R1061" t="s">
        <v>21881</v>
      </c>
      <c r="S1061" t="s">
        <v>21882</v>
      </c>
      <c r="T1061" t="s">
        <v>21883</v>
      </c>
      <c r="U1061" t="s">
        <v>21884</v>
      </c>
      <c r="V1061" t="s">
        <v>21885</v>
      </c>
      <c r="W1061" t="s">
        <v>21886</v>
      </c>
      <c r="X1061" t="s">
        <v>21887</v>
      </c>
      <c r="Y1061" t="s">
        <v>21888</v>
      </c>
    </row>
    <row r="1062" spans="1:25" x14ac:dyDescent="0.3">
      <c r="A1062">
        <v>53050</v>
      </c>
      <c r="B1062" t="s">
        <v>21889</v>
      </c>
      <c r="C1062" t="s">
        <v>21890</v>
      </c>
      <c r="D1062" t="s">
        <v>21891</v>
      </c>
      <c r="E1062" t="s">
        <v>21892</v>
      </c>
      <c r="F1062" t="s">
        <v>21893</v>
      </c>
      <c r="G1062" t="s">
        <v>21894</v>
      </c>
      <c r="H1062" t="s">
        <v>21895</v>
      </c>
      <c r="I1062" t="s">
        <v>21896</v>
      </c>
      <c r="J1062" t="s">
        <v>21897</v>
      </c>
      <c r="K1062" t="s">
        <v>21898</v>
      </c>
      <c r="L1062" t="s">
        <v>21899</v>
      </c>
      <c r="M1062" t="s">
        <v>21900</v>
      </c>
      <c r="N1062" t="s">
        <v>21901</v>
      </c>
      <c r="O1062" t="s">
        <v>21902</v>
      </c>
      <c r="P1062">
        <f>-943.290411947042 -22.4921209648292 -202.591051644446</f>
        <v>-1168.3735845563172</v>
      </c>
      <c r="Q1062" t="s">
        <v>21903</v>
      </c>
      <c r="R1062" t="s">
        <v>21904</v>
      </c>
      <c r="S1062" t="s">
        <v>21905</v>
      </c>
      <c r="T1062" t="s">
        <v>21906</v>
      </c>
      <c r="U1062" t="s">
        <v>21907</v>
      </c>
      <c r="V1062" t="s">
        <v>21908</v>
      </c>
      <c r="W1062" t="s">
        <v>21909</v>
      </c>
      <c r="X1062" t="s">
        <v>21910</v>
      </c>
      <c r="Y1062" t="s">
        <v>21911</v>
      </c>
    </row>
    <row r="1063" spans="1:25" x14ac:dyDescent="0.3">
      <c r="A1063">
        <v>53100</v>
      </c>
      <c r="B1063" t="s">
        <v>21912</v>
      </c>
      <c r="C1063" t="s">
        <v>21913</v>
      </c>
      <c r="D1063" t="s">
        <v>21914</v>
      </c>
      <c r="E1063" t="s">
        <v>21915</v>
      </c>
      <c r="F1063" t="s">
        <v>21916</v>
      </c>
      <c r="G1063" t="s">
        <v>21917</v>
      </c>
      <c r="H1063" t="s">
        <v>21918</v>
      </c>
      <c r="I1063" t="s">
        <v>21919</v>
      </c>
      <c r="J1063" t="s">
        <v>21920</v>
      </c>
      <c r="K1063" t="s">
        <v>21921</v>
      </c>
      <c r="L1063" t="s">
        <v>21922</v>
      </c>
      <c r="M1063" t="s">
        <v>21923</v>
      </c>
      <c r="N1063" t="s">
        <v>21924</v>
      </c>
      <c r="O1063" t="s">
        <v>21925</v>
      </c>
      <c r="P1063">
        <f>-944.703413671269 -24.7954072240491 -203.161600103179</f>
        <v>-1172.6604209984971</v>
      </c>
      <c r="Q1063" t="s">
        <v>21926</v>
      </c>
      <c r="R1063" t="s">
        <v>21927</v>
      </c>
      <c r="S1063" t="s">
        <v>21928</v>
      </c>
      <c r="T1063" t="s">
        <v>21929</v>
      </c>
      <c r="U1063" t="s">
        <v>21930</v>
      </c>
      <c r="V1063" t="s">
        <v>21931</v>
      </c>
      <c r="W1063" t="s">
        <v>21932</v>
      </c>
      <c r="X1063" t="s">
        <v>21933</v>
      </c>
      <c r="Y1063" t="s">
        <v>21934</v>
      </c>
    </row>
    <row r="1064" spans="1:25" x14ac:dyDescent="0.3">
      <c r="A1064">
        <v>53150</v>
      </c>
      <c r="B1064" t="s">
        <v>21935</v>
      </c>
      <c r="C1064" t="s">
        <v>21936</v>
      </c>
      <c r="D1064" t="s">
        <v>21937</v>
      </c>
      <c r="E1064" t="s">
        <v>21938</v>
      </c>
      <c r="F1064" t="s">
        <v>21939</v>
      </c>
      <c r="G1064" t="s">
        <v>21940</v>
      </c>
      <c r="H1064" t="s">
        <v>21941</v>
      </c>
      <c r="I1064" t="s">
        <v>21942</v>
      </c>
      <c r="J1064" t="s">
        <v>21943</v>
      </c>
      <c r="K1064" t="s">
        <v>21944</v>
      </c>
      <c r="L1064" t="s">
        <v>21945</v>
      </c>
      <c r="M1064" t="s">
        <v>21946</v>
      </c>
      <c r="N1064" t="s">
        <v>21947</v>
      </c>
      <c r="O1064" t="s">
        <v>21948</v>
      </c>
      <c r="P1064">
        <f>-945.391244056749 -25.5928666387099 -203.471812318775</f>
        <v>-1174.4559230142338</v>
      </c>
      <c r="Q1064" t="s">
        <v>21949</v>
      </c>
      <c r="R1064" t="s">
        <v>21950</v>
      </c>
      <c r="S1064" t="s">
        <v>21951</v>
      </c>
      <c r="T1064" t="s">
        <v>21952</v>
      </c>
      <c r="U1064" t="s">
        <v>21953</v>
      </c>
      <c r="V1064" t="s">
        <v>21954</v>
      </c>
      <c r="W1064" t="s">
        <v>21955</v>
      </c>
      <c r="X1064" t="s">
        <v>21956</v>
      </c>
      <c r="Y1064" t="s">
        <v>21957</v>
      </c>
    </row>
    <row r="1065" spans="1:25" x14ac:dyDescent="0.3">
      <c r="A1065">
        <v>53200</v>
      </c>
      <c r="B1065" t="s">
        <v>21958</v>
      </c>
      <c r="C1065" t="s">
        <v>21959</v>
      </c>
      <c r="D1065" t="s">
        <v>21960</v>
      </c>
      <c r="E1065" t="s">
        <v>21961</v>
      </c>
      <c r="F1065" t="s">
        <v>21962</v>
      </c>
      <c r="G1065" t="s">
        <v>21963</v>
      </c>
      <c r="H1065" t="s">
        <v>21964</v>
      </c>
      <c r="I1065" t="s">
        <v>21965</v>
      </c>
      <c r="J1065" t="s">
        <v>21966</v>
      </c>
      <c r="K1065" t="s">
        <v>21967</v>
      </c>
      <c r="L1065" t="s">
        <v>21968</v>
      </c>
      <c r="M1065" t="s">
        <v>21969</v>
      </c>
      <c r="N1065" t="s">
        <v>21970</v>
      </c>
      <c r="O1065" t="s">
        <v>21971</v>
      </c>
      <c r="P1065">
        <f>-945.979845128307 -27.1007554434004 -203.859173668419</f>
        <v>-1176.9397742401266</v>
      </c>
      <c r="Q1065" t="s">
        <v>21972</v>
      </c>
      <c r="R1065" t="s">
        <v>21973</v>
      </c>
      <c r="S1065" t="s">
        <v>21974</v>
      </c>
      <c r="T1065" t="s">
        <v>21975</v>
      </c>
      <c r="U1065" t="s">
        <v>21976</v>
      </c>
      <c r="V1065" t="s">
        <v>21977</v>
      </c>
      <c r="W1065" t="s">
        <v>21978</v>
      </c>
      <c r="X1065" t="s">
        <v>21979</v>
      </c>
      <c r="Y1065" t="s">
        <v>21980</v>
      </c>
    </row>
    <row r="1066" spans="1:25" x14ac:dyDescent="0.3">
      <c r="A1066">
        <v>53250</v>
      </c>
      <c r="B1066" t="s">
        <v>21981</v>
      </c>
      <c r="C1066" t="s">
        <v>21982</v>
      </c>
      <c r="D1066" t="s">
        <v>21983</v>
      </c>
      <c r="E1066" t="s">
        <v>21984</v>
      </c>
      <c r="F1066" t="s">
        <v>21985</v>
      </c>
      <c r="G1066" t="s">
        <v>21986</v>
      </c>
      <c r="H1066" t="s">
        <v>21987</v>
      </c>
      <c r="I1066" t="s">
        <v>21988</v>
      </c>
      <c r="J1066" t="s">
        <v>21989</v>
      </c>
      <c r="K1066" t="s">
        <v>21990</v>
      </c>
      <c r="L1066" t="s">
        <v>21991</v>
      </c>
      <c r="M1066" t="s">
        <v>21992</v>
      </c>
      <c r="N1066" t="s">
        <v>21993</v>
      </c>
      <c r="O1066" t="s">
        <v>21994</v>
      </c>
      <c r="P1066">
        <f>-945.459327182736 -27.8925204065595 -203.934640713391</f>
        <v>-1177.2864883026864</v>
      </c>
      <c r="Q1066" t="s">
        <v>21995</v>
      </c>
      <c r="R1066" t="s">
        <v>21996</v>
      </c>
      <c r="S1066" t="s">
        <v>21997</v>
      </c>
      <c r="T1066" t="s">
        <v>21998</v>
      </c>
      <c r="U1066" t="s">
        <v>21999</v>
      </c>
      <c r="V1066" t="s">
        <v>22000</v>
      </c>
      <c r="W1066" t="s">
        <v>22001</v>
      </c>
      <c r="X1066" t="s">
        <v>22002</v>
      </c>
      <c r="Y1066" t="s">
        <v>22003</v>
      </c>
    </row>
    <row r="1067" spans="1:25" x14ac:dyDescent="0.3">
      <c r="A1067">
        <v>53300</v>
      </c>
      <c r="B1067" t="s">
        <v>22004</v>
      </c>
      <c r="C1067" t="s">
        <v>22005</v>
      </c>
      <c r="D1067" t="s">
        <v>22006</v>
      </c>
      <c r="E1067" t="s">
        <v>22007</v>
      </c>
      <c r="F1067" t="s">
        <v>22008</v>
      </c>
      <c r="G1067" t="s">
        <v>22009</v>
      </c>
      <c r="H1067" t="s">
        <v>22010</v>
      </c>
      <c r="I1067" t="s">
        <v>22011</v>
      </c>
      <c r="J1067" t="s">
        <v>22012</v>
      </c>
      <c r="K1067" t="s">
        <v>22013</v>
      </c>
      <c r="L1067" t="s">
        <v>22014</v>
      </c>
      <c r="M1067" t="s">
        <v>22015</v>
      </c>
      <c r="N1067" t="s">
        <v>22016</v>
      </c>
      <c r="O1067" t="s">
        <v>22017</v>
      </c>
      <c r="P1067">
        <f>-943.625695441429 -28.9951886744316 -203.976436669324</f>
        <v>-1176.5973207851846</v>
      </c>
      <c r="Q1067" t="s">
        <v>22018</v>
      </c>
      <c r="R1067" t="s">
        <v>22019</v>
      </c>
      <c r="S1067" t="s">
        <v>22020</v>
      </c>
      <c r="T1067" t="s">
        <v>22021</v>
      </c>
      <c r="U1067" t="s">
        <v>22022</v>
      </c>
      <c r="V1067" t="s">
        <v>22023</v>
      </c>
      <c r="W1067" t="s">
        <v>22024</v>
      </c>
      <c r="X1067" t="s">
        <v>22025</v>
      </c>
      <c r="Y1067" t="s">
        <v>22026</v>
      </c>
    </row>
    <row r="1068" spans="1:25" x14ac:dyDescent="0.3">
      <c r="A1068">
        <v>53350</v>
      </c>
      <c r="B1068" t="s">
        <v>22027</v>
      </c>
      <c r="C1068" t="s">
        <v>22028</v>
      </c>
      <c r="D1068" t="s">
        <v>22029</v>
      </c>
      <c r="E1068" t="s">
        <v>22030</v>
      </c>
      <c r="F1068" t="s">
        <v>22031</v>
      </c>
      <c r="G1068" t="s">
        <v>22032</v>
      </c>
      <c r="H1068" t="s">
        <v>22033</v>
      </c>
      <c r="I1068" t="s">
        <v>22034</v>
      </c>
      <c r="J1068" t="s">
        <v>22035</v>
      </c>
      <c r="K1068" t="s">
        <v>22036</v>
      </c>
      <c r="L1068" t="s">
        <v>22037</v>
      </c>
      <c r="M1068" t="s">
        <v>22038</v>
      </c>
      <c r="N1068" t="s">
        <v>22039</v>
      </c>
      <c r="O1068" t="s">
        <v>22040</v>
      </c>
      <c r="P1068">
        <f>-942.921386024398 -29.3743195315847 -204.036021144509</f>
        <v>-1176.3317267004916</v>
      </c>
      <c r="Q1068" t="s">
        <v>22041</v>
      </c>
      <c r="R1068" t="s">
        <v>22042</v>
      </c>
      <c r="S1068" t="s">
        <v>22043</v>
      </c>
      <c r="T1068" t="s">
        <v>22044</v>
      </c>
      <c r="U1068" t="s">
        <v>22045</v>
      </c>
      <c r="V1068" t="s">
        <v>22046</v>
      </c>
      <c r="W1068" t="s">
        <v>22047</v>
      </c>
      <c r="X1068" t="s">
        <v>22048</v>
      </c>
      <c r="Y1068" t="s">
        <v>22049</v>
      </c>
    </row>
    <row r="1069" spans="1:25" x14ac:dyDescent="0.3">
      <c r="A1069">
        <v>53400</v>
      </c>
      <c r="B1069" t="s">
        <v>22050</v>
      </c>
      <c r="C1069" t="s">
        <v>22051</v>
      </c>
      <c r="D1069" t="s">
        <v>22052</v>
      </c>
      <c r="E1069" t="s">
        <v>22053</v>
      </c>
      <c r="F1069" t="s">
        <v>22054</v>
      </c>
      <c r="G1069" t="s">
        <v>22055</v>
      </c>
      <c r="H1069" t="s">
        <v>22056</v>
      </c>
      <c r="I1069" t="s">
        <v>22057</v>
      </c>
      <c r="J1069" t="s">
        <v>22058</v>
      </c>
      <c r="K1069" t="s">
        <v>22059</v>
      </c>
      <c r="L1069" t="s">
        <v>22060</v>
      </c>
      <c r="M1069" t="s">
        <v>22061</v>
      </c>
      <c r="N1069" t="s">
        <v>22062</v>
      </c>
      <c r="O1069" t="s">
        <v>22063</v>
      </c>
      <c r="P1069">
        <f>-942.647841500099 -29.9691010468841 -204.23302499562</f>
        <v>-1176.8499675426033</v>
      </c>
      <c r="Q1069" t="s">
        <v>22064</v>
      </c>
      <c r="R1069" t="s">
        <v>22065</v>
      </c>
      <c r="S1069" t="s">
        <v>22066</v>
      </c>
      <c r="T1069" t="s">
        <v>22067</v>
      </c>
      <c r="U1069" t="s">
        <v>22068</v>
      </c>
      <c r="V1069" t="s">
        <v>22069</v>
      </c>
      <c r="W1069" t="s">
        <v>22070</v>
      </c>
      <c r="X1069" t="s">
        <v>22071</v>
      </c>
      <c r="Y1069" t="s">
        <v>22072</v>
      </c>
    </row>
    <row r="1070" spans="1:25" x14ac:dyDescent="0.3">
      <c r="A1070">
        <v>53450</v>
      </c>
      <c r="B1070" t="s">
        <v>22073</v>
      </c>
      <c r="C1070" t="s">
        <v>22074</v>
      </c>
      <c r="D1070" t="s">
        <v>22075</v>
      </c>
      <c r="E1070" t="s">
        <v>22076</v>
      </c>
      <c r="F1070" t="s">
        <v>22077</v>
      </c>
      <c r="G1070" t="s">
        <v>22078</v>
      </c>
      <c r="H1070" t="s">
        <v>22079</v>
      </c>
      <c r="I1070" t="s">
        <v>22080</v>
      </c>
      <c r="J1070" t="s">
        <v>22081</v>
      </c>
      <c r="K1070" t="s">
        <v>22082</v>
      </c>
      <c r="L1070" t="s">
        <v>22083</v>
      </c>
      <c r="M1070" t="s">
        <v>22084</v>
      </c>
      <c r="N1070" t="s">
        <v>22085</v>
      </c>
      <c r="O1070" t="s">
        <v>22086</v>
      </c>
      <c r="P1070">
        <f>-942.765090608324 -29.843658066135 -204.260092027578</f>
        <v>-1176.868840702037</v>
      </c>
      <c r="Q1070" t="s">
        <v>22087</v>
      </c>
      <c r="R1070" t="s">
        <v>22088</v>
      </c>
      <c r="S1070" t="s">
        <v>22089</v>
      </c>
      <c r="T1070" t="s">
        <v>22090</v>
      </c>
      <c r="U1070" t="s">
        <v>22091</v>
      </c>
      <c r="V1070" t="s">
        <v>22092</v>
      </c>
      <c r="W1070" t="s">
        <v>22093</v>
      </c>
      <c r="X1070" t="s">
        <v>22094</v>
      </c>
      <c r="Y1070" t="s">
        <v>22095</v>
      </c>
    </row>
    <row r="1071" spans="1:25" x14ac:dyDescent="0.3">
      <c r="A1071">
        <v>53500</v>
      </c>
      <c r="B1071" t="s">
        <v>22096</v>
      </c>
      <c r="C1071" t="s">
        <v>22097</v>
      </c>
      <c r="D1071" t="s">
        <v>22098</v>
      </c>
      <c r="E1071" t="s">
        <v>22099</v>
      </c>
      <c r="F1071" t="s">
        <v>22100</v>
      </c>
      <c r="G1071" t="s">
        <v>22101</v>
      </c>
      <c r="H1071" t="s">
        <v>22102</v>
      </c>
      <c r="I1071" t="s">
        <v>22103</v>
      </c>
      <c r="J1071" t="s">
        <v>22104</v>
      </c>
      <c r="K1071" t="s">
        <v>22105</v>
      </c>
      <c r="L1071" t="s">
        <v>22106</v>
      </c>
      <c r="M1071" t="s">
        <v>22107</v>
      </c>
      <c r="N1071" t="s">
        <v>22108</v>
      </c>
      <c r="O1071" t="s">
        <v>22109</v>
      </c>
      <c r="P1071">
        <f>-942.937236099168 -28.9282077741491 -204.147523874564</f>
        <v>-1176.012967747881</v>
      </c>
      <c r="Q1071" t="s">
        <v>22110</v>
      </c>
      <c r="R1071" t="s">
        <v>22111</v>
      </c>
      <c r="S1071" t="s">
        <v>22112</v>
      </c>
      <c r="T1071" t="s">
        <v>22113</v>
      </c>
      <c r="U1071" t="s">
        <v>22114</v>
      </c>
      <c r="V1071" t="s">
        <v>22115</v>
      </c>
      <c r="W1071" t="s">
        <v>22116</v>
      </c>
      <c r="X1071" t="s">
        <v>22117</v>
      </c>
      <c r="Y1071" t="s">
        <v>22118</v>
      </c>
    </row>
    <row r="1072" spans="1:25" x14ac:dyDescent="0.3">
      <c r="A1072">
        <v>53550</v>
      </c>
      <c r="B1072" t="s">
        <v>22119</v>
      </c>
      <c r="C1072" t="s">
        <v>22120</v>
      </c>
      <c r="D1072" t="s">
        <v>22121</v>
      </c>
      <c r="E1072" t="s">
        <v>22122</v>
      </c>
      <c r="F1072" t="s">
        <v>22123</v>
      </c>
      <c r="G1072" t="s">
        <v>22124</v>
      </c>
      <c r="H1072" t="s">
        <v>22125</v>
      </c>
      <c r="I1072" t="s">
        <v>22126</v>
      </c>
      <c r="J1072" t="s">
        <v>22127</v>
      </c>
      <c r="K1072" t="s">
        <v>22128</v>
      </c>
      <c r="L1072" t="s">
        <v>22129</v>
      </c>
      <c r="M1072" t="s">
        <v>22130</v>
      </c>
      <c r="N1072" t="s">
        <v>22131</v>
      </c>
      <c r="O1072" t="s">
        <v>22132</v>
      </c>
      <c r="P1072">
        <f>-943.121291942451 -28.2615546714746 -204.030909479713</f>
        <v>-1175.4137560936385</v>
      </c>
      <c r="Q1072" t="s">
        <v>22133</v>
      </c>
      <c r="R1072" t="s">
        <v>22134</v>
      </c>
      <c r="S1072" t="s">
        <v>22135</v>
      </c>
      <c r="T1072" t="s">
        <v>22136</v>
      </c>
      <c r="U1072" t="s">
        <v>22137</v>
      </c>
      <c r="V1072" t="s">
        <v>22138</v>
      </c>
      <c r="W1072" t="s">
        <v>22139</v>
      </c>
      <c r="X1072" t="s">
        <v>22140</v>
      </c>
      <c r="Y1072" t="s">
        <v>22141</v>
      </c>
    </row>
    <row r="1073" spans="1:25" x14ac:dyDescent="0.3">
      <c r="A1073">
        <v>53600</v>
      </c>
      <c r="B1073" t="s">
        <v>22142</v>
      </c>
      <c r="C1073" t="s">
        <v>22143</v>
      </c>
      <c r="D1073" t="s">
        <v>22144</v>
      </c>
      <c r="E1073" t="s">
        <v>22145</v>
      </c>
      <c r="F1073" t="s">
        <v>22146</v>
      </c>
      <c r="G1073" t="s">
        <v>22147</v>
      </c>
      <c r="H1073" t="s">
        <v>22148</v>
      </c>
      <c r="I1073" t="s">
        <v>22149</v>
      </c>
      <c r="J1073" t="s">
        <v>22150</v>
      </c>
      <c r="K1073" t="s">
        <v>22151</v>
      </c>
      <c r="L1073" t="s">
        <v>22152</v>
      </c>
      <c r="M1073" t="s">
        <v>22153</v>
      </c>
      <c r="N1073" t="s">
        <v>22154</v>
      </c>
      <c r="O1073" t="s">
        <v>22155</v>
      </c>
      <c r="P1073">
        <f>-943.404576411792 -27.389654073213 -203.911195450627</f>
        <v>-1174.7054259356321</v>
      </c>
      <c r="Q1073" t="s">
        <v>22156</v>
      </c>
      <c r="R1073" t="s">
        <v>22157</v>
      </c>
      <c r="S1073" t="s">
        <v>22158</v>
      </c>
      <c r="T1073" t="s">
        <v>22159</v>
      </c>
      <c r="U1073" t="s">
        <v>22160</v>
      </c>
      <c r="V1073" t="s">
        <v>22161</v>
      </c>
      <c r="W1073" t="s">
        <v>22162</v>
      </c>
      <c r="X1073" t="s">
        <v>22163</v>
      </c>
      <c r="Y1073" t="s">
        <v>22164</v>
      </c>
    </row>
    <row r="1074" spans="1:25" x14ac:dyDescent="0.3">
      <c r="A1074">
        <v>53650</v>
      </c>
      <c r="B1074" t="s">
        <v>22165</v>
      </c>
      <c r="C1074" t="s">
        <v>22166</v>
      </c>
      <c r="D1074" t="s">
        <v>22167</v>
      </c>
      <c r="E1074" t="s">
        <v>22168</v>
      </c>
      <c r="F1074" t="s">
        <v>22169</v>
      </c>
      <c r="G1074" t="s">
        <v>22170</v>
      </c>
      <c r="H1074" t="s">
        <v>22171</v>
      </c>
      <c r="I1074" t="s">
        <v>22172</v>
      </c>
      <c r="J1074" t="s">
        <v>22173</v>
      </c>
      <c r="K1074" t="s">
        <v>22174</v>
      </c>
      <c r="L1074" t="s">
        <v>22175</v>
      </c>
      <c r="M1074" t="s">
        <v>22176</v>
      </c>
      <c r="N1074" t="s">
        <v>22177</v>
      </c>
      <c r="O1074" t="s">
        <v>22178</v>
      </c>
      <c r="P1074">
        <f>-943.45028413042 -27.2854324819241 -203.952951095576</f>
        <v>-1174.6886677079201</v>
      </c>
      <c r="Q1074" t="s">
        <v>22179</v>
      </c>
      <c r="R1074" t="s">
        <v>22180</v>
      </c>
      <c r="S1074" t="s">
        <v>22181</v>
      </c>
      <c r="T1074" t="s">
        <v>22182</v>
      </c>
      <c r="U1074" t="s">
        <v>22183</v>
      </c>
      <c r="V1074" t="s">
        <v>22184</v>
      </c>
      <c r="W1074" t="s">
        <v>22185</v>
      </c>
      <c r="X1074" t="s">
        <v>22186</v>
      </c>
      <c r="Y1074" t="s">
        <v>22187</v>
      </c>
    </row>
    <row r="1075" spans="1:25" x14ac:dyDescent="0.3">
      <c r="A1075">
        <v>53700</v>
      </c>
      <c r="B1075" t="s">
        <v>22188</v>
      </c>
      <c r="C1075" t="s">
        <v>22189</v>
      </c>
      <c r="D1075" t="s">
        <v>22190</v>
      </c>
      <c r="E1075" t="s">
        <v>22191</v>
      </c>
      <c r="F1075" t="s">
        <v>22192</v>
      </c>
      <c r="G1075" t="s">
        <v>22193</v>
      </c>
      <c r="H1075" t="s">
        <v>22194</v>
      </c>
      <c r="I1075" t="s">
        <v>22195</v>
      </c>
      <c r="J1075" t="s">
        <v>22196</v>
      </c>
      <c r="K1075" t="s">
        <v>22197</v>
      </c>
      <c r="L1075" t="s">
        <v>22198</v>
      </c>
      <c r="M1075" t="s">
        <v>22199</v>
      </c>
      <c r="N1075" t="s">
        <v>22200</v>
      </c>
      <c r="O1075" t="s">
        <v>22201</v>
      </c>
      <c r="P1075">
        <f>-943.138656092822 -27.6235851370006 -204.180887156478</f>
        <v>-1174.9431283863007</v>
      </c>
      <c r="Q1075" t="s">
        <v>22202</v>
      </c>
      <c r="R1075" t="s">
        <v>22203</v>
      </c>
      <c r="S1075" t="s">
        <v>22204</v>
      </c>
      <c r="T1075" t="s">
        <v>22205</v>
      </c>
      <c r="U1075" t="s">
        <v>22206</v>
      </c>
      <c r="V1075" t="s">
        <v>22207</v>
      </c>
      <c r="W1075" t="s">
        <v>22208</v>
      </c>
      <c r="X1075" t="s">
        <v>22209</v>
      </c>
      <c r="Y1075" t="s">
        <v>22210</v>
      </c>
    </row>
    <row r="1076" spans="1:25" x14ac:dyDescent="0.3">
      <c r="A1076">
        <v>53750</v>
      </c>
      <c r="B1076" t="s">
        <v>22211</v>
      </c>
      <c r="C1076" t="s">
        <v>22212</v>
      </c>
      <c r="D1076" t="s">
        <v>22213</v>
      </c>
      <c r="E1076" t="s">
        <v>22214</v>
      </c>
      <c r="F1076" t="s">
        <v>22215</v>
      </c>
      <c r="G1076" t="s">
        <v>22216</v>
      </c>
      <c r="H1076" t="s">
        <v>22217</v>
      </c>
      <c r="I1076" t="s">
        <v>22218</v>
      </c>
      <c r="J1076" t="s">
        <v>22219</v>
      </c>
      <c r="K1076" t="s">
        <v>22220</v>
      </c>
      <c r="L1076" t="s">
        <v>22221</v>
      </c>
      <c r="M1076" t="s">
        <v>22222</v>
      </c>
      <c r="N1076" t="s">
        <v>22223</v>
      </c>
      <c r="O1076" t="s">
        <v>22224</v>
      </c>
      <c r="P1076">
        <f>-942.735547905593 -28.0553225027284 -204.214978384</f>
        <v>-1175.0058487923213</v>
      </c>
      <c r="Q1076" t="s">
        <v>22225</v>
      </c>
      <c r="R1076" t="s">
        <v>22226</v>
      </c>
      <c r="S1076" t="s">
        <v>22227</v>
      </c>
      <c r="T1076" t="s">
        <v>22228</v>
      </c>
      <c r="U1076" t="s">
        <v>22229</v>
      </c>
      <c r="V1076" t="s">
        <v>22230</v>
      </c>
      <c r="W1076" t="s">
        <v>22231</v>
      </c>
      <c r="X1076" t="s">
        <v>22232</v>
      </c>
      <c r="Y1076" t="s">
        <v>22233</v>
      </c>
    </row>
    <row r="1077" spans="1:25" x14ac:dyDescent="0.3">
      <c r="A1077">
        <v>53800</v>
      </c>
      <c r="B1077" t="s">
        <v>22234</v>
      </c>
      <c r="C1077" t="s">
        <v>22235</v>
      </c>
      <c r="D1077" t="s">
        <v>22236</v>
      </c>
      <c r="E1077" t="s">
        <v>22237</v>
      </c>
      <c r="F1077" t="s">
        <v>22238</v>
      </c>
      <c r="G1077" t="s">
        <v>22239</v>
      </c>
      <c r="H1077" t="s">
        <v>22240</v>
      </c>
      <c r="I1077" t="s">
        <v>22241</v>
      </c>
      <c r="J1077" t="s">
        <v>22242</v>
      </c>
      <c r="K1077" t="s">
        <v>22243</v>
      </c>
      <c r="L1077" t="s">
        <v>22244</v>
      </c>
      <c r="M1077" t="s">
        <v>22245</v>
      </c>
      <c r="N1077" t="s">
        <v>22246</v>
      </c>
      <c r="O1077" t="s">
        <v>22247</v>
      </c>
      <c r="P1077">
        <f>-941.760878703483 -28.6931563998605 -204.10517459189</f>
        <v>-1174.5592096952334</v>
      </c>
      <c r="Q1077" t="s">
        <v>22248</v>
      </c>
      <c r="R1077" t="s">
        <v>22249</v>
      </c>
      <c r="S1077" t="s">
        <v>22250</v>
      </c>
      <c r="T1077" t="s">
        <v>22251</v>
      </c>
      <c r="U1077" t="s">
        <v>22252</v>
      </c>
      <c r="V1077" t="s">
        <v>22253</v>
      </c>
      <c r="W1077" t="s">
        <v>22254</v>
      </c>
      <c r="X1077" t="s">
        <v>22255</v>
      </c>
      <c r="Y1077" t="s">
        <v>22256</v>
      </c>
    </row>
    <row r="1078" spans="1:25" x14ac:dyDescent="0.3">
      <c r="A1078">
        <v>53850</v>
      </c>
      <c r="B1078" t="s">
        <v>22257</v>
      </c>
      <c r="C1078" t="s">
        <v>22258</v>
      </c>
      <c r="D1078" t="s">
        <v>22259</v>
      </c>
      <c r="E1078" t="s">
        <v>22260</v>
      </c>
      <c r="F1078" t="s">
        <v>22261</v>
      </c>
      <c r="G1078" t="s">
        <v>22262</v>
      </c>
      <c r="H1078" t="s">
        <v>22263</v>
      </c>
      <c r="I1078" t="s">
        <v>22264</v>
      </c>
      <c r="J1078" t="s">
        <v>22265</v>
      </c>
      <c r="K1078" t="s">
        <v>22266</v>
      </c>
      <c r="L1078" t="s">
        <v>22267</v>
      </c>
      <c r="M1078" t="s">
        <v>22268</v>
      </c>
      <c r="N1078" t="s">
        <v>22269</v>
      </c>
      <c r="O1078" t="s">
        <v>22270</v>
      </c>
      <c r="P1078">
        <f>-941.297977061841 -28.9588201016995 -203.987306955366</f>
        <v>-1174.2441041189065</v>
      </c>
      <c r="Q1078" t="s">
        <v>22271</v>
      </c>
      <c r="R1078" t="s">
        <v>22272</v>
      </c>
      <c r="S1078" t="s">
        <v>22273</v>
      </c>
      <c r="T1078" t="s">
        <v>22274</v>
      </c>
      <c r="U1078" t="s">
        <v>22275</v>
      </c>
      <c r="V1078" t="s">
        <v>22276</v>
      </c>
      <c r="W1078" t="s">
        <v>22277</v>
      </c>
      <c r="X1078" t="s">
        <v>22278</v>
      </c>
      <c r="Y1078" t="s">
        <v>22279</v>
      </c>
    </row>
    <row r="1079" spans="1:25" x14ac:dyDescent="0.3">
      <c r="A1079">
        <v>53900</v>
      </c>
      <c r="B1079" t="s">
        <v>22280</v>
      </c>
      <c r="C1079" t="s">
        <v>22281</v>
      </c>
      <c r="D1079" t="s">
        <v>22282</v>
      </c>
      <c r="E1079" t="s">
        <v>22283</v>
      </c>
      <c r="F1079" t="s">
        <v>22284</v>
      </c>
      <c r="G1079" t="s">
        <v>22285</v>
      </c>
      <c r="H1079" t="s">
        <v>22286</v>
      </c>
      <c r="I1079" t="s">
        <v>22287</v>
      </c>
      <c r="J1079" t="s">
        <v>22288</v>
      </c>
      <c r="K1079" t="s">
        <v>22289</v>
      </c>
      <c r="L1079" t="s">
        <v>22290</v>
      </c>
      <c r="M1079" t="s">
        <v>22291</v>
      </c>
      <c r="N1079" t="s">
        <v>22292</v>
      </c>
      <c r="O1079" t="s">
        <v>22293</v>
      </c>
      <c r="P1079">
        <f>-940.557480317563 -29.4846904660772 -203.73716587472</f>
        <v>-1173.7793366583601</v>
      </c>
      <c r="Q1079" t="s">
        <v>22294</v>
      </c>
      <c r="R1079" t="s">
        <v>22295</v>
      </c>
      <c r="S1079" t="s">
        <v>22296</v>
      </c>
      <c r="T1079" t="s">
        <v>22297</v>
      </c>
      <c r="U1079" t="s">
        <v>22298</v>
      </c>
      <c r="V1079" t="s">
        <v>22299</v>
      </c>
      <c r="W1079" t="s">
        <v>22300</v>
      </c>
      <c r="X1079" t="s">
        <v>22301</v>
      </c>
      <c r="Y1079" t="s">
        <v>22302</v>
      </c>
    </row>
    <row r="1080" spans="1:25" x14ac:dyDescent="0.3">
      <c r="A1080">
        <v>53950</v>
      </c>
      <c r="B1080" t="s">
        <v>22303</v>
      </c>
      <c r="C1080" t="s">
        <v>22304</v>
      </c>
      <c r="D1080" t="s">
        <v>22305</v>
      </c>
      <c r="E1080" t="s">
        <v>22306</v>
      </c>
      <c r="F1080" t="s">
        <v>22307</v>
      </c>
      <c r="G1080" t="s">
        <v>22308</v>
      </c>
      <c r="H1080" t="s">
        <v>22309</v>
      </c>
      <c r="I1080" t="s">
        <v>22310</v>
      </c>
      <c r="J1080" t="s">
        <v>22311</v>
      </c>
      <c r="K1080" t="s">
        <v>22312</v>
      </c>
      <c r="L1080" t="s">
        <v>22313</v>
      </c>
      <c r="M1080" t="s">
        <v>22314</v>
      </c>
      <c r="N1080" t="s">
        <v>22315</v>
      </c>
      <c r="O1080" t="s">
        <v>22316</v>
      </c>
      <c r="P1080">
        <f>-940.309135023105 -29.7468996115576 -203.599911687741</f>
        <v>-1173.6559463224037</v>
      </c>
      <c r="Q1080" t="s">
        <v>22317</v>
      </c>
      <c r="R1080" t="s">
        <v>22318</v>
      </c>
      <c r="S1080" t="s">
        <v>22319</v>
      </c>
      <c r="T1080" t="s">
        <v>22320</v>
      </c>
      <c r="U1080" t="s">
        <v>22321</v>
      </c>
      <c r="V1080" t="s">
        <v>22322</v>
      </c>
      <c r="W1080" t="s">
        <v>22323</v>
      </c>
      <c r="X1080" t="s">
        <v>22324</v>
      </c>
      <c r="Y1080" t="s">
        <v>22325</v>
      </c>
    </row>
    <row r="1081" spans="1:25" x14ac:dyDescent="0.3">
      <c r="A1081">
        <v>54000</v>
      </c>
      <c r="B1081" t="s">
        <v>22326</v>
      </c>
      <c r="C1081" t="s">
        <v>22327</v>
      </c>
      <c r="D1081" t="s">
        <v>22328</v>
      </c>
      <c r="E1081" t="s">
        <v>22329</v>
      </c>
      <c r="F1081" t="s">
        <v>22330</v>
      </c>
      <c r="G1081" t="s">
        <v>22331</v>
      </c>
      <c r="H1081" t="s">
        <v>22332</v>
      </c>
      <c r="I1081" t="s">
        <v>22333</v>
      </c>
      <c r="J1081" t="s">
        <v>22334</v>
      </c>
      <c r="K1081" t="s">
        <v>22335</v>
      </c>
      <c r="L1081" t="s">
        <v>22336</v>
      </c>
      <c r="M1081" t="s">
        <v>22337</v>
      </c>
      <c r="N1081" t="s">
        <v>22338</v>
      </c>
      <c r="O1081" t="s">
        <v>22339</v>
      </c>
      <c r="P1081">
        <f>-939.892341497261 -30.1029412112948 -203.392333241016</f>
        <v>-1173.3876159495717</v>
      </c>
      <c r="Q1081" t="s">
        <v>22340</v>
      </c>
      <c r="R1081" t="s">
        <v>22341</v>
      </c>
      <c r="S1081" t="s">
        <v>22342</v>
      </c>
      <c r="T1081" t="s">
        <v>22343</v>
      </c>
      <c r="U1081" t="s">
        <v>22344</v>
      </c>
      <c r="V1081" t="s">
        <v>22345</v>
      </c>
      <c r="W1081" t="s">
        <v>22346</v>
      </c>
      <c r="X1081" t="s">
        <v>22347</v>
      </c>
      <c r="Y1081" t="s">
        <v>22348</v>
      </c>
    </row>
    <row r="1082" spans="1:25" x14ac:dyDescent="0.3">
      <c r="A1082">
        <v>54050</v>
      </c>
      <c r="B1082" t="s">
        <v>22349</v>
      </c>
      <c r="C1082" t="s">
        <v>22350</v>
      </c>
      <c r="D1082" t="s">
        <v>22351</v>
      </c>
      <c r="E1082" t="s">
        <v>22352</v>
      </c>
      <c r="F1082" t="s">
        <v>22353</v>
      </c>
      <c r="G1082" t="s">
        <v>22354</v>
      </c>
      <c r="H1082" t="s">
        <v>22355</v>
      </c>
      <c r="I1082" t="s">
        <v>22356</v>
      </c>
      <c r="J1082" t="s">
        <v>22357</v>
      </c>
      <c r="K1082" t="s">
        <v>22358</v>
      </c>
      <c r="L1082" t="s">
        <v>22359</v>
      </c>
      <c r="M1082" t="s">
        <v>22360</v>
      </c>
      <c r="N1082" t="s">
        <v>22361</v>
      </c>
      <c r="O1082" t="s">
        <v>22362</v>
      </c>
      <c r="P1082">
        <f>-939.818428978621 -29.9988751835608 -203.310585604622</f>
        <v>-1173.1278897668037</v>
      </c>
      <c r="Q1082" t="s">
        <v>22363</v>
      </c>
      <c r="R1082" t="s">
        <v>22364</v>
      </c>
      <c r="S1082" t="s">
        <v>22365</v>
      </c>
      <c r="T1082" t="s">
        <v>22366</v>
      </c>
      <c r="U1082" t="s">
        <v>22367</v>
      </c>
      <c r="V1082" t="s">
        <v>22368</v>
      </c>
      <c r="W1082" t="s">
        <v>22369</v>
      </c>
      <c r="X1082" t="s">
        <v>22370</v>
      </c>
      <c r="Y1082" t="s">
        <v>22371</v>
      </c>
    </row>
    <row r="1083" spans="1:25" x14ac:dyDescent="0.3">
      <c r="A1083">
        <v>54100</v>
      </c>
      <c r="B1083" t="s">
        <v>22372</v>
      </c>
      <c r="C1083" t="s">
        <v>22373</v>
      </c>
      <c r="D1083" t="s">
        <v>22374</v>
      </c>
      <c r="E1083" t="s">
        <v>22375</v>
      </c>
      <c r="F1083" t="s">
        <v>22376</v>
      </c>
      <c r="G1083" t="s">
        <v>22377</v>
      </c>
      <c r="H1083" t="s">
        <v>22378</v>
      </c>
      <c r="I1083" t="s">
        <v>22379</v>
      </c>
      <c r="J1083" t="s">
        <v>22380</v>
      </c>
      <c r="K1083" t="s">
        <v>22381</v>
      </c>
      <c r="L1083" t="s">
        <v>22382</v>
      </c>
      <c r="M1083" t="s">
        <v>22383</v>
      </c>
      <c r="N1083" t="s">
        <v>22384</v>
      </c>
      <c r="O1083" t="s">
        <v>22385</v>
      </c>
      <c r="P1083">
        <f>-939.933383552187 -29.589973148712 -203.162358384509</f>
        <v>-1172.685715085408</v>
      </c>
      <c r="Q1083" t="s">
        <v>22386</v>
      </c>
      <c r="R1083" t="s">
        <v>22387</v>
      </c>
      <c r="S1083" t="s">
        <v>22388</v>
      </c>
      <c r="T1083" t="s">
        <v>22389</v>
      </c>
      <c r="U1083" t="s">
        <v>22390</v>
      </c>
      <c r="V1083" t="s">
        <v>22391</v>
      </c>
      <c r="W1083" t="s">
        <v>22392</v>
      </c>
      <c r="X1083" t="s">
        <v>22393</v>
      </c>
      <c r="Y1083" t="s">
        <v>22394</v>
      </c>
    </row>
    <row r="1084" spans="1:25" x14ac:dyDescent="0.3">
      <c r="A1084">
        <v>54150</v>
      </c>
      <c r="B1084" t="s">
        <v>22395</v>
      </c>
      <c r="C1084" t="s">
        <v>22396</v>
      </c>
      <c r="D1084" t="s">
        <v>22397</v>
      </c>
      <c r="E1084" t="s">
        <v>22398</v>
      </c>
      <c r="F1084" t="s">
        <v>22399</v>
      </c>
      <c r="G1084" t="s">
        <v>22400</v>
      </c>
      <c r="H1084" t="s">
        <v>22401</v>
      </c>
      <c r="I1084" t="s">
        <v>22402</v>
      </c>
      <c r="J1084" t="s">
        <v>22403</v>
      </c>
      <c r="K1084" t="s">
        <v>22404</v>
      </c>
      <c r="L1084" t="s">
        <v>22405</v>
      </c>
      <c r="M1084" t="s">
        <v>22406</v>
      </c>
      <c r="N1084" t="s">
        <v>22407</v>
      </c>
      <c r="O1084" t="s">
        <v>22408</v>
      </c>
      <c r="P1084">
        <f>-939.961379737201 -29.5272089148602 -203.083372407294</f>
        <v>-1172.5719610593553</v>
      </c>
      <c r="Q1084" t="s">
        <v>22409</v>
      </c>
      <c r="R1084" t="s">
        <v>22410</v>
      </c>
      <c r="S1084" t="s">
        <v>22411</v>
      </c>
      <c r="T1084" t="s">
        <v>22412</v>
      </c>
      <c r="U1084" t="s">
        <v>22413</v>
      </c>
      <c r="V1084" t="s">
        <v>22414</v>
      </c>
      <c r="W1084" t="s">
        <v>22415</v>
      </c>
      <c r="X1084" t="s">
        <v>22416</v>
      </c>
      <c r="Y1084" t="s">
        <v>22417</v>
      </c>
    </row>
    <row r="1085" spans="1:25" x14ac:dyDescent="0.3">
      <c r="A1085">
        <v>54200</v>
      </c>
      <c r="B1085" t="s">
        <v>22418</v>
      </c>
      <c r="C1085" t="s">
        <v>22419</v>
      </c>
      <c r="D1085" t="s">
        <v>22420</v>
      </c>
      <c r="E1085" t="s">
        <v>22421</v>
      </c>
      <c r="F1085" t="s">
        <v>22422</v>
      </c>
      <c r="G1085" t="s">
        <v>22423</v>
      </c>
      <c r="H1085" t="s">
        <v>22424</v>
      </c>
      <c r="I1085" t="s">
        <v>22425</v>
      </c>
      <c r="J1085" t="s">
        <v>22426</v>
      </c>
      <c r="K1085" t="s">
        <v>22427</v>
      </c>
      <c r="L1085" t="s">
        <v>22428</v>
      </c>
      <c r="M1085" t="s">
        <v>22429</v>
      </c>
      <c r="N1085" t="s">
        <v>22430</v>
      </c>
      <c r="O1085" t="s">
        <v>22431</v>
      </c>
      <c r="P1085">
        <f>-940.074332760961 -29.3563052542413 -202.974245546693</f>
        <v>-1172.4048835618953</v>
      </c>
      <c r="Q1085" t="s">
        <v>22432</v>
      </c>
      <c r="R1085" t="s">
        <v>22433</v>
      </c>
      <c r="S1085" t="s">
        <v>22434</v>
      </c>
      <c r="T1085" t="s">
        <v>22435</v>
      </c>
      <c r="U1085" t="s">
        <v>22436</v>
      </c>
      <c r="V1085" t="s">
        <v>22437</v>
      </c>
      <c r="W1085" t="s">
        <v>22438</v>
      </c>
      <c r="X1085" t="s">
        <v>22439</v>
      </c>
      <c r="Y1085" t="s">
        <v>22440</v>
      </c>
    </row>
    <row r="1086" spans="1:25" x14ac:dyDescent="0.3">
      <c r="A1086">
        <v>54250</v>
      </c>
      <c r="B1086" t="s">
        <v>22441</v>
      </c>
      <c r="C1086" t="s">
        <v>22442</v>
      </c>
      <c r="D1086" t="s">
        <v>22443</v>
      </c>
      <c r="E1086" t="s">
        <v>22444</v>
      </c>
      <c r="F1086" t="s">
        <v>22445</v>
      </c>
      <c r="G1086" t="s">
        <v>22446</v>
      </c>
      <c r="H1086" t="s">
        <v>22447</v>
      </c>
      <c r="I1086" t="s">
        <v>22448</v>
      </c>
      <c r="J1086" t="s">
        <v>22449</v>
      </c>
      <c r="K1086" t="s">
        <v>22450</v>
      </c>
      <c r="L1086" t="s">
        <v>22451</v>
      </c>
      <c r="M1086" t="s">
        <v>22452</v>
      </c>
      <c r="N1086" t="s">
        <v>22453</v>
      </c>
      <c r="O1086" t="s">
        <v>22454</v>
      </c>
      <c r="P1086">
        <f>-940.142080951318 -29.2009060297673 -202.92215654711</f>
        <v>-1172.2651435281953</v>
      </c>
      <c r="Q1086" t="s">
        <v>22455</v>
      </c>
      <c r="R1086" t="s">
        <v>22456</v>
      </c>
      <c r="S1086" t="s">
        <v>22457</v>
      </c>
      <c r="T1086" t="s">
        <v>22458</v>
      </c>
      <c r="U1086" t="s">
        <v>22459</v>
      </c>
      <c r="V1086" t="s">
        <v>22460</v>
      </c>
      <c r="W1086" t="s">
        <v>22461</v>
      </c>
      <c r="X1086" t="s">
        <v>22462</v>
      </c>
      <c r="Y1086" t="s">
        <v>22463</v>
      </c>
    </row>
    <row r="1087" spans="1:25" x14ac:dyDescent="0.3">
      <c r="A1087">
        <v>54300</v>
      </c>
      <c r="B1087" t="s">
        <v>22464</v>
      </c>
      <c r="C1087" t="s">
        <v>22465</v>
      </c>
      <c r="D1087" t="s">
        <v>22466</v>
      </c>
      <c r="E1087" t="s">
        <v>22467</v>
      </c>
      <c r="F1087" t="s">
        <v>22468</v>
      </c>
      <c r="G1087" t="s">
        <v>22469</v>
      </c>
      <c r="H1087" t="s">
        <v>22470</v>
      </c>
      <c r="I1087" t="s">
        <v>22471</v>
      </c>
      <c r="J1087" t="s">
        <v>22472</v>
      </c>
      <c r="K1087" t="s">
        <v>22473</v>
      </c>
      <c r="L1087" t="s">
        <v>22474</v>
      </c>
      <c r="M1087" t="s">
        <v>22475</v>
      </c>
      <c r="N1087" t="s">
        <v>22476</v>
      </c>
      <c r="O1087" t="s">
        <v>22477</v>
      </c>
      <c r="P1087">
        <f>-940.588996808775 -28.7121347342741 -202.802155721456</f>
        <v>-1172.1032872645051</v>
      </c>
      <c r="Q1087" t="s">
        <v>22478</v>
      </c>
      <c r="R1087" t="s">
        <v>22479</v>
      </c>
      <c r="S1087" t="s">
        <v>22480</v>
      </c>
      <c r="T1087" t="s">
        <v>22481</v>
      </c>
      <c r="U1087" t="s">
        <v>22482</v>
      </c>
      <c r="V1087" t="s">
        <v>22483</v>
      </c>
      <c r="W1087" t="s">
        <v>22484</v>
      </c>
      <c r="X1087" t="s">
        <v>22485</v>
      </c>
      <c r="Y1087" t="s">
        <v>22486</v>
      </c>
    </row>
    <row r="1088" spans="1:25" x14ac:dyDescent="0.3">
      <c r="A1088">
        <v>54350</v>
      </c>
      <c r="B1088" t="s">
        <v>22487</v>
      </c>
      <c r="C1088" t="s">
        <v>22488</v>
      </c>
      <c r="D1088" t="s">
        <v>22489</v>
      </c>
      <c r="E1088" t="s">
        <v>22490</v>
      </c>
      <c r="F1088" t="s">
        <v>22491</v>
      </c>
      <c r="G1088" t="s">
        <v>22492</v>
      </c>
      <c r="H1088" t="s">
        <v>22493</v>
      </c>
      <c r="I1088" t="s">
        <v>22494</v>
      </c>
      <c r="J1088" t="s">
        <v>22495</v>
      </c>
      <c r="K1088" t="s">
        <v>22496</v>
      </c>
      <c r="L1088" t="s">
        <v>22497</v>
      </c>
      <c r="M1088" t="s">
        <v>22498</v>
      </c>
      <c r="N1088" t="s">
        <v>22499</v>
      </c>
      <c r="O1088" t="s">
        <v>22500</v>
      </c>
      <c r="P1088">
        <f>-941.020121635292 -28.3519056273412 -202.791364435794</f>
        <v>-1172.1633916984272</v>
      </c>
      <c r="Q1088" t="s">
        <v>22501</v>
      </c>
      <c r="R1088" t="s">
        <v>22502</v>
      </c>
      <c r="S1088" t="s">
        <v>22503</v>
      </c>
      <c r="T1088" t="s">
        <v>22504</v>
      </c>
      <c r="U1088" t="s">
        <v>22505</v>
      </c>
      <c r="V1088" t="s">
        <v>22506</v>
      </c>
      <c r="W1088" t="s">
        <v>22507</v>
      </c>
      <c r="X1088" t="s">
        <v>22508</v>
      </c>
      <c r="Y1088" t="s">
        <v>22509</v>
      </c>
    </row>
    <row r="1089" spans="1:25" x14ac:dyDescent="0.3">
      <c r="A1089">
        <v>54400</v>
      </c>
      <c r="B1089" t="s">
        <v>22510</v>
      </c>
      <c r="C1089" t="s">
        <v>22511</v>
      </c>
      <c r="D1089" t="s">
        <v>22512</v>
      </c>
      <c r="E1089" t="s">
        <v>22513</v>
      </c>
      <c r="F1089" t="s">
        <v>22514</v>
      </c>
      <c r="G1089" t="s">
        <v>22515</v>
      </c>
      <c r="H1089" t="s">
        <v>22516</v>
      </c>
      <c r="I1089" t="s">
        <v>22517</v>
      </c>
      <c r="J1089" t="s">
        <v>22518</v>
      </c>
      <c r="K1089" t="s">
        <v>22519</v>
      </c>
      <c r="L1089" t="s">
        <v>22520</v>
      </c>
      <c r="M1089" t="s">
        <v>22521</v>
      </c>
      <c r="N1089" t="s">
        <v>22522</v>
      </c>
      <c r="O1089" t="s">
        <v>22523</v>
      </c>
      <c r="P1089">
        <f>-941.887622242813 -27.5052025019218 -202.872991031156</f>
        <v>-1172.2658157758908</v>
      </c>
      <c r="Q1089" t="s">
        <v>22524</v>
      </c>
      <c r="R1089" t="s">
        <v>22525</v>
      </c>
      <c r="S1089" t="s">
        <v>22526</v>
      </c>
      <c r="T1089" t="s">
        <v>22527</v>
      </c>
      <c r="U1089" t="s">
        <v>22528</v>
      </c>
      <c r="V1089" t="s">
        <v>22529</v>
      </c>
      <c r="W1089" t="s">
        <v>22530</v>
      </c>
      <c r="X1089" t="s">
        <v>22531</v>
      </c>
      <c r="Y1089" t="s">
        <v>22532</v>
      </c>
    </row>
    <row r="1090" spans="1:25" x14ac:dyDescent="0.3">
      <c r="A1090">
        <v>54450</v>
      </c>
      <c r="B1090" t="s">
        <v>22533</v>
      </c>
      <c r="C1090" t="s">
        <v>22534</v>
      </c>
      <c r="D1090" t="s">
        <v>22535</v>
      </c>
      <c r="E1090" t="s">
        <v>22536</v>
      </c>
      <c r="F1090" t="s">
        <v>22537</v>
      </c>
      <c r="G1090" t="s">
        <v>22538</v>
      </c>
      <c r="H1090" t="s">
        <v>22539</v>
      </c>
      <c r="I1090" t="s">
        <v>22540</v>
      </c>
      <c r="J1090" t="s">
        <v>22541</v>
      </c>
      <c r="K1090" t="s">
        <v>22542</v>
      </c>
      <c r="L1090" t="s">
        <v>22543</v>
      </c>
      <c r="M1090" t="s">
        <v>22544</v>
      </c>
      <c r="N1090" t="s">
        <v>22545</v>
      </c>
      <c r="O1090" t="s">
        <v>22546</v>
      </c>
      <c r="P1090">
        <f>-942.190727691018 -27.2751686317574 -202.949876786319</f>
        <v>-1172.4157731090945</v>
      </c>
      <c r="Q1090" t="s">
        <v>22547</v>
      </c>
      <c r="R1090" t="s">
        <v>22548</v>
      </c>
      <c r="S1090" t="s">
        <v>22549</v>
      </c>
      <c r="T1090" t="s">
        <v>22550</v>
      </c>
      <c r="U1090" t="s">
        <v>22551</v>
      </c>
      <c r="V1090" t="s">
        <v>22552</v>
      </c>
      <c r="W1090" t="s">
        <v>22553</v>
      </c>
      <c r="X1090" t="s">
        <v>22554</v>
      </c>
      <c r="Y1090" t="s">
        <v>22555</v>
      </c>
    </row>
    <row r="1091" spans="1:25" x14ac:dyDescent="0.3">
      <c r="A1091">
        <v>54500</v>
      </c>
      <c r="B1091" t="s">
        <v>22556</v>
      </c>
      <c r="C1091" t="s">
        <v>22557</v>
      </c>
      <c r="D1091" t="s">
        <v>22558</v>
      </c>
      <c r="E1091" t="s">
        <v>22559</v>
      </c>
      <c r="F1091" t="s">
        <v>22560</v>
      </c>
      <c r="G1091" t="s">
        <v>22561</v>
      </c>
      <c r="H1091" t="s">
        <v>22562</v>
      </c>
      <c r="I1091" t="s">
        <v>22563</v>
      </c>
      <c r="J1091" t="s">
        <v>22564</v>
      </c>
      <c r="K1091" t="s">
        <v>22565</v>
      </c>
      <c r="L1091" t="s">
        <v>22566</v>
      </c>
      <c r="M1091" t="s">
        <v>22567</v>
      </c>
      <c r="N1091" t="s">
        <v>22568</v>
      </c>
      <c r="O1091" t="s">
        <v>22569</v>
      </c>
      <c r="P1091">
        <f>-942.726432982338 -26.8416643704445 -203.058301536706</f>
        <v>-1172.6263988894884</v>
      </c>
      <c r="Q1091" t="s">
        <v>22570</v>
      </c>
      <c r="R1091" t="s">
        <v>22571</v>
      </c>
      <c r="S1091" t="s">
        <v>22572</v>
      </c>
      <c r="T1091" t="s">
        <v>22573</v>
      </c>
      <c r="U1091" t="s">
        <v>22574</v>
      </c>
      <c r="V1091" t="s">
        <v>22575</v>
      </c>
      <c r="W1091" t="s">
        <v>22576</v>
      </c>
      <c r="X1091" t="s">
        <v>22577</v>
      </c>
      <c r="Y1091" t="s">
        <v>22578</v>
      </c>
    </row>
    <row r="1092" spans="1:25" x14ac:dyDescent="0.3">
      <c r="A1092">
        <v>54550</v>
      </c>
      <c r="B1092" t="s">
        <v>22579</v>
      </c>
      <c r="C1092" t="s">
        <v>22580</v>
      </c>
      <c r="D1092" t="s">
        <v>22581</v>
      </c>
      <c r="E1092" t="s">
        <v>22582</v>
      </c>
      <c r="F1092" t="s">
        <v>22583</v>
      </c>
      <c r="G1092" t="s">
        <v>22584</v>
      </c>
      <c r="H1092" t="s">
        <v>22585</v>
      </c>
      <c r="I1092" t="s">
        <v>22586</v>
      </c>
      <c r="J1092" t="s">
        <v>22587</v>
      </c>
      <c r="K1092" t="s">
        <v>22588</v>
      </c>
      <c r="L1092" t="s">
        <v>22589</v>
      </c>
      <c r="M1092" t="s">
        <v>22590</v>
      </c>
      <c r="N1092" t="s">
        <v>22591</v>
      </c>
      <c r="O1092" t="s">
        <v>22592</v>
      </c>
      <c r="P1092">
        <f>-943.058225690206 -26.7561056251629 -203.106343881078</f>
        <v>-1172.9206751964468</v>
      </c>
      <c r="Q1092" t="s">
        <v>22593</v>
      </c>
      <c r="R1092" t="s">
        <v>22594</v>
      </c>
      <c r="S1092" t="s">
        <v>22595</v>
      </c>
      <c r="T1092" t="s">
        <v>22596</v>
      </c>
      <c r="U1092" t="s">
        <v>22597</v>
      </c>
      <c r="V1092" t="s">
        <v>22598</v>
      </c>
      <c r="W1092" t="s">
        <v>22599</v>
      </c>
      <c r="X1092" t="s">
        <v>22600</v>
      </c>
      <c r="Y1092" t="s">
        <v>22601</v>
      </c>
    </row>
    <row r="1093" spans="1:25" x14ac:dyDescent="0.3">
      <c r="A1093">
        <v>54600</v>
      </c>
      <c r="B1093" t="s">
        <v>22602</v>
      </c>
      <c r="C1093" t="s">
        <v>22603</v>
      </c>
      <c r="D1093" t="s">
        <v>22604</v>
      </c>
      <c r="E1093" t="s">
        <v>22605</v>
      </c>
      <c r="F1093" t="s">
        <v>22606</v>
      </c>
      <c r="G1093" t="s">
        <v>22607</v>
      </c>
      <c r="H1093" t="s">
        <v>22608</v>
      </c>
      <c r="I1093" t="s">
        <v>22609</v>
      </c>
      <c r="J1093" t="s">
        <v>22610</v>
      </c>
      <c r="K1093" t="s">
        <v>22611</v>
      </c>
      <c r="L1093" t="s">
        <v>22612</v>
      </c>
      <c r="M1093" t="s">
        <v>22613</v>
      </c>
      <c r="N1093" t="s">
        <v>22614</v>
      </c>
      <c r="O1093" t="s">
        <v>22615</v>
      </c>
      <c r="P1093">
        <f>-943.785634941077 -26.6497865202477 -203.094273825783</f>
        <v>-1173.5296952871076</v>
      </c>
      <c r="Q1093" t="s">
        <v>22616</v>
      </c>
      <c r="R1093" t="s">
        <v>22617</v>
      </c>
      <c r="S1093" t="s">
        <v>22618</v>
      </c>
      <c r="T1093" t="s">
        <v>22619</v>
      </c>
      <c r="U1093" t="s">
        <v>22620</v>
      </c>
      <c r="V1093" t="s">
        <v>22621</v>
      </c>
      <c r="W1093" t="s">
        <v>22622</v>
      </c>
      <c r="X1093" t="s">
        <v>22623</v>
      </c>
      <c r="Y1093" t="s">
        <v>22624</v>
      </c>
    </row>
    <row r="1094" spans="1:25" x14ac:dyDescent="0.3">
      <c r="A1094">
        <v>54650</v>
      </c>
      <c r="B1094" t="s">
        <v>22625</v>
      </c>
      <c r="C1094" t="s">
        <v>22626</v>
      </c>
      <c r="D1094" t="s">
        <v>22627</v>
      </c>
      <c r="E1094" t="s">
        <v>22628</v>
      </c>
      <c r="F1094" t="s">
        <v>22629</v>
      </c>
      <c r="G1094" t="s">
        <v>22630</v>
      </c>
      <c r="H1094" t="s">
        <v>22631</v>
      </c>
      <c r="I1094" t="s">
        <v>22632</v>
      </c>
      <c r="J1094" t="s">
        <v>22633</v>
      </c>
      <c r="K1094" t="s">
        <v>22634</v>
      </c>
      <c r="L1094" t="s">
        <v>22635</v>
      </c>
      <c r="M1094" t="s">
        <v>22636</v>
      </c>
      <c r="N1094" t="s">
        <v>22637</v>
      </c>
      <c r="O1094" t="s">
        <v>22638</v>
      </c>
      <c r="P1094">
        <f>-944.225489363276 -26.573585203746 -203.024561131769</f>
        <v>-1173.8236356987909</v>
      </c>
      <c r="Q1094" t="s">
        <v>22639</v>
      </c>
      <c r="R1094" t="s">
        <v>22640</v>
      </c>
      <c r="S1094" t="s">
        <v>22641</v>
      </c>
      <c r="T1094" t="s">
        <v>22642</v>
      </c>
      <c r="U1094" t="s">
        <v>22643</v>
      </c>
      <c r="V1094" t="s">
        <v>22644</v>
      </c>
      <c r="W1094" t="s">
        <v>22645</v>
      </c>
      <c r="X1094" t="s">
        <v>22646</v>
      </c>
      <c r="Y1094" t="s">
        <v>22647</v>
      </c>
    </row>
    <row r="1095" spans="1:25" x14ac:dyDescent="0.3">
      <c r="A1095">
        <v>54700</v>
      </c>
      <c r="B1095" t="s">
        <v>22648</v>
      </c>
      <c r="C1095" t="s">
        <v>22649</v>
      </c>
      <c r="D1095" t="s">
        <v>22650</v>
      </c>
      <c r="E1095" t="s">
        <v>22651</v>
      </c>
      <c r="F1095" t="s">
        <v>22652</v>
      </c>
      <c r="G1095" t="s">
        <v>22653</v>
      </c>
      <c r="H1095" t="s">
        <v>22654</v>
      </c>
      <c r="I1095" t="s">
        <v>22655</v>
      </c>
      <c r="J1095" t="s">
        <v>22656</v>
      </c>
      <c r="K1095" t="s">
        <v>22657</v>
      </c>
      <c r="L1095" t="s">
        <v>22658</v>
      </c>
      <c r="M1095" t="s">
        <v>22659</v>
      </c>
      <c r="N1095" t="s">
        <v>22660</v>
      </c>
      <c r="O1095" t="s">
        <v>22661</v>
      </c>
      <c r="P1095">
        <f>-945.172217885934 -26.1365735150971 -202.980400264496</f>
        <v>-1174.2891916655271</v>
      </c>
      <c r="Q1095" t="s">
        <v>22662</v>
      </c>
      <c r="R1095" t="s">
        <v>22663</v>
      </c>
      <c r="S1095" t="s">
        <v>22664</v>
      </c>
      <c r="T1095" t="s">
        <v>22665</v>
      </c>
      <c r="U1095" t="s">
        <v>22666</v>
      </c>
      <c r="V1095" t="s">
        <v>22667</v>
      </c>
      <c r="W1095" t="s">
        <v>22668</v>
      </c>
      <c r="X1095" t="s">
        <v>22669</v>
      </c>
      <c r="Y1095" t="s">
        <v>22670</v>
      </c>
    </row>
    <row r="1096" spans="1:25" x14ac:dyDescent="0.3">
      <c r="A1096">
        <v>54750</v>
      </c>
      <c r="B1096" t="s">
        <v>22671</v>
      </c>
      <c r="C1096" t="s">
        <v>22672</v>
      </c>
      <c r="D1096" t="s">
        <v>22673</v>
      </c>
      <c r="E1096" t="s">
        <v>22674</v>
      </c>
      <c r="F1096" t="s">
        <v>22675</v>
      </c>
      <c r="G1096" t="s">
        <v>22676</v>
      </c>
      <c r="H1096" t="s">
        <v>22677</v>
      </c>
      <c r="I1096" t="s">
        <v>22678</v>
      </c>
      <c r="J1096" t="s">
        <v>22679</v>
      </c>
      <c r="K1096" t="s">
        <v>22680</v>
      </c>
      <c r="L1096" t="s">
        <v>22681</v>
      </c>
      <c r="M1096" t="s">
        <v>22682</v>
      </c>
      <c r="N1096" t="s">
        <v>22683</v>
      </c>
      <c r="O1096" t="s">
        <v>22684</v>
      </c>
      <c r="P1096">
        <f>-945.648212865108 -25.9980810350949 -203.0052692492</f>
        <v>-1174.6515631494028</v>
      </c>
      <c r="Q1096" t="s">
        <v>22685</v>
      </c>
      <c r="R1096" t="s">
        <v>22686</v>
      </c>
      <c r="S1096" t="s">
        <v>22687</v>
      </c>
      <c r="T1096" t="s">
        <v>22688</v>
      </c>
      <c r="U1096" t="s">
        <v>22689</v>
      </c>
      <c r="V1096" t="s">
        <v>22690</v>
      </c>
      <c r="W1096" t="s">
        <v>22691</v>
      </c>
      <c r="X1096" t="s">
        <v>22692</v>
      </c>
      <c r="Y1096" t="s">
        <v>22693</v>
      </c>
    </row>
    <row r="1097" spans="1:25" x14ac:dyDescent="0.3">
      <c r="A1097">
        <v>54800</v>
      </c>
      <c r="B1097" t="s">
        <v>22694</v>
      </c>
      <c r="C1097" t="s">
        <v>22695</v>
      </c>
      <c r="D1097" t="s">
        <v>22696</v>
      </c>
      <c r="E1097" t="s">
        <v>22697</v>
      </c>
      <c r="F1097" t="s">
        <v>22698</v>
      </c>
      <c r="G1097" t="s">
        <v>22699</v>
      </c>
      <c r="H1097" t="s">
        <v>22700</v>
      </c>
      <c r="I1097" t="s">
        <v>22701</v>
      </c>
      <c r="J1097" t="s">
        <v>22702</v>
      </c>
      <c r="K1097" t="s">
        <v>22703</v>
      </c>
      <c r="L1097" t="s">
        <v>22704</v>
      </c>
      <c r="M1097" t="s">
        <v>22705</v>
      </c>
      <c r="N1097" t="s">
        <v>22706</v>
      </c>
      <c r="O1097" t="s">
        <v>22707</v>
      </c>
      <c r="P1097">
        <f>-946.451259369893 -25.9696096483817 -203.117801291493</f>
        <v>-1175.5386703097677</v>
      </c>
      <c r="Q1097" t="s">
        <v>22708</v>
      </c>
      <c r="R1097" t="s">
        <v>22709</v>
      </c>
      <c r="S1097" t="s">
        <v>22710</v>
      </c>
      <c r="T1097" t="s">
        <v>22711</v>
      </c>
      <c r="U1097" t="s">
        <v>22712</v>
      </c>
      <c r="V1097" t="s">
        <v>22713</v>
      </c>
      <c r="W1097" t="s">
        <v>22714</v>
      </c>
      <c r="X1097" t="s">
        <v>22715</v>
      </c>
      <c r="Y1097" t="s">
        <v>22716</v>
      </c>
    </row>
    <row r="1098" spans="1:25" x14ac:dyDescent="0.3">
      <c r="A1098">
        <v>54850</v>
      </c>
      <c r="B1098" t="s">
        <v>22717</v>
      </c>
      <c r="C1098" t="s">
        <v>22718</v>
      </c>
      <c r="D1098" t="s">
        <v>22719</v>
      </c>
      <c r="E1098" t="s">
        <v>22720</v>
      </c>
      <c r="F1098" t="s">
        <v>22721</v>
      </c>
      <c r="G1098" t="s">
        <v>22722</v>
      </c>
      <c r="H1098" t="s">
        <v>22723</v>
      </c>
      <c r="I1098" t="s">
        <v>22724</v>
      </c>
      <c r="J1098" t="s">
        <v>22725</v>
      </c>
      <c r="K1098" t="s">
        <v>22726</v>
      </c>
      <c r="L1098" t="s">
        <v>22727</v>
      </c>
      <c r="M1098" t="s">
        <v>22728</v>
      </c>
      <c r="N1098" t="s">
        <v>22729</v>
      </c>
      <c r="O1098" t="s">
        <v>22730</v>
      </c>
      <c r="P1098">
        <f>-946.765620322579 -26.100515307211 -203.143696465598</f>
        <v>-1176.009832095388</v>
      </c>
      <c r="Q1098" t="s">
        <v>22731</v>
      </c>
      <c r="R1098" t="s">
        <v>22732</v>
      </c>
      <c r="S1098" t="s">
        <v>22733</v>
      </c>
      <c r="T1098" t="s">
        <v>22734</v>
      </c>
      <c r="U1098" t="s">
        <v>22735</v>
      </c>
      <c r="V1098" t="s">
        <v>22736</v>
      </c>
      <c r="W1098" t="s">
        <v>22737</v>
      </c>
      <c r="X1098" t="s">
        <v>22738</v>
      </c>
      <c r="Y1098" t="s">
        <v>22739</v>
      </c>
    </row>
    <row r="1099" spans="1:25" x14ac:dyDescent="0.3">
      <c r="A1099">
        <v>54900</v>
      </c>
      <c r="B1099" t="s">
        <v>22740</v>
      </c>
      <c r="C1099" t="s">
        <v>22741</v>
      </c>
      <c r="D1099" t="s">
        <v>22742</v>
      </c>
      <c r="E1099" t="s">
        <v>22743</v>
      </c>
      <c r="F1099" t="s">
        <v>22744</v>
      </c>
      <c r="G1099" t="s">
        <v>22745</v>
      </c>
      <c r="H1099" t="s">
        <v>22746</v>
      </c>
      <c r="I1099" t="s">
        <v>22747</v>
      </c>
      <c r="J1099" t="s">
        <v>22748</v>
      </c>
      <c r="K1099" t="s">
        <v>22749</v>
      </c>
      <c r="L1099" t="s">
        <v>22750</v>
      </c>
      <c r="M1099" t="s">
        <v>22751</v>
      </c>
      <c r="N1099" t="s">
        <v>22752</v>
      </c>
      <c r="O1099" t="s">
        <v>22753</v>
      </c>
      <c r="P1099">
        <f>-947.29231379341 -26.0787341601344 -203.071331420062</f>
        <v>-1176.4423793736064</v>
      </c>
      <c r="Q1099" t="s">
        <v>22754</v>
      </c>
      <c r="R1099" t="s">
        <v>22755</v>
      </c>
      <c r="S1099" t="s">
        <v>22756</v>
      </c>
      <c r="T1099" t="s">
        <v>22757</v>
      </c>
      <c r="U1099" t="s">
        <v>22758</v>
      </c>
      <c r="V1099" t="s">
        <v>22759</v>
      </c>
      <c r="W1099" t="s">
        <v>22760</v>
      </c>
      <c r="X1099" t="s">
        <v>22761</v>
      </c>
      <c r="Y1099" t="s">
        <v>22762</v>
      </c>
    </row>
    <row r="1100" spans="1:25" x14ac:dyDescent="0.3">
      <c r="A1100">
        <v>54950</v>
      </c>
      <c r="B1100" t="s">
        <v>22763</v>
      </c>
      <c r="C1100" t="s">
        <v>22764</v>
      </c>
      <c r="D1100" t="s">
        <v>22765</v>
      </c>
      <c r="E1100" t="s">
        <v>22766</v>
      </c>
      <c r="F1100" t="s">
        <v>22767</v>
      </c>
      <c r="G1100" t="s">
        <v>22768</v>
      </c>
      <c r="H1100" t="s">
        <v>22769</v>
      </c>
      <c r="I1100" t="s">
        <v>22770</v>
      </c>
      <c r="J1100" t="s">
        <v>22771</v>
      </c>
      <c r="K1100" t="s">
        <v>22772</v>
      </c>
      <c r="L1100" t="s">
        <v>22773</v>
      </c>
      <c r="M1100" t="s">
        <v>22774</v>
      </c>
      <c r="N1100" t="s">
        <v>22775</v>
      </c>
      <c r="O1100" t="s">
        <v>22776</v>
      </c>
      <c r="P1100">
        <f>-947.617857136058 -26.0138263308031 -202.961963027976</f>
        <v>-1176.593646494837</v>
      </c>
      <c r="Q1100" t="s">
        <v>22777</v>
      </c>
      <c r="R1100" t="s">
        <v>22778</v>
      </c>
      <c r="S1100" t="s">
        <v>22779</v>
      </c>
      <c r="T1100" t="s">
        <v>22780</v>
      </c>
      <c r="U1100" t="s">
        <v>22781</v>
      </c>
      <c r="V1100" t="s">
        <v>22782</v>
      </c>
      <c r="W1100" t="s">
        <v>22783</v>
      </c>
      <c r="X1100" t="s">
        <v>22784</v>
      </c>
      <c r="Y1100" t="s">
        <v>22785</v>
      </c>
    </row>
    <row r="1101" spans="1:25" x14ac:dyDescent="0.3">
      <c r="A1101">
        <v>55000</v>
      </c>
      <c r="B1101" t="s">
        <v>22786</v>
      </c>
      <c r="C1101" t="s">
        <v>22787</v>
      </c>
      <c r="D1101" t="s">
        <v>22788</v>
      </c>
      <c r="E1101" t="s">
        <v>22789</v>
      </c>
      <c r="F1101" t="s">
        <v>22790</v>
      </c>
      <c r="G1101" t="s">
        <v>22791</v>
      </c>
      <c r="H1101" t="s">
        <v>22792</v>
      </c>
      <c r="I1101" t="s">
        <v>22793</v>
      </c>
      <c r="J1101" t="s">
        <v>22794</v>
      </c>
      <c r="K1101" t="s">
        <v>22795</v>
      </c>
      <c r="L1101" t="s">
        <v>22796</v>
      </c>
      <c r="M1101" t="s">
        <v>22797</v>
      </c>
      <c r="N1101" t="s">
        <v>22798</v>
      </c>
      <c r="O1101" t="s">
        <v>22799</v>
      </c>
      <c r="P1101">
        <f>-947.709957150972 -25.0023477471464 -202.554337016947</f>
        <v>-1175.2666419150653</v>
      </c>
      <c r="Q1101" t="s">
        <v>22800</v>
      </c>
      <c r="R1101" t="s">
        <v>22801</v>
      </c>
      <c r="S1101" t="s">
        <v>22802</v>
      </c>
      <c r="T1101" t="s">
        <v>22803</v>
      </c>
      <c r="U1101" t="s">
        <v>22804</v>
      </c>
      <c r="V1101" t="s">
        <v>22805</v>
      </c>
      <c r="W1101" t="s">
        <v>22806</v>
      </c>
      <c r="X1101" t="s">
        <v>22807</v>
      </c>
      <c r="Y1101" t="s">
        <v>22808</v>
      </c>
    </row>
    <row r="1102" spans="1:25" x14ac:dyDescent="0.3">
      <c r="A1102">
        <v>55050</v>
      </c>
      <c r="B1102" t="s">
        <v>22809</v>
      </c>
      <c r="C1102" t="s">
        <v>22810</v>
      </c>
      <c r="D1102" t="s">
        <v>22811</v>
      </c>
      <c r="E1102" t="s">
        <v>22812</v>
      </c>
      <c r="F1102" t="s">
        <v>22813</v>
      </c>
      <c r="G1102" t="s">
        <v>22814</v>
      </c>
      <c r="H1102" t="s">
        <v>22815</v>
      </c>
      <c r="I1102" t="s">
        <v>22816</v>
      </c>
      <c r="J1102" t="s">
        <v>22817</v>
      </c>
      <c r="K1102" t="s">
        <v>22818</v>
      </c>
      <c r="L1102" t="s">
        <v>22819</v>
      </c>
      <c r="M1102" t="s">
        <v>22820</v>
      </c>
      <c r="N1102" t="s">
        <v>22821</v>
      </c>
      <c r="O1102" t="s">
        <v>22822</v>
      </c>
      <c r="P1102">
        <f>-947.412430407871 -24.577925642654 -202.315459454691</f>
        <v>-1174.3058155052161</v>
      </c>
      <c r="Q1102" t="s">
        <v>22823</v>
      </c>
      <c r="R1102" t="s">
        <v>22824</v>
      </c>
      <c r="S1102" t="s">
        <v>22825</v>
      </c>
      <c r="T1102" t="s">
        <v>22826</v>
      </c>
      <c r="U1102" t="s">
        <v>22827</v>
      </c>
      <c r="V1102" t="s">
        <v>22828</v>
      </c>
      <c r="W1102" t="s">
        <v>22829</v>
      </c>
      <c r="X1102" t="s">
        <v>22830</v>
      </c>
      <c r="Y1102" t="s">
        <v>22831</v>
      </c>
    </row>
    <row r="1103" spans="1:25" x14ac:dyDescent="0.3">
      <c r="A1103">
        <v>55100</v>
      </c>
      <c r="B1103" t="s">
        <v>22832</v>
      </c>
      <c r="C1103" t="s">
        <v>22833</v>
      </c>
      <c r="D1103" t="s">
        <v>22834</v>
      </c>
      <c r="E1103" t="s">
        <v>22835</v>
      </c>
      <c r="F1103" t="s">
        <v>22836</v>
      </c>
      <c r="G1103" t="s">
        <v>22837</v>
      </c>
      <c r="H1103" t="s">
        <v>22838</v>
      </c>
      <c r="I1103" t="s">
        <v>22839</v>
      </c>
      <c r="J1103" t="s">
        <v>22840</v>
      </c>
      <c r="K1103" t="s">
        <v>22841</v>
      </c>
      <c r="L1103" t="s">
        <v>22842</v>
      </c>
      <c r="M1103" t="s">
        <v>22843</v>
      </c>
      <c r="N1103" t="s">
        <v>22844</v>
      </c>
      <c r="O1103" t="s">
        <v>22845</v>
      </c>
      <c r="P1103">
        <f>-946.330862095185 -23.3952903537247 -201.737128526772</f>
        <v>-1171.4632809756818</v>
      </c>
      <c r="Q1103" t="s">
        <v>22846</v>
      </c>
      <c r="R1103" t="s">
        <v>22847</v>
      </c>
      <c r="S1103" t="s">
        <v>22848</v>
      </c>
      <c r="T1103" t="s">
        <v>22849</v>
      </c>
      <c r="U1103" t="s">
        <v>22850</v>
      </c>
      <c r="V1103" t="s">
        <v>22851</v>
      </c>
      <c r="W1103" t="s">
        <v>22852</v>
      </c>
      <c r="X1103" t="s">
        <v>22853</v>
      </c>
      <c r="Y1103" t="s">
        <v>22854</v>
      </c>
    </row>
    <row r="1104" spans="1:25" x14ac:dyDescent="0.3">
      <c r="A1104">
        <v>55150</v>
      </c>
      <c r="B1104" t="s">
        <v>22855</v>
      </c>
      <c r="C1104" t="s">
        <v>22856</v>
      </c>
      <c r="D1104" t="s">
        <v>22857</v>
      </c>
      <c r="E1104" t="s">
        <v>22858</v>
      </c>
      <c r="F1104" t="s">
        <v>22859</v>
      </c>
      <c r="G1104" t="s">
        <v>22860</v>
      </c>
      <c r="H1104" t="s">
        <v>22861</v>
      </c>
      <c r="I1104" t="s">
        <v>22862</v>
      </c>
      <c r="J1104" t="s">
        <v>22863</v>
      </c>
      <c r="K1104" t="s">
        <v>22864</v>
      </c>
      <c r="L1104" t="s">
        <v>22865</v>
      </c>
      <c r="M1104" t="s">
        <v>22866</v>
      </c>
      <c r="N1104" t="s">
        <v>22867</v>
      </c>
      <c r="O1104" t="s">
        <v>22868</v>
      </c>
      <c r="P1104">
        <f>-945.708211181091 -23.3080560372805 -201.555628545782</f>
        <v>-1170.5718957641534</v>
      </c>
      <c r="Q1104" t="s">
        <v>22869</v>
      </c>
      <c r="R1104" t="s">
        <v>22870</v>
      </c>
      <c r="S1104" t="s">
        <v>22871</v>
      </c>
      <c r="T1104" t="s">
        <v>22872</v>
      </c>
      <c r="U1104" t="s">
        <v>22873</v>
      </c>
      <c r="V1104" t="s">
        <v>22874</v>
      </c>
      <c r="W1104" t="s">
        <v>22875</v>
      </c>
      <c r="X1104" t="s">
        <v>22876</v>
      </c>
      <c r="Y1104" t="s">
        <v>22877</v>
      </c>
    </row>
    <row r="1105" spans="1:25" x14ac:dyDescent="0.3">
      <c r="A1105">
        <v>55200</v>
      </c>
      <c r="B1105" t="s">
        <v>22878</v>
      </c>
      <c r="C1105" t="s">
        <v>22879</v>
      </c>
      <c r="D1105" t="s">
        <v>22880</v>
      </c>
      <c r="E1105" t="s">
        <v>22881</v>
      </c>
      <c r="F1105" t="s">
        <v>22882</v>
      </c>
      <c r="G1105" t="s">
        <v>22883</v>
      </c>
      <c r="H1105" t="s">
        <v>22884</v>
      </c>
      <c r="I1105" t="s">
        <v>22885</v>
      </c>
      <c r="J1105" t="s">
        <v>22886</v>
      </c>
      <c r="K1105" t="s">
        <v>22887</v>
      </c>
      <c r="L1105" t="s">
        <v>22888</v>
      </c>
      <c r="M1105" t="s">
        <v>22889</v>
      </c>
      <c r="N1105" t="s">
        <v>22890</v>
      </c>
      <c r="O1105" t="s">
        <v>22891</v>
      </c>
      <c r="P1105">
        <f>-944.676174087345 -23.6641961291616 -201.556971726631</f>
        <v>-1169.8973419431377</v>
      </c>
      <c r="Q1105" t="s">
        <v>22892</v>
      </c>
      <c r="R1105" t="s">
        <v>22893</v>
      </c>
      <c r="S1105" t="s">
        <v>22894</v>
      </c>
      <c r="T1105" t="s">
        <v>22895</v>
      </c>
      <c r="U1105" t="s">
        <v>22896</v>
      </c>
      <c r="V1105" t="s">
        <v>22897</v>
      </c>
      <c r="W1105" t="s">
        <v>22898</v>
      </c>
      <c r="X1105" t="s">
        <v>22899</v>
      </c>
      <c r="Y1105" t="s">
        <v>22900</v>
      </c>
    </row>
    <row r="1106" spans="1:25" x14ac:dyDescent="0.3">
      <c r="A1106">
        <v>55250</v>
      </c>
      <c r="B1106" t="s">
        <v>22901</v>
      </c>
      <c r="C1106" t="s">
        <v>22902</v>
      </c>
      <c r="D1106" t="s">
        <v>22903</v>
      </c>
      <c r="E1106" t="s">
        <v>22904</v>
      </c>
      <c r="F1106" t="s">
        <v>22905</v>
      </c>
      <c r="G1106" t="s">
        <v>22906</v>
      </c>
      <c r="H1106" t="s">
        <v>22907</v>
      </c>
      <c r="I1106" t="s">
        <v>22908</v>
      </c>
      <c r="J1106" t="s">
        <v>22909</v>
      </c>
      <c r="K1106" t="s">
        <v>22910</v>
      </c>
      <c r="L1106" t="s">
        <v>22911</v>
      </c>
      <c r="M1106" t="s">
        <v>22912</v>
      </c>
      <c r="N1106" t="s">
        <v>22913</v>
      </c>
      <c r="O1106" t="s">
        <v>22914</v>
      </c>
      <c r="P1106">
        <f>-944.405986845861 -23.8823216688379 -201.517346957969</f>
        <v>-1169.8056554726679</v>
      </c>
      <c r="Q1106" t="s">
        <v>22915</v>
      </c>
      <c r="R1106" t="s">
        <v>22916</v>
      </c>
      <c r="S1106" t="s">
        <v>22917</v>
      </c>
      <c r="T1106" t="s">
        <v>22918</v>
      </c>
      <c r="U1106" t="s">
        <v>22919</v>
      </c>
      <c r="V1106" t="s">
        <v>22920</v>
      </c>
      <c r="W1106" t="s">
        <v>22921</v>
      </c>
      <c r="X1106" t="s">
        <v>22922</v>
      </c>
      <c r="Y1106" t="s">
        <v>22923</v>
      </c>
    </row>
    <row r="1107" spans="1:25" x14ac:dyDescent="0.3">
      <c r="A1107">
        <v>55300</v>
      </c>
      <c r="B1107" t="s">
        <v>22924</v>
      </c>
      <c r="C1107" t="s">
        <v>22925</v>
      </c>
      <c r="D1107" t="s">
        <v>22926</v>
      </c>
      <c r="E1107" t="s">
        <v>22927</v>
      </c>
      <c r="F1107" t="s">
        <v>22928</v>
      </c>
      <c r="G1107" t="s">
        <v>22929</v>
      </c>
      <c r="H1107" t="s">
        <v>22930</v>
      </c>
      <c r="I1107" t="s">
        <v>22931</v>
      </c>
      <c r="J1107" t="s">
        <v>22932</v>
      </c>
      <c r="K1107" t="s">
        <v>22933</v>
      </c>
      <c r="L1107" t="s">
        <v>22934</v>
      </c>
      <c r="M1107" t="s">
        <v>22935</v>
      </c>
      <c r="N1107" t="s">
        <v>22936</v>
      </c>
      <c r="O1107" t="s">
        <v>22937</v>
      </c>
      <c r="P1107">
        <f>-944.315600250857 -22.2891056716389 -201.04098454648</f>
        <v>-1167.6456904689758</v>
      </c>
      <c r="Q1107" t="s">
        <v>22938</v>
      </c>
      <c r="R1107" t="s">
        <v>22939</v>
      </c>
      <c r="S1107" t="s">
        <v>22940</v>
      </c>
      <c r="T1107" t="s">
        <v>22941</v>
      </c>
      <c r="U1107" t="s">
        <v>22942</v>
      </c>
      <c r="V1107" t="s">
        <v>22943</v>
      </c>
      <c r="W1107" t="s">
        <v>22944</v>
      </c>
      <c r="X1107" t="s">
        <v>22945</v>
      </c>
      <c r="Y1107" t="s">
        <v>22946</v>
      </c>
    </row>
    <row r="1108" spans="1:25" x14ac:dyDescent="0.3">
      <c r="A1108">
        <v>55350</v>
      </c>
      <c r="B1108" t="s">
        <v>22947</v>
      </c>
      <c r="C1108" t="s">
        <v>22948</v>
      </c>
      <c r="D1108" t="s">
        <v>22949</v>
      </c>
      <c r="E1108" t="s">
        <v>22950</v>
      </c>
      <c r="F1108" t="s">
        <v>22951</v>
      </c>
      <c r="G1108" t="s">
        <v>22952</v>
      </c>
      <c r="H1108" t="s">
        <v>22953</v>
      </c>
      <c r="I1108" t="s">
        <v>22954</v>
      </c>
      <c r="J1108" t="s">
        <v>22955</v>
      </c>
      <c r="K1108" t="s">
        <v>22956</v>
      </c>
      <c r="L1108" t="s">
        <v>22957</v>
      </c>
      <c r="M1108" t="s">
        <v>22958</v>
      </c>
      <c r="N1108" t="s">
        <v>22959</v>
      </c>
      <c r="O1108" t="s">
        <v>22960</v>
      </c>
      <c r="P1108">
        <f>-944.798535197152 -20.8326503810677 -200.692754867014</f>
        <v>-1166.3239404452336</v>
      </c>
      <c r="Q1108" t="s">
        <v>22961</v>
      </c>
      <c r="R1108" t="s">
        <v>22962</v>
      </c>
      <c r="S1108" t="s">
        <v>22963</v>
      </c>
      <c r="T1108" t="s">
        <v>22964</v>
      </c>
      <c r="U1108" t="s">
        <v>22965</v>
      </c>
      <c r="V1108" t="s">
        <v>22966</v>
      </c>
      <c r="W1108" t="s">
        <v>22967</v>
      </c>
      <c r="X1108" t="s">
        <v>22968</v>
      </c>
      <c r="Y1108" t="s">
        <v>22969</v>
      </c>
    </row>
    <row r="1109" spans="1:25" x14ac:dyDescent="0.3">
      <c r="A1109">
        <v>55400</v>
      </c>
      <c r="B1109" t="s">
        <v>22970</v>
      </c>
      <c r="C1109" t="s">
        <v>22971</v>
      </c>
      <c r="D1109" t="s">
        <v>22972</v>
      </c>
      <c r="E1109" t="s">
        <v>22973</v>
      </c>
      <c r="F1109" t="s">
        <v>22974</v>
      </c>
      <c r="G1109" t="s">
        <v>22975</v>
      </c>
      <c r="H1109" t="s">
        <v>22976</v>
      </c>
      <c r="I1109" t="s">
        <v>22977</v>
      </c>
      <c r="J1109" t="s">
        <v>22978</v>
      </c>
      <c r="K1109" t="s">
        <v>22979</v>
      </c>
      <c r="L1109" t="s">
        <v>22980</v>
      </c>
      <c r="M1109" t="s">
        <v>22981</v>
      </c>
      <c r="N1109" t="s">
        <v>22982</v>
      </c>
      <c r="O1109" t="s">
        <v>22983</v>
      </c>
      <c r="P1109">
        <f>-946.009174188626 -16.1326362637533 -199.633670133704</f>
        <v>-1161.7754805860834</v>
      </c>
      <c r="Q1109" t="s">
        <v>22984</v>
      </c>
      <c r="R1109" t="s">
        <v>22985</v>
      </c>
      <c r="S1109" t="s">
        <v>22986</v>
      </c>
      <c r="T1109" t="s">
        <v>22987</v>
      </c>
      <c r="U1109" t="s">
        <v>22988</v>
      </c>
      <c r="V1109" t="s">
        <v>22989</v>
      </c>
      <c r="W1109" t="s">
        <v>22990</v>
      </c>
      <c r="X1109" t="s">
        <v>22991</v>
      </c>
      <c r="Y1109" t="s">
        <v>22992</v>
      </c>
    </row>
    <row r="1110" spans="1:25" x14ac:dyDescent="0.3">
      <c r="A1110">
        <v>55450</v>
      </c>
      <c r="B1110" t="s">
        <v>22993</v>
      </c>
      <c r="C1110" t="s">
        <v>22994</v>
      </c>
      <c r="D1110" t="s">
        <v>22995</v>
      </c>
      <c r="E1110" t="s">
        <v>22996</v>
      </c>
      <c r="F1110" t="s">
        <v>22997</v>
      </c>
      <c r="G1110" t="s">
        <v>22998</v>
      </c>
      <c r="H1110" t="s">
        <v>22999</v>
      </c>
      <c r="I1110" t="s">
        <v>23000</v>
      </c>
      <c r="J1110" t="s">
        <v>23001</v>
      </c>
      <c r="K1110" t="s">
        <v>23002</v>
      </c>
      <c r="L1110" t="s">
        <v>23003</v>
      </c>
      <c r="M1110" t="s">
        <v>23004</v>
      </c>
      <c r="N1110" t="s">
        <v>23005</v>
      </c>
      <c r="O1110" t="s">
        <v>23006</v>
      </c>
      <c r="P1110">
        <f>-946.698281564314 -13.2545561986344 -199.038522390276</f>
        <v>-1158.9913601532244</v>
      </c>
      <c r="Q1110" t="s">
        <v>23007</v>
      </c>
      <c r="R1110" t="s">
        <v>23008</v>
      </c>
      <c r="S1110" t="s">
        <v>23009</v>
      </c>
      <c r="T1110" t="s">
        <v>23010</v>
      </c>
      <c r="U1110" t="s">
        <v>23011</v>
      </c>
      <c r="V1110" t="s">
        <v>23012</v>
      </c>
      <c r="W1110" t="s">
        <v>23013</v>
      </c>
      <c r="X1110" t="s">
        <v>23014</v>
      </c>
      <c r="Y1110" t="s">
        <v>23015</v>
      </c>
    </row>
    <row r="1111" spans="1:25" x14ac:dyDescent="0.3">
      <c r="A1111">
        <v>55500</v>
      </c>
      <c r="B1111" t="s">
        <v>23016</v>
      </c>
      <c r="C1111" t="s">
        <v>23017</v>
      </c>
      <c r="D1111" t="s">
        <v>23018</v>
      </c>
      <c r="E1111" t="s">
        <v>23019</v>
      </c>
      <c r="F1111" t="s">
        <v>23020</v>
      </c>
      <c r="G1111" t="s">
        <v>23021</v>
      </c>
      <c r="H1111" t="s">
        <v>23022</v>
      </c>
      <c r="I1111" t="s">
        <v>23023</v>
      </c>
      <c r="J1111" t="s">
        <v>23024</v>
      </c>
      <c r="K1111" t="s">
        <v>23025</v>
      </c>
      <c r="L1111" t="s">
        <v>23026</v>
      </c>
      <c r="M1111" t="s">
        <v>23027</v>
      </c>
      <c r="N1111" t="s">
        <v>23028</v>
      </c>
      <c r="O1111" t="s">
        <v>23029</v>
      </c>
      <c r="P1111">
        <f>-948.577604943303 -7.33174032691522 -198.052390004798</f>
        <v>-1153.9617352750163</v>
      </c>
      <c r="Q1111" t="s">
        <v>23030</v>
      </c>
      <c r="R1111" t="s">
        <v>23031</v>
      </c>
      <c r="S1111" t="s">
        <v>23032</v>
      </c>
      <c r="T1111" t="s">
        <v>23033</v>
      </c>
      <c r="U1111" t="s">
        <v>23034</v>
      </c>
      <c r="V1111" t="s">
        <v>23035</v>
      </c>
      <c r="W1111" t="s">
        <v>23036</v>
      </c>
      <c r="X1111" t="s">
        <v>23037</v>
      </c>
      <c r="Y1111" t="s">
        <v>23038</v>
      </c>
    </row>
    <row r="1112" spans="1:25" x14ac:dyDescent="0.3">
      <c r="A1112">
        <v>55550</v>
      </c>
      <c r="B1112" t="s">
        <v>23039</v>
      </c>
      <c r="C1112" t="s">
        <v>23040</v>
      </c>
      <c r="D1112" t="s">
        <v>23041</v>
      </c>
      <c r="E1112" t="s">
        <v>23042</v>
      </c>
      <c r="F1112" t="s">
        <v>23043</v>
      </c>
      <c r="G1112" t="s">
        <v>23044</v>
      </c>
      <c r="H1112" t="s">
        <v>23045</v>
      </c>
      <c r="I1112" t="s">
        <v>23046</v>
      </c>
      <c r="J1112" t="s">
        <v>23047</v>
      </c>
      <c r="K1112" t="s">
        <v>23048</v>
      </c>
      <c r="L1112" t="s">
        <v>23049</v>
      </c>
      <c r="M1112" t="s">
        <v>23050</v>
      </c>
      <c r="N1112" t="s">
        <v>23051</v>
      </c>
      <c r="O1112" t="s">
        <v>23052</v>
      </c>
      <c r="P1112">
        <f>-949.796544448443 -4.45330831080992 -197.702648509579</f>
        <v>-1151.9525012688318</v>
      </c>
      <c r="Q1112" t="s">
        <v>23053</v>
      </c>
      <c r="R1112" t="s">
        <v>23054</v>
      </c>
      <c r="S1112" t="s">
        <v>23055</v>
      </c>
      <c r="T1112" t="s">
        <v>23056</v>
      </c>
      <c r="U1112" t="s">
        <v>23057</v>
      </c>
      <c r="V1112" t="s">
        <v>23058</v>
      </c>
      <c r="W1112" t="s">
        <v>23059</v>
      </c>
      <c r="X1112" t="s">
        <v>23060</v>
      </c>
      <c r="Y1112" t="s">
        <v>23061</v>
      </c>
    </row>
    <row r="1113" spans="1:25" x14ac:dyDescent="0.3">
      <c r="A1113">
        <v>55600</v>
      </c>
      <c r="B1113" t="s">
        <v>23062</v>
      </c>
      <c r="C1113" t="s">
        <v>23063</v>
      </c>
      <c r="D1113" t="s">
        <v>23064</v>
      </c>
      <c r="E1113" t="s">
        <v>23065</v>
      </c>
      <c r="F1113" t="s">
        <v>23066</v>
      </c>
      <c r="G1113" t="s">
        <v>23067</v>
      </c>
      <c r="H1113" t="s">
        <v>23068</v>
      </c>
      <c r="I1113" t="s">
        <v>23069</v>
      </c>
      <c r="J1113" t="s">
        <v>23070</v>
      </c>
      <c r="K1113" t="s">
        <v>23071</v>
      </c>
      <c r="L1113" t="s">
        <v>23072</v>
      </c>
      <c r="M1113" t="s">
        <v>23073</v>
      </c>
      <c r="N1113" t="s">
        <v>23074</v>
      </c>
      <c r="O1113" t="s">
        <v>23075</v>
      </c>
      <c r="P1113" t="s">
        <v>23076</v>
      </c>
      <c r="Q1113">
        <f>-722.748554394192 -5.584596815846 -268.705444515759</f>
        <v>-997.03859572579699</v>
      </c>
      <c r="R1113" t="s">
        <v>23077</v>
      </c>
      <c r="S1113" t="s">
        <v>23078</v>
      </c>
      <c r="T1113" t="s">
        <v>23079</v>
      </c>
      <c r="U1113" t="s">
        <v>23080</v>
      </c>
      <c r="V1113" t="s">
        <v>23081</v>
      </c>
      <c r="W1113" t="s">
        <v>23082</v>
      </c>
      <c r="X1113" t="s">
        <v>23083</v>
      </c>
      <c r="Y1113" t="s">
        <v>23084</v>
      </c>
    </row>
    <row r="1114" spans="1:25" x14ac:dyDescent="0.3">
      <c r="A1114">
        <v>55650</v>
      </c>
      <c r="B1114" t="s">
        <v>23085</v>
      </c>
      <c r="C1114" t="s">
        <v>23086</v>
      </c>
      <c r="D1114" t="s">
        <v>23087</v>
      </c>
      <c r="E1114" t="s">
        <v>23088</v>
      </c>
      <c r="F1114" t="s">
        <v>23089</v>
      </c>
      <c r="G1114" t="s">
        <v>23090</v>
      </c>
      <c r="H1114" t="s">
        <v>23091</v>
      </c>
      <c r="I1114" t="s">
        <v>23092</v>
      </c>
      <c r="J1114" t="s">
        <v>23093</v>
      </c>
      <c r="K1114" t="s">
        <v>23094</v>
      </c>
      <c r="L1114" t="s">
        <v>23095</v>
      </c>
      <c r="M1114" t="s">
        <v>23096</v>
      </c>
      <c r="N1114" t="s">
        <v>23097</v>
      </c>
      <c r="O1114" t="s">
        <v>23098</v>
      </c>
      <c r="P1114" t="s">
        <v>23099</v>
      </c>
      <c r="Q1114">
        <f>-724.040919455475 -9.84907524851633 -266.444157247714</f>
        <v>-1000.3341519517053</v>
      </c>
      <c r="R1114" t="s">
        <v>23100</v>
      </c>
      <c r="S1114" t="s">
        <v>23101</v>
      </c>
      <c r="T1114" t="s">
        <v>23102</v>
      </c>
      <c r="U1114" t="s">
        <v>23103</v>
      </c>
      <c r="V1114" t="s">
        <v>23104</v>
      </c>
      <c r="W1114" t="s">
        <v>23105</v>
      </c>
      <c r="X1114" t="s">
        <v>23106</v>
      </c>
      <c r="Y1114" t="s">
        <v>23107</v>
      </c>
    </row>
    <row r="1115" spans="1:25" x14ac:dyDescent="0.3">
      <c r="A1115">
        <v>55700</v>
      </c>
      <c r="B1115" t="s">
        <v>23108</v>
      </c>
      <c r="C1115" t="s">
        <v>23109</v>
      </c>
      <c r="D1115" t="s">
        <v>23110</v>
      </c>
      <c r="E1115" t="s">
        <v>23111</v>
      </c>
      <c r="F1115" t="s">
        <v>23112</v>
      </c>
      <c r="G1115" t="s">
        <v>23113</v>
      </c>
      <c r="H1115" t="s">
        <v>23114</v>
      </c>
      <c r="I1115" t="s">
        <v>23115</v>
      </c>
      <c r="J1115" t="s">
        <v>23116</v>
      </c>
      <c r="K1115" t="s">
        <v>23117</v>
      </c>
      <c r="L1115" t="s">
        <v>23118</v>
      </c>
      <c r="M1115" t="s">
        <v>23119</v>
      </c>
      <c r="N1115" t="s">
        <v>23120</v>
      </c>
      <c r="O1115" t="s">
        <v>23121</v>
      </c>
      <c r="P1115" t="s">
        <v>23122</v>
      </c>
      <c r="Q1115">
        <f>-726.855449320556 -16.7465031784668 -262.37698423501</f>
        <v>-1005.9789367340328</v>
      </c>
      <c r="R1115" t="s">
        <v>23123</v>
      </c>
      <c r="S1115" t="s">
        <v>23124</v>
      </c>
      <c r="T1115" t="s">
        <v>23125</v>
      </c>
      <c r="U1115" t="s">
        <v>23126</v>
      </c>
      <c r="V1115" t="s">
        <v>23127</v>
      </c>
      <c r="W1115" t="s">
        <v>23128</v>
      </c>
      <c r="X1115" t="s">
        <v>23129</v>
      </c>
      <c r="Y1115" t="s">
        <v>23130</v>
      </c>
    </row>
    <row r="1116" spans="1:25" x14ac:dyDescent="0.3">
      <c r="A1116">
        <v>55750</v>
      </c>
      <c r="B1116" t="s">
        <v>23131</v>
      </c>
      <c r="C1116" t="s">
        <v>23132</v>
      </c>
      <c r="D1116" t="s">
        <v>23133</v>
      </c>
      <c r="E1116" t="s">
        <v>23134</v>
      </c>
      <c r="F1116" t="s">
        <v>23135</v>
      </c>
      <c r="G1116" t="s">
        <v>23136</v>
      </c>
      <c r="H1116" t="s">
        <v>23137</v>
      </c>
      <c r="I1116" t="s">
        <v>23138</v>
      </c>
      <c r="J1116" t="s">
        <v>23139</v>
      </c>
      <c r="K1116" t="s">
        <v>23140</v>
      </c>
      <c r="L1116" t="s">
        <v>23141</v>
      </c>
      <c r="M1116" t="s">
        <v>23142</v>
      </c>
      <c r="N1116" t="s">
        <v>23143</v>
      </c>
      <c r="O1116" t="s">
        <v>23144</v>
      </c>
      <c r="P1116" t="s">
        <v>23145</v>
      </c>
      <c r="Q1116">
        <f>-728.14995573077 -19.5119558021893 -260.863921917885</f>
        <v>-1008.5258334508443</v>
      </c>
      <c r="R1116" t="s">
        <v>23146</v>
      </c>
      <c r="S1116" t="s">
        <v>23147</v>
      </c>
      <c r="T1116" t="s">
        <v>23148</v>
      </c>
      <c r="U1116" t="s">
        <v>23149</v>
      </c>
      <c r="V1116" t="s">
        <v>23150</v>
      </c>
      <c r="W1116" t="s">
        <v>23151</v>
      </c>
      <c r="X1116" t="s">
        <v>23152</v>
      </c>
      <c r="Y1116" t="s">
        <v>23153</v>
      </c>
    </row>
    <row r="1117" spans="1:25" x14ac:dyDescent="0.3">
      <c r="A1117">
        <v>55800</v>
      </c>
      <c r="B1117" t="s">
        <v>23154</v>
      </c>
      <c r="C1117" t="s">
        <v>23155</v>
      </c>
      <c r="D1117" t="s">
        <v>23156</v>
      </c>
      <c r="E1117" t="s">
        <v>23157</v>
      </c>
      <c r="F1117" t="s">
        <v>23158</v>
      </c>
      <c r="G1117" t="s">
        <v>23159</v>
      </c>
      <c r="H1117" t="s">
        <v>23160</v>
      </c>
      <c r="I1117" t="s">
        <v>23161</v>
      </c>
      <c r="J1117" t="s">
        <v>23162</v>
      </c>
      <c r="K1117" t="s">
        <v>23163</v>
      </c>
      <c r="L1117" t="s">
        <v>23164</v>
      </c>
      <c r="M1117" t="s">
        <v>23165</v>
      </c>
      <c r="N1117" t="s">
        <v>23166</v>
      </c>
      <c r="O1117" t="s">
        <v>23167</v>
      </c>
      <c r="P1117" t="s">
        <v>23168</v>
      </c>
      <c r="Q1117">
        <f>-730.074005685801 -23.3277507628354 -259.286115256054</f>
        <v>-1012.6878717046905</v>
      </c>
      <c r="R1117" t="s">
        <v>23169</v>
      </c>
      <c r="S1117" t="s">
        <v>23170</v>
      </c>
      <c r="T1117" t="s">
        <v>23171</v>
      </c>
      <c r="U1117" t="s">
        <v>23172</v>
      </c>
      <c r="V1117" t="s">
        <v>23173</v>
      </c>
      <c r="W1117" t="s">
        <v>23174</v>
      </c>
      <c r="X1117" t="s">
        <v>23175</v>
      </c>
      <c r="Y1117" t="s">
        <v>23176</v>
      </c>
    </row>
    <row r="1118" spans="1:25" x14ac:dyDescent="0.3">
      <c r="A1118">
        <v>55850</v>
      </c>
      <c r="B1118" t="s">
        <v>23177</v>
      </c>
      <c r="C1118" t="s">
        <v>23178</v>
      </c>
      <c r="D1118" t="s">
        <v>23179</v>
      </c>
      <c r="E1118" t="s">
        <v>23180</v>
      </c>
      <c r="F1118" t="s">
        <v>23181</v>
      </c>
      <c r="G1118" t="s">
        <v>23182</v>
      </c>
      <c r="H1118" t="s">
        <v>23183</v>
      </c>
      <c r="I1118" t="s">
        <v>23184</v>
      </c>
      <c r="J1118" t="s">
        <v>23185</v>
      </c>
      <c r="K1118" t="s">
        <v>23186</v>
      </c>
      <c r="L1118" t="s">
        <v>23187</v>
      </c>
      <c r="M1118" t="s">
        <v>23188</v>
      </c>
      <c r="N1118" t="s">
        <v>23189</v>
      </c>
      <c r="O1118" t="s">
        <v>23190</v>
      </c>
      <c r="P1118" t="s">
        <v>23191</v>
      </c>
      <c r="Q1118">
        <f>-730.632982477434 -24.3289817268187 -259.141952417291</f>
        <v>-1014.1039166215437</v>
      </c>
      <c r="R1118" t="s">
        <v>23192</v>
      </c>
      <c r="S1118" t="s">
        <v>23193</v>
      </c>
      <c r="T1118" t="s">
        <v>23194</v>
      </c>
      <c r="U1118" t="s">
        <v>23195</v>
      </c>
      <c r="V1118" t="s">
        <v>23196</v>
      </c>
      <c r="W1118" t="s">
        <v>23197</v>
      </c>
      <c r="X1118" t="s">
        <v>23198</v>
      </c>
      <c r="Y1118" t="s">
        <v>23199</v>
      </c>
    </row>
    <row r="1119" spans="1:25" x14ac:dyDescent="0.3">
      <c r="A1119">
        <v>55900</v>
      </c>
      <c r="B1119" t="s">
        <v>23200</v>
      </c>
      <c r="C1119" t="s">
        <v>23201</v>
      </c>
      <c r="D1119" t="s">
        <v>23202</v>
      </c>
      <c r="E1119" t="s">
        <v>23203</v>
      </c>
      <c r="F1119" t="s">
        <v>23204</v>
      </c>
      <c r="G1119" t="s">
        <v>23205</v>
      </c>
      <c r="H1119" t="s">
        <v>23206</v>
      </c>
      <c r="I1119" t="s">
        <v>23207</v>
      </c>
      <c r="J1119" t="s">
        <v>23208</v>
      </c>
      <c r="K1119" t="s">
        <v>23209</v>
      </c>
      <c r="L1119" t="s">
        <v>23210</v>
      </c>
      <c r="M1119" t="s">
        <v>23211</v>
      </c>
      <c r="N1119" t="s">
        <v>23212</v>
      </c>
      <c r="O1119" t="s">
        <v>23213</v>
      </c>
      <c r="P1119" t="s">
        <v>23214</v>
      </c>
      <c r="Q1119">
        <f>-731.165351002246 -24.8681276042348 -259.622982727122</f>
        <v>-1015.6564613336028</v>
      </c>
      <c r="R1119" t="s">
        <v>23215</v>
      </c>
      <c r="S1119" t="s">
        <v>23216</v>
      </c>
      <c r="T1119" t="s">
        <v>23217</v>
      </c>
      <c r="U1119" t="s">
        <v>23218</v>
      </c>
      <c r="V1119" t="s">
        <v>23219</v>
      </c>
      <c r="W1119" t="s">
        <v>23220</v>
      </c>
      <c r="X1119" t="s">
        <v>23221</v>
      </c>
      <c r="Y1119" t="s">
        <v>23222</v>
      </c>
    </row>
    <row r="1120" spans="1:25" x14ac:dyDescent="0.3">
      <c r="A1120">
        <v>55950</v>
      </c>
      <c r="B1120" t="s">
        <v>23223</v>
      </c>
      <c r="C1120" t="s">
        <v>23224</v>
      </c>
      <c r="D1120" t="s">
        <v>23225</v>
      </c>
      <c r="E1120" t="s">
        <v>23226</v>
      </c>
      <c r="F1120" t="s">
        <v>23227</v>
      </c>
      <c r="G1120" t="s">
        <v>23228</v>
      </c>
      <c r="H1120" t="s">
        <v>23229</v>
      </c>
      <c r="I1120" t="s">
        <v>23230</v>
      </c>
      <c r="J1120" t="s">
        <v>23231</v>
      </c>
      <c r="K1120" t="s">
        <v>23232</v>
      </c>
      <c r="L1120" t="s">
        <v>23233</v>
      </c>
      <c r="M1120" t="s">
        <v>23234</v>
      </c>
      <c r="N1120" t="s">
        <v>23235</v>
      </c>
      <c r="O1120" t="s">
        <v>23236</v>
      </c>
      <c r="P1120" t="s">
        <v>23237</v>
      </c>
      <c r="Q1120">
        <f>-731.129339946622 -24.6472983954059 -259.717358042461</f>
        <v>-1015.4939963844889</v>
      </c>
      <c r="R1120" t="s">
        <v>23238</v>
      </c>
      <c r="S1120" t="s">
        <v>23239</v>
      </c>
      <c r="T1120" t="s">
        <v>23240</v>
      </c>
      <c r="U1120" t="s">
        <v>23241</v>
      </c>
      <c r="V1120" t="s">
        <v>23242</v>
      </c>
      <c r="W1120" t="s">
        <v>23243</v>
      </c>
      <c r="X1120" t="s">
        <v>23244</v>
      </c>
      <c r="Y1120" t="s">
        <v>23245</v>
      </c>
    </row>
    <row r="1121" spans="1:25" x14ac:dyDescent="0.3">
      <c r="A1121">
        <v>56000</v>
      </c>
      <c r="B1121" t="s">
        <v>23246</v>
      </c>
      <c r="C1121" t="s">
        <v>23247</v>
      </c>
      <c r="D1121" t="s">
        <v>23248</v>
      </c>
      <c r="E1121" t="s">
        <v>23249</v>
      </c>
      <c r="F1121" t="s">
        <v>23250</v>
      </c>
      <c r="G1121" t="s">
        <v>23251</v>
      </c>
      <c r="H1121" t="s">
        <v>23252</v>
      </c>
      <c r="I1121" t="s">
        <v>23253</v>
      </c>
      <c r="J1121" t="s">
        <v>23254</v>
      </c>
      <c r="K1121" t="s">
        <v>23255</v>
      </c>
      <c r="L1121" t="s">
        <v>23256</v>
      </c>
      <c r="M1121" t="s">
        <v>23257</v>
      </c>
      <c r="N1121" t="s">
        <v>23258</v>
      </c>
      <c r="O1121" t="s">
        <v>23259</v>
      </c>
      <c r="P1121" t="s">
        <v>23260</v>
      </c>
      <c r="Q1121">
        <f>-731.108311514976 -25.1845259604784 -258.770658596597</f>
        <v>-1015.0634960720513</v>
      </c>
      <c r="R1121" t="s">
        <v>23261</v>
      </c>
      <c r="S1121" t="s">
        <v>23262</v>
      </c>
      <c r="T1121" t="s">
        <v>23263</v>
      </c>
      <c r="U1121" t="s">
        <v>23264</v>
      </c>
      <c r="V1121" t="s">
        <v>23265</v>
      </c>
      <c r="W1121" t="s">
        <v>23266</v>
      </c>
      <c r="X1121" t="s">
        <v>23267</v>
      </c>
      <c r="Y1121" t="s">
        <v>23268</v>
      </c>
    </row>
    <row r="1122" spans="1:25" x14ac:dyDescent="0.3">
      <c r="A1122">
        <v>56050</v>
      </c>
      <c r="B1122" t="s">
        <v>23269</v>
      </c>
      <c r="C1122" t="s">
        <v>23270</v>
      </c>
      <c r="D1122" t="s">
        <v>23271</v>
      </c>
      <c r="E1122" t="s">
        <v>23272</v>
      </c>
      <c r="F1122" t="s">
        <v>23273</v>
      </c>
      <c r="G1122" t="s">
        <v>23274</v>
      </c>
      <c r="H1122" t="s">
        <v>23275</v>
      </c>
      <c r="I1122" t="s">
        <v>23276</v>
      </c>
      <c r="J1122" t="s">
        <v>23277</v>
      </c>
      <c r="K1122" t="s">
        <v>23278</v>
      </c>
      <c r="L1122" t="s">
        <v>23279</v>
      </c>
      <c r="M1122" t="s">
        <v>23280</v>
      </c>
      <c r="N1122" t="s">
        <v>23281</v>
      </c>
      <c r="O1122" t="s">
        <v>23282</v>
      </c>
      <c r="P1122" t="s">
        <v>23283</v>
      </c>
      <c r="Q1122">
        <f>-730.907921171176 -26.0356346217432 -257.830383564958</f>
        <v>-1014.7739393578772</v>
      </c>
      <c r="R1122" t="s">
        <v>23284</v>
      </c>
      <c r="S1122" t="s">
        <v>23285</v>
      </c>
      <c r="T1122" t="s">
        <v>23286</v>
      </c>
      <c r="U1122" t="s">
        <v>23287</v>
      </c>
      <c r="V1122" t="s">
        <v>23288</v>
      </c>
      <c r="W1122" t="s">
        <v>23289</v>
      </c>
      <c r="X1122" t="s">
        <v>23290</v>
      </c>
      <c r="Y1122" t="s">
        <v>23291</v>
      </c>
    </row>
    <row r="1123" spans="1:25" x14ac:dyDescent="0.3">
      <c r="A1123">
        <v>56100</v>
      </c>
      <c r="B1123" t="s">
        <v>23292</v>
      </c>
      <c r="C1123" t="s">
        <v>23293</v>
      </c>
      <c r="D1123" t="s">
        <v>23294</v>
      </c>
      <c r="E1123" t="s">
        <v>23295</v>
      </c>
      <c r="F1123" t="s">
        <v>23296</v>
      </c>
      <c r="G1123" t="s">
        <v>23297</v>
      </c>
      <c r="H1123" t="s">
        <v>23298</v>
      </c>
      <c r="I1123" t="s">
        <v>23299</v>
      </c>
      <c r="J1123" t="s">
        <v>23300</v>
      </c>
      <c r="K1123" t="s">
        <v>23301</v>
      </c>
      <c r="L1123" t="s">
        <v>23302</v>
      </c>
      <c r="M1123" t="s">
        <v>23303</v>
      </c>
      <c r="N1123" t="s">
        <v>23304</v>
      </c>
      <c r="O1123" t="s">
        <v>23305</v>
      </c>
      <c r="P1123" t="s">
        <v>23306</v>
      </c>
      <c r="Q1123">
        <f>-730.964997803765 -27.6575837685591 -257.484684907632</f>
        <v>-1016.107266479956</v>
      </c>
      <c r="R1123" t="s">
        <v>23307</v>
      </c>
      <c r="S1123" t="s">
        <v>23308</v>
      </c>
      <c r="T1123" t="s">
        <v>23309</v>
      </c>
      <c r="U1123" t="s">
        <v>23310</v>
      </c>
      <c r="V1123" t="s">
        <v>23311</v>
      </c>
      <c r="W1123" t="s">
        <v>23312</v>
      </c>
      <c r="X1123" t="s">
        <v>23313</v>
      </c>
      <c r="Y1123" t="s">
        <v>23314</v>
      </c>
    </row>
    <row r="1124" spans="1:25" x14ac:dyDescent="0.3">
      <c r="A1124">
        <v>56150</v>
      </c>
      <c r="B1124" t="s">
        <v>23315</v>
      </c>
      <c r="C1124" t="s">
        <v>23316</v>
      </c>
      <c r="D1124" t="s">
        <v>23317</v>
      </c>
      <c r="E1124" t="s">
        <v>23318</v>
      </c>
      <c r="F1124" t="s">
        <v>23319</v>
      </c>
      <c r="G1124" t="s">
        <v>23320</v>
      </c>
      <c r="H1124" t="s">
        <v>23321</v>
      </c>
      <c r="I1124" t="s">
        <v>23322</v>
      </c>
      <c r="J1124" t="s">
        <v>23323</v>
      </c>
      <c r="K1124" t="s">
        <v>23324</v>
      </c>
      <c r="L1124" t="s">
        <v>23325</v>
      </c>
      <c r="M1124" t="s">
        <v>23326</v>
      </c>
      <c r="N1124" t="s">
        <v>23327</v>
      </c>
      <c r="O1124" t="s">
        <v>23328</v>
      </c>
      <c r="P1124" t="s">
        <v>23329</v>
      </c>
      <c r="Q1124">
        <f>-731.077536609447 -28.2817657412038 -258.057971304843</f>
        <v>-1017.4172736554938</v>
      </c>
      <c r="R1124" t="s">
        <v>23330</v>
      </c>
      <c r="S1124" t="s">
        <v>23331</v>
      </c>
      <c r="T1124" t="s">
        <v>23332</v>
      </c>
      <c r="U1124" t="s">
        <v>23333</v>
      </c>
      <c r="V1124" t="s">
        <v>23334</v>
      </c>
      <c r="W1124" t="s">
        <v>23335</v>
      </c>
      <c r="X1124" t="s">
        <v>23336</v>
      </c>
      <c r="Y1124" t="s">
        <v>23337</v>
      </c>
    </row>
    <row r="1125" spans="1:25" x14ac:dyDescent="0.3">
      <c r="A1125">
        <v>56200</v>
      </c>
      <c r="B1125" t="s">
        <v>23338</v>
      </c>
      <c r="C1125" t="s">
        <v>23339</v>
      </c>
      <c r="D1125" t="s">
        <v>23340</v>
      </c>
      <c r="E1125" t="s">
        <v>23341</v>
      </c>
      <c r="F1125" t="s">
        <v>23342</v>
      </c>
      <c r="G1125" t="s">
        <v>23343</v>
      </c>
      <c r="H1125" t="s">
        <v>23344</v>
      </c>
      <c r="I1125" t="s">
        <v>23345</v>
      </c>
      <c r="J1125" t="s">
        <v>23346</v>
      </c>
      <c r="K1125" t="s">
        <v>23347</v>
      </c>
      <c r="L1125" t="s">
        <v>23348</v>
      </c>
      <c r="M1125" t="s">
        <v>23349</v>
      </c>
      <c r="N1125" t="s">
        <v>23350</v>
      </c>
      <c r="O1125" t="s">
        <v>23351</v>
      </c>
      <c r="P1125" t="s">
        <v>23352</v>
      </c>
      <c r="Q1125">
        <f>-731.251419959711 -28.297794167187 -259.038361321324</f>
        <v>-1018.587575448222</v>
      </c>
      <c r="R1125" t="s">
        <v>23353</v>
      </c>
      <c r="S1125" t="s">
        <v>23354</v>
      </c>
      <c r="T1125" t="s">
        <v>23355</v>
      </c>
      <c r="U1125" t="s">
        <v>23356</v>
      </c>
      <c r="V1125" t="s">
        <v>23357</v>
      </c>
      <c r="W1125" t="s">
        <v>23358</v>
      </c>
      <c r="X1125" t="s">
        <v>23359</v>
      </c>
      <c r="Y1125" t="s">
        <v>23360</v>
      </c>
    </row>
    <row r="1126" spans="1:25" x14ac:dyDescent="0.3">
      <c r="A1126">
        <v>56250</v>
      </c>
      <c r="B1126" t="s">
        <v>23361</v>
      </c>
      <c r="C1126" t="s">
        <v>23362</v>
      </c>
      <c r="D1126" t="s">
        <v>23363</v>
      </c>
      <c r="E1126" t="s">
        <v>23364</v>
      </c>
      <c r="F1126" t="s">
        <v>23365</v>
      </c>
      <c r="G1126" t="s">
        <v>23366</v>
      </c>
      <c r="H1126" t="s">
        <v>23367</v>
      </c>
      <c r="I1126" t="s">
        <v>23368</v>
      </c>
      <c r="J1126" t="s">
        <v>23369</v>
      </c>
      <c r="K1126" t="s">
        <v>23370</v>
      </c>
      <c r="L1126" t="s">
        <v>23371</v>
      </c>
      <c r="M1126" t="s">
        <v>23372</v>
      </c>
      <c r="N1126" t="s">
        <v>23373</v>
      </c>
      <c r="O1126" t="s">
        <v>23374</v>
      </c>
      <c r="P1126" t="s">
        <v>23375</v>
      </c>
      <c r="Q1126">
        <f>-731.514099496089 -26.8087041584472 -261.080179746641</f>
        <v>-1019.4029834011772</v>
      </c>
      <c r="R1126" t="s">
        <v>23376</v>
      </c>
      <c r="S1126" t="s">
        <v>23377</v>
      </c>
      <c r="T1126" t="s">
        <v>23378</v>
      </c>
      <c r="U1126" t="s">
        <v>23379</v>
      </c>
      <c r="V1126" t="s">
        <v>23380</v>
      </c>
      <c r="W1126" t="s">
        <v>23381</v>
      </c>
      <c r="X1126" t="s">
        <v>23382</v>
      </c>
      <c r="Y1126" t="s">
        <v>23383</v>
      </c>
    </row>
    <row r="1127" spans="1:25" x14ac:dyDescent="0.3">
      <c r="A1127">
        <v>56300</v>
      </c>
      <c r="B1127" t="s">
        <v>23384</v>
      </c>
      <c r="C1127" t="s">
        <v>23385</v>
      </c>
      <c r="D1127" t="s">
        <v>23386</v>
      </c>
      <c r="E1127" t="s">
        <v>23387</v>
      </c>
      <c r="F1127" t="s">
        <v>23388</v>
      </c>
      <c r="G1127" t="s">
        <v>23389</v>
      </c>
      <c r="H1127" t="s">
        <v>23390</v>
      </c>
      <c r="I1127" t="s">
        <v>23391</v>
      </c>
      <c r="J1127" t="s">
        <v>23392</v>
      </c>
      <c r="K1127" t="s">
        <v>23393</v>
      </c>
      <c r="L1127" t="s">
        <v>23394</v>
      </c>
      <c r="M1127" t="s">
        <v>23395</v>
      </c>
      <c r="N1127" t="s">
        <v>23396</v>
      </c>
      <c r="O1127">
        <f>-934.649728543321 -0.999773855504372 -491.203278008673</f>
        <v>-1426.8527804074984</v>
      </c>
      <c r="P1127" t="s">
        <v>23397</v>
      </c>
      <c r="Q1127">
        <f>-731.244771316034 -25.7502345657886 -261.742952748489</f>
        <v>-1018.7379586303116</v>
      </c>
      <c r="R1127" t="s">
        <v>23398</v>
      </c>
      <c r="S1127" t="s">
        <v>23399</v>
      </c>
      <c r="T1127" t="s">
        <v>23400</v>
      </c>
      <c r="U1127" t="s">
        <v>23401</v>
      </c>
      <c r="V1127" t="s">
        <v>23402</v>
      </c>
      <c r="W1127" t="s">
        <v>23403</v>
      </c>
      <c r="X1127" t="s">
        <v>23404</v>
      </c>
      <c r="Y1127" t="s">
        <v>23405</v>
      </c>
    </row>
    <row r="1128" spans="1:25" x14ac:dyDescent="0.3">
      <c r="A1128">
        <v>56350</v>
      </c>
      <c r="B1128" t="s">
        <v>23406</v>
      </c>
      <c r="C1128" t="s">
        <v>23407</v>
      </c>
      <c r="D1128" t="s">
        <v>23408</v>
      </c>
      <c r="E1128" t="s">
        <v>23409</v>
      </c>
      <c r="F1128" t="s">
        <v>23410</v>
      </c>
      <c r="G1128" t="s">
        <v>23411</v>
      </c>
      <c r="H1128" t="s">
        <v>23412</v>
      </c>
      <c r="I1128" t="s">
        <v>23413</v>
      </c>
      <c r="J1128" t="s">
        <v>23414</v>
      </c>
      <c r="K1128" t="s">
        <v>23415</v>
      </c>
      <c r="L1128" t="s">
        <v>23416</v>
      </c>
      <c r="M1128" t="s">
        <v>23417</v>
      </c>
      <c r="N1128" t="s">
        <v>23418</v>
      </c>
      <c r="O1128">
        <f>-934.703629258376 -1.65026141157296 -491.160711973842</f>
        <v>-1427.514602643791</v>
      </c>
      <c r="P1128" t="s">
        <v>23419</v>
      </c>
      <c r="Q1128">
        <f>-731.000205687521 -25.0087093930192 -261.678087053257</f>
        <v>-1017.6870021337973</v>
      </c>
      <c r="R1128" t="s">
        <v>23420</v>
      </c>
      <c r="S1128" t="s">
        <v>23421</v>
      </c>
      <c r="T1128" t="s">
        <v>23422</v>
      </c>
      <c r="U1128" t="s">
        <v>23423</v>
      </c>
      <c r="V1128" t="s">
        <v>23424</v>
      </c>
      <c r="W1128" t="s">
        <v>23425</v>
      </c>
      <c r="X1128" t="s">
        <v>23426</v>
      </c>
      <c r="Y1128" t="s">
        <v>23427</v>
      </c>
    </row>
    <row r="1129" spans="1:25" x14ac:dyDescent="0.3">
      <c r="A1129">
        <v>56400</v>
      </c>
      <c r="B1129" t="s">
        <v>23428</v>
      </c>
      <c r="C1129" t="s">
        <v>23429</v>
      </c>
      <c r="D1129" t="s">
        <v>23430</v>
      </c>
      <c r="E1129" t="s">
        <v>23431</v>
      </c>
      <c r="F1129" t="s">
        <v>23432</v>
      </c>
      <c r="G1129" t="s">
        <v>23433</v>
      </c>
      <c r="H1129" t="s">
        <v>23434</v>
      </c>
      <c r="I1129" t="s">
        <v>23435</v>
      </c>
      <c r="J1129" t="s">
        <v>23436</v>
      </c>
      <c r="K1129" t="s">
        <v>23437</v>
      </c>
      <c r="L1129" t="s">
        <v>23438</v>
      </c>
      <c r="M1129" t="s">
        <v>23439</v>
      </c>
      <c r="N1129" t="s">
        <v>23440</v>
      </c>
      <c r="O1129">
        <f>-934.804648364314 -2.46617463762641 -491.395677026874</f>
        <v>-1428.6665000288144</v>
      </c>
      <c r="P1129" t="s">
        <v>23441</v>
      </c>
      <c r="Q1129">
        <f>-730.915991954457 -24.2311171038527 -261.363036795144</f>
        <v>-1016.5101458534538</v>
      </c>
      <c r="R1129" t="s">
        <v>23442</v>
      </c>
      <c r="S1129" t="s">
        <v>23443</v>
      </c>
      <c r="T1129" t="s">
        <v>23444</v>
      </c>
      <c r="U1129" t="s">
        <v>23445</v>
      </c>
      <c r="V1129" t="s">
        <v>23446</v>
      </c>
      <c r="W1129" t="s">
        <v>23447</v>
      </c>
      <c r="X1129" t="s">
        <v>23448</v>
      </c>
      <c r="Y1129" t="s">
        <v>23449</v>
      </c>
    </row>
    <row r="1130" spans="1:25" x14ac:dyDescent="0.3">
      <c r="A1130">
        <v>56450</v>
      </c>
      <c r="B1130" t="s">
        <v>23450</v>
      </c>
      <c r="C1130" t="s">
        <v>23451</v>
      </c>
      <c r="D1130" t="s">
        <v>23452</v>
      </c>
      <c r="E1130" t="s">
        <v>23453</v>
      </c>
      <c r="F1130" t="s">
        <v>23454</v>
      </c>
      <c r="G1130" t="s">
        <v>23455</v>
      </c>
      <c r="H1130" t="s">
        <v>23456</v>
      </c>
      <c r="I1130" t="s">
        <v>23457</v>
      </c>
      <c r="J1130" t="s">
        <v>23458</v>
      </c>
      <c r="K1130" t="s">
        <v>23459</v>
      </c>
      <c r="L1130" t="s">
        <v>23460</v>
      </c>
      <c r="M1130" t="s">
        <v>23461</v>
      </c>
      <c r="N1130" t="s">
        <v>23462</v>
      </c>
      <c r="O1130">
        <f>-934.865025048962 -3.05438894811005 -491.554537671137</f>
        <v>-1429.4739516682091</v>
      </c>
      <c r="P1130">
        <f>-962.277800926259 -0.738803193013609 -198.579502064257</f>
        <v>-1161.5961061835296</v>
      </c>
      <c r="Q1130">
        <f>-730.916699196223 -24.8141369584018 -261.374926050609</f>
        <v>-1017.1057622052339</v>
      </c>
      <c r="R1130" t="s">
        <v>23463</v>
      </c>
      <c r="S1130" t="s">
        <v>23464</v>
      </c>
      <c r="T1130" t="s">
        <v>23465</v>
      </c>
      <c r="U1130" t="s">
        <v>23466</v>
      </c>
      <c r="V1130" t="s">
        <v>23467</v>
      </c>
      <c r="W1130" t="s">
        <v>23468</v>
      </c>
      <c r="X1130" t="s">
        <v>23469</v>
      </c>
      <c r="Y1130" t="s">
        <v>23470</v>
      </c>
    </row>
    <row r="1131" spans="1:25" x14ac:dyDescent="0.3">
      <c r="A1131">
        <v>56500</v>
      </c>
      <c r="B1131" t="s">
        <v>23471</v>
      </c>
      <c r="C1131" t="s">
        <v>23472</v>
      </c>
      <c r="D1131" t="s">
        <v>23473</v>
      </c>
      <c r="E1131" t="s">
        <v>23474</v>
      </c>
      <c r="F1131" t="s">
        <v>23475</v>
      </c>
      <c r="G1131" t="s">
        <v>23476</v>
      </c>
      <c r="H1131" t="s">
        <v>23477</v>
      </c>
      <c r="I1131" t="s">
        <v>23478</v>
      </c>
      <c r="J1131" t="s">
        <v>23479</v>
      </c>
      <c r="K1131" t="s">
        <v>23480</v>
      </c>
      <c r="L1131" t="s">
        <v>23481</v>
      </c>
      <c r="M1131" t="s">
        <v>23482</v>
      </c>
      <c r="N1131" t="s">
        <v>23483</v>
      </c>
      <c r="O1131">
        <f>-935.190186149498 -4.5106075464887 -491.646057484097</f>
        <v>-1431.3468511800838</v>
      </c>
      <c r="P1131">
        <f>-962.613455795639 -3.11431128489448 -198.666173946432</f>
        <v>-1164.3939410269654</v>
      </c>
      <c r="Q1131">
        <f>-731.204010595765 -25.9844655572606 -261.734016050175</f>
        <v>-1018.9224922032006</v>
      </c>
      <c r="R1131" t="s">
        <v>23484</v>
      </c>
      <c r="S1131" t="s">
        <v>23485</v>
      </c>
      <c r="T1131" t="s">
        <v>23486</v>
      </c>
      <c r="U1131" t="s">
        <v>23487</v>
      </c>
      <c r="V1131" t="s">
        <v>23488</v>
      </c>
      <c r="W1131" t="s">
        <v>23489</v>
      </c>
      <c r="X1131" t="s">
        <v>23490</v>
      </c>
      <c r="Y1131" t="s">
        <v>23491</v>
      </c>
    </row>
    <row r="1132" spans="1:25" x14ac:dyDescent="0.3">
      <c r="A1132">
        <v>56550</v>
      </c>
      <c r="B1132" t="s">
        <v>23492</v>
      </c>
      <c r="C1132" t="s">
        <v>23493</v>
      </c>
      <c r="D1132" t="s">
        <v>23494</v>
      </c>
      <c r="E1132" t="s">
        <v>23495</v>
      </c>
      <c r="F1132" t="s">
        <v>23496</v>
      </c>
      <c r="G1132" t="s">
        <v>23497</v>
      </c>
      <c r="H1132" t="s">
        <v>23498</v>
      </c>
      <c r="I1132" t="s">
        <v>23499</v>
      </c>
      <c r="J1132" t="s">
        <v>23500</v>
      </c>
      <c r="K1132" t="s">
        <v>23501</v>
      </c>
      <c r="L1132" t="s">
        <v>23502</v>
      </c>
      <c r="M1132" t="s">
        <v>23503</v>
      </c>
      <c r="N1132" t="s">
        <v>23504</v>
      </c>
      <c r="O1132">
        <f>-935.48225416809 -5.10872351007038 -491.629803256152</f>
        <v>-1432.2207809343124</v>
      </c>
      <c r="P1132">
        <f>-962.842269558198 -3.95924261577829 -198.642927961582</f>
        <v>-1165.4444401355584</v>
      </c>
      <c r="Q1132">
        <f>-731.378727345527 -26.0741829396015 -261.781557604741</f>
        <v>-1019.2344678898695</v>
      </c>
      <c r="R1132" t="s">
        <v>23505</v>
      </c>
      <c r="S1132" t="s">
        <v>23506</v>
      </c>
      <c r="T1132" t="s">
        <v>23507</v>
      </c>
      <c r="U1132" t="s">
        <v>23508</v>
      </c>
      <c r="V1132" t="s">
        <v>23509</v>
      </c>
      <c r="W1132" t="s">
        <v>23510</v>
      </c>
      <c r="X1132" t="s">
        <v>23511</v>
      </c>
      <c r="Y1132" t="s">
        <v>23512</v>
      </c>
    </row>
    <row r="1133" spans="1:25" x14ac:dyDescent="0.3">
      <c r="A1133">
        <v>56600</v>
      </c>
      <c r="B1133" t="s">
        <v>23513</v>
      </c>
      <c r="C1133" t="s">
        <v>23514</v>
      </c>
      <c r="D1133" t="s">
        <v>23515</v>
      </c>
      <c r="E1133" t="s">
        <v>23516</v>
      </c>
      <c r="F1133" t="s">
        <v>23517</v>
      </c>
      <c r="G1133" t="s">
        <v>23518</v>
      </c>
      <c r="H1133" t="s">
        <v>23519</v>
      </c>
      <c r="I1133" t="s">
        <v>23520</v>
      </c>
      <c r="J1133" t="s">
        <v>23521</v>
      </c>
      <c r="K1133" t="s">
        <v>23522</v>
      </c>
      <c r="L1133" t="s">
        <v>23523</v>
      </c>
      <c r="M1133" t="s">
        <v>23524</v>
      </c>
      <c r="N1133" t="s">
        <v>23525</v>
      </c>
      <c r="O1133">
        <f>-936.166050958279 -6.13096929102585 -491.488952017111</f>
        <v>-1433.7859722664159</v>
      </c>
      <c r="P1133">
        <f>-963.168308213577 -5.13185926545339 -198.468387750256</f>
        <v>-1166.7685552292864</v>
      </c>
      <c r="Q1133">
        <f>-731.528058287203 -25.2325929778644 -261.631695750917</f>
        <v>-1018.3923470159843</v>
      </c>
      <c r="R1133" t="s">
        <v>23526</v>
      </c>
      <c r="S1133" t="s">
        <v>23527</v>
      </c>
      <c r="T1133" t="s">
        <v>23528</v>
      </c>
      <c r="U1133" t="s">
        <v>23529</v>
      </c>
      <c r="V1133" t="s">
        <v>23530</v>
      </c>
      <c r="W1133" t="s">
        <v>23531</v>
      </c>
      <c r="X1133" t="s">
        <v>23532</v>
      </c>
      <c r="Y1133" t="s">
        <v>23533</v>
      </c>
    </row>
    <row r="1134" spans="1:25" x14ac:dyDescent="0.3">
      <c r="A1134">
        <v>56650</v>
      </c>
      <c r="B1134" t="s">
        <v>23534</v>
      </c>
      <c r="C1134" t="s">
        <v>23535</v>
      </c>
      <c r="D1134" t="s">
        <v>23536</v>
      </c>
      <c r="E1134" t="s">
        <v>23537</v>
      </c>
      <c r="F1134" t="s">
        <v>23538</v>
      </c>
      <c r="G1134" t="s">
        <v>23539</v>
      </c>
      <c r="H1134" t="s">
        <v>23540</v>
      </c>
      <c r="I1134" t="s">
        <v>23541</v>
      </c>
      <c r="J1134" t="s">
        <v>23542</v>
      </c>
      <c r="K1134" t="s">
        <v>23543</v>
      </c>
      <c r="L1134" t="s">
        <v>23544</v>
      </c>
      <c r="M1134" t="s">
        <v>23545</v>
      </c>
      <c r="N1134" t="s">
        <v>23546</v>
      </c>
      <c r="O1134">
        <f>-936.373507987873 -6.5495378523683 -491.414181809891</f>
        <v>-1434.3372276501323</v>
      </c>
      <c r="P1134">
        <f>-963.273880694275 -5.49176512395115 -198.384436712985</f>
        <v>-1167.1500825312112</v>
      </c>
      <c r="Q1134">
        <f>-731.512377002968 -24.3946621578584 -261.472848766207</f>
        <v>-1017.3798879270335</v>
      </c>
      <c r="R1134" t="s">
        <v>23547</v>
      </c>
      <c r="S1134" t="s">
        <v>23548</v>
      </c>
      <c r="T1134" t="s">
        <v>23549</v>
      </c>
      <c r="U1134" t="s">
        <v>23550</v>
      </c>
      <c r="V1134" t="s">
        <v>23551</v>
      </c>
      <c r="W1134" t="s">
        <v>23552</v>
      </c>
      <c r="X1134" t="s">
        <v>23553</v>
      </c>
      <c r="Y1134" t="s">
        <v>23554</v>
      </c>
    </row>
    <row r="1135" spans="1:25" x14ac:dyDescent="0.3">
      <c r="A1135">
        <v>56700</v>
      </c>
      <c r="B1135" t="s">
        <v>23555</v>
      </c>
      <c r="C1135" t="s">
        <v>23556</v>
      </c>
      <c r="D1135" t="s">
        <v>23557</v>
      </c>
      <c r="E1135" t="s">
        <v>23558</v>
      </c>
      <c r="F1135" t="s">
        <v>23559</v>
      </c>
      <c r="G1135" t="s">
        <v>23560</v>
      </c>
      <c r="H1135" t="s">
        <v>23561</v>
      </c>
      <c r="I1135" t="s">
        <v>23562</v>
      </c>
      <c r="J1135" t="s">
        <v>23563</v>
      </c>
      <c r="K1135" t="s">
        <v>23564</v>
      </c>
      <c r="L1135" t="s">
        <v>23565</v>
      </c>
      <c r="M1135" t="s">
        <v>23566</v>
      </c>
      <c r="N1135" t="s">
        <v>23567</v>
      </c>
      <c r="O1135">
        <f>-936.380718446019 -7.50338847449166 -491.308049798988</f>
        <v>-1435.1921567194986</v>
      </c>
      <c r="P1135">
        <f>-963.442950965641 -6.27899452763131 -198.293699691595</f>
        <v>-1168.0156451848673</v>
      </c>
      <c r="Q1135">
        <f>-731.472728932863 -22.9718873051979 -261.237847246617</f>
        <v>-1015.6824634846779</v>
      </c>
      <c r="R1135" t="s">
        <v>23568</v>
      </c>
      <c r="S1135" t="s">
        <v>23569</v>
      </c>
      <c r="T1135" t="s">
        <v>23570</v>
      </c>
      <c r="U1135" t="s">
        <v>23571</v>
      </c>
      <c r="V1135" t="s">
        <v>23572</v>
      </c>
      <c r="W1135" t="s">
        <v>23573</v>
      </c>
      <c r="X1135" t="s">
        <v>23574</v>
      </c>
      <c r="Y1135" t="s">
        <v>23575</v>
      </c>
    </row>
    <row r="1136" spans="1:25" x14ac:dyDescent="0.3">
      <c r="A1136">
        <v>56750</v>
      </c>
      <c r="B1136" t="s">
        <v>23576</v>
      </c>
      <c r="C1136" t="s">
        <v>23577</v>
      </c>
      <c r="D1136" t="s">
        <v>23578</v>
      </c>
      <c r="E1136" t="s">
        <v>23579</v>
      </c>
      <c r="F1136" t="s">
        <v>23580</v>
      </c>
      <c r="G1136" t="s">
        <v>23581</v>
      </c>
      <c r="H1136" t="s">
        <v>23582</v>
      </c>
      <c r="I1136" t="s">
        <v>23583</v>
      </c>
      <c r="J1136" t="s">
        <v>23584</v>
      </c>
      <c r="K1136" t="s">
        <v>23585</v>
      </c>
      <c r="L1136" t="s">
        <v>23586</v>
      </c>
      <c r="M1136" t="s">
        <v>23587</v>
      </c>
      <c r="N1136" t="s">
        <v>23588</v>
      </c>
      <c r="O1136">
        <f>-936.342760471695 -8.00928707597313 -491.246809588327</f>
        <v>-1435.5988571359951</v>
      </c>
      <c r="P1136">
        <f>-963.469896339142 -6.90957251802502 -198.238144202796</f>
        <v>-1168.6176130599631</v>
      </c>
      <c r="Q1136">
        <f>-731.428326840953 -22.5333042390394 -261.194513117766</f>
        <v>-1015.1561441977583</v>
      </c>
      <c r="R1136" t="s">
        <v>23589</v>
      </c>
      <c r="S1136" t="s">
        <v>23590</v>
      </c>
      <c r="T1136" t="s">
        <v>23591</v>
      </c>
      <c r="U1136" t="s">
        <v>23592</v>
      </c>
      <c r="V1136" t="s">
        <v>23593</v>
      </c>
      <c r="W1136" t="s">
        <v>23594</v>
      </c>
      <c r="X1136" t="s">
        <v>23595</v>
      </c>
      <c r="Y1136" t="s">
        <v>23596</v>
      </c>
    </row>
    <row r="1137" spans="1:25" x14ac:dyDescent="0.3">
      <c r="A1137">
        <v>56800</v>
      </c>
      <c r="B1137" t="s">
        <v>23597</v>
      </c>
      <c r="C1137" t="s">
        <v>23598</v>
      </c>
      <c r="D1137" t="s">
        <v>23599</v>
      </c>
      <c r="E1137" t="s">
        <v>23600</v>
      </c>
      <c r="F1137" t="s">
        <v>23601</v>
      </c>
      <c r="G1137" t="s">
        <v>23602</v>
      </c>
      <c r="H1137" t="s">
        <v>23603</v>
      </c>
      <c r="I1137" t="s">
        <v>23604</v>
      </c>
      <c r="J1137" t="s">
        <v>23605</v>
      </c>
      <c r="K1137" t="s">
        <v>23606</v>
      </c>
      <c r="L1137" t="s">
        <v>23607</v>
      </c>
      <c r="M1137" t="s">
        <v>23608</v>
      </c>
      <c r="N1137" t="s">
        <v>23609</v>
      </c>
      <c r="O1137">
        <f>-936.061792212407 -8.97652410775981 -491.092506594518</f>
        <v>-1436.1308229146848</v>
      </c>
      <c r="P1137">
        <f>-962.958319859682 -8.188327775777 -198.061568689288</f>
        <v>-1169.2082163247469</v>
      </c>
      <c r="Q1137">
        <f>-730.828015629203 -21.996722596105 -261.115082322463</f>
        <v>-1013.939820547771</v>
      </c>
      <c r="R1137" t="s">
        <v>23610</v>
      </c>
      <c r="S1137" t="s">
        <v>23611</v>
      </c>
      <c r="T1137" t="s">
        <v>23612</v>
      </c>
      <c r="U1137" t="s">
        <v>23613</v>
      </c>
      <c r="V1137" t="s">
        <v>23614</v>
      </c>
      <c r="W1137" t="s">
        <v>23615</v>
      </c>
      <c r="X1137" t="s">
        <v>23616</v>
      </c>
      <c r="Y1137" t="s">
        <v>23617</v>
      </c>
    </row>
    <row r="1138" spans="1:25" x14ac:dyDescent="0.3">
      <c r="A1138">
        <v>56850</v>
      </c>
      <c r="B1138" t="s">
        <v>23618</v>
      </c>
      <c r="C1138" t="s">
        <v>23619</v>
      </c>
      <c r="D1138" t="s">
        <v>23620</v>
      </c>
      <c r="E1138" t="s">
        <v>23621</v>
      </c>
      <c r="F1138" t="s">
        <v>23622</v>
      </c>
      <c r="G1138" t="s">
        <v>23623</v>
      </c>
      <c r="H1138" t="s">
        <v>23624</v>
      </c>
      <c r="I1138" t="s">
        <v>23625</v>
      </c>
      <c r="J1138" t="s">
        <v>23626</v>
      </c>
      <c r="K1138" t="s">
        <v>23627</v>
      </c>
      <c r="L1138" t="s">
        <v>23628</v>
      </c>
      <c r="M1138" t="s">
        <v>23629</v>
      </c>
      <c r="N1138" t="s">
        <v>23630</v>
      </c>
      <c r="O1138">
        <f>-935.808153494862 -9.37463982772488 -491.040090028226</f>
        <v>-1436.2228833508129</v>
      </c>
      <c r="P1138">
        <f>-962.669223798133 -8.82298982337807 -198.005227378953</f>
        <v>-1169.4974410004641</v>
      </c>
      <c r="Q1138">
        <f>-730.51255884386 -21.5621044688123 -261.186565063246</f>
        <v>-1013.2612283759183</v>
      </c>
      <c r="R1138" t="s">
        <v>23631</v>
      </c>
      <c r="S1138" t="s">
        <v>23632</v>
      </c>
      <c r="T1138" t="s">
        <v>23633</v>
      </c>
      <c r="U1138" t="s">
        <v>23634</v>
      </c>
      <c r="V1138" t="s">
        <v>23635</v>
      </c>
      <c r="W1138" t="s">
        <v>23636</v>
      </c>
      <c r="X1138" t="s">
        <v>23637</v>
      </c>
      <c r="Y1138" t="s">
        <v>23638</v>
      </c>
    </row>
    <row r="1139" spans="1:25" x14ac:dyDescent="0.3">
      <c r="A1139">
        <v>56900</v>
      </c>
      <c r="B1139" t="s">
        <v>23639</v>
      </c>
      <c r="C1139" t="s">
        <v>23640</v>
      </c>
      <c r="D1139" t="s">
        <v>23641</v>
      </c>
      <c r="E1139" t="s">
        <v>23642</v>
      </c>
      <c r="F1139" t="s">
        <v>23643</v>
      </c>
      <c r="G1139" t="s">
        <v>23644</v>
      </c>
      <c r="H1139" t="s">
        <v>23645</v>
      </c>
      <c r="I1139" t="s">
        <v>23646</v>
      </c>
      <c r="J1139" t="s">
        <v>23647</v>
      </c>
      <c r="K1139" t="s">
        <v>23648</v>
      </c>
      <c r="L1139" t="s">
        <v>23649</v>
      </c>
      <c r="M1139" t="s">
        <v>23650</v>
      </c>
      <c r="N1139" t="s">
        <v>23651</v>
      </c>
      <c r="O1139">
        <f>-935.44752710047 -10.1703602643693 -490.970098258717</f>
        <v>-1436.5879856235563</v>
      </c>
      <c r="P1139">
        <f>-962.031297630635 -9.7461421314988 -197.909680612705</f>
        <v>-1169.6871203748387</v>
      </c>
      <c r="Q1139">
        <f>-729.838528494691 -21.0351137089015 -261.233978663554</f>
        <v>-1012.1076208671465</v>
      </c>
      <c r="R1139" t="s">
        <v>23652</v>
      </c>
      <c r="S1139" t="s">
        <v>23653</v>
      </c>
      <c r="T1139" t="s">
        <v>23654</v>
      </c>
      <c r="U1139" t="s">
        <v>23655</v>
      </c>
      <c r="V1139" t="s">
        <v>23656</v>
      </c>
      <c r="W1139" t="s">
        <v>23657</v>
      </c>
      <c r="X1139" t="s">
        <v>23658</v>
      </c>
      <c r="Y1139" t="s">
        <v>23659</v>
      </c>
    </row>
    <row r="1140" spans="1:25" x14ac:dyDescent="0.3">
      <c r="A1140">
        <v>56950</v>
      </c>
      <c r="B1140" t="s">
        <v>23660</v>
      </c>
      <c r="C1140" t="s">
        <v>23661</v>
      </c>
      <c r="D1140" t="s">
        <v>23662</v>
      </c>
      <c r="E1140" t="s">
        <v>23663</v>
      </c>
      <c r="F1140" t="s">
        <v>23664</v>
      </c>
      <c r="G1140" t="s">
        <v>23665</v>
      </c>
      <c r="H1140" t="s">
        <v>23666</v>
      </c>
      <c r="I1140" t="s">
        <v>23667</v>
      </c>
      <c r="J1140" t="s">
        <v>23668</v>
      </c>
      <c r="K1140" t="s">
        <v>23669</v>
      </c>
      <c r="L1140" t="s">
        <v>23670</v>
      </c>
      <c r="M1140" t="s">
        <v>23671</v>
      </c>
      <c r="N1140" t="s">
        <v>23672</v>
      </c>
      <c r="O1140">
        <f>-935.274076775236 -10.4623842727374 -490.930909571389</f>
        <v>-1436.6673706193624</v>
      </c>
      <c r="P1140">
        <f>-961.726287251549 -10.1283866934778 -197.85859128135</f>
        <v>-1169.7132652263767</v>
      </c>
      <c r="Q1140">
        <f>-729.507056210232 -20.7158948740789 -261.206436396579</f>
        <v>-1011.42938748089</v>
      </c>
      <c r="R1140" t="s">
        <v>23673</v>
      </c>
      <c r="S1140" t="s">
        <v>23674</v>
      </c>
      <c r="T1140" t="s">
        <v>23675</v>
      </c>
      <c r="U1140" t="s">
        <v>23676</v>
      </c>
      <c r="V1140" t="s">
        <v>23677</v>
      </c>
      <c r="W1140" t="s">
        <v>23678</v>
      </c>
      <c r="X1140" t="s">
        <v>23679</v>
      </c>
      <c r="Y1140" t="s">
        <v>23680</v>
      </c>
    </row>
    <row r="1141" spans="1:25" x14ac:dyDescent="0.3">
      <c r="A1141">
        <v>57000</v>
      </c>
      <c r="B1141" t="s">
        <v>23681</v>
      </c>
      <c r="C1141" t="s">
        <v>23682</v>
      </c>
      <c r="D1141" t="s">
        <v>23683</v>
      </c>
      <c r="E1141" t="s">
        <v>23684</v>
      </c>
      <c r="F1141" t="s">
        <v>23685</v>
      </c>
      <c r="G1141" t="s">
        <v>23686</v>
      </c>
      <c r="H1141" t="s">
        <v>23687</v>
      </c>
      <c r="I1141" t="s">
        <v>23688</v>
      </c>
      <c r="J1141" t="s">
        <v>23689</v>
      </c>
      <c r="K1141" t="s">
        <v>23690</v>
      </c>
      <c r="L1141" t="s">
        <v>23691</v>
      </c>
      <c r="M1141" t="s">
        <v>23692</v>
      </c>
      <c r="N1141" t="s">
        <v>23693</v>
      </c>
      <c r="O1141">
        <f>-934.951565780293 -11.1912012734419 -490.977535679055</f>
        <v>-1437.1203027327899</v>
      </c>
      <c r="P1141">
        <f>-961.31895724337 -11.4025959487522 -197.8973105715</f>
        <v>-1170.6188637636221</v>
      </c>
      <c r="Q1141">
        <f>-729.008128335432 -20.1305334458602 -261.193564012077</f>
        <v>-1010.3322257933693</v>
      </c>
      <c r="R1141" t="s">
        <v>23694</v>
      </c>
      <c r="S1141" t="s">
        <v>23695</v>
      </c>
      <c r="T1141" t="s">
        <v>23696</v>
      </c>
      <c r="U1141" t="s">
        <v>23697</v>
      </c>
      <c r="V1141" t="s">
        <v>23698</v>
      </c>
      <c r="W1141" t="s">
        <v>23699</v>
      </c>
      <c r="X1141" t="s">
        <v>23700</v>
      </c>
      <c r="Y1141" t="s">
        <v>23701</v>
      </c>
    </row>
    <row r="1142" spans="1:25" x14ac:dyDescent="0.3">
      <c r="A1142">
        <v>57050</v>
      </c>
      <c r="B1142" t="s">
        <v>23702</v>
      </c>
      <c r="C1142" t="s">
        <v>23703</v>
      </c>
      <c r="D1142" t="s">
        <v>23704</v>
      </c>
      <c r="E1142" t="s">
        <v>23705</v>
      </c>
      <c r="F1142" t="s">
        <v>23706</v>
      </c>
      <c r="G1142" t="s">
        <v>23707</v>
      </c>
      <c r="H1142" t="s">
        <v>23708</v>
      </c>
      <c r="I1142" t="s">
        <v>23709</v>
      </c>
      <c r="J1142" t="s">
        <v>23710</v>
      </c>
      <c r="K1142" t="s">
        <v>23711</v>
      </c>
      <c r="L1142" t="s">
        <v>23712</v>
      </c>
      <c r="M1142" t="s">
        <v>23713</v>
      </c>
      <c r="N1142" t="s">
        <v>23714</v>
      </c>
      <c r="O1142">
        <f>-934.8936017411 -11.5871455175557 -491.008137917147</f>
        <v>-1437.4888851758028</v>
      </c>
      <c r="P1142">
        <f>-961.290504465202 -12.0713239090633 -197.931096484385</f>
        <v>-1171.2929248586504</v>
      </c>
      <c r="Q1142">
        <f>-728.933482068734 -19.4518118393867 -261.228258435194</f>
        <v>-1009.6135523433146</v>
      </c>
      <c r="R1142" t="s">
        <v>23715</v>
      </c>
      <c r="S1142" t="s">
        <v>23716</v>
      </c>
      <c r="T1142" t="s">
        <v>23717</v>
      </c>
      <c r="U1142" t="s">
        <v>23718</v>
      </c>
      <c r="V1142" t="s">
        <v>23719</v>
      </c>
      <c r="W1142" t="s">
        <v>23720</v>
      </c>
      <c r="X1142" t="s">
        <v>23721</v>
      </c>
      <c r="Y1142" t="s">
        <v>23722</v>
      </c>
    </row>
    <row r="1143" spans="1:25" x14ac:dyDescent="0.3">
      <c r="A1143">
        <v>57100</v>
      </c>
      <c r="B1143" t="s">
        <v>23723</v>
      </c>
      <c r="C1143" t="s">
        <v>23724</v>
      </c>
      <c r="D1143" t="s">
        <v>23725</v>
      </c>
      <c r="E1143" t="s">
        <v>23726</v>
      </c>
      <c r="F1143" t="s">
        <v>23727</v>
      </c>
      <c r="G1143" t="s">
        <v>23728</v>
      </c>
      <c r="H1143" t="s">
        <v>23729</v>
      </c>
      <c r="I1143" t="s">
        <v>23730</v>
      </c>
      <c r="J1143" t="s">
        <v>23731</v>
      </c>
      <c r="K1143" t="s">
        <v>23732</v>
      </c>
      <c r="L1143" t="s">
        <v>23733</v>
      </c>
      <c r="M1143" t="s">
        <v>23734</v>
      </c>
      <c r="N1143" t="s">
        <v>23735</v>
      </c>
      <c r="O1143">
        <f>-935.143166883094 -12.3262515711626 -491.056760060046</f>
        <v>-1438.5261785143025</v>
      </c>
      <c r="P1143">
        <f>-961.437734348019 -13.2639181809959 -197.971612921919</f>
        <v>-1172.673265450934</v>
      </c>
      <c r="Q1143">
        <f>-729.003451392271 -17.3142857872208 -261.286670118557</f>
        <v>-1007.6044072980488</v>
      </c>
      <c r="R1143" t="s">
        <v>23736</v>
      </c>
      <c r="S1143" t="s">
        <v>23737</v>
      </c>
      <c r="T1143" t="s">
        <v>23738</v>
      </c>
      <c r="U1143" t="s">
        <v>23739</v>
      </c>
      <c r="V1143" t="s">
        <v>23740</v>
      </c>
      <c r="W1143" t="s">
        <v>23741</v>
      </c>
      <c r="X1143" t="s">
        <v>23742</v>
      </c>
      <c r="Y1143" t="s">
        <v>23743</v>
      </c>
    </row>
    <row r="1144" spans="1:25" x14ac:dyDescent="0.3">
      <c r="A1144">
        <v>57150</v>
      </c>
      <c r="B1144" t="s">
        <v>23744</v>
      </c>
      <c r="C1144" t="s">
        <v>23745</v>
      </c>
      <c r="D1144" t="s">
        <v>23746</v>
      </c>
      <c r="E1144" t="s">
        <v>23747</v>
      </c>
      <c r="F1144" t="s">
        <v>23748</v>
      </c>
      <c r="G1144" t="s">
        <v>23749</v>
      </c>
      <c r="H1144" t="s">
        <v>23750</v>
      </c>
      <c r="I1144" t="s">
        <v>23751</v>
      </c>
      <c r="J1144" t="s">
        <v>23752</v>
      </c>
      <c r="K1144" t="s">
        <v>23753</v>
      </c>
      <c r="L1144" t="s">
        <v>23754</v>
      </c>
      <c r="M1144" t="s">
        <v>23755</v>
      </c>
      <c r="N1144" t="s">
        <v>23756</v>
      </c>
      <c r="O1144">
        <f>-935.187141077863 -12.5947312074109 -491.080069870889</f>
        <v>-1438.861942156163</v>
      </c>
      <c r="P1144">
        <f>-961.377402625476 -13.7939035478948 -197.986440994097</f>
        <v>-1173.1577471674677</v>
      </c>
      <c r="Q1144">
        <f>-728.975860418689 -15.5188685508706 -261.527198524386</f>
        <v>-1006.0219274939456</v>
      </c>
      <c r="R1144" t="s">
        <v>23757</v>
      </c>
      <c r="S1144" t="s">
        <v>23758</v>
      </c>
      <c r="T1144" t="s">
        <v>23759</v>
      </c>
      <c r="U1144" t="s">
        <v>23760</v>
      </c>
      <c r="V1144" t="s">
        <v>23761</v>
      </c>
      <c r="W1144" t="s">
        <v>23762</v>
      </c>
      <c r="X1144" t="s">
        <v>23763</v>
      </c>
      <c r="Y1144" t="s">
        <v>23764</v>
      </c>
    </row>
    <row r="1145" spans="1:25" x14ac:dyDescent="0.3">
      <c r="A1145">
        <v>57200</v>
      </c>
      <c r="B1145" t="s">
        <v>23765</v>
      </c>
      <c r="C1145" t="s">
        <v>23766</v>
      </c>
      <c r="D1145" t="s">
        <v>23767</v>
      </c>
      <c r="E1145" t="s">
        <v>23768</v>
      </c>
      <c r="F1145" t="s">
        <v>23769</v>
      </c>
      <c r="G1145" t="s">
        <v>23770</v>
      </c>
      <c r="H1145" t="s">
        <v>23771</v>
      </c>
      <c r="I1145" t="s">
        <v>23772</v>
      </c>
      <c r="J1145" t="s">
        <v>23773</v>
      </c>
      <c r="K1145" t="s">
        <v>23774</v>
      </c>
      <c r="L1145" t="s">
        <v>23775</v>
      </c>
      <c r="M1145" t="s">
        <v>23776</v>
      </c>
      <c r="N1145" t="s">
        <v>23777</v>
      </c>
      <c r="O1145">
        <f>-935.294919290573 -13.130650829125 -491.203729186679</f>
        <v>-1439.6292993063771</v>
      </c>
      <c r="P1145">
        <f>-961.182305419901 -14.8502876803168 -198.085863051509</f>
        <v>-1174.1184561517268</v>
      </c>
      <c r="Q1145">
        <f>-728.866118262139 -11.73856405574 -261.885152976166</f>
        <v>-1002.489835294045</v>
      </c>
      <c r="R1145" t="s">
        <v>23778</v>
      </c>
      <c r="S1145" t="s">
        <v>23779</v>
      </c>
      <c r="T1145" t="s">
        <v>23780</v>
      </c>
      <c r="U1145" t="s">
        <v>23781</v>
      </c>
      <c r="V1145" t="s">
        <v>23782</v>
      </c>
      <c r="W1145" t="s">
        <v>23783</v>
      </c>
      <c r="X1145" t="s">
        <v>23784</v>
      </c>
      <c r="Y1145" t="s">
        <v>23785</v>
      </c>
    </row>
    <row r="1146" spans="1:25" x14ac:dyDescent="0.3">
      <c r="A1146">
        <v>57250</v>
      </c>
      <c r="B1146" t="s">
        <v>23786</v>
      </c>
      <c r="C1146" t="s">
        <v>23787</v>
      </c>
      <c r="D1146" t="s">
        <v>23788</v>
      </c>
      <c r="E1146" t="s">
        <v>23789</v>
      </c>
      <c r="F1146" t="s">
        <v>23790</v>
      </c>
      <c r="G1146" t="s">
        <v>23791</v>
      </c>
      <c r="H1146" t="s">
        <v>23792</v>
      </c>
      <c r="I1146" t="s">
        <v>23793</v>
      </c>
      <c r="J1146" t="s">
        <v>23794</v>
      </c>
      <c r="K1146" t="s">
        <v>23795</v>
      </c>
      <c r="L1146" t="s">
        <v>23796</v>
      </c>
      <c r="M1146" t="s">
        <v>23797</v>
      </c>
      <c r="N1146" t="s">
        <v>23798</v>
      </c>
      <c r="O1146">
        <f>-935.291802426654 -13.6471418161741 -491.29826010938</f>
        <v>-1440.2372043522082</v>
      </c>
      <c r="P1146">
        <f>-961.064479665083 -15.7698434448539 -198.172851951091</f>
        <v>-1175.007175061028</v>
      </c>
      <c r="Q1146">
        <f>-728.841380125052 -10.2861696836039 -262.150563208988</f>
        <v>-1001.2781130176438</v>
      </c>
      <c r="R1146" t="s">
        <v>23799</v>
      </c>
      <c r="S1146" t="s">
        <v>23800</v>
      </c>
      <c r="T1146" t="s">
        <v>23801</v>
      </c>
      <c r="U1146" t="s">
        <v>23802</v>
      </c>
      <c r="V1146" t="s">
        <v>23803</v>
      </c>
      <c r="W1146" t="s">
        <v>23804</v>
      </c>
      <c r="X1146" t="s">
        <v>23805</v>
      </c>
      <c r="Y1146" t="s">
        <v>23806</v>
      </c>
    </row>
    <row r="1147" spans="1:25" x14ac:dyDescent="0.3">
      <c r="A1147">
        <v>57300</v>
      </c>
      <c r="B1147" t="s">
        <v>23807</v>
      </c>
      <c r="C1147" t="s">
        <v>23808</v>
      </c>
      <c r="D1147" t="s">
        <v>23809</v>
      </c>
      <c r="E1147" t="s">
        <v>23810</v>
      </c>
      <c r="F1147" t="s">
        <v>23811</v>
      </c>
      <c r="G1147" t="s">
        <v>23812</v>
      </c>
      <c r="H1147" t="s">
        <v>23813</v>
      </c>
      <c r="I1147" t="s">
        <v>23814</v>
      </c>
      <c r="J1147" t="s">
        <v>23815</v>
      </c>
      <c r="K1147" t="s">
        <v>23816</v>
      </c>
      <c r="L1147" t="s">
        <v>23817</v>
      </c>
      <c r="M1147" t="s">
        <v>23818</v>
      </c>
      <c r="N1147" t="s">
        <v>23819</v>
      </c>
      <c r="O1147">
        <f>-934.88013062334 -15.1767899084784 -491.628162047214</f>
        <v>-1441.6850825790325</v>
      </c>
      <c r="P1147">
        <f>-960.42809518118 -18.8386596060423 -198.498445102386</f>
        <v>-1177.7651998896083</v>
      </c>
      <c r="Q1147">
        <f>-728.488226848976 -8.813295772527 -262.951861840398</f>
        <v>-1000.253384461901</v>
      </c>
      <c r="R1147" t="s">
        <v>23820</v>
      </c>
      <c r="S1147" t="s">
        <v>23821</v>
      </c>
      <c r="T1147" t="s">
        <v>23822</v>
      </c>
      <c r="U1147" t="s">
        <v>23823</v>
      </c>
      <c r="V1147" t="s">
        <v>23824</v>
      </c>
      <c r="W1147" t="s">
        <v>23825</v>
      </c>
      <c r="X1147" t="s">
        <v>23826</v>
      </c>
      <c r="Y1147" t="s">
        <v>23827</v>
      </c>
    </row>
    <row r="1148" spans="1:25" x14ac:dyDescent="0.3">
      <c r="A1148">
        <v>57350</v>
      </c>
      <c r="B1148" t="s">
        <v>23828</v>
      </c>
      <c r="C1148" t="s">
        <v>23829</v>
      </c>
      <c r="D1148" t="s">
        <v>23830</v>
      </c>
      <c r="E1148" t="s">
        <v>23831</v>
      </c>
      <c r="F1148" t="s">
        <v>23832</v>
      </c>
      <c r="G1148" t="s">
        <v>23833</v>
      </c>
      <c r="H1148" t="s">
        <v>23834</v>
      </c>
      <c r="I1148" t="s">
        <v>23835</v>
      </c>
      <c r="J1148" t="s">
        <v>23836</v>
      </c>
      <c r="K1148" t="s">
        <v>23837</v>
      </c>
      <c r="L1148" t="s">
        <v>23838</v>
      </c>
      <c r="M1148" t="s">
        <v>23839</v>
      </c>
      <c r="N1148" t="s">
        <v>23840</v>
      </c>
      <c r="O1148">
        <f>-934.414509872023 -16.0858584252592 -491.831902492003</f>
        <v>-1442.3322707892853</v>
      </c>
      <c r="P1148">
        <f>-959.70611770022 -20.5164850176543 -198.690421337421</f>
        <v>-1178.9130240552954</v>
      </c>
      <c r="Q1148">
        <f>-728.034717068291 -8.4117013668847 -263.749819505683</f>
        <v>-1000.1962379408587</v>
      </c>
      <c r="R1148" t="s">
        <v>23841</v>
      </c>
      <c r="S1148" t="s">
        <v>23842</v>
      </c>
      <c r="T1148" t="s">
        <v>23843</v>
      </c>
      <c r="U1148" t="s">
        <v>23844</v>
      </c>
      <c r="V1148" t="s">
        <v>23845</v>
      </c>
      <c r="W1148" t="s">
        <v>23846</v>
      </c>
      <c r="X1148" t="s">
        <v>23847</v>
      </c>
      <c r="Y1148" t="s">
        <v>23848</v>
      </c>
    </row>
    <row r="1149" spans="1:25" x14ac:dyDescent="0.3">
      <c r="A1149">
        <v>57400</v>
      </c>
      <c r="B1149" t="s">
        <v>23849</v>
      </c>
      <c r="C1149" t="s">
        <v>23850</v>
      </c>
      <c r="D1149" t="s">
        <v>23851</v>
      </c>
      <c r="E1149" t="s">
        <v>23852</v>
      </c>
      <c r="F1149" t="s">
        <v>23853</v>
      </c>
      <c r="G1149" t="s">
        <v>23854</v>
      </c>
      <c r="H1149" t="s">
        <v>23855</v>
      </c>
      <c r="I1149" t="s">
        <v>23856</v>
      </c>
      <c r="J1149" t="s">
        <v>23857</v>
      </c>
      <c r="K1149" t="s">
        <v>23858</v>
      </c>
      <c r="L1149" t="s">
        <v>23859</v>
      </c>
      <c r="M1149" t="s">
        <v>23860</v>
      </c>
      <c r="N1149" t="s">
        <v>23861</v>
      </c>
      <c r="O1149">
        <f>-933.272102519854 -18.1491171291391 -492.210843695194</f>
        <v>-1443.6320633441871</v>
      </c>
      <c r="P1149">
        <f>-957.803161094028 -24.3574712616755 -199.037022760415</f>
        <v>-1181.1976551161185</v>
      </c>
      <c r="Q1149">
        <f>-726.98135140116 -7.67267959238961 -266.072716714876</f>
        <v>-1000.7267477084256</v>
      </c>
      <c r="R1149" t="s">
        <v>23862</v>
      </c>
      <c r="S1149" t="s">
        <v>23863</v>
      </c>
      <c r="T1149" t="s">
        <v>23864</v>
      </c>
      <c r="U1149" t="s">
        <v>23865</v>
      </c>
      <c r="V1149" t="s">
        <v>23866</v>
      </c>
      <c r="W1149" t="s">
        <v>23867</v>
      </c>
      <c r="X1149" t="s">
        <v>23868</v>
      </c>
      <c r="Y1149" t="s">
        <v>23869</v>
      </c>
    </row>
    <row r="1150" spans="1:25" x14ac:dyDescent="0.3">
      <c r="A1150">
        <v>57450</v>
      </c>
      <c r="B1150" t="s">
        <v>23870</v>
      </c>
      <c r="C1150" t="s">
        <v>23871</v>
      </c>
      <c r="D1150" t="s">
        <v>23872</v>
      </c>
      <c r="E1150" t="s">
        <v>23873</v>
      </c>
      <c r="F1150" t="s">
        <v>23874</v>
      </c>
      <c r="G1150" t="s">
        <v>23875</v>
      </c>
      <c r="H1150" t="s">
        <v>23876</v>
      </c>
      <c r="I1150" t="s">
        <v>23877</v>
      </c>
      <c r="J1150" t="s">
        <v>23878</v>
      </c>
      <c r="K1150" t="s">
        <v>23879</v>
      </c>
      <c r="L1150" t="s">
        <v>23880</v>
      </c>
      <c r="M1150" t="s">
        <v>23881</v>
      </c>
      <c r="N1150" t="s">
        <v>23882</v>
      </c>
      <c r="O1150">
        <f>-932.602134148785 -19.3813432534239 -492.32623167151</f>
        <v>-1444.309709073719</v>
      </c>
      <c r="P1150">
        <f>-956.521794703946 -26.462336514358 -199.121681801239</f>
        <v>-1182.1058130195429</v>
      </c>
      <c r="Q1150">
        <f>-726.285697245561 -7.51014258400619 -267.553970822772</f>
        <v>-1001.3498106523391</v>
      </c>
      <c r="R1150" t="s">
        <v>23883</v>
      </c>
      <c r="S1150" t="s">
        <v>23884</v>
      </c>
      <c r="T1150" t="s">
        <v>23885</v>
      </c>
      <c r="U1150" t="s">
        <v>23886</v>
      </c>
      <c r="V1150" t="s">
        <v>23887</v>
      </c>
      <c r="W1150" t="s">
        <v>23888</v>
      </c>
      <c r="X1150" t="s">
        <v>23889</v>
      </c>
      <c r="Y1150" t="s">
        <v>23890</v>
      </c>
    </row>
    <row r="1151" spans="1:25" x14ac:dyDescent="0.3">
      <c r="A1151">
        <v>57500</v>
      </c>
      <c r="B1151" t="s">
        <v>23891</v>
      </c>
      <c r="C1151" t="s">
        <v>23892</v>
      </c>
      <c r="D1151" t="s">
        <v>23893</v>
      </c>
      <c r="E1151" t="s">
        <v>23894</v>
      </c>
      <c r="F1151" t="s">
        <v>23895</v>
      </c>
      <c r="G1151" t="s">
        <v>23896</v>
      </c>
      <c r="H1151" t="s">
        <v>23897</v>
      </c>
      <c r="I1151" t="s">
        <v>23898</v>
      </c>
      <c r="J1151" t="s">
        <v>23899</v>
      </c>
      <c r="K1151" t="s">
        <v>23900</v>
      </c>
      <c r="L1151" t="s">
        <v>23901</v>
      </c>
      <c r="M1151" t="s">
        <v>23902</v>
      </c>
      <c r="N1151" t="s">
        <v>23903</v>
      </c>
      <c r="O1151">
        <f>-931.120528693212 -22.4649837937454 -492.424050064133</f>
        <v>-1446.0095625510903</v>
      </c>
      <c r="P1151">
        <f>-953.241652228102 -32.2584884968996 -199.156258381035</f>
        <v>-1184.6563991060366</v>
      </c>
      <c r="Q1151">
        <f>-724.567718199138 -7.72698202144693 -270.970644506389</f>
        <v>-1003.2653447269739</v>
      </c>
      <c r="R1151" t="s">
        <v>23904</v>
      </c>
      <c r="S1151" t="s">
        <v>23905</v>
      </c>
      <c r="T1151" t="s">
        <v>23906</v>
      </c>
      <c r="U1151" t="s">
        <v>23907</v>
      </c>
      <c r="V1151" t="s">
        <v>23908</v>
      </c>
      <c r="W1151" t="s">
        <v>23909</v>
      </c>
      <c r="X1151" t="s">
        <v>23910</v>
      </c>
      <c r="Y1151" t="s">
        <v>23911</v>
      </c>
    </row>
    <row r="1152" spans="1:25" x14ac:dyDescent="0.3">
      <c r="A1152">
        <v>57550</v>
      </c>
      <c r="B1152" t="s">
        <v>23912</v>
      </c>
      <c r="C1152" t="s">
        <v>23913</v>
      </c>
      <c r="D1152" t="s">
        <v>23914</v>
      </c>
      <c r="E1152" t="s">
        <v>23915</v>
      </c>
      <c r="F1152" t="s">
        <v>23916</v>
      </c>
      <c r="G1152" t="s">
        <v>23917</v>
      </c>
      <c r="H1152" t="s">
        <v>23918</v>
      </c>
      <c r="I1152" t="s">
        <v>23919</v>
      </c>
      <c r="J1152" t="s">
        <v>23920</v>
      </c>
      <c r="K1152" t="s">
        <v>23921</v>
      </c>
      <c r="L1152" t="s">
        <v>23922</v>
      </c>
      <c r="M1152" t="s">
        <v>23923</v>
      </c>
      <c r="N1152" t="s">
        <v>23924</v>
      </c>
      <c r="O1152">
        <f>-930.329840747309 -24.2551723688666 -492.392947927787</f>
        <v>-1446.9779610439628</v>
      </c>
      <c r="P1152">
        <f>-951.044376900297 -35.9965356309651 -199.094009820297</f>
        <v>-1186.1349223515592</v>
      </c>
      <c r="Q1152">
        <f>-723.379812860532 -8.26354955137276 -272.922185506677</f>
        <v>-1004.5655479185817</v>
      </c>
      <c r="R1152" t="s">
        <v>23925</v>
      </c>
      <c r="S1152" t="s">
        <v>23926</v>
      </c>
      <c r="T1152" t="s">
        <v>23927</v>
      </c>
      <c r="U1152" t="s">
        <v>23928</v>
      </c>
      <c r="V1152" t="s">
        <v>23929</v>
      </c>
      <c r="W1152" t="s">
        <v>23930</v>
      </c>
      <c r="X1152" t="s">
        <v>23931</v>
      </c>
      <c r="Y1152" t="s">
        <v>23932</v>
      </c>
    </row>
    <row r="1153" spans="1:25" x14ac:dyDescent="0.3">
      <c r="A1153">
        <v>57600</v>
      </c>
      <c r="B1153" t="s">
        <v>23933</v>
      </c>
      <c r="C1153" t="s">
        <v>23934</v>
      </c>
      <c r="D1153" t="s">
        <v>23935</v>
      </c>
      <c r="E1153" t="s">
        <v>23936</v>
      </c>
      <c r="F1153" t="s">
        <v>23937</v>
      </c>
      <c r="G1153" t="s">
        <v>23938</v>
      </c>
      <c r="H1153" t="s">
        <v>23939</v>
      </c>
      <c r="I1153" t="s">
        <v>23940</v>
      </c>
      <c r="J1153" t="s">
        <v>23941</v>
      </c>
      <c r="K1153" t="s">
        <v>23942</v>
      </c>
      <c r="L1153" t="s">
        <v>23943</v>
      </c>
      <c r="M1153" t="s">
        <v>23944</v>
      </c>
      <c r="N1153" t="s">
        <v>23945</v>
      </c>
      <c r="O1153">
        <f>-928.939078104029 -27.8960580051507 -492.231947590608</f>
        <v>-1449.0670836997879</v>
      </c>
      <c r="P1153">
        <f>-944.793570071272 -46.0115542905398 -198.954433516222</f>
        <v>-1189.7595578780338</v>
      </c>
      <c r="Q1153">
        <f>-719.877905795366 -10.450039723964 -277.689528054281</f>
        <v>-1008.017473573611</v>
      </c>
      <c r="R1153" t="s">
        <v>23946</v>
      </c>
      <c r="S1153" t="s">
        <v>23947</v>
      </c>
      <c r="T1153" t="s">
        <v>23948</v>
      </c>
      <c r="U1153" t="s">
        <v>23949</v>
      </c>
      <c r="V1153" t="s">
        <v>23950</v>
      </c>
      <c r="W1153" t="s">
        <v>23951</v>
      </c>
      <c r="X1153" t="s">
        <v>23952</v>
      </c>
      <c r="Y1153" t="s">
        <v>23953</v>
      </c>
    </row>
    <row r="1154" spans="1:25" x14ac:dyDescent="0.3">
      <c r="A1154">
        <v>57650</v>
      </c>
      <c r="B1154" t="s">
        <v>23954</v>
      </c>
      <c r="C1154" t="s">
        <v>23955</v>
      </c>
      <c r="D1154" t="s">
        <v>23956</v>
      </c>
      <c r="E1154" t="s">
        <v>23957</v>
      </c>
      <c r="F1154" t="s">
        <v>23958</v>
      </c>
      <c r="G1154" t="s">
        <v>23959</v>
      </c>
      <c r="H1154" t="s">
        <v>23960</v>
      </c>
      <c r="I1154" t="s">
        <v>23961</v>
      </c>
      <c r="J1154" t="s">
        <v>23962</v>
      </c>
      <c r="K1154" t="s">
        <v>23963</v>
      </c>
      <c r="L1154" t="s">
        <v>23964</v>
      </c>
      <c r="M1154" t="s">
        <v>23965</v>
      </c>
      <c r="N1154" t="s">
        <v>23966</v>
      </c>
      <c r="O1154">
        <f>-928.460180058302 -29.456109202114 -492.296001816177</f>
        <v>-1450.2122910765929</v>
      </c>
      <c r="P1154">
        <f>-941.061449315501 -51.7863225824051 -199.151209663429</f>
        <v>-1191.9989815613351</v>
      </c>
      <c r="Q1154">
        <f>-717.97492186772 -11.7750146625217 -280.896722164817</f>
        <v>-1010.6466586950587</v>
      </c>
      <c r="R1154" t="s">
        <v>23967</v>
      </c>
      <c r="S1154" t="s">
        <v>23968</v>
      </c>
      <c r="T1154" t="s">
        <v>23969</v>
      </c>
      <c r="U1154" t="s">
        <v>23970</v>
      </c>
      <c r="V1154" t="s">
        <v>23971</v>
      </c>
      <c r="W1154" t="s">
        <v>23972</v>
      </c>
      <c r="X1154" t="s">
        <v>23973</v>
      </c>
      <c r="Y1154" t="s">
        <v>23974</v>
      </c>
    </row>
    <row r="1155" spans="1:25" x14ac:dyDescent="0.3">
      <c r="A1155">
        <v>57700</v>
      </c>
      <c r="B1155" t="s">
        <v>23975</v>
      </c>
      <c r="C1155" t="s">
        <v>23976</v>
      </c>
      <c r="D1155" t="s">
        <v>23977</v>
      </c>
      <c r="E1155" t="s">
        <v>23978</v>
      </c>
      <c r="F1155" t="s">
        <v>23979</v>
      </c>
      <c r="G1155" t="s">
        <v>23980</v>
      </c>
      <c r="H1155" t="s">
        <v>23981</v>
      </c>
      <c r="I1155" t="s">
        <v>23982</v>
      </c>
      <c r="J1155" t="s">
        <v>23983</v>
      </c>
      <c r="K1155" t="s">
        <v>23984</v>
      </c>
      <c r="L1155" t="s">
        <v>23985</v>
      </c>
      <c r="M1155" t="s">
        <v>23986</v>
      </c>
      <c r="N1155" t="s">
        <v>23987</v>
      </c>
      <c r="O1155">
        <f>-928.022356529041 -32.8970987127273 -492.611802423177</f>
        <v>-1453.5312576649453</v>
      </c>
      <c r="P1155">
        <f>-932.479662151324 -63.6083584067926 -199.988909969518</f>
        <v>-1196.0769305276347</v>
      </c>
      <c r="Q1155">
        <f>-713.917397137115 -14.8563765251379 -288.896990667794</f>
        <v>-1017.6707643300469</v>
      </c>
      <c r="R1155" t="s">
        <v>23988</v>
      </c>
      <c r="S1155" t="s">
        <v>23989</v>
      </c>
      <c r="T1155" t="s">
        <v>23990</v>
      </c>
      <c r="U1155" t="s">
        <v>23991</v>
      </c>
      <c r="V1155" t="s">
        <v>23992</v>
      </c>
      <c r="W1155" t="s">
        <v>23993</v>
      </c>
      <c r="X1155" t="s">
        <v>23994</v>
      </c>
      <c r="Y1155" t="s">
        <v>23995</v>
      </c>
    </row>
    <row r="1156" spans="1:25" x14ac:dyDescent="0.3">
      <c r="A1156">
        <v>57750</v>
      </c>
      <c r="B1156" t="s">
        <v>23996</v>
      </c>
      <c r="C1156" t="s">
        <v>23997</v>
      </c>
      <c r="D1156" t="s">
        <v>23998</v>
      </c>
      <c r="E1156" t="s">
        <v>23999</v>
      </c>
      <c r="F1156" t="s">
        <v>24000</v>
      </c>
      <c r="G1156" t="s">
        <v>24001</v>
      </c>
      <c r="H1156" t="s">
        <v>24002</v>
      </c>
      <c r="I1156" t="s">
        <v>24003</v>
      </c>
      <c r="J1156" t="s">
        <v>24004</v>
      </c>
      <c r="K1156" t="s">
        <v>24005</v>
      </c>
      <c r="L1156" t="s">
        <v>24006</v>
      </c>
      <c r="M1156" t="s">
        <v>24007</v>
      </c>
      <c r="N1156" t="s">
        <v>24008</v>
      </c>
      <c r="O1156">
        <f>-927.876813277763 -34.8411868158823 -492.728630639126</f>
        <v>-1455.4466307327712</v>
      </c>
      <c r="P1156">
        <f>-927.926524991773 -69.2099289365515 -200.478726289988</f>
        <v>-1197.6151802183126</v>
      </c>
      <c r="Q1156">
        <f>-711.960035978279 -16.4052555478311 -293.327806421502</f>
        <v>-1021.6930979476122</v>
      </c>
      <c r="R1156" t="s">
        <v>24009</v>
      </c>
      <c r="S1156" t="s">
        <v>24010</v>
      </c>
      <c r="T1156" t="s">
        <v>24011</v>
      </c>
      <c r="U1156" t="s">
        <v>24012</v>
      </c>
      <c r="V1156" t="s">
        <v>24013</v>
      </c>
      <c r="W1156" t="s">
        <v>24014</v>
      </c>
      <c r="X1156" t="s">
        <v>24015</v>
      </c>
      <c r="Y1156" t="s">
        <v>24016</v>
      </c>
    </row>
    <row r="1157" spans="1:25" x14ac:dyDescent="0.3">
      <c r="A1157">
        <v>57800</v>
      </c>
      <c r="B1157" t="s">
        <v>24017</v>
      </c>
      <c r="C1157" t="s">
        <v>24018</v>
      </c>
      <c r="D1157" t="s">
        <v>24019</v>
      </c>
      <c r="E1157" t="s">
        <v>24020</v>
      </c>
      <c r="F1157" t="s">
        <v>24021</v>
      </c>
      <c r="G1157" t="s">
        <v>24022</v>
      </c>
      <c r="H1157" t="s">
        <v>24023</v>
      </c>
      <c r="I1157" t="s">
        <v>24024</v>
      </c>
      <c r="J1157" t="s">
        <v>24025</v>
      </c>
      <c r="K1157" t="s">
        <v>24026</v>
      </c>
      <c r="L1157" t="s">
        <v>24027</v>
      </c>
      <c r="M1157" t="s">
        <v>24028</v>
      </c>
      <c r="N1157" t="s">
        <v>24029</v>
      </c>
      <c r="O1157">
        <f>-927.000958891965 -39.1915195216877 -492.721699761604</f>
        <v>-1458.9141781752567</v>
      </c>
      <c r="P1157">
        <f>-918.378676921281 -80.0349888446697 -201.4337793988</f>
        <v>-1199.8474451647508</v>
      </c>
      <c r="Q1157">
        <f>-708.283174771752 -19.7590966017242 -302.812049665618</f>
        <v>-1030.8543210390942</v>
      </c>
      <c r="R1157" t="s">
        <v>24030</v>
      </c>
      <c r="S1157" t="s">
        <v>24031</v>
      </c>
      <c r="T1157" t="s">
        <v>24032</v>
      </c>
      <c r="U1157" t="s">
        <v>24033</v>
      </c>
      <c r="V1157" t="s">
        <v>24034</v>
      </c>
      <c r="W1157" t="s">
        <v>24035</v>
      </c>
      <c r="X1157" t="s">
        <v>24036</v>
      </c>
      <c r="Y1157" t="s">
        <v>24037</v>
      </c>
    </row>
    <row r="1158" spans="1:25" x14ac:dyDescent="0.3">
      <c r="A1158">
        <v>57850</v>
      </c>
      <c r="B1158" t="s">
        <v>24038</v>
      </c>
      <c r="C1158" t="s">
        <v>24039</v>
      </c>
      <c r="D1158" t="s">
        <v>24040</v>
      </c>
      <c r="E1158" t="s">
        <v>24041</v>
      </c>
      <c r="F1158" t="s">
        <v>24042</v>
      </c>
      <c r="G1158" t="s">
        <v>24043</v>
      </c>
      <c r="H1158" t="s">
        <v>24044</v>
      </c>
      <c r="I1158" t="s">
        <v>24045</v>
      </c>
      <c r="J1158" t="s">
        <v>24046</v>
      </c>
      <c r="K1158" t="s">
        <v>24047</v>
      </c>
      <c r="L1158" t="s">
        <v>24048</v>
      </c>
      <c r="M1158" t="s">
        <v>24049</v>
      </c>
      <c r="N1158" t="s">
        <v>24050</v>
      </c>
      <c r="O1158">
        <f>-926.231981929897 -41.9964948584891 -492.435853953873</f>
        <v>-1460.6643307422592</v>
      </c>
      <c r="P1158">
        <f>-913.114888698164 -85.6008634744203 -201.716299573209</f>
        <v>-1200.4320517457934</v>
      </c>
      <c r="Q1158">
        <f>-706.511493795767 -22.0695376383032 -308.157114636218</f>
        <v>-1036.7381460702882</v>
      </c>
      <c r="R1158" t="s">
        <v>24051</v>
      </c>
      <c r="S1158" t="s">
        <v>24052</v>
      </c>
      <c r="T1158" t="s">
        <v>24053</v>
      </c>
      <c r="U1158" t="s">
        <v>24054</v>
      </c>
      <c r="V1158" t="s">
        <v>24055</v>
      </c>
      <c r="W1158" t="s">
        <v>24056</v>
      </c>
      <c r="X1158" t="s">
        <v>24057</v>
      </c>
      <c r="Y1158" t="s">
        <v>24058</v>
      </c>
    </row>
    <row r="1159" spans="1:25" x14ac:dyDescent="0.3">
      <c r="A1159">
        <v>57900</v>
      </c>
      <c r="B1159" t="s">
        <v>24059</v>
      </c>
      <c r="C1159" t="s">
        <v>24060</v>
      </c>
      <c r="D1159" t="s">
        <v>24061</v>
      </c>
      <c r="E1159" t="s">
        <v>24062</v>
      </c>
      <c r="F1159" t="s">
        <v>24063</v>
      </c>
      <c r="G1159" t="s">
        <v>24064</v>
      </c>
      <c r="H1159" t="s">
        <v>24065</v>
      </c>
      <c r="I1159" t="s">
        <v>24066</v>
      </c>
      <c r="J1159" t="s">
        <v>24067</v>
      </c>
      <c r="K1159" t="s">
        <v>24068</v>
      </c>
      <c r="L1159" t="s">
        <v>24069</v>
      </c>
      <c r="M1159" t="s">
        <v>24070</v>
      </c>
      <c r="N1159" t="s">
        <v>24071</v>
      </c>
      <c r="O1159">
        <f>-923.423725859168 -48.1089121429886 -491.185555722887</f>
        <v>-1462.7181937250436</v>
      </c>
      <c r="P1159">
        <f>-901.835288101521 -96.5555139770729 -201.74098832393</f>
        <v>-1200.1317904025238</v>
      </c>
      <c r="Q1159">
        <f>-703.366897587815 -25.5256203235685 -318.4284916456</f>
        <v>-1047.3210095569834</v>
      </c>
      <c r="R1159" t="s">
        <v>24072</v>
      </c>
      <c r="S1159" t="s">
        <v>24073</v>
      </c>
      <c r="T1159" t="s">
        <v>24074</v>
      </c>
      <c r="U1159" t="s">
        <v>24075</v>
      </c>
      <c r="V1159" t="s">
        <v>24076</v>
      </c>
      <c r="W1159" t="s">
        <v>24077</v>
      </c>
      <c r="X1159" t="s">
        <v>24078</v>
      </c>
      <c r="Y1159" t="s">
        <v>24079</v>
      </c>
    </row>
    <row r="1160" spans="1:25" x14ac:dyDescent="0.3">
      <c r="A1160">
        <v>57950</v>
      </c>
      <c r="B1160" t="s">
        <v>24080</v>
      </c>
      <c r="C1160" t="s">
        <v>24081</v>
      </c>
      <c r="D1160" t="s">
        <v>24082</v>
      </c>
      <c r="E1160" t="s">
        <v>24083</v>
      </c>
      <c r="F1160" t="s">
        <v>24084</v>
      </c>
      <c r="G1160" t="s">
        <v>24085</v>
      </c>
      <c r="H1160" t="s">
        <v>24086</v>
      </c>
      <c r="I1160" t="s">
        <v>24087</v>
      </c>
      <c r="J1160" t="s">
        <v>24088</v>
      </c>
      <c r="K1160" t="s">
        <v>24089</v>
      </c>
      <c r="L1160" t="s">
        <v>24090</v>
      </c>
      <c r="M1160" t="s">
        <v>24091</v>
      </c>
      <c r="N1160" t="s">
        <v>24092</v>
      </c>
      <c r="O1160">
        <f>-920.805175571056 -51.3191264507152 -490.438108234325</f>
        <v>-1462.5624102560962</v>
      </c>
      <c r="P1160">
        <f>-896.009411286349 -101.455247433845 -201.538797322194</f>
        <v>-1199.0034560423878</v>
      </c>
      <c r="Q1160">
        <f>-701.643319036528 -27.1507555326102 -322.994305909982</f>
        <v>-1051.7883804791204</v>
      </c>
      <c r="R1160" t="s">
        <v>24093</v>
      </c>
      <c r="S1160" t="s">
        <v>24094</v>
      </c>
      <c r="T1160" t="s">
        <v>24095</v>
      </c>
      <c r="U1160" t="s">
        <v>24096</v>
      </c>
      <c r="V1160" t="s">
        <v>24097</v>
      </c>
      <c r="W1160" t="s">
        <v>24098</v>
      </c>
      <c r="X1160" t="s">
        <v>24099</v>
      </c>
      <c r="Y1160" t="s">
        <v>24100</v>
      </c>
    </row>
    <row r="1161" spans="1:25" x14ac:dyDescent="0.3">
      <c r="A1161">
        <v>58000</v>
      </c>
      <c r="B1161" t="s">
        <v>24101</v>
      </c>
      <c r="C1161" t="s">
        <v>24102</v>
      </c>
      <c r="D1161" t="s">
        <v>24103</v>
      </c>
      <c r="E1161" t="s">
        <v>24104</v>
      </c>
      <c r="F1161" t="s">
        <v>24105</v>
      </c>
      <c r="G1161" t="s">
        <v>24106</v>
      </c>
      <c r="H1161" t="s">
        <v>24107</v>
      </c>
      <c r="I1161" t="s">
        <v>24108</v>
      </c>
      <c r="J1161" t="s">
        <v>24109</v>
      </c>
      <c r="K1161" t="s">
        <v>24110</v>
      </c>
      <c r="L1161" t="s">
        <v>24111</v>
      </c>
      <c r="M1161" t="s">
        <v>24112</v>
      </c>
      <c r="N1161" t="s">
        <v>24113</v>
      </c>
      <c r="O1161">
        <f>-912.659174103369 -59.1859808303977 -488.947967714283</f>
        <v>-1460.7931226480496</v>
      </c>
      <c r="P1161">
        <f>-883.908241648408 -110.645516770227 -200.648653305263</f>
        <v>-1195.202411723898</v>
      </c>
      <c r="Q1161">
        <f>-696.402231706674 -32.0612544394148 -329.942108142998</f>
        <v>-1058.4055942890868</v>
      </c>
      <c r="R1161" t="s">
        <v>24114</v>
      </c>
      <c r="S1161" t="s">
        <v>24115</v>
      </c>
      <c r="T1161" t="s">
        <v>24116</v>
      </c>
      <c r="U1161" t="s">
        <v>24117</v>
      </c>
      <c r="V1161" t="s">
        <v>24118</v>
      </c>
      <c r="W1161" t="s">
        <v>24119</v>
      </c>
      <c r="X1161" t="s">
        <v>24120</v>
      </c>
      <c r="Y1161" t="s">
        <v>24121</v>
      </c>
    </row>
    <row r="1162" spans="1:25" x14ac:dyDescent="0.3">
      <c r="A1162">
        <v>58050</v>
      </c>
      <c r="B1162" t="s">
        <v>24122</v>
      </c>
      <c r="C1162" t="s">
        <v>24123</v>
      </c>
      <c r="D1162" t="s">
        <v>24124</v>
      </c>
      <c r="E1162" t="s">
        <v>24125</v>
      </c>
      <c r="F1162" t="s">
        <v>24126</v>
      </c>
      <c r="G1162" t="s">
        <v>24127</v>
      </c>
      <c r="H1162" t="s">
        <v>24128</v>
      </c>
      <c r="I1162" t="s">
        <v>24129</v>
      </c>
      <c r="J1162" t="s">
        <v>24130</v>
      </c>
      <c r="K1162" t="s">
        <v>24131</v>
      </c>
      <c r="L1162" t="s">
        <v>24132</v>
      </c>
      <c r="M1162" t="s">
        <v>24133</v>
      </c>
      <c r="N1162" t="s">
        <v>24134</v>
      </c>
      <c r="O1162">
        <f>-907.781616487432 -63.4425355461201 -487.887735128161</f>
        <v>-1459.1118871617132</v>
      </c>
      <c r="P1162">
        <f>-878.236415667654 -115.417922994387 -199.761317226965</f>
        <v>-1193.4156558890061</v>
      </c>
      <c r="Q1162">
        <f>-693.637430782979 -35.4441180247327 -332.344286911164</f>
        <v>-1061.4258357188755</v>
      </c>
      <c r="R1162" t="s">
        <v>24135</v>
      </c>
      <c r="S1162" t="s">
        <v>24136</v>
      </c>
      <c r="T1162" t="s">
        <v>24137</v>
      </c>
      <c r="U1162" t="s">
        <v>24138</v>
      </c>
      <c r="V1162" t="s">
        <v>24139</v>
      </c>
      <c r="W1162" t="s">
        <v>24140</v>
      </c>
      <c r="X1162" t="s">
        <v>24141</v>
      </c>
      <c r="Y1162" t="s">
        <v>24142</v>
      </c>
    </row>
    <row r="1163" spans="1:25" x14ac:dyDescent="0.3">
      <c r="A1163">
        <v>58100</v>
      </c>
      <c r="B1163" t="s">
        <v>24143</v>
      </c>
      <c r="C1163" t="s">
        <v>24144</v>
      </c>
      <c r="D1163" t="s">
        <v>24145</v>
      </c>
      <c r="E1163" t="s">
        <v>24146</v>
      </c>
      <c r="F1163" t="s">
        <v>24147</v>
      </c>
      <c r="G1163" t="s">
        <v>24148</v>
      </c>
      <c r="H1163" t="s">
        <v>24149</v>
      </c>
      <c r="I1163" t="s">
        <v>24150</v>
      </c>
      <c r="J1163" t="s">
        <v>24151</v>
      </c>
      <c r="K1163" t="s">
        <v>24152</v>
      </c>
      <c r="L1163" t="s">
        <v>24153</v>
      </c>
      <c r="M1163" t="s">
        <v>24154</v>
      </c>
      <c r="N1163" t="s">
        <v>24155</v>
      </c>
      <c r="O1163">
        <f>-899.369940161524 -71.0875648322681 -485.980993694209</f>
        <v>-1456.4384986880011</v>
      </c>
      <c r="P1163">
        <f>-870.176956551061 -124.664946574248 -198.112278571488</f>
        <v>-1192.9541816967971</v>
      </c>
      <c r="Q1163">
        <f>-690.722539468619 -42.8031502947069 -336.480029681683</f>
        <v>-1070.0057194450089</v>
      </c>
      <c r="R1163" t="s">
        <v>24156</v>
      </c>
      <c r="S1163" t="s">
        <v>24157</v>
      </c>
      <c r="T1163" t="s">
        <v>24158</v>
      </c>
      <c r="U1163" t="s">
        <v>24159</v>
      </c>
      <c r="V1163" t="s">
        <v>24160</v>
      </c>
      <c r="W1163" t="s">
        <v>24161</v>
      </c>
      <c r="X1163" t="s">
        <v>24162</v>
      </c>
      <c r="Y1163" t="s">
        <v>24163</v>
      </c>
    </row>
    <row r="1164" spans="1:25" x14ac:dyDescent="0.3">
      <c r="A1164">
        <v>58150</v>
      </c>
      <c r="B1164" t="s">
        <v>24164</v>
      </c>
      <c r="C1164" t="s">
        <v>24165</v>
      </c>
      <c r="D1164" t="s">
        <v>24166</v>
      </c>
      <c r="E1164" t="s">
        <v>24167</v>
      </c>
      <c r="F1164" t="s">
        <v>24168</v>
      </c>
      <c r="G1164" t="s">
        <v>24169</v>
      </c>
      <c r="H1164" t="s">
        <v>24170</v>
      </c>
      <c r="I1164" t="s">
        <v>24171</v>
      </c>
      <c r="J1164" t="s">
        <v>24172</v>
      </c>
      <c r="K1164" t="s">
        <v>24173</v>
      </c>
      <c r="L1164" t="s">
        <v>24174</v>
      </c>
      <c r="M1164" t="s">
        <v>24175</v>
      </c>
      <c r="N1164" t="s">
        <v>24176</v>
      </c>
      <c r="O1164">
        <f>-896.634459107642 -74.8308043722832 -485.280089981552</f>
        <v>-1456.7453534614772</v>
      </c>
      <c r="P1164">
        <f>-868.066174331054 -129.688873442092 -197.589815229777</f>
        <v>-1195.3448630029229</v>
      </c>
      <c r="Q1164">
        <f>-690.821406168559 -47.0575713279191 -338.32798032541</f>
        <v>-1076.206957821888</v>
      </c>
      <c r="R1164" t="s">
        <v>24177</v>
      </c>
      <c r="S1164" t="s">
        <v>24178</v>
      </c>
      <c r="T1164" t="s">
        <v>24179</v>
      </c>
      <c r="U1164" t="s">
        <v>24180</v>
      </c>
      <c r="V1164" t="s">
        <v>24181</v>
      </c>
      <c r="W1164" t="s">
        <v>24182</v>
      </c>
      <c r="X1164" t="s">
        <v>24183</v>
      </c>
      <c r="Y1164" t="s">
        <v>24184</v>
      </c>
    </row>
    <row r="1165" spans="1:25" x14ac:dyDescent="0.3">
      <c r="A1165">
        <v>58200</v>
      </c>
      <c r="B1165" t="s">
        <v>24185</v>
      </c>
      <c r="C1165" t="s">
        <v>24186</v>
      </c>
      <c r="D1165" t="s">
        <v>24187</v>
      </c>
      <c r="E1165" t="s">
        <v>24188</v>
      </c>
      <c r="F1165" t="s">
        <v>24189</v>
      </c>
      <c r="G1165" t="s">
        <v>24190</v>
      </c>
      <c r="H1165" t="s">
        <v>24191</v>
      </c>
      <c r="I1165" t="s">
        <v>24192</v>
      </c>
      <c r="J1165" t="s">
        <v>24193</v>
      </c>
      <c r="K1165" t="s">
        <v>24194</v>
      </c>
      <c r="L1165" t="s">
        <v>24195</v>
      </c>
      <c r="M1165" t="s">
        <v>24196</v>
      </c>
      <c r="N1165" t="s">
        <v>24197</v>
      </c>
      <c r="O1165">
        <f>-894.34647309466 -81.6873422062502 -484.280205783231</f>
        <v>-1460.3140210841411</v>
      </c>
      <c r="P1165">
        <f>-866.814035725338 -139.151771401613 -196.998138220409</f>
        <v>-1202.9639453473601</v>
      </c>
      <c r="Q1165">
        <f>-693.107259748711 -54.8840372570273 -341.136255221892</f>
        <v>-1089.1275522276303</v>
      </c>
      <c r="R1165" t="s">
        <v>24198</v>
      </c>
      <c r="S1165" t="s">
        <v>24199</v>
      </c>
      <c r="T1165" t="s">
        <v>24200</v>
      </c>
      <c r="U1165" t="s">
        <v>24201</v>
      </c>
      <c r="V1165" t="s">
        <v>24202</v>
      </c>
      <c r="W1165" t="s">
        <v>24203</v>
      </c>
      <c r="X1165" t="s">
        <v>24204</v>
      </c>
      <c r="Y1165" t="s">
        <v>24205</v>
      </c>
    </row>
    <row r="1166" spans="1:25" x14ac:dyDescent="0.3">
      <c r="A1166">
        <v>58250</v>
      </c>
      <c r="B1166" t="s">
        <v>24206</v>
      </c>
      <c r="C1166" t="s">
        <v>24207</v>
      </c>
      <c r="D1166" t="s">
        <v>24208</v>
      </c>
      <c r="E1166" t="s">
        <v>24209</v>
      </c>
      <c r="F1166" t="s">
        <v>24210</v>
      </c>
      <c r="G1166" t="s">
        <v>24211</v>
      </c>
      <c r="H1166" t="s">
        <v>24212</v>
      </c>
      <c r="I1166" t="s">
        <v>24213</v>
      </c>
      <c r="J1166" t="s">
        <v>24214</v>
      </c>
      <c r="K1166" t="s">
        <v>24215</v>
      </c>
      <c r="L1166" t="s">
        <v>24216</v>
      </c>
      <c r="M1166" t="s">
        <v>24217</v>
      </c>
      <c r="N1166" t="s">
        <v>24218</v>
      </c>
      <c r="O1166">
        <f>-894.588366202803 -84.9818646169417 -483.806334053134</f>
        <v>-1463.3765648728786</v>
      </c>
      <c r="P1166">
        <f>-867.188792278895 -143.319398111331 -196.68744594598</f>
        <v>-1207.195636336206</v>
      </c>
      <c r="Q1166">
        <f>-694.730177580946 -58.37518755468 -341.923140949002</f>
        <v>-1095.0285060846281</v>
      </c>
      <c r="R1166" t="s">
        <v>24219</v>
      </c>
      <c r="S1166" t="s">
        <v>24220</v>
      </c>
      <c r="T1166" t="s">
        <v>24221</v>
      </c>
      <c r="U1166" t="s">
        <v>24222</v>
      </c>
      <c r="V1166" t="s">
        <v>24223</v>
      </c>
      <c r="W1166" t="s">
        <v>24224</v>
      </c>
      <c r="X1166" t="s">
        <v>24225</v>
      </c>
      <c r="Y1166" t="s">
        <v>24226</v>
      </c>
    </row>
    <row r="1167" spans="1:25" x14ac:dyDescent="0.3">
      <c r="A1167">
        <v>58300</v>
      </c>
      <c r="B1167" t="s">
        <v>24227</v>
      </c>
      <c r="C1167" t="s">
        <v>24228</v>
      </c>
      <c r="D1167" t="s">
        <v>24229</v>
      </c>
      <c r="E1167" t="s">
        <v>24230</v>
      </c>
      <c r="F1167" t="s">
        <v>24231</v>
      </c>
      <c r="G1167" t="s">
        <v>24232</v>
      </c>
      <c r="H1167" t="s">
        <v>24233</v>
      </c>
      <c r="I1167" t="s">
        <v>24234</v>
      </c>
      <c r="J1167" t="s">
        <v>24235</v>
      </c>
      <c r="K1167" t="s">
        <v>24236</v>
      </c>
      <c r="L1167" t="s">
        <v>24237</v>
      </c>
      <c r="M1167" t="s">
        <v>24238</v>
      </c>
      <c r="N1167" t="s">
        <v>24239</v>
      </c>
      <c r="O1167">
        <f>-895.891600123926 -90.318012156057 -483.848133352349</f>
        <v>-1470.0577456323319</v>
      </c>
      <c r="P1167">
        <f>-868.380479552076 -148.35803783551 -196.679681746924</f>
        <v>-1213.4181991345101</v>
      </c>
      <c r="Q1167">
        <f>-697.395778932219 -62.4307266411654 -343.07474197261</f>
        <v>-1102.9012475459945</v>
      </c>
      <c r="R1167" t="s">
        <v>24240</v>
      </c>
      <c r="S1167" t="s">
        <v>24241</v>
      </c>
      <c r="T1167" t="s">
        <v>24242</v>
      </c>
      <c r="U1167" t="s">
        <v>24243</v>
      </c>
      <c r="V1167">
        <f>-875.576396484955 -6.88199216401199 -58.4944934130173</f>
        <v>-940.95288206198427</v>
      </c>
      <c r="W1167" t="s">
        <v>24244</v>
      </c>
      <c r="X1167" t="s">
        <v>24245</v>
      </c>
      <c r="Y1167" t="s">
        <v>24246</v>
      </c>
    </row>
    <row r="1168" spans="1:25" x14ac:dyDescent="0.3">
      <c r="A1168">
        <v>58350</v>
      </c>
      <c r="B1168" t="s">
        <v>24247</v>
      </c>
      <c r="C1168" t="s">
        <v>24248</v>
      </c>
      <c r="D1168" t="s">
        <v>24249</v>
      </c>
      <c r="E1168" t="s">
        <v>24250</v>
      </c>
      <c r="F1168" t="s">
        <v>24251</v>
      </c>
      <c r="G1168" t="s">
        <v>24252</v>
      </c>
      <c r="H1168" t="s">
        <v>24253</v>
      </c>
      <c r="I1168" t="s">
        <v>24254</v>
      </c>
      <c r="J1168" t="s">
        <v>24255</v>
      </c>
      <c r="K1168" t="s">
        <v>24256</v>
      </c>
      <c r="L1168" t="s">
        <v>24257</v>
      </c>
      <c r="M1168" t="s">
        <v>24258</v>
      </c>
      <c r="N1168" t="s">
        <v>24259</v>
      </c>
      <c r="O1168">
        <f>-896.831084633849 -92.2750749287895 -484.55217662302</f>
        <v>-1473.6583361856585</v>
      </c>
      <c r="P1168">
        <f>-869.595515672172 -149.39529067882 -197.173081809991</f>
        <v>-1216.1638881609829</v>
      </c>
      <c r="Q1168">
        <f>-698.894746331692 -63.0047148619146 -343.627077409929</f>
        <v>-1105.5265386035355</v>
      </c>
      <c r="R1168" t="s">
        <v>24260</v>
      </c>
      <c r="S1168" t="s">
        <v>24261</v>
      </c>
      <c r="T1168" t="s">
        <v>24262</v>
      </c>
      <c r="U1168" t="s">
        <v>24263</v>
      </c>
      <c r="V1168">
        <f>-874.584182537748 -10.47682315776 -58.305235175947</f>
        <v>-943.36624087145503</v>
      </c>
      <c r="W1168" t="s">
        <v>24264</v>
      </c>
      <c r="X1168" t="s">
        <v>24265</v>
      </c>
      <c r="Y1168" t="s">
        <v>24266</v>
      </c>
    </row>
    <row r="1169" spans="1:25" x14ac:dyDescent="0.3">
      <c r="A1169">
        <v>58400</v>
      </c>
      <c r="B1169" t="s">
        <v>24267</v>
      </c>
      <c r="C1169" t="s">
        <v>24268</v>
      </c>
      <c r="D1169" t="s">
        <v>24269</v>
      </c>
      <c r="E1169" t="s">
        <v>24270</v>
      </c>
      <c r="F1169" t="s">
        <v>24271</v>
      </c>
      <c r="G1169" t="s">
        <v>24272</v>
      </c>
      <c r="H1169" t="s">
        <v>24273</v>
      </c>
      <c r="I1169" t="s">
        <v>24274</v>
      </c>
      <c r="J1169" t="s">
        <v>24275</v>
      </c>
      <c r="K1169" t="s">
        <v>24276</v>
      </c>
      <c r="L1169" t="s">
        <v>24277</v>
      </c>
      <c r="M1169" t="s">
        <v>24278</v>
      </c>
      <c r="N1169" t="s">
        <v>24279</v>
      </c>
      <c r="O1169">
        <f>-899.154296074663 -95.9724406693674 -486.124384332223</f>
        <v>-1481.2511210762534</v>
      </c>
      <c r="P1169">
        <f>-872.776833265187 -150.356001987552 -198.135041513999</f>
        <v>-1221.267876766738</v>
      </c>
      <c r="Q1169">
        <f>-702.2206703817 -62.3768749977794 -343.809770810329</f>
        <v>-1108.4073161898084</v>
      </c>
      <c r="R1169" t="s">
        <v>24280</v>
      </c>
      <c r="S1169" t="s">
        <v>24281</v>
      </c>
      <c r="T1169" t="s">
        <v>24282</v>
      </c>
      <c r="U1169" t="s">
        <v>24283</v>
      </c>
      <c r="V1169">
        <f>-871.87314727572 -16.3398326623815 -58.4016822415242</f>
        <v>-946.61466217962573</v>
      </c>
      <c r="W1169" t="s">
        <v>24284</v>
      </c>
      <c r="X1169" t="s">
        <v>24285</v>
      </c>
      <c r="Y1169" t="s">
        <v>24286</v>
      </c>
    </row>
    <row r="1170" spans="1:25" x14ac:dyDescent="0.3">
      <c r="A1170">
        <v>58450</v>
      </c>
      <c r="B1170" t="s">
        <v>24287</v>
      </c>
      <c r="C1170" t="s">
        <v>24288</v>
      </c>
      <c r="D1170" t="s">
        <v>24289</v>
      </c>
      <c r="E1170" t="s">
        <v>24290</v>
      </c>
      <c r="F1170" t="s">
        <v>24291</v>
      </c>
      <c r="G1170" t="s">
        <v>24292</v>
      </c>
      <c r="H1170" t="s">
        <v>24293</v>
      </c>
      <c r="I1170" t="s">
        <v>24294</v>
      </c>
      <c r="J1170" t="s">
        <v>24295</v>
      </c>
      <c r="K1170" t="s">
        <v>24296</v>
      </c>
      <c r="L1170" t="s">
        <v>24297</v>
      </c>
      <c r="M1170" t="s">
        <v>24298</v>
      </c>
      <c r="N1170" t="s">
        <v>24299</v>
      </c>
      <c r="O1170">
        <f>-899.985126996715 -97.9672930798101 -486.579486331483</f>
        <v>-1484.5319064080081</v>
      </c>
      <c r="P1170">
        <f>-874.01452489836 -151.402504253613 -198.375730951137</f>
        <v>-1223.7927601031101</v>
      </c>
      <c r="Q1170">
        <f>-703.516070426818 -61.9637835852914 -343.226852660574</f>
        <v>-1108.7067066726834</v>
      </c>
      <c r="R1170" t="s">
        <v>24300</v>
      </c>
      <c r="S1170" t="s">
        <v>24301</v>
      </c>
      <c r="T1170" t="s">
        <v>24302</v>
      </c>
      <c r="U1170" t="s">
        <v>24303</v>
      </c>
      <c r="V1170">
        <f>-870.24142957779 -18.9211333989674 -58.54126210965</f>
        <v>-947.70382508640739</v>
      </c>
      <c r="W1170" t="s">
        <v>24304</v>
      </c>
      <c r="X1170" t="s">
        <v>24305</v>
      </c>
      <c r="Y1170" t="s">
        <v>24306</v>
      </c>
    </row>
    <row r="1171" spans="1:25" x14ac:dyDescent="0.3">
      <c r="A1171">
        <v>58500</v>
      </c>
      <c r="B1171" t="s">
        <v>24307</v>
      </c>
      <c r="C1171" t="s">
        <v>24308</v>
      </c>
      <c r="D1171" t="s">
        <v>24309</v>
      </c>
      <c r="E1171" t="s">
        <v>24310</v>
      </c>
      <c r="F1171" t="s">
        <v>24311</v>
      </c>
      <c r="G1171" t="s">
        <v>24312</v>
      </c>
      <c r="H1171" t="s">
        <v>24313</v>
      </c>
      <c r="I1171" t="s">
        <v>24314</v>
      </c>
      <c r="J1171" t="s">
        <v>24315</v>
      </c>
      <c r="K1171" t="s">
        <v>24316</v>
      </c>
      <c r="L1171" t="s">
        <v>24317</v>
      </c>
      <c r="M1171" t="s">
        <v>24318</v>
      </c>
      <c r="N1171" t="s">
        <v>24319</v>
      </c>
      <c r="O1171">
        <f>-900.576372747891 -102.387167207256 -486.347684791241</f>
        <v>-1489.311224746388</v>
      </c>
      <c r="P1171">
        <f>-875.036024484843 -154.502242737615 -197.863855937457</f>
        <v>-1227.4021231599149</v>
      </c>
      <c r="Q1171">
        <f>-704.805939994521 -61.4711052212931 -340.754584130974</f>
        <v>-1107.0316293467881</v>
      </c>
      <c r="R1171" t="s">
        <v>24320</v>
      </c>
      <c r="S1171" t="s">
        <v>24321</v>
      </c>
      <c r="T1171" t="s">
        <v>24322</v>
      </c>
      <c r="U1171" t="s">
        <v>24323</v>
      </c>
      <c r="V1171">
        <f>-867.211049594633 -23.9756898530618 -58.5128841047216</f>
        <v>-949.69962355241637</v>
      </c>
      <c r="W1171" t="s">
        <v>24324</v>
      </c>
      <c r="X1171" t="s">
        <v>24325</v>
      </c>
      <c r="Y1171" t="s">
        <v>24326</v>
      </c>
    </row>
    <row r="1172" spans="1:25" x14ac:dyDescent="0.3">
      <c r="A1172">
        <v>58550</v>
      </c>
      <c r="B1172" t="s">
        <v>24327</v>
      </c>
      <c r="C1172" t="s">
        <v>24328</v>
      </c>
      <c r="D1172" t="s">
        <v>24329</v>
      </c>
      <c r="E1172" t="s">
        <v>24330</v>
      </c>
      <c r="F1172" t="s">
        <v>24331</v>
      </c>
      <c r="G1172" t="s">
        <v>24332</v>
      </c>
      <c r="H1172" t="s">
        <v>24333</v>
      </c>
      <c r="I1172" t="s">
        <v>24334</v>
      </c>
      <c r="J1172" t="s">
        <v>24335</v>
      </c>
      <c r="K1172" t="s">
        <v>24336</v>
      </c>
      <c r="L1172" t="s">
        <v>24337</v>
      </c>
      <c r="M1172" t="s">
        <v>24338</v>
      </c>
      <c r="N1172" t="s">
        <v>24339</v>
      </c>
      <c r="O1172">
        <f>-900.335397119095 -104.692158785044 -485.857783718432</f>
        <v>-1490.8853396225711</v>
      </c>
      <c r="P1172">
        <f>-874.608224490878 -156.167055204782 -197.27551835006</f>
        <v>-1228.0507980457201</v>
      </c>
      <c r="Q1172">
        <f>-704.305096272686 -61.4965567396837 -338.998126182859</f>
        <v>-1104.7997791952287</v>
      </c>
      <c r="R1172" t="s">
        <v>24340</v>
      </c>
      <c r="S1172" t="s">
        <v>24341</v>
      </c>
      <c r="T1172" t="s">
        <v>24342</v>
      </c>
      <c r="U1172" t="s">
        <v>24343</v>
      </c>
      <c r="V1172">
        <f>-865.969946724224 -26.4179062845442 -58.3181247536503</f>
        <v>-950.70597776241846</v>
      </c>
      <c r="W1172" t="s">
        <v>24344</v>
      </c>
      <c r="X1172" t="s">
        <v>24345</v>
      </c>
      <c r="Y1172" t="s">
        <v>24346</v>
      </c>
    </row>
    <row r="1173" spans="1:25" x14ac:dyDescent="0.3">
      <c r="A1173">
        <v>58600</v>
      </c>
      <c r="B1173" t="s">
        <v>24347</v>
      </c>
      <c r="C1173" t="s">
        <v>24348</v>
      </c>
      <c r="D1173" t="s">
        <v>24349</v>
      </c>
      <c r="E1173" t="s">
        <v>24350</v>
      </c>
      <c r="F1173" t="s">
        <v>24351</v>
      </c>
      <c r="G1173" t="s">
        <v>24352</v>
      </c>
      <c r="H1173" t="s">
        <v>24353</v>
      </c>
      <c r="I1173" t="s">
        <v>24354</v>
      </c>
      <c r="J1173" t="s">
        <v>24355</v>
      </c>
      <c r="K1173" t="s">
        <v>24356</v>
      </c>
      <c r="L1173" t="s">
        <v>24357</v>
      </c>
      <c r="M1173" t="s">
        <v>24358</v>
      </c>
      <c r="N1173" t="s">
        <v>24359</v>
      </c>
      <c r="O1173">
        <f>-899.412866637314 -108.210525341876 -485.109161703579</f>
        <v>-1492.7325536827689</v>
      </c>
      <c r="P1173">
        <f>-873.424996855183 -158.115648164968 -196.274739171463</f>
        <v>-1227.8153841916142</v>
      </c>
      <c r="Q1173">
        <f>-702.511384132149 -60.516690368471 -335.249090503795</f>
        <v>-1098.2771650044151</v>
      </c>
      <c r="R1173" t="s">
        <v>24360</v>
      </c>
      <c r="S1173" t="s">
        <v>24361</v>
      </c>
      <c r="T1173" t="s">
        <v>24362</v>
      </c>
      <c r="U1173" t="s">
        <v>24363</v>
      </c>
      <c r="V1173">
        <f>-863.241631389337 -29.6184957504306 -57.9766626135985</f>
        <v>-950.83678975336613</v>
      </c>
      <c r="W1173" t="s">
        <v>24364</v>
      </c>
      <c r="X1173" t="s">
        <v>24365</v>
      </c>
      <c r="Y1173" t="s">
        <v>24366</v>
      </c>
    </row>
    <row r="1174" spans="1:25" x14ac:dyDescent="0.3">
      <c r="A1174">
        <v>58650</v>
      </c>
      <c r="B1174" t="s">
        <v>24367</v>
      </c>
      <c r="C1174" t="s">
        <v>24368</v>
      </c>
      <c r="D1174" t="s">
        <v>24369</v>
      </c>
      <c r="E1174" t="s">
        <v>24370</v>
      </c>
      <c r="F1174" t="s">
        <v>24371</v>
      </c>
      <c r="G1174" t="s">
        <v>24372</v>
      </c>
      <c r="H1174" t="s">
        <v>24373</v>
      </c>
      <c r="I1174" t="s">
        <v>24374</v>
      </c>
      <c r="J1174" t="s">
        <v>24375</v>
      </c>
      <c r="K1174" t="s">
        <v>24376</v>
      </c>
      <c r="L1174" t="s">
        <v>24377</v>
      </c>
      <c r="M1174" t="s">
        <v>24378</v>
      </c>
      <c r="N1174" t="s">
        <v>24379</v>
      </c>
      <c r="O1174">
        <f>-903.86621750667 -106.645604914547 -484.641460367917</f>
        <v>-1495.153282789134</v>
      </c>
      <c r="P1174">
        <f>-878.06491939845 -156.241236025696 -195.737086680932</f>
        <v>-1230.043242105078</v>
      </c>
      <c r="Q1174">
        <f>-706.720863361749 -56.9804525165623 -332.993588075723</f>
        <v>-1096.6949039540343</v>
      </c>
      <c r="R1174" t="s">
        <v>24380</v>
      </c>
      <c r="S1174" t="s">
        <v>24381</v>
      </c>
      <c r="T1174" t="s">
        <v>24382</v>
      </c>
      <c r="U1174" t="s">
        <v>24383</v>
      </c>
      <c r="V1174">
        <f>-864.817208966629 -29.3789590523779 -57.7324545195673</f>
        <v>-951.92862253857425</v>
      </c>
      <c r="W1174" t="s">
        <v>24384</v>
      </c>
      <c r="X1174" t="s">
        <v>24385</v>
      </c>
      <c r="Y1174" t="s">
        <v>24386</v>
      </c>
    </row>
    <row r="1175" spans="1:25" x14ac:dyDescent="0.3">
      <c r="A1175">
        <v>58700</v>
      </c>
      <c r="B1175" t="s">
        <v>24387</v>
      </c>
      <c r="C1175" t="s">
        <v>24388</v>
      </c>
      <c r="D1175" t="s">
        <v>24389</v>
      </c>
      <c r="E1175" t="s">
        <v>24390</v>
      </c>
      <c r="F1175" t="s">
        <v>24391</v>
      </c>
      <c r="G1175" t="s">
        <v>24392</v>
      </c>
      <c r="H1175" t="s">
        <v>24393</v>
      </c>
      <c r="I1175" t="s">
        <v>24394</v>
      </c>
      <c r="J1175" t="s">
        <v>24395</v>
      </c>
      <c r="K1175" t="s">
        <v>24396</v>
      </c>
      <c r="L1175" t="s">
        <v>24397</v>
      </c>
      <c r="M1175" t="s">
        <v>24398</v>
      </c>
      <c r="N1175" t="s">
        <v>24399</v>
      </c>
      <c r="O1175">
        <f>-919.427347191035 -96.6686611134544 -484.272242787546</f>
        <v>-1500.3682510920353</v>
      </c>
      <c r="P1175">
        <f>-894.974501383806 -146.568930464998 -195.302928547661</f>
        <v>-1236.8463603964649</v>
      </c>
      <c r="Q1175">
        <f>-723.012703331332 -43.9687417365278 -329.292781257667</f>
        <v>-1096.2742263255268</v>
      </c>
      <c r="R1175" t="s">
        <v>24400</v>
      </c>
      <c r="S1175" t="s">
        <v>24401</v>
      </c>
      <c r="T1175" t="s">
        <v>24402</v>
      </c>
      <c r="U1175" t="s">
        <v>24403</v>
      </c>
      <c r="V1175">
        <f>-872.107296139254 -23.8710516456135 -57.7135302484396</f>
        <v>-953.69187803330715</v>
      </c>
      <c r="W1175" t="s">
        <v>24404</v>
      </c>
      <c r="X1175" t="s">
        <v>24405</v>
      </c>
      <c r="Y1175" t="s">
        <v>24406</v>
      </c>
    </row>
    <row r="1176" spans="1:25" x14ac:dyDescent="0.3">
      <c r="A1176">
        <v>58750</v>
      </c>
      <c r="B1176" t="s">
        <v>24407</v>
      </c>
      <c r="C1176" t="s">
        <v>24408</v>
      </c>
      <c r="D1176" t="s">
        <v>24409</v>
      </c>
      <c r="E1176" t="s">
        <v>24410</v>
      </c>
      <c r="F1176" t="s">
        <v>24411</v>
      </c>
      <c r="G1176" t="s">
        <v>24412</v>
      </c>
      <c r="H1176" t="s">
        <v>24413</v>
      </c>
      <c r="I1176" t="s">
        <v>24414</v>
      </c>
      <c r="J1176" t="s">
        <v>24415</v>
      </c>
      <c r="K1176" t="s">
        <v>24416</v>
      </c>
      <c r="L1176" t="s">
        <v>24417</v>
      </c>
      <c r="M1176" t="s">
        <v>24418</v>
      </c>
      <c r="N1176" t="s">
        <v>24419</v>
      </c>
      <c r="O1176">
        <f>-920.782366004788 -93.6779738980081 -484.480809535912</f>
        <v>-1498.941149438708</v>
      </c>
      <c r="P1176">
        <f>-897.322920153641 -143.342051245708 -195.388469916022</f>
        <v>-1236.0534413153709</v>
      </c>
      <c r="Q1176">
        <f>-724.910891026845 -39.9765477912101 -328.206076708808</f>
        <v>-1093.093515526863</v>
      </c>
      <c r="R1176" t="s">
        <v>24420</v>
      </c>
      <c r="S1176" t="s">
        <v>24421</v>
      </c>
      <c r="T1176" t="s">
        <v>24422</v>
      </c>
      <c r="U1176" t="s">
        <v>24423</v>
      </c>
      <c r="V1176">
        <f>-872.605597915794 -21.7998638842396 -57.9942196367332</f>
        <v>-952.39968143676674</v>
      </c>
      <c r="W1176" t="s">
        <v>24424</v>
      </c>
      <c r="X1176" t="s">
        <v>24425</v>
      </c>
      <c r="Y1176" t="s">
        <v>24426</v>
      </c>
    </row>
    <row r="1177" spans="1:25" x14ac:dyDescent="0.3">
      <c r="A1177">
        <v>58800</v>
      </c>
      <c r="B1177" t="s">
        <v>24427</v>
      </c>
      <c r="C1177" t="s">
        <v>24428</v>
      </c>
      <c r="D1177" t="s">
        <v>24429</v>
      </c>
      <c r="E1177" t="s">
        <v>24430</v>
      </c>
      <c r="F1177" t="s">
        <v>24431</v>
      </c>
      <c r="G1177" t="s">
        <v>24432</v>
      </c>
      <c r="H1177" t="s">
        <v>24433</v>
      </c>
      <c r="I1177" t="s">
        <v>24434</v>
      </c>
      <c r="J1177" t="s">
        <v>24435</v>
      </c>
      <c r="K1177" t="s">
        <v>24436</v>
      </c>
      <c r="L1177" t="s">
        <v>24437</v>
      </c>
      <c r="M1177" t="s">
        <v>24438</v>
      </c>
      <c r="N1177" t="s">
        <v>24439</v>
      </c>
      <c r="O1177">
        <f>-918.007283335348 -91.1336157457133 -484.856151840303</f>
        <v>-1493.9970509213645</v>
      </c>
      <c r="P1177">
        <f>-896.282940823977 -139.97237047902 -195.487766081769</f>
        <v>-1231.7430773847659</v>
      </c>
      <c r="Q1177">
        <f>-722.962054034101 -36.3080102665629 -326.882040073525</f>
        <v>-1086.1521043741889</v>
      </c>
      <c r="R1177" t="s">
        <v>24440</v>
      </c>
      <c r="S1177" t="s">
        <v>24441</v>
      </c>
      <c r="T1177" t="s">
        <v>24442</v>
      </c>
      <c r="U1177" t="s">
        <v>24443</v>
      </c>
      <c r="V1177">
        <f>-870.42757344155 -19.2565166814156 -58.6248039885677</f>
        <v>-948.30889411153328</v>
      </c>
      <c r="W1177" t="s">
        <v>24444</v>
      </c>
      <c r="X1177" t="s">
        <v>24445</v>
      </c>
      <c r="Y1177" t="s">
        <v>24446</v>
      </c>
    </row>
    <row r="1178" spans="1:25" x14ac:dyDescent="0.3">
      <c r="A1178">
        <v>58850</v>
      </c>
      <c r="B1178" t="s">
        <v>24447</v>
      </c>
      <c r="C1178" t="s">
        <v>24448</v>
      </c>
      <c r="D1178" t="s">
        <v>24449</v>
      </c>
      <c r="E1178" t="s">
        <v>24450</v>
      </c>
      <c r="F1178" t="s">
        <v>24451</v>
      </c>
      <c r="G1178" t="s">
        <v>24452</v>
      </c>
      <c r="H1178" t="s">
        <v>24453</v>
      </c>
      <c r="I1178" t="s">
        <v>24454</v>
      </c>
      <c r="J1178" t="s">
        <v>24455</v>
      </c>
      <c r="K1178" t="s">
        <v>24456</v>
      </c>
      <c r="L1178" t="s">
        <v>24457</v>
      </c>
      <c r="M1178" t="s">
        <v>24458</v>
      </c>
      <c r="N1178" t="s">
        <v>24459</v>
      </c>
      <c r="O1178">
        <f>-913.108531932929 -89.728998723275 -485.201024848241</f>
        <v>-1488.038555504445</v>
      </c>
      <c r="P1178">
        <f>-892.988125267103 -137.428763785908 -195.526925434939</f>
        <v>-1225.9438144879498</v>
      </c>
      <c r="Q1178">
        <f>-718.534161585939 -34.6918119371412 -326.147517578052</f>
        <v>-1079.3734911011322</v>
      </c>
      <c r="R1178" t="s">
        <v>24460</v>
      </c>
      <c r="S1178" t="s">
        <v>24461</v>
      </c>
      <c r="T1178" t="s">
        <v>24462</v>
      </c>
      <c r="U1178" t="s">
        <v>24463</v>
      </c>
      <c r="V1178">
        <f>-866.394072732192 -17.3381153881182 -59.2371564255963</f>
        <v>-942.96934454590644</v>
      </c>
      <c r="W1178" t="s">
        <v>24464</v>
      </c>
      <c r="X1178" t="s">
        <v>24465</v>
      </c>
      <c r="Y1178" t="s">
        <v>24466</v>
      </c>
    </row>
    <row r="1179" spans="1:25" x14ac:dyDescent="0.3">
      <c r="A1179">
        <v>58900</v>
      </c>
      <c r="B1179" t="s">
        <v>24467</v>
      </c>
      <c r="C1179" t="s">
        <v>24468</v>
      </c>
      <c r="D1179" t="s">
        <v>24469</v>
      </c>
      <c r="E1179" t="s">
        <v>24470</v>
      </c>
      <c r="F1179" t="s">
        <v>24471</v>
      </c>
      <c r="G1179" t="s">
        <v>24472</v>
      </c>
      <c r="H1179" t="s">
        <v>24473</v>
      </c>
      <c r="I1179" t="s">
        <v>24474</v>
      </c>
      <c r="J1179" t="s">
        <v>24475</v>
      </c>
      <c r="K1179" t="s">
        <v>24476</v>
      </c>
      <c r="L1179" t="s">
        <v>24477</v>
      </c>
      <c r="M1179" t="s">
        <v>24478</v>
      </c>
      <c r="N1179" t="s">
        <v>24479</v>
      </c>
      <c r="O1179">
        <f>-907.017081795844 -88.0421760430902 -485.54571268397</f>
        <v>-1480.6049705229043</v>
      </c>
      <c r="P1179">
        <f>-889.775154939789 -134.56240278389 -195.494374289363</f>
        <v>-1219.8319320130422</v>
      </c>
      <c r="Q1179">
        <f>-713.065327594847 -34.8004590368928 -325.386367901376</f>
        <v>-1073.2521545331158</v>
      </c>
      <c r="R1179" t="s">
        <v>24480</v>
      </c>
      <c r="S1179" t="s">
        <v>24481</v>
      </c>
      <c r="T1179" t="s">
        <v>24482</v>
      </c>
      <c r="U1179" t="s">
        <v>24483</v>
      </c>
      <c r="V1179">
        <f>-860.415782558744 -14.6373607477449 -59.9579452961592</f>
        <v>-935.0110886026481</v>
      </c>
      <c r="W1179" t="s">
        <v>24484</v>
      </c>
      <c r="X1179" t="s">
        <v>24485</v>
      </c>
      <c r="Y1179" t="s">
        <v>24486</v>
      </c>
    </row>
    <row r="1180" spans="1:25" x14ac:dyDescent="0.3">
      <c r="A1180">
        <v>58950</v>
      </c>
      <c r="B1180" t="s">
        <v>24487</v>
      </c>
      <c r="C1180" t="s">
        <v>24488</v>
      </c>
      <c r="D1180" t="s">
        <v>24489</v>
      </c>
      <c r="E1180" t="s">
        <v>24490</v>
      </c>
      <c r="F1180" t="s">
        <v>24491</v>
      </c>
      <c r="G1180" t="s">
        <v>24492</v>
      </c>
      <c r="H1180" t="s">
        <v>24493</v>
      </c>
      <c r="I1180" t="s">
        <v>24494</v>
      </c>
      <c r="J1180" t="s">
        <v>24495</v>
      </c>
      <c r="K1180" t="s">
        <v>24496</v>
      </c>
      <c r="L1180" t="s">
        <v>24497</v>
      </c>
      <c r="M1180" t="s">
        <v>24498</v>
      </c>
      <c r="N1180" t="s">
        <v>24499</v>
      </c>
      <c r="O1180">
        <f>-904.325654695265 -86.6585221835044 -485.644212375876</f>
        <v>-1476.6283892546453</v>
      </c>
      <c r="P1180">
        <f>-888.864384192044 -133.052591788552 -195.472276088525</f>
        <v>-1217.3892520691211</v>
      </c>
      <c r="Q1180">
        <f>-710.91336524231 -34.8914823192586 -324.889243429771</f>
        <v>-1070.6940909913396</v>
      </c>
      <c r="R1180" t="s">
        <v>24500</v>
      </c>
      <c r="S1180" t="s">
        <v>24501</v>
      </c>
      <c r="T1180" t="s">
        <v>24502</v>
      </c>
      <c r="U1180" t="s">
        <v>24503</v>
      </c>
      <c r="V1180">
        <f>-857.44365718483 -12.8876673351765 -60.22412794607</f>
        <v>-930.55545246607653</v>
      </c>
      <c r="W1180" t="s">
        <v>24504</v>
      </c>
      <c r="X1180" t="s">
        <v>24505</v>
      </c>
      <c r="Y1180" t="s">
        <v>24506</v>
      </c>
    </row>
    <row r="1181" spans="1:25" x14ac:dyDescent="0.3">
      <c r="A1181">
        <v>59000</v>
      </c>
      <c r="B1181" t="s">
        <v>24507</v>
      </c>
      <c r="C1181" t="s">
        <v>24508</v>
      </c>
      <c r="D1181" t="s">
        <v>24509</v>
      </c>
      <c r="E1181" t="s">
        <v>24510</v>
      </c>
      <c r="F1181" t="s">
        <v>24511</v>
      </c>
      <c r="G1181" t="s">
        <v>24512</v>
      </c>
      <c r="H1181" t="s">
        <v>24513</v>
      </c>
      <c r="I1181" t="s">
        <v>24514</v>
      </c>
      <c r="J1181" t="s">
        <v>24515</v>
      </c>
      <c r="K1181" t="s">
        <v>24516</v>
      </c>
      <c r="L1181" t="s">
        <v>24517</v>
      </c>
      <c r="M1181" t="s">
        <v>24518</v>
      </c>
      <c r="N1181" t="s">
        <v>24519</v>
      </c>
      <c r="O1181">
        <f>-898.865324433836 -84.3032143067028 -485.841558553851</f>
        <v>-1469.0100972943897</v>
      </c>
      <c r="P1181">
        <f>-887.435738394928 -131.058627163196 -195.54081701795</f>
        <v>-1214.035182576074</v>
      </c>
      <c r="Q1181">
        <f>-707.332320819298 -34.9116201031075 -323.4836855499</f>
        <v>-1065.7276264723055</v>
      </c>
      <c r="R1181" t="s">
        <v>24520</v>
      </c>
      <c r="S1181" t="s">
        <v>24521</v>
      </c>
      <c r="T1181" t="s">
        <v>24522</v>
      </c>
      <c r="U1181" t="s">
        <v>24523</v>
      </c>
      <c r="V1181">
        <f>-850.65301691764 -10.5775145014436 -60.4473682217779</f>
        <v>-921.67789964086148</v>
      </c>
      <c r="W1181" t="s">
        <v>24524</v>
      </c>
      <c r="X1181" t="s">
        <v>24525</v>
      </c>
      <c r="Y1181" t="s">
        <v>24526</v>
      </c>
    </row>
    <row r="1182" spans="1:25" x14ac:dyDescent="0.3">
      <c r="A1182">
        <v>59050</v>
      </c>
      <c r="B1182" t="s">
        <v>24527</v>
      </c>
      <c r="C1182" t="s">
        <v>24528</v>
      </c>
      <c r="D1182" t="s">
        <v>24529</v>
      </c>
      <c r="E1182" t="s">
        <v>24530</v>
      </c>
      <c r="F1182" t="s">
        <v>24531</v>
      </c>
      <c r="G1182" t="s">
        <v>24532</v>
      </c>
      <c r="H1182" t="s">
        <v>24533</v>
      </c>
      <c r="I1182" t="s">
        <v>24534</v>
      </c>
      <c r="J1182" t="s">
        <v>24535</v>
      </c>
      <c r="K1182" t="s">
        <v>24536</v>
      </c>
      <c r="L1182" t="s">
        <v>24537</v>
      </c>
      <c r="M1182" t="s">
        <v>24538</v>
      </c>
      <c r="N1182" t="s">
        <v>24539</v>
      </c>
      <c r="O1182">
        <f>-895.672210287104 -83.6750255102575 -485.950997438802</f>
        <v>-1465.2982332361635</v>
      </c>
      <c r="P1182">
        <f>-886.476193266132 -130.620593905997 -195.60165589645</f>
        <v>-1212.6984430685791</v>
      </c>
      <c r="Q1182">
        <f>-705.444405807855 -34.8518367416268 -322.51379538102</f>
        <v>-1062.8100379305017</v>
      </c>
      <c r="R1182" t="s">
        <v>24540</v>
      </c>
      <c r="S1182" t="s">
        <v>24541</v>
      </c>
      <c r="T1182" t="s">
        <v>24542</v>
      </c>
      <c r="U1182" t="s">
        <v>24543</v>
      </c>
      <c r="V1182">
        <f>-846.542818940368 -10.2804555293842 -60.3500295598053</f>
        <v>-917.17330402955747</v>
      </c>
      <c r="W1182" t="s">
        <v>24544</v>
      </c>
      <c r="X1182" t="s">
        <v>24545</v>
      </c>
      <c r="Y1182" t="s">
        <v>24546</v>
      </c>
    </row>
    <row r="1183" spans="1:25" x14ac:dyDescent="0.3">
      <c r="A1183">
        <v>59100</v>
      </c>
      <c r="B1183" t="s">
        <v>24547</v>
      </c>
      <c r="C1183" t="s">
        <v>24548</v>
      </c>
      <c r="D1183" t="s">
        <v>24549</v>
      </c>
      <c r="E1183" t="s">
        <v>24550</v>
      </c>
      <c r="F1183" t="s">
        <v>24551</v>
      </c>
      <c r="G1183" t="s">
        <v>24552</v>
      </c>
      <c r="H1183" t="s">
        <v>24553</v>
      </c>
      <c r="I1183" t="s">
        <v>24554</v>
      </c>
      <c r="J1183" t="s">
        <v>24555</v>
      </c>
      <c r="K1183" t="s">
        <v>24556</v>
      </c>
      <c r="L1183" t="s">
        <v>24557</v>
      </c>
      <c r="M1183" t="s">
        <v>24558</v>
      </c>
      <c r="N1183" t="s">
        <v>24559</v>
      </c>
      <c r="O1183">
        <f>-891.717481905867 -82.3837513875862 -486.307889827203</f>
        <v>-1460.4091231206562</v>
      </c>
      <c r="P1183">
        <f>-888.748851092414 -129.4334118964 -195.845071019642</f>
        <v>-1214.0273340084561</v>
      </c>
      <c r="Q1183">
        <f>-705.91759643664 -33.1696433385164 -319.767991379812</f>
        <v>-1058.8552311549684</v>
      </c>
      <c r="R1183" t="s">
        <v>24560</v>
      </c>
      <c r="S1183" t="s">
        <v>24561</v>
      </c>
      <c r="T1183" t="s">
        <v>24562</v>
      </c>
      <c r="U1183" t="s">
        <v>24563</v>
      </c>
      <c r="V1183">
        <f>-839.607180805165 -11.3688727000094 -59.1983557425203</f>
        <v>-910.17440924769471</v>
      </c>
      <c r="W1183" t="s">
        <v>24564</v>
      </c>
      <c r="X1183" t="s">
        <v>24565</v>
      </c>
      <c r="Y1183" t="s">
        <v>24566</v>
      </c>
    </row>
    <row r="1184" spans="1:25" x14ac:dyDescent="0.3">
      <c r="A1184">
        <v>59150</v>
      </c>
      <c r="B1184" t="s">
        <v>24567</v>
      </c>
      <c r="C1184" t="s">
        <v>24568</v>
      </c>
      <c r="D1184" t="s">
        <v>24569</v>
      </c>
      <c r="E1184" t="s">
        <v>24570</v>
      </c>
      <c r="F1184" t="s">
        <v>24571</v>
      </c>
      <c r="G1184" t="s">
        <v>24572</v>
      </c>
      <c r="H1184" t="s">
        <v>24573</v>
      </c>
      <c r="I1184" t="s">
        <v>24574</v>
      </c>
      <c r="J1184" t="s">
        <v>24575</v>
      </c>
      <c r="K1184" t="s">
        <v>24576</v>
      </c>
      <c r="L1184" t="s">
        <v>24577</v>
      </c>
      <c r="M1184" t="s">
        <v>24578</v>
      </c>
      <c r="N1184" t="s">
        <v>24579</v>
      </c>
      <c r="O1184">
        <f>-891.633296285223 -82.2852984751498 -485.809848559142</f>
        <v>-1459.7284433195148</v>
      </c>
      <c r="P1184">
        <f>-892.887980099767 -129.37708546619 -195.341258052028</f>
        <v>-1217.606323617985</v>
      </c>
      <c r="Q1184">
        <f>-708.966565828413 -32.4169006087213 -317.088855290181</f>
        <v>-1058.4723217273154</v>
      </c>
      <c r="R1184" t="s">
        <v>24580</v>
      </c>
      <c r="S1184" t="s">
        <v>24581</v>
      </c>
      <c r="T1184" t="s">
        <v>24582</v>
      </c>
      <c r="U1184" t="s">
        <v>24583</v>
      </c>
      <c r="V1184">
        <f>-837.731823404429 -13.6337305234433 -57.4578613772557</f>
        <v>-908.82341530512792</v>
      </c>
      <c r="W1184" t="s">
        <v>24584</v>
      </c>
      <c r="X1184" t="s">
        <v>24585</v>
      </c>
      <c r="Y1184" t="s">
        <v>24586</v>
      </c>
    </row>
    <row r="1185" spans="1:25" x14ac:dyDescent="0.3">
      <c r="A1185">
        <v>59200</v>
      </c>
      <c r="B1185" t="s">
        <v>24587</v>
      </c>
      <c r="C1185" t="s">
        <v>24588</v>
      </c>
      <c r="D1185" t="s">
        <v>24589</v>
      </c>
      <c r="E1185" t="s">
        <v>24590</v>
      </c>
      <c r="F1185" t="s">
        <v>24591</v>
      </c>
      <c r="G1185" t="s">
        <v>24592</v>
      </c>
      <c r="H1185" t="s">
        <v>24593</v>
      </c>
      <c r="I1185" t="s">
        <v>24594</v>
      </c>
      <c r="J1185" t="s">
        <v>24595</v>
      </c>
      <c r="K1185" t="s">
        <v>24596</v>
      </c>
      <c r="L1185" t="s">
        <v>24597</v>
      </c>
      <c r="M1185" t="s">
        <v>24598</v>
      </c>
      <c r="N1185" t="s">
        <v>24599</v>
      </c>
      <c r="O1185">
        <f>-890.11998622632 -92.3107783006953 -480.45008682078</f>
        <v>-1462.8808513477952</v>
      </c>
      <c r="P1185">
        <f>-901.489839629107 -140.988022808106 -190.463182369401</f>
        <v>-1232.9410448066139</v>
      </c>
      <c r="Q1185">
        <f>-715.242337568617 -41.5598679064196 -306.552856575693</f>
        <v>-1063.3550620507297</v>
      </c>
      <c r="R1185" t="s">
        <v>24600</v>
      </c>
      <c r="S1185" t="s">
        <v>24601</v>
      </c>
      <c r="T1185" t="s">
        <v>24602</v>
      </c>
      <c r="U1185" t="s">
        <v>24603</v>
      </c>
      <c r="V1185">
        <f>-839.71977999044 -35.7439938013995 -48.733730954708</f>
        <v>-924.19750474654745</v>
      </c>
      <c r="W1185" t="s">
        <v>24604</v>
      </c>
      <c r="X1185" t="s">
        <v>24605</v>
      </c>
      <c r="Y1185" t="s">
        <v>24606</v>
      </c>
    </row>
    <row r="1186" spans="1:25" x14ac:dyDescent="0.3">
      <c r="A1186">
        <v>59250</v>
      </c>
      <c r="B1186" t="s">
        <v>24607</v>
      </c>
      <c r="C1186" t="s">
        <v>24608</v>
      </c>
      <c r="D1186" t="s">
        <v>24609</v>
      </c>
      <c r="E1186" t="s">
        <v>24610</v>
      </c>
      <c r="F1186" t="s">
        <v>24611</v>
      </c>
      <c r="G1186" t="s">
        <v>24612</v>
      </c>
      <c r="H1186" t="s">
        <v>24613</v>
      </c>
      <c r="I1186" t="s">
        <v>24614</v>
      </c>
      <c r="J1186" t="s">
        <v>24615</v>
      </c>
      <c r="K1186" t="s">
        <v>24616</v>
      </c>
      <c r="L1186" t="s">
        <v>24617</v>
      </c>
      <c r="M1186" t="s">
        <v>24618</v>
      </c>
      <c r="N1186" t="s">
        <v>24619</v>
      </c>
      <c r="O1186">
        <f>-886.320951415209 -104.556356028048 -476.185203805243</f>
        <v>-1467.0625112485</v>
      </c>
      <c r="P1186">
        <f>-903.340002444362 -154.582394406972 -186.704727752864</f>
        <v>-1244.6271246041981</v>
      </c>
      <c r="Q1186">
        <f>-715.578798912559 -53.8018482992607 -299.132035694722</f>
        <v>-1068.5126829065416</v>
      </c>
      <c r="R1186" t="s">
        <v>24620</v>
      </c>
      <c r="S1186" t="s">
        <v>24621</v>
      </c>
      <c r="T1186" t="s">
        <v>24622</v>
      </c>
      <c r="U1186" t="s">
        <v>24623</v>
      </c>
      <c r="V1186">
        <f>-840.323988894394 -56.9367659999702 -44.4931059096305</f>
        <v>-941.75386080399471</v>
      </c>
      <c r="W1186" t="s">
        <v>24624</v>
      </c>
      <c r="X1186" t="s">
        <v>24625</v>
      </c>
      <c r="Y1186" t="s">
        <v>24626</v>
      </c>
    </row>
    <row r="1187" spans="1:25" x14ac:dyDescent="0.3">
      <c r="A1187">
        <v>59300</v>
      </c>
      <c r="B1187" t="s">
        <v>24627</v>
      </c>
      <c r="C1187" t="s">
        <v>24628</v>
      </c>
      <c r="D1187" t="s">
        <v>24629</v>
      </c>
      <c r="E1187" t="s">
        <v>24630</v>
      </c>
      <c r="F1187" t="s">
        <v>24631</v>
      </c>
      <c r="G1187" t="s">
        <v>24632</v>
      </c>
      <c r="H1187" t="s">
        <v>24633</v>
      </c>
      <c r="I1187" t="s">
        <v>24634</v>
      </c>
      <c r="J1187" t="s">
        <v>24635</v>
      </c>
      <c r="K1187" t="s">
        <v>24636</v>
      </c>
      <c r="L1187" t="s">
        <v>24637</v>
      </c>
      <c r="M1187" t="s">
        <v>24638</v>
      </c>
      <c r="N1187" t="s">
        <v>24639</v>
      </c>
      <c r="O1187">
        <f>-878.848760830061 -123.249479351801 -467.057295778972</f>
        <v>-1469.155535960834</v>
      </c>
      <c r="P1187">
        <f>-910.789250082766 -178.381317550746 -179.774428180211</f>
        <v>-1268.9449958137232</v>
      </c>
      <c r="Q1187">
        <f>-720.789706966516 -68.4404997093793 -279.092112403997</f>
        <v>-1068.3223190798922</v>
      </c>
      <c r="R1187" t="s">
        <v>24640</v>
      </c>
      <c r="S1187" t="s">
        <v>24641</v>
      </c>
      <c r="T1187" t="s">
        <v>24642</v>
      </c>
      <c r="U1187" t="s">
        <v>24643</v>
      </c>
      <c r="V1187">
        <f>-838.895178968528 -83.4183137874472 -34.0530340454455</f>
        <v>-956.36652680142072</v>
      </c>
      <c r="W1187" t="s">
        <v>24644</v>
      </c>
      <c r="X1187" t="s">
        <v>24645</v>
      </c>
      <c r="Y1187" t="s">
        <v>24646</v>
      </c>
    </row>
    <row r="1188" spans="1:25" x14ac:dyDescent="0.3">
      <c r="A1188">
        <v>59350</v>
      </c>
      <c r="B1188" t="s">
        <v>24647</v>
      </c>
      <c r="C1188" t="s">
        <v>24648</v>
      </c>
      <c r="D1188" t="s">
        <v>24649</v>
      </c>
      <c r="E1188" t="s">
        <v>24650</v>
      </c>
      <c r="F1188" t="s">
        <v>24651</v>
      </c>
      <c r="G1188" t="s">
        <v>24652</v>
      </c>
      <c r="H1188" t="s">
        <v>24653</v>
      </c>
      <c r="I1188" t="s">
        <v>24654</v>
      </c>
      <c r="J1188" t="s">
        <v>24655</v>
      </c>
      <c r="K1188" t="s">
        <v>24656</v>
      </c>
      <c r="L1188" t="s">
        <v>24657</v>
      </c>
      <c r="M1188" t="s">
        <v>24658</v>
      </c>
      <c r="N1188">
        <f>-868.183892603057 -1.10462594468845 -493.130509033705</f>
        <v>-1362.4190275814503</v>
      </c>
      <c r="O1188">
        <f>-876.553404304608 -135.264132848527 -464.584089968601</f>
        <v>-1476.4016271217361</v>
      </c>
      <c r="P1188">
        <f>-915.851199299087 -190.9197944958 -178.316087084634</f>
        <v>-1285.0870808795212</v>
      </c>
      <c r="Q1188">
        <f>-724.790303475681 -76.5261081047552 -270.29804303288</f>
        <v>-1071.6144546133162</v>
      </c>
      <c r="R1188" t="s">
        <v>24659</v>
      </c>
      <c r="S1188" t="s">
        <v>24660</v>
      </c>
      <c r="T1188" t="s">
        <v>24661</v>
      </c>
      <c r="U1188" t="s">
        <v>24662</v>
      </c>
      <c r="V1188">
        <f>-838.381952769072 -105.040710801092 -30.6992895034394</f>
        <v>-974.12195307360344</v>
      </c>
      <c r="W1188" t="s">
        <v>24663</v>
      </c>
      <c r="X1188" t="s">
        <v>24664</v>
      </c>
      <c r="Y1188" t="s">
        <v>24665</v>
      </c>
    </row>
    <row r="1189" spans="1:25" x14ac:dyDescent="0.3">
      <c r="A1189">
        <v>59400</v>
      </c>
      <c r="B1189" t="s">
        <v>24666</v>
      </c>
      <c r="C1189" t="s">
        <v>24667</v>
      </c>
      <c r="D1189" t="s">
        <v>24668</v>
      </c>
      <c r="E1189" t="s">
        <v>24669</v>
      </c>
      <c r="F1189" t="s">
        <v>24670</v>
      </c>
      <c r="G1189" t="s">
        <v>24671</v>
      </c>
      <c r="H1189" t="s">
        <v>24672</v>
      </c>
      <c r="I1189" t="s">
        <v>24673</v>
      </c>
      <c r="J1189" t="s">
        <v>24674</v>
      </c>
      <c r="K1189" t="s">
        <v>24675</v>
      </c>
      <c r="L1189" t="s">
        <v>24676</v>
      </c>
      <c r="M1189" t="s">
        <v>24677</v>
      </c>
      <c r="N1189" t="s">
        <v>24678</v>
      </c>
      <c r="O1189">
        <f>-874.944191216638 -85.0832708037892 -469.920537977793</f>
        <v>-1429.9479999982202</v>
      </c>
      <c r="P1189">
        <f>-927.032264843861 -141.814192701434 -185.914142484896</f>
        <v>-1254.760600030191</v>
      </c>
      <c r="Q1189">
        <f>-734.054656586897 -22.3980987208661 -266.848069060777</f>
        <v>-1023.30082436854</v>
      </c>
      <c r="R1189" t="s">
        <v>24679</v>
      </c>
      <c r="S1189" t="s">
        <v>24680</v>
      </c>
      <c r="T1189" t="s">
        <v>24681</v>
      </c>
      <c r="U1189" t="s">
        <v>24682</v>
      </c>
      <c r="V1189">
        <f>-847.247446528452 -16.6380785964889 -37.5763424439308</f>
        <v>-901.46186756887164</v>
      </c>
      <c r="W1189" t="s">
        <v>24683</v>
      </c>
      <c r="X1189" t="s">
        <v>24684</v>
      </c>
      <c r="Y1189" t="s">
        <v>24685</v>
      </c>
    </row>
    <row r="1190" spans="1:25" x14ac:dyDescent="0.3">
      <c r="A1190">
        <v>59450</v>
      </c>
      <c r="B1190" t="s">
        <v>24686</v>
      </c>
      <c r="C1190" t="s">
        <v>24687</v>
      </c>
      <c r="D1190" t="s">
        <v>24688</v>
      </c>
      <c r="E1190" t="s">
        <v>24689</v>
      </c>
      <c r="F1190" t="s">
        <v>24690</v>
      </c>
      <c r="G1190" t="s">
        <v>24691</v>
      </c>
      <c r="H1190" t="s">
        <v>24692</v>
      </c>
      <c r="I1190" t="s">
        <v>24693</v>
      </c>
      <c r="J1190" t="s">
        <v>24694</v>
      </c>
      <c r="K1190" t="s">
        <v>24695</v>
      </c>
      <c r="L1190" t="s">
        <v>24696</v>
      </c>
      <c r="M1190" t="s">
        <v>24697</v>
      </c>
      <c r="N1190" t="s">
        <v>24698</v>
      </c>
      <c r="O1190">
        <f>-873.216968482371 -52.9853573132389 -474.935859185098</f>
        <v>-1401.138184980708</v>
      </c>
      <c r="P1190">
        <f>-930.703469535596 -110.64755494363 -192.16105425982</f>
        <v>-1233.512078739046</v>
      </c>
      <c r="Q1190" t="s">
        <v>24699</v>
      </c>
      <c r="R1190" t="s">
        <v>24700</v>
      </c>
      <c r="S1190" t="s">
        <v>24701</v>
      </c>
      <c r="T1190" t="s">
        <v>24702</v>
      </c>
      <c r="U1190" t="s">
        <v>24703</v>
      </c>
      <c r="V1190" t="s">
        <v>24704</v>
      </c>
      <c r="W1190" t="s">
        <v>24705</v>
      </c>
      <c r="X1190" t="s">
        <v>24706</v>
      </c>
      <c r="Y1190" t="s">
        <v>24707</v>
      </c>
    </row>
    <row r="1191" spans="1:25" x14ac:dyDescent="0.3">
      <c r="A1191">
        <v>59500</v>
      </c>
      <c r="B1191" t="s">
        <v>24708</v>
      </c>
      <c r="C1191" t="s">
        <v>24709</v>
      </c>
      <c r="D1191" t="s">
        <v>24710</v>
      </c>
      <c r="E1191" t="s">
        <v>24711</v>
      </c>
      <c r="F1191" t="s">
        <v>24712</v>
      </c>
      <c r="G1191" t="s">
        <v>24713</v>
      </c>
      <c r="H1191" t="s">
        <v>24714</v>
      </c>
      <c r="I1191" t="s">
        <v>24715</v>
      </c>
      <c r="J1191" t="s">
        <v>24716</v>
      </c>
      <c r="K1191" t="s">
        <v>24717</v>
      </c>
      <c r="L1191" t="s">
        <v>24718</v>
      </c>
      <c r="M1191" t="s">
        <v>24719</v>
      </c>
      <c r="N1191" t="s">
        <v>24720</v>
      </c>
      <c r="O1191">
        <f>-862.726926433614 -33.0165253643545 -483.468243193156</f>
        <v>-1379.2116949911247</v>
      </c>
      <c r="P1191">
        <f>-926.437021031627 -97.1051481761083 -203.423710538138</f>
        <v>-1226.9658797458733</v>
      </c>
      <c r="Q1191" t="s">
        <v>24721</v>
      </c>
      <c r="R1191" t="s">
        <v>24722</v>
      </c>
      <c r="S1191" t="s">
        <v>24723</v>
      </c>
      <c r="T1191" t="s">
        <v>24724</v>
      </c>
      <c r="U1191" t="s">
        <v>24725</v>
      </c>
      <c r="V1191" t="s">
        <v>24726</v>
      </c>
      <c r="W1191" t="s">
        <v>24727</v>
      </c>
      <c r="X1191" t="s">
        <v>24728</v>
      </c>
      <c r="Y1191" t="s">
        <v>24729</v>
      </c>
    </row>
    <row r="1192" spans="1:25" x14ac:dyDescent="0.3">
      <c r="A1192">
        <v>59550</v>
      </c>
      <c r="B1192" t="s">
        <v>24730</v>
      </c>
      <c r="C1192" t="s">
        <v>24731</v>
      </c>
      <c r="D1192" t="s">
        <v>24732</v>
      </c>
      <c r="E1192" t="s">
        <v>24733</v>
      </c>
      <c r="F1192" t="s">
        <v>24734</v>
      </c>
      <c r="G1192" t="s">
        <v>24735</v>
      </c>
      <c r="H1192" t="s">
        <v>24736</v>
      </c>
      <c r="I1192" t="s">
        <v>24737</v>
      </c>
      <c r="J1192" t="s">
        <v>24738</v>
      </c>
      <c r="K1192" t="s">
        <v>24739</v>
      </c>
      <c r="L1192" t="s">
        <v>24740</v>
      </c>
      <c r="M1192" t="s">
        <v>24741</v>
      </c>
      <c r="N1192" t="s">
        <v>24742</v>
      </c>
      <c r="O1192">
        <f>-854.916077910956 -35.518006788619 -486.362105531795</f>
        <v>-1376.79619023137</v>
      </c>
      <c r="P1192">
        <f>-919.739345244756 -103.941339906814 -207.601642503274</f>
        <v>-1231.282327654844</v>
      </c>
      <c r="Q1192" t="s">
        <v>24743</v>
      </c>
      <c r="R1192" t="s">
        <v>24744</v>
      </c>
      <c r="S1192" t="s">
        <v>24745</v>
      </c>
      <c r="T1192" t="s">
        <v>24746</v>
      </c>
      <c r="U1192" t="s">
        <v>24747</v>
      </c>
      <c r="V1192" t="s">
        <v>24748</v>
      </c>
      <c r="W1192" t="s">
        <v>24749</v>
      </c>
      <c r="X1192" t="s">
        <v>24750</v>
      </c>
      <c r="Y1192" t="s">
        <v>24751</v>
      </c>
    </row>
    <row r="1193" spans="1:25" x14ac:dyDescent="0.3">
      <c r="A1193">
        <v>59600</v>
      </c>
      <c r="B1193" t="s">
        <v>24752</v>
      </c>
      <c r="C1193" t="s">
        <v>24753</v>
      </c>
      <c r="D1193" t="s">
        <v>24754</v>
      </c>
      <c r="E1193" t="s">
        <v>24755</v>
      </c>
      <c r="F1193" t="s">
        <v>24756</v>
      </c>
      <c r="G1193" t="s">
        <v>24757</v>
      </c>
      <c r="H1193" t="s">
        <v>24758</v>
      </c>
      <c r="I1193" t="s">
        <v>24759</v>
      </c>
      <c r="J1193" t="s">
        <v>24760</v>
      </c>
      <c r="K1193" t="s">
        <v>24761</v>
      </c>
      <c r="L1193" t="s">
        <v>24762</v>
      </c>
      <c r="M1193" t="s">
        <v>24763</v>
      </c>
      <c r="N1193" t="s">
        <v>24764</v>
      </c>
      <c r="O1193">
        <f>-837.298074438462 -44.2888825900595 -491.449864151263</f>
        <v>-1373.0368211797845</v>
      </c>
      <c r="P1193">
        <f>-900.239534778759 -120.847735721875 -214.378882129454</f>
        <v>-1235.4661526300879</v>
      </c>
      <c r="Q1193" t="s">
        <v>24765</v>
      </c>
      <c r="R1193" t="s">
        <v>24766</v>
      </c>
      <c r="S1193" t="s">
        <v>24767</v>
      </c>
      <c r="T1193" t="s">
        <v>24768</v>
      </c>
      <c r="U1193" t="s">
        <v>24769</v>
      </c>
      <c r="V1193" t="s">
        <v>24770</v>
      </c>
      <c r="W1193" t="s">
        <v>24771</v>
      </c>
      <c r="X1193" t="s">
        <v>24772</v>
      </c>
      <c r="Y1193" t="s">
        <v>24773</v>
      </c>
    </row>
    <row r="1194" spans="1:25" x14ac:dyDescent="0.3">
      <c r="A1194">
        <v>59650</v>
      </c>
      <c r="B1194" t="s">
        <v>24774</v>
      </c>
      <c r="C1194" t="s">
        <v>24775</v>
      </c>
      <c r="D1194" t="s">
        <v>24776</v>
      </c>
      <c r="E1194" t="s">
        <v>24777</v>
      </c>
      <c r="F1194" t="s">
        <v>24778</v>
      </c>
      <c r="G1194" t="s">
        <v>24779</v>
      </c>
      <c r="H1194" t="s">
        <v>24780</v>
      </c>
      <c r="I1194" t="s">
        <v>24781</v>
      </c>
      <c r="J1194" t="s">
        <v>24782</v>
      </c>
      <c r="K1194" t="s">
        <v>24783</v>
      </c>
      <c r="L1194" t="s">
        <v>24784</v>
      </c>
      <c r="M1194" t="s">
        <v>24785</v>
      </c>
      <c r="N1194" t="s">
        <v>24786</v>
      </c>
      <c r="O1194">
        <f>-830.454540092353 -47.051971135126 -494.285212556279</f>
        <v>-1371.791723783758</v>
      </c>
      <c r="P1194">
        <f>-890.690607256055 -126.287360464376 -217.36536032149</f>
        <v>-1234.343328041921</v>
      </c>
      <c r="Q1194" t="s">
        <v>24787</v>
      </c>
      <c r="R1194" t="s">
        <v>24788</v>
      </c>
      <c r="S1194" t="s">
        <v>24789</v>
      </c>
      <c r="T1194" t="s">
        <v>24790</v>
      </c>
      <c r="U1194" t="s">
        <v>24791</v>
      </c>
      <c r="V1194" t="s">
        <v>24792</v>
      </c>
      <c r="W1194" t="s">
        <v>24793</v>
      </c>
      <c r="X1194" t="s">
        <v>24794</v>
      </c>
      <c r="Y1194" t="s">
        <v>24795</v>
      </c>
    </row>
    <row r="1195" spans="1:25" x14ac:dyDescent="0.3">
      <c r="A1195">
        <v>59700</v>
      </c>
      <c r="B1195" t="s">
        <v>24796</v>
      </c>
      <c r="C1195" t="s">
        <v>24797</v>
      </c>
      <c r="D1195" t="s">
        <v>24798</v>
      </c>
      <c r="E1195" t="s">
        <v>24799</v>
      </c>
      <c r="F1195" t="s">
        <v>24800</v>
      </c>
      <c r="G1195" t="s">
        <v>24801</v>
      </c>
      <c r="H1195" t="s">
        <v>24802</v>
      </c>
      <c r="I1195" t="s">
        <v>24803</v>
      </c>
      <c r="J1195" t="s">
        <v>24804</v>
      </c>
      <c r="K1195" t="s">
        <v>24805</v>
      </c>
      <c r="L1195" t="s">
        <v>24806</v>
      </c>
      <c r="M1195" t="s">
        <v>24807</v>
      </c>
      <c r="N1195" t="s">
        <v>24808</v>
      </c>
      <c r="O1195">
        <f>-822.162126872528 -49.8097423669965 -498.992672721398</f>
        <v>-1370.9645419609224</v>
      </c>
      <c r="P1195">
        <f>-874.518803740859 -132.980187394209 -221.625293171713</f>
        <v>-1229.124284306781</v>
      </c>
      <c r="Q1195" t="s">
        <v>24809</v>
      </c>
      <c r="R1195" t="s">
        <v>24810</v>
      </c>
      <c r="S1195" t="s">
        <v>24811</v>
      </c>
      <c r="T1195" t="s">
        <v>24812</v>
      </c>
      <c r="U1195" t="s">
        <v>24813</v>
      </c>
      <c r="V1195" t="s">
        <v>24814</v>
      </c>
      <c r="W1195" t="s">
        <v>24815</v>
      </c>
      <c r="X1195" t="s">
        <v>24816</v>
      </c>
      <c r="Y1195" t="s">
        <v>24817</v>
      </c>
    </row>
    <row r="1196" spans="1:25" x14ac:dyDescent="0.3">
      <c r="A1196">
        <v>59750</v>
      </c>
      <c r="B1196" t="s">
        <v>24818</v>
      </c>
      <c r="C1196" t="s">
        <v>24819</v>
      </c>
      <c r="D1196" t="s">
        <v>24820</v>
      </c>
      <c r="E1196" t="s">
        <v>24821</v>
      </c>
      <c r="F1196" t="s">
        <v>24822</v>
      </c>
      <c r="G1196" t="s">
        <v>24823</v>
      </c>
      <c r="H1196" t="s">
        <v>24824</v>
      </c>
      <c r="I1196" t="s">
        <v>24825</v>
      </c>
      <c r="J1196" t="s">
        <v>24826</v>
      </c>
      <c r="K1196" t="s">
        <v>24827</v>
      </c>
      <c r="L1196" t="s">
        <v>24828</v>
      </c>
      <c r="M1196" t="s">
        <v>24829</v>
      </c>
      <c r="N1196" t="s">
        <v>24830</v>
      </c>
      <c r="O1196">
        <f>-818.39161537163 -50.829264642759 -500.866274504667</f>
        <v>-1370.087154519056</v>
      </c>
      <c r="P1196">
        <f>-865.939467050908 -135.472301277178 -223.078719172892</f>
        <v>-1224.4904875009779</v>
      </c>
      <c r="Q1196" t="s">
        <v>24831</v>
      </c>
      <c r="R1196" t="s">
        <v>24832</v>
      </c>
      <c r="S1196" t="s">
        <v>24833</v>
      </c>
      <c r="T1196" t="s">
        <v>24834</v>
      </c>
      <c r="U1196" t="s">
        <v>24835</v>
      </c>
      <c r="V1196" t="s">
        <v>24836</v>
      </c>
      <c r="W1196" t="s">
        <v>24837</v>
      </c>
      <c r="X1196" t="s">
        <v>24838</v>
      </c>
      <c r="Y1196" t="s">
        <v>24839</v>
      </c>
    </row>
    <row r="1197" spans="1:25" x14ac:dyDescent="0.3">
      <c r="A1197">
        <v>59800</v>
      </c>
      <c r="B1197" t="s">
        <v>24840</v>
      </c>
      <c r="C1197" t="s">
        <v>24841</v>
      </c>
      <c r="D1197" t="s">
        <v>24842</v>
      </c>
      <c r="E1197" t="s">
        <v>24843</v>
      </c>
      <c r="F1197" t="s">
        <v>24844</v>
      </c>
      <c r="G1197" t="s">
        <v>24845</v>
      </c>
      <c r="H1197" t="s">
        <v>24846</v>
      </c>
      <c r="I1197" t="s">
        <v>24847</v>
      </c>
      <c r="J1197" t="s">
        <v>24848</v>
      </c>
      <c r="K1197" t="s">
        <v>24849</v>
      </c>
      <c r="L1197" t="s">
        <v>24850</v>
      </c>
      <c r="M1197" t="s">
        <v>24851</v>
      </c>
      <c r="N1197" t="s">
        <v>24852</v>
      </c>
      <c r="O1197">
        <f>-804.748875348441 -55.0261256499819 -503.60339243789</f>
        <v>-1363.3783934363128</v>
      </c>
      <c r="P1197">
        <f>-843.758043403969 -141.381576242422 -225.013696320454</f>
        <v>-1210.1533159668452</v>
      </c>
      <c r="Q1197" t="s">
        <v>24853</v>
      </c>
      <c r="R1197" t="s">
        <v>24854</v>
      </c>
      <c r="S1197" t="s">
        <v>24855</v>
      </c>
      <c r="T1197" t="s">
        <v>24856</v>
      </c>
      <c r="U1197" t="s">
        <v>24857</v>
      </c>
      <c r="V1197" t="s">
        <v>24858</v>
      </c>
      <c r="W1197" t="s">
        <v>24859</v>
      </c>
      <c r="X1197" t="s">
        <v>24860</v>
      </c>
      <c r="Y1197" t="s">
        <v>24861</v>
      </c>
    </row>
    <row r="1198" spans="1:25" x14ac:dyDescent="0.3">
      <c r="A1198">
        <v>59850</v>
      </c>
      <c r="B1198" t="s">
        <v>24862</v>
      </c>
      <c r="C1198" t="s">
        <v>24863</v>
      </c>
      <c r="D1198" t="s">
        <v>24864</v>
      </c>
      <c r="E1198" t="s">
        <v>24865</v>
      </c>
      <c r="F1198" t="s">
        <v>24866</v>
      </c>
      <c r="G1198" t="s">
        <v>24867</v>
      </c>
      <c r="H1198" t="s">
        <v>24868</v>
      </c>
      <c r="I1198" t="s">
        <v>24869</v>
      </c>
      <c r="J1198" t="s">
        <v>24870</v>
      </c>
      <c r="K1198" t="s">
        <v>24871</v>
      </c>
      <c r="L1198" t="s">
        <v>24872</v>
      </c>
      <c r="M1198" t="s">
        <v>24873</v>
      </c>
      <c r="N1198" t="s">
        <v>24874</v>
      </c>
      <c r="O1198">
        <f>-798.576897763638 -56.9105363500621 -504.744149854659</f>
        <v>-1360.2315839683592</v>
      </c>
      <c r="P1198">
        <f>-834.478200676368 -143.710674926289 -225.875021191856</f>
        <v>-1204.0638967945131</v>
      </c>
      <c r="Q1198" t="s">
        <v>24875</v>
      </c>
      <c r="R1198" t="s">
        <v>24876</v>
      </c>
      <c r="S1198" t="s">
        <v>24877</v>
      </c>
      <c r="T1198" t="s">
        <v>24878</v>
      </c>
      <c r="U1198" t="s">
        <v>24879</v>
      </c>
      <c r="V1198" t="s">
        <v>24880</v>
      </c>
      <c r="W1198" t="s">
        <v>24881</v>
      </c>
      <c r="X1198" t="s">
        <v>24882</v>
      </c>
      <c r="Y1198" t="s">
        <v>24883</v>
      </c>
    </row>
    <row r="1199" spans="1:25" x14ac:dyDescent="0.3">
      <c r="A1199">
        <v>59900</v>
      </c>
      <c r="B1199" t="s">
        <v>24884</v>
      </c>
      <c r="C1199" t="s">
        <v>24885</v>
      </c>
      <c r="D1199" t="s">
        <v>24886</v>
      </c>
      <c r="E1199" t="s">
        <v>24887</v>
      </c>
      <c r="F1199" t="s">
        <v>24888</v>
      </c>
      <c r="G1199" t="s">
        <v>24889</v>
      </c>
      <c r="H1199" t="s">
        <v>24890</v>
      </c>
      <c r="I1199" t="s">
        <v>24891</v>
      </c>
      <c r="J1199" t="s">
        <v>24892</v>
      </c>
      <c r="K1199" t="s">
        <v>24893</v>
      </c>
      <c r="L1199" t="s">
        <v>24894</v>
      </c>
      <c r="M1199" t="s">
        <v>24895</v>
      </c>
      <c r="N1199" t="s">
        <v>24896</v>
      </c>
      <c r="O1199">
        <f>-791.495851018806 -61.0671467864172 -505.966889698035</f>
        <v>-1358.5298875032581</v>
      </c>
      <c r="P1199">
        <f>-822.945567076733 -145.780936788513 -225.921029973609</f>
        <v>-1194.647533838855</v>
      </c>
      <c r="Q1199" t="s">
        <v>24897</v>
      </c>
      <c r="R1199" t="s">
        <v>24898</v>
      </c>
      <c r="S1199" t="s">
        <v>24899</v>
      </c>
      <c r="T1199" t="s">
        <v>24900</v>
      </c>
      <c r="U1199" t="s">
        <v>24901</v>
      </c>
      <c r="V1199" t="s">
        <v>24902</v>
      </c>
      <c r="W1199" t="s">
        <v>24903</v>
      </c>
      <c r="X1199" t="s">
        <v>24904</v>
      </c>
      <c r="Y1199" t="s">
        <v>24905</v>
      </c>
    </row>
    <row r="1200" spans="1:25" x14ac:dyDescent="0.3">
      <c r="A1200">
        <v>59950</v>
      </c>
      <c r="B1200" t="s">
        <v>24906</v>
      </c>
      <c r="C1200" t="s">
        <v>24907</v>
      </c>
      <c r="D1200" t="s">
        <v>24908</v>
      </c>
      <c r="E1200" t="s">
        <v>24909</v>
      </c>
      <c r="F1200" t="s">
        <v>24910</v>
      </c>
      <c r="G1200" t="s">
        <v>24911</v>
      </c>
      <c r="H1200" t="s">
        <v>24912</v>
      </c>
      <c r="I1200" t="s">
        <v>24913</v>
      </c>
      <c r="J1200" t="s">
        <v>24914</v>
      </c>
      <c r="K1200" t="s">
        <v>24915</v>
      </c>
      <c r="L1200" t="s">
        <v>24916</v>
      </c>
      <c r="M1200" t="s">
        <v>24917</v>
      </c>
      <c r="N1200" t="s">
        <v>24918</v>
      </c>
      <c r="O1200">
        <f>-788.39410948297 -65.0784533949677 -505.916134633342</f>
        <v>-1359.3886975112796</v>
      </c>
      <c r="P1200">
        <f>-819.384684236299 -148.667389405807 -225.481379487304</f>
        <v>-1193.53345312941</v>
      </c>
      <c r="Q1200" t="s">
        <v>24919</v>
      </c>
      <c r="R1200" t="s">
        <v>24920</v>
      </c>
      <c r="S1200" t="s">
        <v>24921</v>
      </c>
      <c r="T1200" t="s">
        <v>24922</v>
      </c>
      <c r="U1200" t="s">
        <v>24923</v>
      </c>
      <c r="V1200" t="s">
        <v>24924</v>
      </c>
      <c r="W1200" t="s">
        <v>24925</v>
      </c>
      <c r="X1200" t="s">
        <v>24926</v>
      </c>
      <c r="Y1200" t="s">
        <v>24927</v>
      </c>
    </row>
    <row r="1201" spans="1:25" x14ac:dyDescent="0.3">
      <c r="A1201">
        <v>60000</v>
      </c>
      <c r="B1201" t="s">
        <v>24928</v>
      </c>
      <c r="C1201" t="s">
        <v>24929</v>
      </c>
      <c r="D1201" t="s">
        <v>24930</v>
      </c>
      <c r="E1201" t="s">
        <v>24931</v>
      </c>
      <c r="F1201" t="s">
        <v>24932</v>
      </c>
      <c r="G1201" t="s">
        <v>24933</v>
      </c>
      <c r="H1201" t="s">
        <v>24934</v>
      </c>
      <c r="I1201" t="s">
        <v>24935</v>
      </c>
      <c r="J1201" t="s">
        <v>24936</v>
      </c>
      <c r="K1201" t="s">
        <v>24937</v>
      </c>
      <c r="L1201" t="s">
        <v>24938</v>
      </c>
      <c r="M1201" t="s">
        <v>24939</v>
      </c>
      <c r="N1201" t="s">
        <v>24940</v>
      </c>
      <c r="O1201">
        <f>-778.634294014748 -74.1159203956252 -505.395579910434</f>
        <v>-1358.145794320807</v>
      </c>
      <c r="P1201">
        <f>-810.188369212814 -157.175580853184 -224.86632937389</f>
        <v>-1192.2302794398879</v>
      </c>
      <c r="Q1201" t="s">
        <v>24941</v>
      </c>
      <c r="R1201" t="s">
        <v>24942</v>
      </c>
      <c r="S1201" t="s">
        <v>24943</v>
      </c>
      <c r="T1201" t="s">
        <v>24944</v>
      </c>
      <c r="U1201" t="s">
        <v>24945</v>
      </c>
      <c r="V1201">
        <f>-737.637698972268 -2.4393745261882 -63.5248885284831</f>
        <v>-803.6019620269393</v>
      </c>
      <c r="W1201" t="s">
        <v>24946</v>
      </c>
      <c r="X1201" t="s">
        <v>24947</v>
      </c>
      <c r="Y1201" t="s">
        <v>24948</v>
      </c>
    </row>
    <row r="1202" spans="1:25" x14ac:dyDescent="0.3">
      <c r="A1202">
        <v>60050</v>
      </c>
      <c r="B1202" t="s">
        <v>24949</v>
      </c>
      <c r="C1202" t="s">
        <v>24950</v>
      </c>
      <c r="D1202" t="s">
        <v>24951</v>
      </c>
      <c r="E1202" t="s">
        <v>24952</v>
      </c>
      <c r="F1202" t="s">
        <v>24953</v>
      </c>
      <c r="G1202" t="s">
        <v>24954</v>
      </c>
      <c r="H1202" t="s">
        <v>24955</v>
      </c>
      <c r="I1202" t="s">
        <v>24956</v>
      </c>
      <c r="J1202" t="s">
        <v>24957</v>
      </c>
      <c r="K1202" t="s">
        <v>24958</v>
      </c>
      <c r="L1202" t="s">
        <v>24959</v>
      </c>
      <c r="M1202" t="s">
        <v>24960</v>
      </c>
      <c r="N1202" t="s">
        <v>24961</v>
      </c>
      <c r="O1202">
        <f>-773.871001032241 -77.9131608994278 -505.264424351443</f>
        <v>-1357.0485862831117</v>
      </c>
      <c r="P1202">
        <f>-805.905660196594 -160.908902449497 -224.770646603113</f>
        <v>-1191.5852092492039</v>
      </c>
      <c r="Q1202">
        <f>-640.773191629574 -0.540926584694262 -295.934346684382</f>
        <v>-937.24846489865013</v>
      </c>
      <c r="R1202" t="s">
        <v>24962</v>
      </c>
      <c r="S1202" t="s">
        <v>24963</v>
      </c>
      <c r="T1202" t="s">
        <v>24964</v>
      </c>
      <c r="U1202" t="s">
        <v>24965</v>
      </c>
      <c r="V1202">
        <f>-734.426005506404 -5.11257668024427 -63.6107689955487</f>
        <v>-803.14935118219694</v>
      </c>
      <c r="W1202" t="s">
        <v>24966</v>
      </c>
      <c r="X1202" t="s">
        <v>24967</v>
      </c>
      <c r="Y1202" t="s">
        <v>24968</v>
      </c>
    </row>
    <row r="1203" spans="1:25" x14ac:dyDescent="0.3">
      <c r="A1203">
        <v>60100</v>
      </c>
      <c r="B1203" t="s">
        <v>24969</v>
      </c>
      <c r="C1203" t="s">
        <v>24970</v>
      </c>
      <c r="D1203" t="s">
        <v>24971</v>
      </c>
      <c r="E1203" t="s">
        <v>24972</v>
      </c>
      <c r="F1203" t="s">
        <v>24973</v>
      </c>
      <c r="G1203" t="s">
        <v>24974</v>
      </c>
      <c r="H1203" t="s">
        <v>24975</v>
      </c>
      <c r="I1203" t="s">
        <v>24976</v>
      </c>
      <c r="J1203" t="s">
        <v>24977</v>
      </c>
      <c r="K1203" t="s">
        <v>24978</v>
      </c>
      <c r="L1203" t="s">
        <v>24979</v>
      </c>
      <c r="M1203" t="s">
        <v>24980</v>
      </c>
      <c r="N1203" t="s">
        <v>24981</v>
      </c>
      <c r="O1203">
        <f>-766.297029197042 -84.0888255950788 -504.74211880533</f>
        <v>-1355.1279735974508</v>
      </c>
      <c r="P1203">
        <f>-798.992714845494 -168.752769101523 -224.823892672103</f>
        <v>-1192.56937661912</v>
      </c>
      <c r="Q1203">
        <f>-635.906172188664 -4.75818449489634 -292.347387917573</f>
        <v>-933.01174460113327</v>
      </c>
      <c r="R1203" t="s">
        <v>24982</v>
      </c>
      <c r="S1203" t="s">
        <v>24983</v>
      </c>
      <c r="T1203" t="s">
        <v>24984</v>
      </c>
      <c r="U1203" t="s">
        <v>24985</v>
      </c>
      <c r="V1203">
        <f>-729.385951680302 -9.5227813099259 -63.5030329128712</f>
        <v>-802.41176590309908</v>
      </c>
      <c r="W1203" t="s">
        <v>24986</v>
      </c>
      <c r="X1203" t="s">
        <v>24987</v>
      </c>
      <c r="Y1203" t="s">
        <v>24988</v>
      </c>
    </row>
    <row r="1204" spans="1:25" x14ac:dyDescent="0.3">
      <c r="A1204">
        <v>60150</v>
      </c>
      <c r="B1204" t="s">
        <v>24989</v>
      </c>
      <c r="C1204" t="s">
        <v>24990</v>
      </c>
      <c r="D1204" t="s">
        <v>24991</v>
      </c>
      <c r="E1204" t="s">
        <v>24992</v>
      </c>
      <c r="F1204" t="s">
        <v>24993</v>
      </c>
      <c r="G1204" t="s">
        <v>24994</v>
      </c>
      <c r="H1204" t="s">
        <v>24995</v>
      </c>
      <c r="I1204" t="s">
        <v>24996</v>
      </c>
      <c r="J1204" t="s">
        <v>24997</v>
      </c>
      <c r="K1204" t="s">
        <v>24998</v>
      </c>
      <c r="L1204" t="s">
        <v>24999</v>
      </c>
      <c r="M1204" t="s">
        <v>25000</v>
      </c>
      <c r="N1204" t="s">
        <v>25001</v>
      </c>
      <c r="O1204">
        <f>-762.973805476648 -86.2621188081719 -504.671030683293</f>
        <v>-1353.9069549681128</v>
      </c>
      <c r="P1204">
        <f>-795.982195424971 -171.609283551321 -224.997052029515</f>
        <v>-1192.588531005807</v>
      </c>
      <c r="Q1204">
        <f>-634.069763666867 -5.71999415311393 -290.693179649576</f>
        <v>-930.48293746955687</v>
      </c>
      <c r="R1204" t="s">
        <v>25002</v>
      </c>
      <c r="S1204" t="s">
        <v>25003</v>
      </c>
      <c r="T1204" t="s">
        <v>25004</v>
      </c>
      <c r="U1204" t="s">
        <v>25005</v>
      </c>
      <c r="V1204">
        <f>-726.855888816189 -11.4728213688654 -63.4904416335412</f>
        <v>-801.81915181859563</v>
      </c>
      <c r="W1204" t="s">
        <v>25006</v>
      </c>
      <c r="X1204" t="s">
        <v>25007</v>
      </c>
      <c r="Y1204" t="s">
        <v>25008</v>
      </c>
    </row>
    <row r="1205" spans="1:25" x14ac:dyDescent="0.3">
      <c r="A1205">
        <v>60200</v>
      </c>
      <c r="B1205" t="s">
        <v>25009</v>
      </c>
      <c r="C1205" t="s">
        <v>25010</v>
      </c>
      <c r="D1205" t="s">
        <v>25011</v>
      </c>
      <c r="E1205" t="s">
        <v>25012</v>
      </c>
      <c r="F1205" t="s">
        <v>25013</v>
      </c>
      <c r="G1205" t="s">
        <v>25014</v>
      </c>
      <c r="H1205" t="s">
        <v>25015</v>
      </c>
      <c r="I1205" t="s">
        <v>25016</v>
      </c>
      <c r="J1205" t="s">
        <v>25017</v>
      </c>
      <c r="K1205" t="s">
        <v>25018</v>
      </c>
      <c r="L1205" t="s">
        <v>25019</v>
      </c>
      <c r="M1205" t="s">
        <v>25020</v>
      </c>
      <c r="N1205" t="s">
        <v>25021</v>
      </c>
      <c r="O1205">
        <f>-756.067895140992 -90.9571638474072 -505.01215183153</f>
        <v>-1352.0372108199292</v>
      </c>
      <c r="P1205">
        <f>-789.184165206495 -176.707935313124 -225.474344750343</f>
        <v>-1191.366445269962</v>
      </c>
      <c r="Q1205">
        <f>-629.276325176183 -8.10037918051967 -289.128681940807</f>
        <v>-926.50538629750963</v>
      </c>
      <c r="R1205" t="s">
        <v>25022</v>
      </c>
      <c r="S1205" t="s">
        <v>25023</v>
      </c>
      <c r="T1205" t="s">
        <v>25024</v>
      </c>
      <c r="U1205" t="s">
        <v>25025</v>
      </c>
      <c r="V1205">
        <f>-720.961397814677 -15.9281435973521 -63.9187564539977</f>
        <v>-800.80829786602681</v>
      </c>
      <c r="W1205" t="s">
        <v>25026</v>
      </c>
      <c r="X1205" t="s">
        <v>25027</v>
      </c>
      <c r="Y1205" t="s">
        <v>25028</v>
      </c>
    </row>
    <row r="1206" spans="1:25" x14ac:dyDescent="0.3">
      <c r="A1206">
        <v>60250</v>
      </c>
      <c r="B1206" t="s">
        <v>25029</v>
      </c>
      <c r="C1206" t="s">
        <v>25030</v>
      </c>
      <c r="D1206" t="s">
        <v>25031</v>
      </c>
      <c r="E1206" t="s">
        <v>25032</v>
      </c>
      <c r="F1206" t="s">
        <v>25033</v>
      </c>
      <c r="G1206" t="s">
        <v>25034</v>
      </c>
      <c r="H1206" t="s">
        <v>25035</v>
      </c>
      <c r="I1206" t="s">
        <v>25036</v>
      </c>
      <c r="J1206" t="s">
        <v>25037</v>
      </c>
      <c r="K1206" t="s">
        <v>25038</v>
      </c>
      <c r="L1206" t="s">
        <v>25039</v>
      </c>
      <c r="M1206" t="s">
        <v>25040</v>
      </c>
      <c r="N1206" t="s">
        <v>25041</v>
      </c>
      <c r="O1206">
        <f>-753.501442848021 -93.6564237394575 -505.467356820012</f>
        <v>-1352.6252234074905</v>
      </c>
      <c r="P1206">
        <f>-786.451610422469 -179.088038700718 -225.812411245011</f>
        <v>-1191.352060368198</v>
      </c>
      <c r="Q1206">
        <f>-627.23714432543 -9.57055264632891 -288.784551116145</f>
        <v>-925.59224808790395</v>
      </c>
      <c r="R1206" t="s">
        <v>25042</v>
      </c>
      <c r="S1206" t="s">
        <v>25043</v>
      </c>
      <c r="T1206" t="s">
        <v>25044</v>
      </c>
      <c r="U1206" t="s">
        <v>25045</v>
      </c>
      <c r="V1206">
        <f>-718.392514872778 -18.0938271684895 -64.3424149359105</f>
        <v>-800.82875697717793</v>
      </c>
      <c r="W1206" t="s">
        <v>25046</v>
      </c>
      <c r="X1206" t="s">
        <v>25047</v>
      </c>
      <c r="Y1206" t="s">
        <v>25048</v>
      </c>
    </row>
    <row r="1207" spans="1:25" x14ac:dyDescent="0.3">
      <c r="A1207">
        <v>60300</v>
      </c>
      <c r="B1207" t="s">
        <v>25049</v>
      </c>
      <c r="C1207" t="s">
        <v>25050</v>
      </c>
      <c r="D1207" t="s">
        <v>25051</v>
      </c>
      <c r="E1207" t="s">
        <v>25052</v>
      </c>
      <c r="F1207" t="s">
        <v>25053</v>
      </c>
      <c r="G1207" t="s">
        <v>25054</v>
      </c>
      <c r="H1207" t="s">
        <v>25055</v>
      </c>
      <c r="I1207" t="s">
        <v>25056</v>
      </c>
      <c r="J1207" t="s">
        <v>25057</v>
      </c>
      <c r="K1207" t="s">
        <v>25058</v>
      </c>
      <c r="L1207" t="s">
        <v>25059</v>
      </c>
      <c r="M1207" t="s">
        <v>25060</v>
      </c>
      <c r="N1207" t="s">
        <v>25061</v>
      </c>
      <c r="O1207">
        <f>-756.780126889498 -99.3164573299837 -506.689099808365</f>
        <v>-1362.7856840278466</v>
      </c>
      <c r="P1207">
        <f>-789.116962477025 -184.343807548896 -226.839297240465</f>
        <v>-1200.3000672663859</v>
      </c>
      <c r="Q1207">
        <f>-631.615342970155 -12.8561377430638 -288.775315700792</f>
        <v>-933.24679641401076</v>
      </c>
      <c r="R1207" t="s">
        <v>25062</v>
      </c>
      <c r="S1207" t="s">
        <v>25063</v>
      </c>
      <c r="T1207" t="s">
        <v>25064</v>
      </c>
      <c r="U1207" t="s">
        <v>25065</v>
      </c>
      <c r="V1207">
        <f>-718.295035889638 -21.6644466958401 -65.4306771668673</f>
        <v>-805.39015975234543</v>
      </c>
      <c r="W1207" t="s">
        <v>25066</v>
      </c>
      <c r="X1207" t="s">
        <v>25067</v>
      </c>
      <c r="Y1207" t="s">
        <v>25068</v>
      </c>
    </row>
    <row r="1208" spans="1:25" x14ac:dyDescent="0.3">
      <c r="A1208">
        <v>60350</v>
      </c>
      <c r="B1208" t="s">
        <v>25069</v>
      </c>
      <c r="C1208" t="s">
        <v>25070</v>
      </c>
      <c r="D1208" t="s">
        <v>25071</v>
      </c>
      <c r="E1208" t="s">
        <v>25072</v>
      </c>
      <c r="F1208" t="s">
        <v>25073</v>
      </c>
      <c r="G1208" t="s">
        <v>25074</v>
      </c>
      <c r="H1208" t="s">
        <v>25075</v>
      </c>
      <c r="I1208" t="s">
        <v>25076</v>
      </c>
      <c r="J1208" t="s">
        <v>25077</v>
      </c>
      <c r="K1208" t="s">
        <v>25078</v>
      </c>
      <c r="L1208" t="s">
        <v>25079</v>
      </c>
      <c r="M1208" t="s">
        <v>25080</v>
      </c>
      <c r="N1208" t="s">
        <v>25081</v>
      </c>
      <c r="O1208">
        <f>-757.763054280463 -100.55860579582 -507.173023712195</f>
        <v>-1365.4946837884781</v>
      </c>
      <c r="P1208">
        <f>-789.266501560196 -185.241221811174 -227.123726069501</f>
        <v>-1201.6314494408712</v>
      </c>
      <c r="Q1208">
        <f>-632.530440095056 -13.0825514095395 -289.140277421431</f>
        <v>-934.75326892602652</v>
      </c>
      <c r="R1208" t="s">
        <v>25082</v>
      </c>
      <c r="S1208" t="s">
        <v>25083</v>
      </c>
      <c r="T1208" t="s">
        <v>25084</v>
      </c>
      <c r="U1208" t="s">
        <v>25085</v>
      </c>
      <c r="V1208">
        <f>-718.111737998649 -22.4019655134116 -65.8252077614642</f>
        <v>-806.33891127352479</v>
      </c>
      <c r="W1208" t="s">
        <v>25086</v>
      </c>
      <c r="X1208" t="s">
        <v>25087</v>
      </c>
      <c r="Y1208" t="s">
        <v>25088</v>
      </c>
    </row>
    <row r="1209" spans="1:25" x14ac:dyDescent="0.3">
      <c r="A1209">
        <v>60400</v>
      </c>
      <c r="B1209" t="s">
        <v>25089</v>
      </c>
      <c r="C1209" t="s">
        <v>25090</v>
      </c>
      <c r="D1209" t="s">
        <v>25091</v>
      </c>
      <c r="E1209" t="s">
        <v>25092</v>
      </c>
      <c r="F1209" t="s">
        <v>25093</v>
      </c>
      <c r="G1209" t="s">
        <v>25094</v>
      </c>
      <c r="H1209" t="s">
        <v>25095</v>
      </c>
      <c r="I1209" t="s">
        <v>25096</v>
      </c>
      <c r="J1209" t="s">
        <v>25097</v>
      </c>
      <c r="K1209" t="s">
        <v>25098</v>
      </c>
      <c r="L1209" t="s">
        <v>25099</v>
      </c>
      <c r="M1209" t="s">
        <v>25100</v>
      </c>
      <c r="N1209" t="s">
        <v>25101</v>
      </c>
      <c r="O1209">
        <f>-757.967779789094 -101.630892232098 -507.697450210841</f>
        <v>-1367.296122232033</v>
      </c>
      <c r="P1209">
        <f>-786.423295077459 -184.702628801298 -226.84060039645</f>
        <v>-1197.9665242752071</v>
      </c>
      <c r="Q1209">
        <f>-630.337457279737 -12.8410870688608 -291.274344189245</f>
        <v>-934.45288853784291</v>
      </c>
      <c r="R1209" t="s">
        <v>25102</v>
      </c>
      <c r="S1209" t="s">
        <v>25103</v>
      </c>
      <c r="T1209" t="s">
        <v>25104</v>
      </c>
      <c r="U1209" t="s">
        <v>25105</v>
      </c>
      <c r="V1209">
        <f>-715.835804536812 -23.3586454731389 -66.5768960946176</f>
        <v>-805.77134610456858</v>
      </c>
      <c r="W1209" t="s">
        <v>25106</v>
      </c>
      <c r="X1209" t="s">
        <v>25107</v>
      </c>
      <c r="Y1209" t="s">
        <v>25108</v>
      </c>
    </row>
    <row r="1210" spans="1:25" x14ac:dyDescent="0.3">
      <c r="A1210">
        <v>60450</v>
      </c>
      <c r="B1210" t="s">
        <v>25109</v>
      </c>
      <c r="C1210" t="s">
        <v>25110</v>
      </c>
      <c r="D1210" t="s">
        <v>25111</v>
      </c>
      <c r="E1210" t="s">
        <v>25112</v>
      </c>
      <c r="F1210" t="s">
        <v>25113</v>
      </c>
      <c r="G1210" t="s">
        <v>25114</v>
      </c>
      <c r="H1210" t="s">
        <v>25115</v>
      </c>
      <c r="I1210" t="s">
        <v>25116</v>
      </c>
      <c r="J1210" t="s">
        <v>25117</v>
      </c>
      <c r="K1210" t="s">
        <v>25118</v>
      </c>
      <c r="L1210" t="s">
        <v>25119</v>
      </c>
      <c r="M1210" t="s">
        <v>25120</v>
      </c>
      <c r="N1210" t="s">
        <v>25121</v>
      </c>
      <c r="O1210">
        <f>-757.772379695498 -101.62288830347 -507.831541772932</f>
        <v>-1367.2268097719</v>
      </c>
      <c r="P1210">
        <f>-784.13382260516 -183.424944976612 -226.398310664092</f>
        <v>-1193.9570782458641</v>
      </c>
      <c r="Q1210">
        <f>-627.897067969239 -12.5191623463679 -292.972936756849</f>
        <v>-933.38916707245585</v>
      </c>
      <c r="R1210" t="s">
        <v>25122</v>
      </c>
      <c r="S1210" t="s">
        <v>25123</v>
      </c>
      <c r="T1210" t="s">
        <v>25124</v>
      </c>
      <c r="U1210" t="s">
        <v>25125</v>
      </c>
      <c r="V1210">
        <f>-714.641798904334 -23.6209576980104 -66.9392318611691</f>
        <v>-805.20198846351354</v>
      </c>
      <c r="W1210" t="s">
        <v>25126</v>
      </c>
      <c r="X1210" t="s">
        <v>25127</v>
      </c>
      <c r="Y1210" t="s">
        <v>25128</v>
      </c>
    </row>
    <row r="1211" spans="1:25" x14ac:dyDescent="0.3">
      <c r="A1211">
        <v>60500</v>
      </c>
      <c r="B1211" t="s">
        <v>25129</v>
      </c>
      <c r="C1211" t="s">
        <v>25130</v>
      </c>
      <c r="D1211" t="s">
        <v>25131</v>
      </c>
      <c r="E1211" t="s">
        <v>25132</v>
      </c>
      <c r="F1211" t="s">
        <v>25133</v>
      </c>
      <c r="G1211" t="s">
        <v>25134</v>
      </c>
      <c r="H1211" t="s">
        <v>25135</v>
      </c>
      <c r="I1211" t="s">
        <v>25136</v>
      </c>
      <c r="J1211" t="s">
        <v>25137</v>
      </c>
      <c r="K1211" t="s">
        <v>25138</v>
      </c>
      <c r="L1211" t="s">
        <v>25139</v>
      </c>
      <c r="M1211" t="s">
        <v>25140</v>
      </c>
      <c r="N1211" t="s">
        <v>25141</v>
      </c>
      <c r="O1211">
        <f>-758.800072422633 -101.667506239896 -508.192852999423</f>
        <v>-1368.6604316619519</v>
      </c>
      <c r="P1211">
        <f>-779.922390217584 -180.87369828423 -225.577518566484</f>
        <v>-1186.373607068298</v>
      </c>
      <c r="Q1211">
        <f>-622.820846991262 -13.1730901586366 -298.010354362497</f>
        <v>-934.00429151239564</v>
      </c>
      <c r="R1211" t="s">
        <v>25142</v>
      </c>
      <c r="S1211" t="s">
        <v>25143</v>
      </c>
      <c r="T1211" t="s">
        <v>25144</v>
      </c>
      <c r="U1211" t="s">
        <v>25145</v>
      </c>
      <c r="V1211">
        <f>-713.789852760994 -23.63561087585 -67.3772781393062</f>
        <v>-804.80274177615024</v>
      </c>
      <c r="W1211" t="s">
        <v>25146</v>
      </c>
      <c r="X1211" t="s">
        <v>25147</v>
      </c>
      <c r="Y1211" t="s">
        <v>25148</v>
      </c>
    </row>
    <row r="1212" spans="1:25" x14ac:dyDescent="0.3">
      <c r="A1212">
        <v>60550</v>
      </c>
      <c r="B1212" t="s">
        <v>25149</v>
      </c>
      <c r="C1212" t="s">
        <v>25150</v>
      </c>
      <c r="D1212" t="s">
        <v>25151</v>
      </c>
      <c r="E1212" t="s">
        <v>25152</v>
      </c>
      <c r="F1212" t="s">
        <v>25153</v>
      </c>
      <c r="G1212" t="s">
        <v>25154</v>
      </c>
      <c r="H1212" t="s">
        <v>25155</v>
      </c>
      <c r="I1212" t="s">
        <v>25156</v>
      </c>
      <c r="J1212" t="s">
        <v>25157</v>
      </c>
      <c r="K1212" t="s">
        <v>25158</v>
      </c>
      <c r="L1212" t="s">
        <v>25159</v>
      </c>
      <c r="M1212" t="s">
        <v>25160</v>
      </c>
      <c r="N1212" t="s">
        <v>25161</v>
      </c>
      <c r="O1212">
        <f>-759.326154282213 -102.125835563108 -508.305500436113</f>
        <v>-1369.757490281434</v>
      </c>
      <c r="P1212">
        <f>-777.352985261993 -180.086766269273 -225.130097687247</f>
        <v>-1182.5698492185129</v>
      </c>
      <c r="Q1212">
        <f>-619.809728658924 -14.3924017286058 -301.132635772492</f>
        <v>-935.33476616002179</v>
      </c>
      <c r="R1212" t="s">
        <v>25162</v>
      </c>
      <c r="S1212" t="s">
        <v>25163</v>
      </c>
      <c r="T1212" t="s">
        <v>25164</v>
      </c>
      <c r="U1212" t="s">
        <v>25165</v>
      </c>
      <c r="V1212">
        <f>-713.251959694617 -23.7186769334048 -67.4910574700057</f>
        <v>-804.46169409802746</v>
      </c>
      <c r="W1212" t="s">
        <v>25166</v>
      </c>
      <c r="X1212" t="s">
        <v>25167</v>
      </c>
      <c r="Y1212" t="s">
        <v>25168</v>
      </c>
    </row>
    <row r="1213" spans="1:25" x14ac:dyDescent="0.3">
      <c r="A1213">
        <v>60600</v>
      </c>
      <c r="B1213" t="s">
        <v>25169</v>
      </c>
      <c r="C1213" t="s">
        <v>25170</v>
      </c>
      <c r="D1213" t="s">
        <v>25171</v>
      </c>
      <c r="E1213" t="s">
        <v>25172</v>
      </c>
      <c r="F1213" t="s">
        <v>25173</v>
      </c>
      <c r="G1213" t="s">
        <v>25174</v>
      </c>
      <c r="H1213" t="s">
        <v>25175</v>
      </c>
      <c r="I1213" t="s">
        <v>25176</v>
      </c>
      <c r="J1213" t="s">
        <v>25177</v>
      </c>
      <c r="K1213" t="s">
        <v>25178</v>
      </c>
      <c r="L1213" t="s">
        <v>25179</v>
      </c>
      <c r="M1213" t="s">
        <v>25180</v>
      </c>
      <c r="N1213" t="s">
        <v>25181</v>
      </c>
      <c r="O1213">
        <f>-760.707681681024 -103.282714649291 -507.882478711573</f>
        <v>-1371.8728750418879</v>
      </c>
      <c r="P1213">
        <f>-771.500082445308 -179.042678067396 -223.743277827378</f>
        <v>-1174.2860383400819</v>
      </c>
      <c r="Q1213">
        <f>-613.34489059745 -17.9055959560669 -307.841838422113</f>
        <v>-939.09232497562994</v>
      </c>
      <c r="R1213" t="s">
        <v>25182</v>
      </c>
      <c r="S1213" t="s">
        <v>25183</v>
      </c>
      <c r="T1213" t="s">
        <v>25184</v>
      </c>
      <c r="U1213" t="s">
        <v>25185</v>
      </c>
      <c r="V1213">
        <f>-712.600726895683 -23.7823018551962 -67.4476871899948</f>
        <v>-803.83071594087403</v>
      </c>
      <c r="W1213" t="s">
        <v>25186</v>
      </c>
      <c r="X1213" t="s">
        <v>25187</v>
      </c>
      <c r="Y1213" t="s">
        <v>25188</v>
      </c>
    </row>
    <row r="1214" spans="1:25" x14ac:dyDescent="0.3">
      <c r="A1214">
        <v>60650</v>
      </c>
      <c r="B1214" t="s">
        <v>25189</v>
      </c>
      <c r="C1214" t="s">
        <v>25190</v>
      </c>
      <c r="D1214" t="s">
        <v>25191</v>
      </c>
      <c r="E1214" t="s">
        <v>25192</v>
      </c>
      <c r="F1214" t="s">
        <v>25193</v>
      </c>
      <c r="G1214" t="s">
        <v>25194</v>
      </c>
      <c r="H1214" t="s">
        <v>25195</v>
      </c>
      <c r="I1214" t="s">
        <v>25196</v>
      </c>
      <c r="J1214" t="s">
        <v>25197</v>
      </c>
      <c r="K1214" t="s">
        <v>25198</v>
      </c>
      <c r="L1214" t="s">
        <v>25199</v>
      </c>
      <c r="M1214" t="s">
        <v>25200</v>
      </c>
      <c r="N1214" t="s">
        <v>25201</v>
      </c>
      <c r="O1214">
        <f>-761.666232975761 -103.735798839283 -507.578777533182</f>
        <v>-1372.9808093482261</v>
      </c>
      <c r="P1214">
        <f>-768.433402278882 -178.546287272099 -223.06373280483</f>
        <v>-1170.0434223558109</v>
      </c>
      <c r="Q1214">
        <f>-610.05863951862 -20.0528619627357 -311.653499721195</f>
        <v>-941.76500120255071</v>
      </c>
      <c r="R1214" t="s">
        <v>25202</v>
      </c>
      <c r="S1214" t="s">
        <v>25203</v>
      </c>
      <c r="T1214" t="s">
        <v>25204</v>
      </c>
      <c r="U1214" t="s">
        <v>25205</v>
      </c>
      <c r="V1214">
        <f>-712.587286552629 -23.7308743339668 -67.3467801145258</f>
        <v>-803.66494100112163</v>
      </c>
      <c r="W1214" t="s">
        <v>25206</v>
      </c>
      <c r="X1214" t="s">
        <v>25207</v>
      </c>
      <c r="Y1214" t="s">
        <v>25208</v>
      </c>
    </row>
    <row r="1215" spans="1:25" x14ac:dyDescent="0.3">
      <c r="A1215">
        <v>60700</v>
      </c>
      <c r="B1215" t="s">
        <v>25209</v>
      </c>
      <c r="C1215" t="s">
        <v>25210</v>
      </c>
      <c r="D1215" t="s">
        <v>25211</v>
      </c>
      <c r="E1215" t="s">
        <v>25212</v>
      </c>
      <c r="F1215" t="s">
        <v>25213</v>
      </c>
      <c r="G1215" t="s">
        <v>25214</v>
      </c>
      <c r="H1215" t="s">
        <v>25215</v>
      </c>
      <c r="I1215" t="s">
        <v>25216</v>
      </c>
      <c r="J1215" t="s">
        <v>25217</v>
      </c>
      <c r="K1215" t="s">
        <v>25218</v>
      </c>
      <c r="L1215" t="s">
        <v>25219</v>
      </c>
      <c r="M1215" t="s">
        <v>25220</v>
      </c>
      <c r="N1215" t="s">
        <v>25221</v>
      </c>
      <c r="O1215">
        <f>-763.838777390197 -104.175068683672 -507.305324912897</f>
        <v>-1375.319170986766</v>
      </c>
      <c r="P1215">
        <f>-762.092578919023 -176.374803676207 -222.0415989403</f>
        <v>-1160.50898153553</v>
      </c>
      <c r="Q1215">
        <f>-603.841979101249 -23.1277790471672 -319.627594198999</f>
        <v>-946.59735234741515</v>
      </c>
      <c r="R1215" t="s">
        <v>25222</v>
      </c>
      <c r="S1215" t="s">
        <v>25223</v>
      </c>
      <c r="T1215" t="s">
        <v>25224</v>
      </c>
      <c r="U1215" t="s">
        <v>25225</v>
      </c>
      <c r="V1215">
        <f>-713.022500912389 -23.5370394062479 -67.2799179797905</f>
        <v>-803.83945829842742</v>
      </c>
      <c r="W1215" t="s">
        <v>25226</v>
      </c>
      <c r="X1215" t="s">
        <v>25227</v>
      </c>
      <c r="Y1215" t="s">
        <v>25228</v>
      </c>
    </row>
    <row r="1216" spans="1:25" x14ac:dyDescent="0.3">
      <c r="A1216">
        <v>60750</v>
      </c>
      <c r="B1216" t="s">
        <v>25229</v>
      </c>
      <c r="C1216" t="s">
        <v>25230</v>
      </c>
      <c r="D1216" t="s">
        <v>25231</v>
      </c>
      <c r="E1216" t="s">
        <v>25232</v>
      </c>
      <c r="F1216" t="s">
        <v>25233</v>
      </c>
      <c r="G1216" t="s">
        <v>25234</v>
      </c>
      <c r="H1216" t="s">
        <v>25235</v>
      </c>
      <c r="I1216" t="s">
        <v>25236</v>
      </c>
      <c r="J1216" t="s">
        <v>25237</v>
      </c>
      <c r="K1216" t="s">
        <v>25238</v>
      </c>
      <c r="L1216" t="s">
        <v>25239</v>
      </c>
      <c r="M1216" t="s">
        <v>25240</v>
      </c>
      <c r="N1216" t="s">
        <v>25241</v>
      </c>
      <c r="O1216">
        <f>-765.170862496258 -104.351378637364 -507.183365010686</f>
        <v>-1376.7056061443079</v>
      </c>
      <c r="P1216">
        <f>-759.062049819499 -175.060715018773 -221.606665480002</f>
        <v>-1155.7294303182739</v>
      </c>
      <c r="Q1216">
        <f>-601.233294103534 -24.1433969530008 -323.415226200079</f>
        <v>-948.79191725661383</v>
      </c>
      <c r="R1216" t="s">
        <v>25242</v>
      </c>
      <c r="S1216" t="s">
        <v>25243</v>
      </c>
      <c r="T1216" t="s">
        <v>25244</v>
      </c>
      <c r="U1216" t="s">
        <v>25245</v>
      </c>
      <c r="V1216">
        <f>-713.512595571488 -23.5344647031034 -67.3442894550642</f>
        <v>-804.39134972965553</v>
      </c>
      <c r="W1216" t="s">
        <v>25246</v>
      </c>
      <c r="X1216" t="s">
        <v>25247</v>
      </c>
      <c r="Y1216" t="s">
        <v>25248</v>
      </c>
    </row>
    <row r="1217" spans="1:25" x14ac:dyDescent="0.3">
      <c r="A1217">
        <v>60800</v>
      </c>
      <c r="B1217" t="s">
        <v>25249</v>
      </c>
      <c r="C1217" t="s">
        <v>25250</v>
      </c>
      <c r="D1217" t="s">
        <v>25251</v>
      </c>
      <c r="E1217" t="s">
        <v>25252</v>
      </c>
      <c r="F1217" t="s">
        <v>25253</v>
      </c>
      <c r="G1217" t="s">
        <v>25254</v>
      </c>
      <c r="H1217" t="s">
        <v>25255</v>
      </c>
      <c r="I1217" t="s">
        <v>25256</v>
      </c>
      <c r="J1217" t="s">
        <v>25257</v>
      </c>
      <c r="K1217" t="s">
        <v>25258</v>
      </c>
      <c r="L1217" t="s">
        <v>25259</v>
      </c>
      <c r="M1217" t="s">
        <v>25260</v>
      </c>
      <c r="N1217" t="s">
        <v>25261</v>
      </c>
      <c r="O1217">
        <f>-768.38992533289 -104.4459637026 -506.92623290163</f>
        <v>-1379.7621219371199</v>
      </c>
      <c r="P1217">
        <f>-754.594847677988 -171.101167872032 -220.643108424405</f>
        <v>-1146.3391239744251</v>
      </c>
      <c r="Q1217">
        <f>-596.574919040342 -25.6461283960307 -329.837555858246</f>
        <v>-952.05860329461871</v>
      </c>
      <c r="R1217" t="s">
        <v>25262</v>
      </c>
      <c r="S1217" t="s">
        <v>25263</v>
      </c>
      <c r="T1217" t="s">
        <v>25264</v>
      </c>
      <c r="U1217" t="s">
        <v>25265</v>
      </c>
      <c r="V1217">
        <f>-715.252930724781 -23.2915289429652 -67.4213640831157</f>
        <v>-805.96582375086189</v>
      </c>
      <c r="W1217" t="s">
        <v>25266</v>
      </c>
      <c r="X1217" t="s">
        <v>25267</v>
      </c>
      <c r="Y1217" t="s">
        <v>25268</v>
      </c>
    </row>
    <row r="1218" spans="1:25" x14ac:dyDescent="0.3">
      <c r="A1218">
        <v>60850</v>
      </c>
      <c r="B1218" t="s">
        <v>25269</v>
      </c>
      <c r="C1218" t="s">
        <v>25270</v>
      </c>
      <c r="D1218" t="s">
        <v>25271</v>
      </c>
      <c r="E1218" t="s">
        <v>25272</v>
      </c>
      <c r="F1218" t="s">
        <v>25273</v>
      </c>
      <c r="G1218" t="s">
        <v>25274</v>
      </c>
      <c r="H1218" t="s">
        <v>25275</v>
      </c>
      <c r="I1218" t="s">
        <v>25276</v>
      </c>
      <c r="J1218" t="s">
        <v>25277</v>
      </c>
      <c r="K1218" t="s">
        <v>25278</v>
      </c>
      <c r="L1218" t="s">
        <v>25279</v>
      </c>
      <c r="M1218" t="s">
        <v>25280</v>
      </c>
      <c r="N1218" t="s">
        <v>25281</v>
      </c>
      <c r="O1218">
        <f>-770.160490326425 -104.16049346778 -506.90077959213</f>
        <v>-1381.2217633863352</v>
      </c>
      <c r="P1218">
        <f>-753.430286152773 -169.125533257996 -220.385769279963</f>
        <v>-1142.941588690732</v>
      </c>
      <c r="Q1218">
        <f>-595.432260734083 -25.6003311092654 -332.135409369024</f>
        <v>-953.16800121237247</v>
      </c>
      <c r="R1218" t="s">
        <v>25282</v>
      </c>
      <c r="S1218" t="s">
        <v>25283</v>
      </c>
      <c r="T1218" t="s">
        <v>25284</v>
      </c>
      <c r="U1218" t="s">
        <v>25285</v>
      </c>
      <c r="V1218">
        <f>-716.355372306483 -23.0818858873668 -67.4222927983053</f>
        <v>-806.85955099215505</v>
      </c>
      <c r="W1218" t="s">
        <v>25286</v>
      </c>
      <c r="X1218" t="s">
        <v>25287</v>
      </c>
      <c r="Y1218" t="s">
        <v>25288</v>
      </c>
    </row>
    <row r="1219" spans="1:25" x14ac:dyDescent="0.3">
      <c r="A1219">
        <v>60900</v>
      </c>
      <c r="B1219" t="s">
        <v>25289</v>
      </c>
      <c r="C1219" t="s">
        <v>25290</v>
      </c>
      <c r="D1219" t="s">
        <v>25291</v>
      </c>
      <c r="E1219" t="s">
        <v>25292</v>
      </c>
      <c r="F1219" t="s">
        <v>25293</v>
      </c>
      <c r="G1219" t="s">
        <v>25294</v>
      </c>
      <c r="H1219" t="s">
        <v>25295</v>
      </c>
      <c r="I1219" t="s">
        <v>25296</v>
      </c>
      <c r="J1219" t="s">
        <v>25297</v>
      </c>
      <c r="K1219" t="s">
        <v>25298</v>
      </c>
      <c r="L1219" t="s">
        <v>25299</v>
      </c>
      <c r="M1219" t="s">
        <v>25300</v>
      </c>
      <c r="N1219" t="s">
        <v>25301</v>
      </c>
      <c r="O1219">
        <f>-772.54419642293 -103.618573505165 -506.927361754313</f>
        <v>-1383.0901316824079</v>
      </c>
      <c r="P1219">
        <f>-752.968501689895 -165.812467628819 -219.97817622135</f>
        <v>-1138.7591455400641</v>
      </c>
      <c r="Q1219">
        <f>-595.724976857974 -24.3619984803031 -335.37793963835</f>
        <v>-955.46491497662703</v>
      </c>
      <c r="R1219" t="s">
        <v>25302</v>
      </c>
      <c r="S1219" t="s">
        <v>25303</v>
      </c>
      <c r="T1219" t="s">
        <v>25304</v>
      </c>
      <c r="U1219" t="s">
        <v>25305</v>
      </c>
      <c r="V1219">
        <f>-717.705921891529 -22.6074608002627 -67.4364718349428</f>
        <v>-807.74985452673457</v>
      </c>
      <c r="W1219" t="s">
        <v>25306</v>
      </c>
      <c r="X1219" t="s">
        <v>25307</v>
      </c>
      <c r="Y1219" t="s">
        <v>25308</v>
      </c>
    </row>
    <row r="1220" spans="1:25" x14ac:dyDescent="0.3">
      <c r="A1220">
        <v>60950</v>
      </c>
      <c r="B1220" t="s">
        <v>25309</v>
      </c>
      <c r="C1220" t="s">
        <v>25310</v>
      </c>
      <c r="D1220" t="s">
        <v>25311</v>
      </c>
      <c r="E1220" t="s">
        <v>25312</v>
      </c>
      <c r="F1220" t="s">
        <v>25313</v>
      </c>
      <c r="G1220" t="s">
        <v>25314</v>
      </c>
      <c r="H1220" t="s">
        <v>25315</v>
      </c>
      <c r="I1220" t="s">
        <v>25316</v>
      </c>
      <c r="J1220" t="s">
        <v>25317</v>
      </c>
      <c r="K1220" t="s">
        <v>25318</v>
      </c>
      <c r="L1220" t="s">
        <v>25319</v>
      </c>
      <c r="M1220" t="s">
        <v>25320</v>
      </c>
      <c r="N1220" t="s">
        <v>25321</v>
      </c>
      <c r="O1220">
        <f>-773.073302437355 -103.645394298474 -506.885859572831</f>
        <v>-1383.60455630866</v>
      </c>
      <c r="P1220">
        <f>-753.16713343702 -164.560499744894 -219.684983086692</f>
        <v>-1137.4126162686059</v>
      </c>
      <c r="Q1220">
        <f>-596.176558062886 -23.6501602256212 -336.0856227308</f>
        <v>-955.91234101930718</v>
      </c>
      <c r="R1220" t="s">
        <v>25322</v>
      </c>
      <c r="S1220" t="s">
        <v>25323</v>
      </c>
      <c r="T1220" t="s">
        <v>25324</v>
      </c>
      <c r="U1220" t="s">
        <v>25325</v>
      </c>
      <c r="V1220">
        <f>-717.917243634787 -22.5565586241432 -67.4555607734376</f>
        <v>-807.92936303236786</v>
      </c>
      <c r="W1220" t="s">
        <v>25326</v>
      </c>
      <c r="X1220" t="s">
        <v>25327</v>
      </c>
      <c r="Y1220" t="s">
        <v>25328</v>
      </c>
    </row>
    <row r="1221" spans="1:25" x14ac:dyDescent="0.3">
      <c r="A1221">
        <v>61000</v>
      </c>
      <c r="B1221" t="s">
        <v>25329</v>
      </c>
      <c r="C1221" t="s">
        <v>25330</v>
      </c>
      <c r="D1221" t="s">
        <v>25331</v>
      </c>
      <c r="E1221" t="s">
        <v>25332</v>
      </c>
      <c r="F1221" t="s">
        <v>25333</v>
      </c>
      <c r="G1221" t="s">
        <v>25334</v>
      </c>
      <c r="H1221" t="s">
        <v>25335</v>
      </c>
      <c r="I1221" t="s">
        <v>25336</v>
      </c>
      <c r="J1221" t="s">
        <v>25337</v>
      </c>
      <c r="K1221" t="s">
        <v>25338</v>
      </c>
      <c r="L1221" t="s">
        <v>25339</v>
      </c>
      <c r="M1221" t="s">
        <v>25340</v>
      </c>
      <c r="N1221" t="s">
        <v>25341</v>
      </c>
      <c r="O1221">
        <f>-773.764435521061 -103.518677639607 -506.568025068907</f>
        <v>-1383.8511382295751</v>
      </c>
      <c r="P1221">
        <f>-754.692056176725 -161.987339848134 -218.802714734946</f>
        <v>-1135.482110759805</v>
      </c>
      <c r="Q1221">
        <f>-597.887233065831 -21.6847974646344 -336.183667207939</f>
        <v>-955.75569773840425</v>
      </c>
      <c r="R1221" t="s">
        <v>25342</v>
      </c>
      <c r="S1221" t="s">
        <v>25343</v>
      </c>
      <c r="T1221" t="s">
        <v>25344</v>
      </c>
      <c r="U1221" t="s">
        <v>25345</v>
      </c>
      <c r="V1221">
        <f>-718.116183971882 -22.5226386639083 -67.4192586200361</f>
        <v>-808.05808125582644</v>
      </c>
      <c r="W1221" t="s">
        <v>25346</v>
      </c>
      <c r="X1221" t="s">
        <v>25347</v>
      </c>
      <c r="Y1221" t="s">
        <v>25348</v>
      </c>
    </row>
    <row r="1222" spans="1:25" x14ac:dyDescent="0.3">
      <c r="A1222">
        <v>61050</v>
      </c>
      <c r="B1222" t="s">
        <v>25349</v>
      </c>
      <c r="C1222" t="s">
        <v>25350</v>
      </c>
      <c r="D1222" t="s">
        <v>25351</v>
      </c>
      <c r="E1222" t="s">
        <v>25352</v>
      </c>
      <c r="F1222" t="s">
        <v>25353</v>
      </c>
      <c r="G1222" t="s">
        <v>25354</v>
      </c>
      <c r="H1222" t="s">
        <v>25355</v>
      </c>
      <c r="I1222" t="s">
        <v>25356</v>
      </c>
      <c r="J1222" t="s">
        <v>25357</v>
      </c>
      <c r="K1222" t="s">
        <v>25358</v>
      </c>
      <c r="L1222" t="s">
        <v>25359</v>
      </c>
      <c r="M1222" t="s">
        <v>25360</v>
      </c>
      <c r="N1222" t="s">
        <v>25361</v>
      </c>
      <c r="O1222">
        <f>-773.976967488688 -103.41196402017 -506.349997667873</f>
        <v>-1383.7389291767311</v>
      </c>
      <c r="P1222">
        <f>-755.771217466999 -161.027708508934 -218.356522485876</f>
        <v>-1135.1554484618091</v>
      </c>
      <c r="Q1222">
        <f>-598.703037323142 -20.9507430329036 -335.654788397026</f>
        <v>-955.30856875307154</v>
      </c>
      <c r="R1222" t="s">
        <v>25362</v>
      </c>
      <c r="S1222" t="s">
        <v>25363</v>
      </c>
      <c r="T1222" t="s">
        <v>25364</v>
      </c>
      <c r="U1222" t="s">
        <v>25365</v>
      </c>
      <c r="V1222">
        <f>-718.218197934209 -22.3277665355149 -67.3227674211461</f>
        <v>-807.86873189086998</v>
      </c>
      <c r="W1222" t="s">
        <v>25366</v>
      </c>
      <c r="X1222" t="s">
        <v>25367</v>
      </c>
      <c r="Y1222" t="s">
        <v>25368</v>
      </c>
    </row>
    <row r="1223" spans="1:25" x14ac:dyDescent="0.3">
      <c r="A1223">
        <v>61100</v>
      </c>
      <c r="B1223" t="s">
        <v>25369</v>
      </c>
      <c r="C1223" t="s">
        <v>25370</v>
      </c>
      <c r="D1223" t="s">
        <v>25371</v>
      </c>
      <c r="E1223" t="s">
        <v>25372</v>
      </c>
      <c r="F1223" t="s">
        <v>25373</v>
      </c>
      <c r="G1223" t="s">
        <v>25374</v>
      </c>
      <c r="H1223" t="s">
        <v>25375</v>
      </c>
      <c r="I1223" t="s">
        <v>25376</v>
      </c>
      <c r="J1223" t="s">
        <v>25377</v>
      </c>
      <c r="K1223" t="s">
        <v>25378</v>
      </c>
      <c r="L1223" t="s">
        <v>25379</v>
      </c>
      <c r="M1223" t="s">
        <v>25380</v>
      </c>
      <c r="N1223" t="s">
        <v>25381</v>
      </c>
      <c r="O1223">
        <f>-774.212082899515 -102.896850926499 -505.912061403786</f>
        <v>-1383.0209952298001</v>
      </c>
      <c r="P1223">
        <f>-757.821991280345 -158.986555517484 -217.508625597381</f>
        <v>-1134.31717239521</v>
      </c>
      <c r="Q1223">
        <f>-599.557938188358 -19.5376388777322 -333.944722646123</f>
        <v>-953.04029971221325</v>
      </c>
      <c r="R1223" t="s">
        <v>25382</v>
      </c>
      <c r="S1223" t="s">
        <v>25383</v>
      </c>
      <c r="T1223" t="s">
        <v>25384</v>
      </c>
      <c r="U1223" t="s">
        <v>25385</v>
      </c>
      <c r="V1223">
        <f>-718.175892436799 -21.3726418550568 -67.1574484954992</f>
        <v>-806.70598278735508</v>
      </c>
      <c r="W1223" t="s">
        <v>25386</v>
      </c>
      <c r="X1223" t="s">
        <v>25387</v>
      </c>
      <c r="Y1223" t="s">
        <v>25388</v>
      </c>
    </row>
    <row r="1224" spans="1:25" x14ac:dyDescent="0.3">
      <c r="A1224">
        <v>61150</v>
      </c>
      <c r="B1224" t="s">
        <v>25389</v>
      </c>
      <c r="C1224" t="s">
        <v>25390</v>
      </c>
      <c r="D1224" t="s">
        <v>25391</v>
      </c>
      <c r="E1224" t="s">
        <v>25392</v>
      </c>
      <c r="F1224" t="s">
        <v>25393</v>
      </c>
      <c r="G1224" t="s">
        <v>25394</v>
      </c>
      <c r="H1224" t="s">
        <v>25395</v>
      </c>
      <c r="I1224" t="s">
        <v>25396</v>
      </c>
      <c r="J1224" t="s">
        <v>25397</v>
      </c>
      <c r="K1224" t="s">
        <v>25398</v>
      </c>
      <c r="L1224" t="s">
        <v>25399</v>
      </c>
      <c r="M1224" t="s">
        <v>25400</v>
      </c>
      <c r="N1224" t="s">
        <v>25401</v>
      </c>
      <c r="O1224">
        <f>-774.10094199989 -102.47434788236 -505.759970615416</f>
        <v>-1382.335260497666</v>
      </c>
      <c r="P1224">
        <f>-758.449176556819 -158.077976225099 -217.221520527773</f>
        <v>-1133.748673309691</v>
      </c>
      <c r="Q1224">
        <f>-599.731626690054 -18.8149994522082 -333.261817053566</f>
        <v>-951.8084431958282</v>
      </c>
      <c r="R1224" t="s">
        <v>25402</v>
      </c>
      <c r="S1224" t="s">
        <v>25403</v>
      </c>
      <c r="T1224" t="s">
        <v>25404</v>
      </c>
      <c r="U1224" t="s">
        <v>25405</v>
      </c>
      <c r="V1224">
        <f>-718.074170741109 -20.7929379112675 -67.0825414361148</f>
        <v>-805.94965008849124</v>
      </c>
      <c r="W1224" t="s">
        <v>25406</v>
      </c>
      <c r="X1224" t="s">
        <v>25407</v>
      </c>
      <c r="Y1224" t="s">
        <v>25408</v>
      </c>
    </row>
    <row r="1225" spans="1:25" x14ac:dyDescent="0.3">
      <c r="A1225">
        <v>61200</v>
      </c>
      <c r="B1225" t="s">
        <v>25409</v>
      </c>
      <c r="C1225" t="s">
        <v>25410</v>
      </c>
      <c r="D1225" t="s">
        <v>25411</v>
      </c>
      <c r="E1225" t="s">
        <v>25412</v>
      </c>
      <c r="F1225" t="s">
        <v>25413</v>
      </c>
      <c r="G1225" t="s">
        <v>25414</v>
      </c>
      <c r="H1225" t="s">
        <v>25415</v>
      </c>
      <c r="I1225" t="s">
        <v>25416</v>
      </c>
      <c r="J1225" t="s">
        <v>25417</v>
      </c>
      <c r="K1225" t="s">
        <v>25418</v>
      </c>
      <c r="L1225" t="s">
        <v>25419</v>
      </c>
      <c r="M1225" t="s">
        <v>25420</v>
      </c>
      <c r="N1225" t="s">
        <v>25421</v>
      </c>
      <c r="O1225">
        <f>-773.881731706671 -101.143264729482 -505.734758119798</f>
        <v>-1380.7597545559511</v>
      </c>
      <c r="P1225">
        <f>-759.144041624899 -156.540746999815 -217.108432056628</f>
        <v>-1132.7932206813421</v>
      </c>
      <c r="Q1225">
        <f>-599.938359801698 -17.2923553212331 -332.496242860319</f>
        <v>-949.72695798325003</v>
      </c>
      <c r="R1225" t="s">
        <v>25422</v>
      </c>
      <c r="S1225" t="s">
        <v>25423</v>
      </c>
      <c r="T1225" t="s">
        <v>25424</v>
      </c>
      <c r="U1225" t="s">
        <v>25425</v>
      </c>
      <c r="V1225">
        <f>-718.048792645523 -19.7428509294837 -66.9778405828174</f>
        <v>-804.76948415782408</v>
      </c>
      <c r="W1225" t="s">
        <v>25426</v>
      </c>
      <c r="X1225" t="s">
        <v>25427</v>
      </c>
      <c r="Y1225" t="s">
        <v>25428</v>
      </c>
    </row>
    <row r="1226" spans="1:25" x14ac:dyDescent="0.3">
      <c r="A1226">
        <v>61250</v>
      </c>
      <c r="B1226" t="s">
        <v>25429</v>
      </c>
      <c r="C1226" t="s">
        <v>25430</v>
      </c>
      <c r="D1226" t="s">
        <v>25431</v>
      </c>
      <c r="E1226" t="s">
        <v>25432</v>
      </c>
      <c r="F1226" t="s">
        <v>25433</v>
      </c>
      <c r="G1226" t="s">
        <v>25434</v>
      </c>
      <c r="H1226" t="s">
        <v>25435</v>
      </c>
      <c r="I1226" t="s">
        <v>25436</v>
      </c>
      <c r="J1226" t="s">
        <v>25437</v>
      </c>
      <c r="K1226" t="s">
        <v>25438</v>
      </c>
      <c r="L1226" t="s">
        <v>25439</v>
      </c>
      <c r="M1226" t="s">
        <v>25440</v>
      </c>
      <c r="N1226" t="s">
        <v>25441</v>
      </c>
      <c r="O1226">
        <f>-773.67431094968 -100.401085502539 -505.844184783031</f>
        <v>-1379.91958123525</v>
      </c>
      <c r="P1226">
        <f>-759.145291355234 -155.852922570534 -217.217670835711</f>
        <v>-1132.2158847614789</v>
      </c>
      <c r="Q1226">
        <f>-599.913798198472 -16.4854973577894 -332.42577332157</f>
        <v>-948.82506887783143</v>
      </c>
      <c r="R1226" t="s">
        <v>25442</v>
      </c>
      <c r="S1226" t="s">
        <v>25443</v>
      </c>
      <c r="T1226" t="s">
        <v>25444</v>
      </c>
      <c r="U1226" t="s">
        <v>25445</v>
      </c>
      <c r="V1226">
        <f>-718.065368659979 -19.2882658835701 -66.9639836575939</f>
        <v>-804.31761820114298</v>
      </c>
      <c r="W1226" t="s">
        <v>25446</v>
      </c>
      <c r="X1226" t="s">
        <v>25447</v>
      </c>
      <c r="Y1226" t="s">
        <v>25448</v>
      </c>
    </row>
    <row r="1227" spans="1:25" x14ac:dyDescent="0.3">
      <c r="A1227">
        <v>61300</v>
      </c>
      <c r="B1227" t="s">
        <v>25449</v>
      </c>
      <c r="C1227" t="s">
        <v>25450</v>
      </c>
      <c r="D1227" t="s">
        <v>25451</v>
      </c>
      <c r="E1227" t="s">
        <v>25452</v>
      </c>
      <c r="F1227" t="s">
        <v>25453</v>
      </c>
      <c r="G1227" t="s">
        <v>25454</v>
      </c>
      <c r="H1227" t="s">
        <v>25455</v>
      </c>
      <c r="I1227" t="s">
        <v>25456</v>
      </c>
      <c r="J1227" t="s">
        <v>25457</v>
      </c>
      <c r="K1227" t="s">
        <v>25458</v>
      </c>
      <c r="L1227" t="s">
        <v>25459</v>
      </c>
      <c r="M1227" t="s">
        <v>25460</v>
      </c>
      <c r="N1227" t="s">
        <v>25461</v>
      </c>
      <c r="O1227">
        <f>-773.146961109141 -99.1126022880037 -506.079048682687</f>
        <v>-1378.3386120798318</v>
      </c>
      <c r="P1227">
        <f>-758.802111294732 -154.625712908354 -217.455233325426</f>
        <v>-1130.8830575285119</v>
      </c>
      <c r="Q1227">
        <f>-599.868183773679 -14.7945802083718 -332.512509253416</f>
        <v>-947.17527323546688</v>
      </c>
      <c r="R1227" t="s">
        <v>25462</v>
      </c>
      <c r="S1227" t="s">
        <v>25463</v>
      </c>
      <c r="T1227" t="s">
        <v>25464</v>
      </c>
      <c r="U1227" t="s">
        <v>25465</v>
      </c>
      <c r="V1227">
        <f>-718.099605953057 -18.5053418767252 -66.9524545632281</f>
        <v>-803.55740239301031</v>
      </c>
      <c r="W1227" t="s">
        <v>25466</v>
      </c>
      <c r="X1227" t="s">
        <v>25467</v>
      </c>
      <c r="Y1227" t="s">
        <v>25468</v>
      </c>
    </row>
    <row r="1228" spans="1:25" x14ac:dyDescent="0.3">
      <c r="A1228">
        <v>61350</v>
      </c>
      <c r="B1228" t="s">
        <v>25469</v>
      </c>
      <c r="C1228" t="s">
        <v>25470</v>
      </c>
      <c r="D1228" t="s">
        <v>25471</v>
      </c>
      <c r="E1228" t="s">
        <v>25472</v>
      </c>
      <c r="F1228" t="s">
        <v>25473</v>
      </c>
      <c r="G1228" t="s">
        <v>25474</v>
      </c>
      <c r="H1228" t="s">
        <v>25475</v>
      </c>
      <c r="I1228" t="s">
        <v>25476</v>
      </c>
      <c r="J1228" t="s">
        <v>25477</v>
      </c>
      <c r="K1228" t="s">
        <v>25478</v>
      </c>
      <c r="L1228" t="s">
        <v>25479</v>
      </c>
      <c r="M1228" t="s">
        <v>25480</v>
      </c>
      <c r="N1228" t="s">
        <v>25481</v>
      </c>
      <c r="O1228">
        <f>-772.863481281759 -98.5874605934825 -506.150768681053</f>
        <v>-1377.6017105562946</v>
      </c>
      <c r="P1228">
        <f>-758.746019171511 -153.854489056192 -217.468445365489</f>
        <v>-1130.068953593192</v>
      </c>
      <c r="Q1228">
        <f>-599.848459066596 -13.9432151841229 -332.478145390765</f>
        <v>-946.26981964148388</v>
      </c>
      <c r="R1228" t="s">
        <v>25482</v>
      </c>
      <c r="S1228" t="s">
        <v>25483</v>
      </c>
      <c r="T1228" t="s">
        <v>25484</v>
      </c>
      <c r="U1228" t="s">
        <v>25485</v>
      </c>
      <c r="V1228">
        <f>-718.055218160664 -18.2608474461308 -66.9561255241098</f>
        <v>-803.27219113090462</v>
      </c>
      <c r="W1228" t="s">
        <v>25486</v>
      </c>
      <c r="X1228" t="s">
        <v>25487</v>
      </c>
      <c r="Y1228" t="s">
        <v>25488</v>
      </c>
    </row>
    <row r="1229" spans="1:25" x14ac:dyDescent="0.3">
      <c r="A1229">
        <v>61400</v>
      </c>
      <c r="B1229" t="s">
        <v>25489</v>
      </c>
      <c r="C1229" t="s">
        <v>25490</v>
      </c>
      <c r="D1229" t="s">
        <v>25491</v>
      </c>
      <c r="E1229" t="s">
        <v>25492</v>
      </c>
      <c r="F1229" t="s">
        <v>25493</v>
      </c>
      <c r="G1229" t="s">
        <v>25494</v>
      </c>
      <c r="H1229" t="s">
        <v>25495</v>
      </c>
      <c r="I1229" t="s">
        <v>25496</v>
      </c>
      <c r="J1229" t="s">
        <v>25497</v>
      </c>
      <c r="K1229" t="s">
        <v>25498</v>
      </c>
      <c r="L1229" t="s">
        <v>25499</v>
      </c>
      <c r="M1229" t="s">
        <v>25500</v>
      </c>
      <c r="N1229" t="s">
        <v>25501</v>
      </c>
      <c r="O1229">
        <f>-771.887396556708 -97.5639255623414 -506.305530092728</f>
        <v>-1375.7568522117774</v>
      </c>
      <c r="P1229">
        <f>-758.604428120244 -152.252999184885 -217.473635196823</f>
        <v>-1128.3310625019521</v>
      </c>
      <c r="Q1229">
        <f>-599.533011111926 -12.3216982492659 -332.218290401411</f>
        <v>-944.07299976260288</v>
      </c>
      <c r="R1229" t="s">
        <v>25502</v>
      </c>
      <c r="S1229" t="s">
        <v>25503</v>
      </c>
      <c r="T1229" t="s">
        <v>25504</v>
      </c>
      <c r="U1229" t="s">
        <v>25505</v>
      </c>
      <c r="V1229">
        <f>-717.784846051005 -18.1137989019785 -67.026526828529</f>
        <v>-802.92517178151252</v>
      </c>
      <c r="W1229" t="s">
        <v>25506</v>
      </c>
      <c r="X1229" t="s">
        <v>25507</v>
      </c>
      <c r="Y1229" t="s">
        <v>25508</v>
      </c>
    </row>
    <row r="1230" spans="1:25" x14ac:dyDescent="0.3">
      <c r="A1230">
        <v>61450</v>
      </c>
      <c r="B1230" t="s">
        <v>25509</v>
      </c>
      <c r="C1230" t="s">
        <v>25510</v>
      </c>
      <c r="D1230" t="s">
        <v>25511</v>
      </c>
      <c r="E1230" t="s">
        <v>25512</v>
      </c>
      <c r="F1230" t="s">
        <v>25513</v>
      </c>
      <c r="G1230" t="s">
        <v>25514</v>
      </c>
      <c r="H1230" t="s">
        <v>25515</v>
      </c>
      <c r="I1230" t="s">
        <v>25516</v>
      </c>
      <c r="J1230" t="s">
        <v>25517</v>
      </c>
      <c r="K1230" t="s">
        <v>25518</v>
      </c>
      <c r="L1230" t="s">
        <v>25519</v>
      </c>
      <c r="M1230" t="s">
        <v>25520</v>
      </c>
      <c r="N1230" t="s">
        <v>25521</v>
      </c>
      <c r="O1230">
        <f>-771.320593456815 -97.1013161701794 -506.44097162167</f>
        <v>-1374.8628812486645</v>
      </c>
      <c r="P1230">
        <f>-758.532211681634 -151.699315076796 -217.569581745534</f>
        <v>-1127.8011085039639</v>
      </c>
      <c r="Q1230">
        <f>-599.207685442802 -11.8850148665965 -332.105797034054</f>
        <v>-943.19849734345257</v>
      </c>
      <c r="R1230" t="s">
        <v>25522</v>
      </c>
      <c r="S1230" t="s">
        <v>25523</v>
      </c>
      <c r="T1230" t="s">
        <v>25524</v>
      </c>
      <c r="U1230" t="s">
        <v>25525</v>
      </c>
      <c r="V1230">
        <f>-717.692459038327 -18.1069264597563 -67.0600404867287</f>
        <v>-802.85942598481199</v>
      </c>
      <c r="W1230" t="s">
        <v>25526</v>
      </c>
      <c r="X1230" t="s">
        <v>25527</v>
      </c>
      <c r="Y1230" t="s">
        <v>25528</v>
      </c>
    </row>
    <row r="1231" spans="1:25" x14ac:dyDescent="0.3">
      <c r="A1231">
        <v>61500</v>
      </c>
      <c r="B1231" t="s">
        <v>25529</v>
      </c>
      <c r="C1231" t="s">
        <v>25530</v>
      </c>
      <c r="D1231" t="s">
        <v>25531</v>
      </c>
      <c r="E1231" t="s">
        <v>25532</v>
      </c>
      <c r="F1231" t="s">
        <v>25533</v>
      </c>
      <c r="G1231" t="s">
        <v>25534</v>
      </c>
      <c r="H1231" t="s">
        <v>25535</v>
      </c>
      <c r="I1231" t="s">
        <v>25536</v>
      </c>
      <c r="J1231" t="s">
        <v>25537</v>
      </c>
      <c r="K1231" t="s">
        <v>25538</v>
      </c>
      <c r="L1231" t="s">
        <v>25539</v>
      </c>
      <c r="M1231" t="s">
        <v>25540</v>
      </c>
      <c r="N1231" t="s">
        <v>25541</v>
      </c>
      <c r="O1231">
        <f>-770.251644157904 -96.1264077641331 -506.79169236769</f>
        <v>-1373.1697442897271</v>
      </c>
      <c r="P1231">
        <f>-757.965344162664 -151.260403439873 -218.000369777917</f>
        <v>-1127.2261173804541</v>
      </c>
      <c r="Q1231">
        <f>-597.876775386518 -11.8317333570608 -331.939419475517</f>
        <v>-941.64792821909577</v>
      </c>
      <c r="R1231" t="s">
        <v>25542</v>
      </c>
      <c r="S1231" t="s">
        <v>25543</v>
      </c>
      <c r="T1231" t="s">
        <v>25544</v>
      </c>
      <c r="U1231" t="s">
        <v>25545</v>
      </c>
      <c r="V1231">
        <f>-717.282945931251 -17.781698388118 -67.0818006985081</f>
        <v>-802.14644501787711</v>
      </c>
      <c r="W1231" t="s">
        <v>25546</v>
      </c>
      <c r="X1231" t="s">
        <v>25547</v>
      </c>
      <c r="Y1231" t="s">
        <v>25548</v>
      </c>
    </row>
    <row r="1232" spans="1:25" x14ac:dyDescent="0.3">
      <c r="A1232">
        <v>61550</v>
      </c>
      <c r="B1232" t="s">
        <v>25549</v>
      </c>
      <c r="C1232" t="s">
        <v>25550</v>
      </c>
      <c r="D1232" t="s">
        <v>25551</v>
      </c>
      <c r="E1232" t="s">
        <v>25552</v>
      </c>
      <c r="F1232" t="s">
        <v>25553</v>
      </c>
      <c r="G1232" t="s">
        <v>25554</v>
      </c>
      <c r="H1232" t="s">
        <v>25555</v>
      </c>
      <c r="I1232" t="s">
        <v>25556</v>
      </c>
      <c r="J1232" t="s">
        <v>25557</v>
      </c>
      <c r="K1232" t="s">
        <v>25558</v>
      </c>
      <c r="L1232" t="s">
        <v>25559</v>
      </c>
      <c r="M1232" t="s">
        <v>25560</v>
      </c>
      <c r="N1232" t="s">
        <v>25561</v>
      </c>
      <c r="O1232">
        <f>-769.951825355828 -95.6149034290297 -506.938180879244</f>
        <v>-1372.5049096641017</v>
      </c>
      <c r="P1232">
        <f>-757.622275281654 -151.132607291262 -218.22208557981</f>
        <v>-1126.9769681527259</v>
      </c>
      <c r="Q1232">
        <f>-597.239409136015 -11.8322541756002 -331.904497134328</f>
        <v>-940.97616044594315</v>
      </c>
      <c r="R1232" t="s">
        <v>25562</v>
      </c>
      <c r="S1232" t="s">
        <v>25563</v>
      </c>
      <c r="T1232" t="s">
        <v>25564</v>
      </c>
      <c r="U1232" t="s">
        <v>25565</v>
      </c>
      <c r="V1232">
        <f>-717.036320500065 -17.6245876954281 -67.0866785884178</f>
        <v>-801.74758678391095</v>
      </c>
      <c r="W1232" t="s">
        <v>25566</v>
      </c>
      <c r="X1232" t="s">
        <v>25567</v>
      </c>
      <c r="Y1232" t="s">
        <v>25568</v>
      </c>
    </row>
    <row r="1233" spans="1:25" x14ac:dyDescent="0.3">
      <c r="A1233">
        <v>61600</v>
      </c>
      <c r="B1233" t="s">
        <v>25569</v>
      </c>
      <c r="C1233" t="s">
        <v>25570</v>
      </c>
      <c r="D1233" t="s">
        <v>25571</v>
      </c>
      <c r="E1233" t="s">
        <v>25572</v>
      </c>
      <c r="F1233" t="s">
        <v>25573</v>
      </c>
      <c r="G1233" t="s">
        <v>25574</v>
      </c>
      <c r="H1233" t="s">
        <v>25575</v>
      </c>
      <c r="I1233" t="s">
        <v>25576</v>
      </c>
      <c r="J1233" t="s">
        <v>25577</v>
      </c>
      <c r="K1233" t="s">
        <v>25578</v>
      </c>
      <c r="L1233" t="s">
        <v>25579</v>
      </c>
      <c r="M1233" t="s">
        <v>25580</v>
      </c>
      <c r="N1233" t="s">
        <v>25581</v>
      </c>
      <c r="O1233">
        <f>-769.917471013177 -94.9359982585097 -507.223653795961</f>
        <v>-1372.0771230676478</v>
      </c>
      <c r="P1233">
        <f>-757.121787372624 -150.883280379371 -218.610615608245</f>
        <v>-1126.6156833602402</v>
      </c>
      <c r="Q1233">
        <f>-595.849193374394 -12.5995114213843 -332.275229709353</f>
        <v>-940.72393450513118</v>
      </c>
      <c r="R1233" t="s">
        <v>25582</v>
      </c>
      <c r="S1233" t="s">
        <v>25583</v>
      </c>
      <c r="T1233" t="s">
        <v>25584</v>
      </c>
      <c r="U1233" t="s">
        <v>25585</v>
      </c>
      <c r="V1233">
        <f>-716.609758664493 -17.6075348073359 -67.1112857821913</f>
        <v>-801.32857925402027</v>
      </c>
      <c r="W1233" t="s">
        <v>25586</v>
      </c>
      <c r="X1233" t="s">
        <v>25587</v>
      </c>
      <c r="Y1233" t="s">
        <v>25588</v>
      </c>
    </row>
    <row r="1234" spans="1:25" x14ac:dyDescent="0.3">
      <c r="A1234">
        <v>61650</v>
      </c>
      <c r="B1234" t="s">
        <v>25589</v>
      </c>
      <c r="C1234" t="s">
        <v>25590</v>
      </c>
      <c r="D1234" t="s">
        <v>25591</v>
      </c>
      <c r="E1234" t="s">
        <v>25592</v>
      </c>
      <c r="F1234" t="s">
        <v>25593</v>
      </c>
      <c r="G1234" t="s">
        <v>25594</v>
      </c>
      <c r="H1234" t="s">
        <v>25595</v>
      </c>
      <c r="I1234" t="s">
        <v>25596</v>
      </c>
      <c r="J1234" t="s">
        <v>25597</v>
      </c>
      <c r="K1234" t="s">
        <v>25598</v>
      </c>
      <c r="L1234" t="s">
        <v>25599</v>
      </c>
      <c r="M1234" t="s">
        <v>25600</v>
      </c>
      <c r="N1234" t="s">
        <v>25601</v>
      </c>
      <c r="O1234">
        <f>-770.050045582981 -94.8084853562523 -507.358488356486</f>
        <v>-1372.2170192957194</v>
      </c>
      <c r="P1234">
        <f>-756.678090535993 -150.998821859597 -218.819033069119</f>
        <v>-1126.4959454647089</v>
      </c>
      <c r="Q1234">
        <f>-595.153052556479 -13.0856440164894 -332.575057111433</f>
        <v>-940.81375368440138</v>
      </c>
      <c r="R1234" t="s">
        <v>25602</v>
      </c>
      <c r="S1234" t="s">
        <v>25603</v>
      </c>
      <c r="T1234" t="s">
        <v>25604</v>
      </c>
      <c r="U1234" t="s">
        <v>25605</v>
      </c>
      <c r="V1234">
        <f>-716.429326253977 -17.6431574134363 -67.1377971611163</f>
        <v>-801.21028082852956</v>
      </c>
      <c r="W1234" t="s">
        <v>25606</v>
      </c>
      <c r="X1234" t="s">
        <v>25607</v>
      </c>
      <c r="Y1234" t="s">
        <v>25608</v>
      </c>
    </row>
    <row r="1235" spans="1:25" x14ac:dyDescent="0.3">
      <c r="A1235">
        <v>61700</v>
      </c>
      <c r="B1235" t="s">
        <v>25609</v>
      </c>
      <c r="C1235" t="s">
        <v>25610</v>
      </c>
      <c r="D1235" t="s">
        <v>25611</v>
      </c>
      <c r="E1235" t="s">
        <v>25612</v>
      </c>
      <c r="F1235" t="s">
        <v>25613</v>
      </c>
      <c r="G1235" t="s">
        <v>25614</v>
      </c>
      <c r="H1235" t="s">
        <v>25615</v>
      </c>
      <c r="I1235" t="s">
        <v>25616</v>
      </c>
      <c r="J1235" t="s">
        <v>25617</v>
      </c>
      <c r="K1235" t="s">
        <v>25618</v>
      </c>
      <c r="L1235" t="s">
        <v>25619</v>
      </c>
      <c r="M1235" t="s">
        <v>25620</v>
      </c>
      <c r="N1235" t="s">
        <v>25621</v>
      </c>
      <c r="O1235">
        <f>-770.36472005292 -94.8030767929295 -507.645991276123</f>
        <v>-1372.8137881219725</v>
      </c>
      <c r="P1235">
        <f>-754.612209016779 -152.059982275537 -219.436633920824</f>
        <v>-1126.1088252131401</v>
      </c>
      <c r="Q1235">
        <f>-593.228255345025 -14.6677637123103 -334.020503983395</f>
        <v>-941.91652304073023</v>
      </c>
      <c r="R1235" t="s">
        <v>25622</v>
      </c>
      <c r="S1235" t="s">
        <v>25623</v>
      </c>
      <c r="T1235" t="s">
        <v>25624</v>
      </c>
      <c r="U1235" t="s">
        <v>25625</v>
      </c>
      <c r="V1235">
        <f>-716.180007178541 -17.9319814546707 -67.1683539997654</f>
        <v>-801.28034263297707</v>
      </c>
      <c r="W1235" t="s">
        <v>25626</v>
      </c>
      <c r="X1235" t="s">
        <v>25627</v>
      </c>
      <c r="Y1235" t="s">
        <v>25628</v>
      </c>
    </row>
    <row r="1236" spans="1:25" x14ac:dyDescent="0.3">
      <c r="A1236">
        <v>61750</v>
      </c>
      <c r="B1236" t="s">
        <v>25629</v>
      </c>
      <c r="C1236" t="s">
        <v>25630</v>
      </c>
      <c r="D1236" t="s">
        <v>25631</v>
      </c>
      <c r="E1236" t="s">
        <v>25632</v>
      </c>
      <c r="F1236" t="s">
        <v>25633</v>
      </c>
      <c r="G1236" t="s">
        <v>25634</v>
      </c>
      <c r="H1236" t="s">
        <v>25635</v>
      </c>
      <c r="I1236" t="s">
        <v>25636</v>
      </c>
      <c r="J1236" t="s">
        <v>25637</v>
      </c>
      <c r="K1236" t="s">
        <v>25638</v>
      </c>
      <c r="L1236" t="s">
        <v>25639</v>
      </c>
      <c r="M1236" t="s">
        <v>25640</v>
      </c>
      <c r="N1236" t="s">
        <v>25641</v>
      </c>
      <c r="O1236">
        <f>-770.505714578075 -94.7983571639572 -507.791584801362</f>
        <v>-1373.0956565433942</v>
      </c>
      <c r="P1236">
        <f>-752.445403879552 -152.689512361798 -219.844218096018</f>
        <v>-1124.9791343373681</v>
      </c>
      <c r="Q1236">
        <f>-591.646596530733 -15.3507298348677 -335.311455230582</f>
        <v>-942.3087815961826</v>
      </c>
      <c r="R1236" t="s">
        <v>25642</v>
      </c>
      <c r="S1236" t="s">
        <v>25643</v>
      </c>
      <c r="T1236" t="s">
        <v>25644</v>
      </c>
      <c r="U1236" t="s">
        <v>25645</v>
      </c>
      <c r="V1236">
        <f>-716.227969686894 -18.0769350463593 -67.1721808399975</f>
        <v>-801.47708557325075</v>
      </c>
      <c r="W1236" t="s">
        <v>25646</v>
      </c>
      <c r="X1236" t="s">
        <v>25647</v>
      </c>
      <c r="Y1236" t="s">
        <v>25648</v>
      </c>
    </row>
    <row r="1237" spans="1:25" x14ac:dyDescent="0.3">
      <c r="A1237">
        <v>61800</v>
      </c>
      <c r="B1237" t="s">
        <v>25649</v>
      </c>
      <c r="C1237" t="s">
        <v>25650</v>
      </c>
      <c r="D1237" t="s">
        <v>25651</v>
      </c>
      <c r="E1237" t="s">
        <v>25652</v>
      </c>
      <c r="F1237" t="s">
        <v>25653</v>
      </c>
      <c r="G1237" t="s">
        <v>25654</v>
      </c>
      <c r="H1237" t="s">
        <v>25655</v>
      </c>
      <c r="I1237" t="s">
        <v>25656</v>
      </c>
      <c r="J1237" t="s">
        <v>25657</v>
      </c>
      <c r="K1237" t="s">
        <v>25658</v>
      </c>
      <c r="L1237" t="s">
        <v>25659</v>
      </c>
      <c r="M1237" t="s">
        <v>25660</v>
      </c>
      <c r="N1237" t="s">
        <v>25661</v>
      </c>
      <c r="O1237">
        <f>-770.914930955561 -95.0824876323265 -508.14349077586</f>
        <v>-1374.1409093637476</v>
      </c>
      <c r="P1237">
        <f>-746.200637829443 -153.500072035466 -220.79735116018</f>
        <v>-1120.4980610250891</v>
      </c>
      <c r="Q1237">
        <f>-587.580429952403 -17.5024844501868 -340.77734562562</f>
        <v>-945.86026002820984</v>
      </c>
      <c r="R1237" t="s">
        <v>25662</v>
      </c>
      <c r="S1237" t="s">
        <v>25663</v>
      </c>
      <c r="T1237" t="s">
        <v>25664</v>
      </c>
      <c r="U1237" t="s">
        <v>25665</v>
      </c>
      <c r="V1237">
        <f>-716.468426734858 -18.4747537284075 -67.1567550297208</f>
        <v>-802.09993549298622</v>
      </c>
      <c r="W1237" t="s">
        <v>25666</v>
      </c>
      <c r="X1237" t="s">
        <v>25667</v>
      </c>
      <c r="Y1237" t="s">
        <v>25668</v>
      </c>
    </row>
    <row r="1238" spans="1:25" x14ac:dyDescent="0.3">
      <c r="A1238">
        <v>61850</v>
      </c>
      <c r="B1238" t="s">
        <v>25669</v>
      </c>
      <c r="C1238" t="s">
        <v>25670</v>
      </c>
      <c r="D1238" t="s">
        <v>25671</v>
      </c>
      <c r="E1238" t="s">
        <v>25672</v>
      </c>
      <c r="F1238" t="s">
        <v>25673</v>
      </c>
      <c r="G1238" t="s">
        <v>25674</v>
      </c>
      <c r="H1238" t="s">
        <v>25675</v>
      </c>
      <c r="I1238" t="s">
        <v>25676</v>
      </c>
      <c r="J1238" t="s">
        <v>25677</v>
      </c>
      <c r="K1238" t="s">
        <v>25678</v>
      </c>
      <c r="L1238" t="s">
        <v>25679</v>
      </c>
      <c r="M1238" t="s">
        <v>25680</v>
      </c>
      <c r="N1238" t="s">
        <v>25681</v>
      </c>
      <c r="O1238">
        <f>-771.437656861567 -95.2835727386107 -508.300044992033</f>
        <v>-1375.0212745922108</v>
      </c>
      <c r="P1238">
        <f>-742.316045198052 -153.443397336443 -221.314699769577</f>
        <v>-1117.074142304072</v>
      </c>
      <c r="Q1238">
        <f>-585.208756244241 -18.9768905833689 -344.955047077991</f>
        <v>-949.14069390560098</v>
      </c>
      <c r="R1238" t="s">
        <v>25682</v>
      </c>
      <c r="S1238" t="s">
        <v>25683</v>
      </c>
      <c r="T1238" t="s">
        <v>25684</v>
      </c>
      <c r="U1238" t="s">
        <v>25685</v>
      </c>
      <c r="V1238">
        <f>-716.670255831056 -18.6069226733121 -67.1416499301238</f>
        <v>-802.41882843449184</v>
      </c>
      <c r="W1238" t="s">
        <v>25686</v>
      </c>
      <c r="X1238" t="s">
        <v>25687</v>
      </c>
      <c r="Y1238" t="s">
        <v>25688</v>
      </c>
    </row>
    <row r="1239" spans="1:25" x14ac:dyDescent="0.3">
      <c r="A1239">
        <v>61900</v>
      </c>
      <c r="B1239" t="s">
        <v>25689</v>
      </c>
      <c r="C1239" t="s">
        <v>25690</v>
      </c>
      <c r="D1239" t="s">
        <v>25691</v>
      </c>
      <c r="E1239" t="s">
        <v>25692</v>
      </c>
      <c r="F1239" t="s">
        <v>25693</v>
      </c>
      <c r="G1239" t="s">
        <v>25694</v>
      </c>
      <c r="H1239" t="s">
        <v>25695</v>
      </c>
      <c r="I1239" t="s">
        <v>25696</v>
      </c>
      <c r="J1239" t="s">
        <v>25697</v>
      </c>
      <c r="K1239" t="s">
        <v>25698</v>
      </c>
      <c r="L1239" t="s">
        <v>25699</v>
      </c>
      <c r="M1239" t="s">
        <v>25700</v>
      </c>
      <c r="N1239" t="s">
        <v>25701</v>
      </c>
      <c r="O1239">
        <f>-772.95877676486 -95.6516269938493 -508.511716256375</f>
        <v>-1377.1221200150842</v>
      </c>
      <c r="P1239">
        <f>-733.331546251388 -152.947969526139 -222.613052564574</f>
        <v>-1108.892568342101</v>
      </c>
      <c r="Q1239">
        <f>-579.695675306436 -21.4972152264045 -353.638231320707</f>
        <v>-954.83112185354753</v>
      </c>
      <c r="R1239" t="s">
        <v>25702</v>
      </c>
      <c r="S1239" t="s">
        <v>25703</v>
      </c>
      <c r="T1239" t="s">
        <v>25704</v>
      </c>
      <c r="U1239" t="s">
        <v>25705</v>
      </c>
      <c r="V1239">
        <f>-717.066144421667 -18.858404632872 -67.1157515870034</f>
        <v>-803.04030064154233</v>
      </c>
      <c r="W1239" t="s">
        <v>25706</v>
      </c>
      <c r="X1239" t="s">
        <v>25707</v>
      </c>
      <c r="Y1239" t="s">
        <v>25708</v>
      </c>
    </row>
    <row r="1240" spans="1:25" x14ac:dyDescent="0.3">
      <c r="A1240">
        <v>61950</v>
      </c>
      <c r="B1240" t="s">
        <v>25709</v>
      </c>
      <c r="C1240" t="s">
        <v>25710</v>
      </c>
      <c r="D1240" t="s">
        <v>25711</v>
      </c>
      <c r="E1240" t="s">
        <v>25712</v>
      </c>
      <c r="F1240" t="s">
        <v>25713</v>
      </c>
      <c r="G1240" t="s">
        <v>25714</v>
      </c>
      <c r="H1240" t="s">
        <v>25715</v>
      </c>
      <c r="I1240" t="s">
        <v>25716</v>
      </c>
      <c r="J1240" t="s">
        <v>25717</v>
      </c>
      <c r="K1240" t="s">
        <v>25718</v>
      </c>
      <c r="L1240" t="s">
        <v>25719</v>
      </c>
      <c r="M1240" t="s">
        <v>25720</v>
      </c>
      <c r="N1240" t="s">
        <v>25721</v>
      </c>
      <c r="O1240">
        <f>-773.65477538172 -95.8797581626334 -508.584214967241</f>
        <v>-1378.1187485115943</v>
      </c>
      <c r="P1240">
        <f>-728.735678027519 -152.30795991263 -223.296075076688</f>
        <v>-1104.3397130168369</v>
      </c>
      <c r="Q1240">
        <f>-576.605233519083 -22.6067499939377 -357.77579166095</f>
        <v>-956.9877751739707</v>
      </c>
      <c r="R1240" t="s">
        <v>25722</v>
      </c>
      <c r="S1240" t="s">
        <v>25723</v>
      </c>
      <c r="T1240" t="s">
        <v>25724</v>
      </c>
      <c r="U1240" t="s">
        <v>25725</v>
      </c>
      <c r="V1240">
        <f>-717.136234439776 -18.8982674685235 -67.0993781256294</f>
        <v>-803.1338800339289</v>
      </c>
      <c r="W1240" t="s">
        <v>25726</v>
      </c>
      <c r="X1240" t="s">
        <v>25727</v>
      </c>
      <c r="Y1240" t="s">
        <v>25728</v>
      </c>
    </row>
    <row r="1241" spans="1:25" x14ac:dyDescent="0.3">
      <c r="A1241">
        <v>62000</v>
      </c>
      <c r="B1241" t="s">
        <v>25729</v>
      </c>
      <c r="C1241" t="s">
        <v>25730</v>
      </c>
      <c r="D1241" t="s">
        <v>25731</v>
      </c>
      <c r="E1241" t="s">
        <v>25732</v>
      </c>
      <c r="F1241" t="s">
        <v>25733</v>
      </c>
      <c r="G1241" t="s">
        <v>25734</v>
      </c>
      <c r="H1241" t="s">
        <v>25735</v>
      </c>
      <c r="I1241" t="s">
        <v>25736</v>
      </c>
      <c r="J1241" t="s">
        <v>25737</v>
      </c>
      <c r="K1241" t="s">
        <v>25738</v>
      </c>
      <c r="L1241" t="s">
        <v>25739</v>
      </c>
      <c r="M1241" t="s">
        <v>25740</v>
      </c>
      <c r="N1241" t="s">
        <v>25741</v>
      </c>
      <c r="O1241">
        <f>-774.788518429436 -96.7411998702821 -508.618870789981</f>
        <v>-1380.148589089699</v>
      </c>
      <c r="P1241">
        <f>-721.292228319203 -150.63984156963 -224.322768357432</f>
        <v>-1096.2548382462651</v>
      </c>
      <c r="Q1241">
        <f>-571.354162710489 -25.2107155052131 -365.166709311464</f>
        <v>-961.73158752716608</v>
      </c>
      <c r="R1241" t="s">
        <v>25742</v>
      </c>
      <c r="S1241" t="s">
        <v>25743</v>
      </c>
      <c r="T1241" t="s">
        <v>25744</v>
      </c>
      <c r="U1241" t="s">
        <v>25745</v>
      </c>
      <c r="V1241">
        <f>-716.769536489192 -18.9748699241618 -67.103784733521</f>
        <v>-802.8481911468748</v>
      </c>
      <c r="W1241" t="s">
        <v>25746</v>
      </c>
      <c r="X1241" t="s">
        <v>25747</v>
      </c>
      <c r="Y1241" t="s">
        <v>25748</v>
      </c>
    </row>
    <row r="1242" spans="1:25" x14ac:dyDescent="0.3">
      <c r="A1242">
        <v>62050</v>
      </c>
      <c r="B1242" t="s">
        <v>25749</v>
      </c>
      <c r="C1242" t="s">
        <v>25750</v>
      </c>
      <c r="D1242" t="s">
        <v>25751</v>
      </c>
      <c r="E1242" t="s">
        <v>25752</v>
      </c>
      <c r="F1242" t="s">
        <v>25753</v>
      </c>
      <c r="G1242" t="s">
        <v>25754</v>
      </c>
      <c r="H1242" t="s">
        <v>25755</v>
      </c>
      <c r="I1242" t="s">
        <v>25756</v>
      </c>
      <c r="J1242" t="s">
        <v>25757</v>
      </c>
      <c r="K1242" t="s">
        <v>25758</v>
      </c>
      <c r="L1242" t="s">
        <v>25759</v>
      </c>
      <c r="M1242" t="s">
        <v>25760</v>
      </c>
      <c r="N1242" t="s">
        <v>25761</v>
      </c>
      <c r="O1242">
        <f>-774.935807335339 -97.3190729404282 -508.56064120567</f>
        <v>-1380.8155214814371</v>
      </c>
      <c r="P1242">
        <f>-718.562771338071 -149.654750545937 -224.528450486555</f>
        <v>-1092.7459723705629</v>
      </c>
      <c r="Q1242">
        <f>-569.275158440804 -26.9061545067575 -368.392636229506</f>
        <v>-964.57394917706756</v>
      </c>
      <c r="R1242" t="s">
        <v>25762</v>
      </c>
      <c r="S1242" t="s">
        <v>25763</v>
      </c>
      <c r="T1242" t="s">
        <v>25764</v>
      </c>
      <c r="U1242" t="s">
        <v>25765</v>
      </c>
      <c r="V1242">
        <f>-716.330574534264 -19.0270649956342 -67.1122286214583</f>
        <v>-802.46986815135642</v>
      </c>
      <c r="W1242" t="s">
        <v>25766</v>
      </c>
      <c r="X1242" t="s">
        <v>25767</v>
      </c>
      <c r="Y1242" t="s">
        <v>25768</v>
      </c>
    </row>
    <row r="1243" spans="1:25" x14ac:dyDescent="0.3">
      <c r="A1243">
        <v>62100</v>
      </c>
      <c r="B1243" t="s">
        <v>25769</v>
      </c>
      <c r="C1243" t="s">
        <v>25770</v>
      </c>
      <c r="D1243" t="s">
        <v>25771</v>
      </c>
      <c r="E1243" t="s">
        <v>25772</v>
      </c>
      <c r="F1243" t="s">
        <v>25773</v>
      </c>
      <c r="G1243" t="s">
        <v>25774</v>
      </c>
      <c r="H1243" t="s">
        <v>25775</v>
      </c>
      <c r="I1243" t="s">
        <v>25776</v>
      </c>
      <c r="J1243" t="s">
        <v>25777</v>
      </c>
      <c r="K1243" t="s">
        <v>25778</v>
      </c>
      <c r="L1243" t="s">
        <v>25779</v>
      </c>
      <c r="M1243" t="s">
        <v>25780</v>
      </c>
      <c r="N1243" t="s">
        <v>25781</v>
      </c>
      <c r="O1243">
        <f>-775.429608193621 -98.5807164130931 -508.46347025654</f>
        <v>-1382.4737948632542</v>
      </c>
      <c r="P1243">
        <f>-715.619844911426 -148.160954627647 -224.639893172204</f>
        <v>-1088.4206927112771</v>
      </c>
      <c r="Q1243">
        <f>-566.613105960054 -30.0942024223646 -372.653867295125</f>
        <v>-969.36117567754354</v>
      </c>
      <c r="R1243" t="s">
        <v>25782</v>
      </c>
      <c r="S1243" t="s">
        <v>25783</v>
      </c>
      <c r="T1243" t="s">
        <v>25784</v>
      </c>
      <c r="U1243" t="s">
        <v>25785</v>
      </c>
      <c r="V1243">
        <f>-715.574921883178 -19.3750821497742 -67.1150477578291</f>
        <v>-802.06505179078135</v>
      </c>
      <c r="W1243" t="s">
        <v>25786</v>
      </c>
      <c r="X1243" t="s">
        <v>25787</v>
      </c>
      <c r="Y1243" t="s">
        <v>25788</v>
      </c>
    </row>
    <row r="1244" spans="1:25" x14ac:dyDescent="0.3">
      <c r="A1244">
        <v>62150</v>
      </c>
      <c r="B1244" t="s">
        <v>25789</v>
      </c>
      <c r="C1244" t="s">
        <v>25790</v>
      </c>
      <c r="D1244" t="s">
        <v>25791</v>
      </c>
      <c r="E1244" t="s">
        <v>25792</v>
      </c>
      <c r="F1244" t="s">
        <v>25793</v>
      </c>
      <c r="G1244" t="s">
        <v>25794</v>
      </c>
      <c r="H1244" t="s">
        <v>25795</v>
      </c>
      <c r="I1244" t="s">
        <v>25796</v>
      </c>
      <c r="J1244" t="s">
        <v>25797</v>
      </c>
      <c r="K1244" t="s">
        <v>25798</v>
      </c>
      <c r="L1244" t="s">
        <v>25799</v>
      </c>
      <c r="M1244" t="s">
        <v>25800</v>
      </c>
      <c r="N1244" t="s">
        <v>25801</v>
      </c>
      <c r="O1244">
        <f>-775.845286249891 -99.0603837293461 -508.421963054281</f>
        <v>-1383.3276330335182</v>
      </c>
      <c r="P1244">
        <f>-715.159712811485 -147.620068393525 -224.607962792098</f>
        <v>-1087.3877439971079</v>
      </c>
      <c r="Q1244">
        <f>-565.995231847886 -31.0410571420061 -373.6385888511</f>
        <v>-970.67487784099217</v>
      </c>
      <c r="R1244" t="s">
        <v>25802</v>
      </c>
      <c r="S1244" t="s">
        <v>25803</v>
      </c>
      <c r="T1244" t="s">
        <v>25804</v>
      </c>
      <c r="U1244" t="s">
        <v>25805</v>
      </c>
      <c r="V1244">
        <f>-715.330787534833 -19.4134021420632 -67.1181833288903</f>
        <v>-801.86237300578648</v>
      </c>
      <c r="W1244" t="s">
        <v>25806</v>
      </c>
      <c r="X1244" t="s">
        <v>25807</v>
      </c>
      <c r="Y1244" t="s">
        <v>25808</v>
      </c>
    </row>
    <row r="1245" spans="1:25" x14ac:dyDescent="0.3">
      <c r="A1245">
        <v>62200</v>
      </c>
      <c r="B1245" t="s">
        <v>25809</v>
      </c>
      <c r="C1245" t="s">
        <v>25810</v>
      </c>
      <c r="D1245" t="s">
        <v>25811</v>
      </c>
      <c r="E1245" t="s">
        <v>25812</v>
      </c>
      <c r="F1245" t="s">
        <v>25813</v>
      </c>
      <c r="G1245" t="s">
        <v>25814</v>
      </c>
      <c r="H1245" t="s">
        <v>25815</v>
      </c>
      <c r="I1245" t="s">
        <v>25816</v>
      </c>
      <c r="J1245" t="s">
        <v>25817</v>
      </c>
      <c r="K1245" t="s">
        <v>25818</v>
      </c>
      <c r="L1245" t="s">
        <v>25819</v>
      </c>
      <c r="M1245" t="s">
        <v>25820</v>
      </c>
      <c r="N1245" t="s">
        <v>25821</v>
      </c>
      <c r="O1245">
        <f>-776.773691129739 -99.8032741604625 -508.3182378911</f>
        <v>-1384.8952031813014</v>
      </c>
      <c r="P1245">
        <f>-715.81010352773 -147.385532529742 -224.398282379267</f>
        <v>-1087.5939184367389</v>
      </c>
      <c r="Q1245">
        <f>-566.372119715636 -32.3514594624971 -374.352663367951</f>
        <v>-973.07624254608413</v>
      </c>
      <c r="R1245" t="s">
        <v>25822</v>
      </c>
      <c r="S1245" t="s">
        <v>25823</v>
      </c>
      <c r="T1245" t="s">
        <v>25824</v>
      </c>
      <c r="U1245" t="s">
        <v>25825</v>
      </c>
      <c r="V1245">
        <f>-714.996543544999 -19.549543588098 -67.088785150907</f>
        <v>-801.63487228400402</v>
      </c>
      <c r="W1245" t="s">
        <v>25826</v>
      </c>
      <c r="X1245" t="s">
        <v>25827</v>
      </c>
      <c r="Y1245" t="s">
        <v>25828</v>
      </c>
    </row>
    <row r="1246" spans="1:25" x14ac:dyDescent="0.3">
      <c r="A1246">
        <v>62250</v>
      </c>
      <c r="B1246" t="s">
        <v>25829</v>
      </c>
      <c r="C1246" t="s">
        <v>25830</v>
      </c>
      <c r="D1246" t="s">
        <v>25831</v>
      </c>
      <c r="E1246" t="s">
        <v>25832</v>
      </c>
      <c r="F1246" t="s">
        <v>25833</v>
      </c>
      <c r="G1246" t="s">
        <v>25834</v>
      </c>
      <c r="H1246" t="s">
        <v>25835</v>
      </c>
      <c r="I1246" t="s">
        <v>25836</v>
      </c>
      <c r="J1246" t="s">
        <v>25837</v>
      </c>
      <c r="K1246" t="s">
        <v>25838</v>
      </c>
      <c r="L1246" t="s">
        <v>25839</v>
      </c>
      <c r="M1246" t="s">
        <v>25840</v>
      </c>
      <c r="N1246" t="s">
        <v>25841</v>
      </c>
      <c r="O1246">
        <f>-777.336069012399 -100.183059325087 -508.308253701524</f>
        <v>-1385.82738203901</v>
      </c>
      <c r="P1246">
        <f>-716.649964256491 -147.591984599842 -224.299750506572</f>
        <v>-1088.5416993629051</v>
      </c>
      <c r="Q1246">
        <f>-567.099702074397 -32.949867928467 -374.44226557808</f>
        <v>-974.4918355809441</v>
      </c>
      <c r="R1246" t="s">
        <v>25842</v>
      </c>
      <c r="S1246" t="s">
        <v>25843</v>
      </c>
      <c r="T1246" t="s">
        <v>25844</v>
      </c>
      <c r="U1246" t="s">
        <v>25845</v>
      </c>
      <c r="V1246">
        <f>-714.960536546192 -19.6526435105966 -67.0808064645267</f>
        <v>-801.69398652131531</v>
      </c>
      <c r="W1246" t="s">
        <v>25846</v>
      </c>
      <c r="X1246" t="s">
        <v>25847</v>
      </c>
      <c r="Y1246" t="s">
        <v>25848</v>
      </c>
    </row>
    <row r="1247" spans="1:25" x14ac:dyDescent="0.3">
      <c r="A1247">
        <v>62300</v>
      </c>
      <c r="B1247" t="s">
        <v>25849</v>
      </c>
      <c r="C1247" t="s">
        <v>25850</v>
      </c>
      <c r="D1247" t="s">
        <v>25851</v>
      </c>
      <c r="E1247" t="s">
        <v>25852</v>
      </c>
      <c r="F1247" t="s">
        <v>25853</v>
      </c>
      <c r="G1247" t="s">
        <v>25854</v>
      </c>
      <c r="H1247" t="s">
        <v>25855</v>
      </c>
      <c r="I1247" t="s">
        <v>25856</v>
      </c>
      <c r="J1247" t="s">
        <v>25857</v>
      </c>
      <c r="K1247" t="s">
        <v>25858</v>
      </c>
      <c r="L1247" t="s">
        <v>25859</v>
      </c>
      <c r="M1247" t="s">
        <v>25860</v>
      </c>
      <c r="N1247" t="s">
        <v>25861</v>
      </c>
      <c r="O1247">
        <f>-778.361056585231 -101.241301454155 -508.312948443191</f>
        <v>-1387.9153064825769</v>
      </c>
      <c r="P1247">
        <f>-718.974700711151 -147.266971351014 -223.802850668399</f>
        <v>-1090.044522730564</v>
      </c>
      <c r="Q1247">
        <f>-565.435301620598 -35.7362723555902 -372.252689703359</f>
        <v>-973.42426367954727</v>
      </c>
      <c r="R1247" t="s">
        <v>25862</v>
      </c>
      <c r="S1247" t="s">
        <v>25863</v>
      </c>
      <c r="T1247" t="s">
        <v>25864</v>
      </c>
      <c r="U1247" t="s">
        <v>25865</v>
      </c>
      <c r="V1247">
        <f>-715.082173544317 -20.2358401888182 -67.0742317130976</f>
        <v>-802.39224544623278</v>
      </c>
      <c r="W1247" t="s">
        <v>25866</v>
      </c>
      <c r="X1247" t="s">
        <v>25867</v>
      </c>
      <c r="Y1247" t="s">
        <v>25868</v>
      </c>
    </row>
    <row r="1248" spans="1:25" x14ac:dyDescent="0.3">
      <c r="A1248">
        <v>62350</v>
      </c>
      <c r="B1248" t="s">
        <v>25869</v>
      </c>
      <c r="C1248" t="s">
        <v>25870</v>
      </c>
      <c r="D1248" t="s">
        <v>25871</v>
      </c>
      <c r="E1248" t="s">
        <v>25872</v>
      </c>
      <c r="F1248" t="s">
        <v>25873</v>
      </c>
      <c r="G1248" t="s">
        <v>25874</v>
      </c>
      <c r="H1248" t="s">
        <v>25875</v>
      </c>
      <c r="I1248" t="s">
        <v>25876</v>
      </c>
      <c r="J1248" t="s">
        <v>25877</v>
      </c>
      <c r="K1248" t="s">
        <v>25878</v>
      </c>
      <c r="L1248" t="s">
        <v>25879</v>
      </c>
      <c r="M1248" t="s">
        <v>25880</v>
      </c>
      <c r="N1248" t="s">
        <v>25881</v>
      </c>
      <c r="O1248">
        <f>-778.775455226811 -101.733544810764 -508.321884118939</f>
        <v>-1388.830884156514</v>
      </c>
      <c r="P1248">
        <f>-720.772148728401 -147.274621476568 -223.448576743176</f>
        <v>-1091.495346948145</v>
      </c>
      <c r="Q1248">
        <f>-564.15570405428 -37.2643056166069 -369.803891513877</f>
        <v>-971.22390118476392</v>
      </c>
      <c r="R1248" t="s">
        <v>25882</v>
      </c>
      <c r="S1248" t="s">
        <v>25883</v>
      </c>
      <c r="T1248" t="s">
        <v>25884</v>
      </c>
      <c r="U1248" t="s">
        <v>25885</v>
      </c>
      <c r="V1248">
        <f>-715.27715636127 -20.5103082568053 -67.0728140947108</f>
        <v>-802.86027871278611</v>
      </c>
      <c r="W1248" t="s">
        <v>25886</v>
      </c>
      <c r="X1248" t="s">
        <v>25887</v>
      </c>
      <c r="Y1248" t="s">
        <v>25888</v>
      </c>
    </row>
    <row r="1249" spans="1:25" x14ac:dyDescent="0.3">
      <c r="A1249">
        <v>62400</v>
      </c>
      <c r="B1249" t="s">
        <v>25889</v>
      </c>
      <c r="C1249" t="s">
        <v>25890</v>
      </c>
      <c r="D1249" t="s">
        <v>25891</v>
      </c>
      <c r="E1249" t="s">
        <v>25892</v>
      </c>
      <c r="F1249" t="s">
        <v>25893</v>
      </c>
      <c r="G1249" t="s">
        <v>25894</v>
      </c>
      <c r="H1249" t="s">
        <v>25895</v>
      </c>
      <c r="I1249" t="s">
        <v>25896</v>
      </c>
      <c r="J1249" t="s">
        <v>25897</v>
      </c>
      <c r="K1249" t="s">
        <v>25898</v>
      </c>
      <c r="L1249" t="s">
        <v>25899</v>
      </c>
      <c r="M1249" t="s">
        <v>25900</v>
      </c>
      <c r="N1249" t="s">
        <v>25901</v>
      </c>
      <c r="O1249">
        <f>-779.043147662297 -102.143749684888 -508.464406312592</f>
        <v>-1389.6513036597771</v>
      </c>
      <c r="P1249">
        <f>-726.004448315283 -147.762160125845 -222.63744139559</f>
        <v>-1096.4040498367181</v>
      </c>
      <c r="Q1249">
        <f>-563.797704709861 -39.4122193338296 -364.058960735615</f>
        <v>-967.26888477930561</v>
      </c>
      <c r="R1249" t="s">
        <v>25902</v>
      </c>
      <c r="S1249" t="s">
        <v>25903</v>
      </c>
      <c r="T1249" t="s">
        <v>25904</v>
      </c>
      <c r="U1249" t="s">
        <v>25905</v>
      </c>
      <c r="V1249">
        <f>-715.580868999971 -21.0895384004784 -67.1026763163035</f>
        <v>-803.77308371675292</v>
      </c>
      <c r="W1249" t="s">
        <v>25906</v>
      </c>
      <c r="X1249" t="s">
        <v>25907</v>
      </c>
      <c r="Y1249" t="s">
        <v>25908</v>
      </c>
    </row>
    <row r="1250" spans="1:25" x14ac:dyDescent="0.3">
      <c r="A1250">
        <v>62450</v>
      </c>
      <c r="B1250" t="s">
        <v>25909</v>
      </c>
      <c r="C1250" t="s">
        <v>25910</v>
      </c>
      <c r="D1250" t="s">
        <v>25911</v>
      </c>
      <c r="E1250" t="s">
        <v>25912</v>
      </c>
      <c r="F1250" t="s">
        <v>25913</v>
      </c>
      <c r="G1250" t="s">
        <v>25914</v>
      </c>
      <c r="H1250" t="s">
        <v>25915</v>
      </c>
      <c r="I1250" t="s">
        <v>25916</v>
      </c>
      <c r="J1250" t="s">
        <v>25917</v>
      </c>
      <c r="K1250" t="s">
        <v>25918</v>
      </c>
      <c r="L1250" t="s">
        <v>25919</v>
      </c>
      <c r="M1250" t="s">
        <v>25920</v>
      </c>
      <c r="N1250" t="s">
        <v>25921</v>
      </c>
      <c r="O1250">
        <f>-779.055854785322 -102.461403370608 -508.507768116652</f>
        <v>-1390.025026272582</v>
      </c>
      <c r="P1250">
        <f>-728.988439521959 -147.598510242638 -222.069092386152</f>
        <v>-1098.656042150749</v>
      </c>
      <c r="Q1250">
        <f>-563.795560439775 -40.4688554504219 -360.940957893769</f>
        <v>-965.20537378396591</v>
      </c>
      <c r="R1250" t="s">
        <v>25922</v>
      </c>
      <c r="S1250" t="s">
        <v>25923</v>
      </c>
      <c r="T1250" t="s">
        <v>25924</v>
      </c>
      <c r="U1250" t="s">
        <v>25925</v>
      </c>
      <c r="V1250">
        <f>-715.684445248918 -21.459436537602 -67.1192283737238</f>
        <v>-804.26311016024374</v>
      </c>
      <c r="W1250" t="s">
        <v>25926</v>
      </c>
      <c r="X1250" t="s">
        <v>25927</v>
      </c>
      <c r="Y1250" t="s">
        <v>25928</v>
      </c>
    </row>
    <row r="1251" spans="1:25" x14ac:dyDescent="0.3">
      <c r="A1251">
        <v>62500</v>
      </c>
      <c r="B1251" t="s">
        <v>25929</v>
      </c>
      <c r="C1251" t="s">
        <v>25930</v>
      </c>
      <c r="D1251" t="s">
        <v>25931</v>
      </c>
      <c r="E1251" t="s">
        <v>25932</v>
      </c>
      <c r="F1251" t="s">
        <v>25933</v>
      </c>
      <c r="G1251" t="s">
        <v>25934</v>
      </c>
      <c r="H1251" t="s">
        <v>25935</v>
      </c>
      <c r="I1251" t="s">
        <v>25936</v>
      </c>
      <c r="J1251" t="s">
        <v>25937</v>
      </c>
      <c r="K1251" t="s">
        <v>25938</v>
      </c>
      <c r="L1251" t="s">
        <v>25939</v>
      </c>
      <c r="M1251" t="s">
        <v>25940</v>
      </c>
      <c r="N1251" t="s">
        <v>25941</v>
      </c>
      <c r="O1251">
        <f>-779.464818632402 -103.29493463635 -508.53360924502</f>
        <v>-1391.2933625137721</v>
      </c>
      <c r="P1251">
        <f>-734.594083944087 -147.733557283848 -221.126203774794</f>
        <v>-1103.4538450027289</v>
      </c>
      <c r="Q1251">
        <f>-562.938257386708 -43.4720707499066 -354.222720187368</f>
        <v>-960.63304832398262</v>
      </c>
      <c r="R1251" t="s">
        <v>25942</v>
      </c>
      <c r="S1251" t="s">
        <v>25943</v>
      </c>
      <c r="T1251" t="s">
        <v>25944</v>
      </c>
      <c r="U1251" t="s">
        <v>25945</v>
      </c>
      <c r="V1251">
        <f>-715.862772353264 -22.4751346812623 -67.1750725564574</f>
        <v>-805.5129795909836</v>
      </c>
      <c r="W1251" t="s">
        <v>25946</v>
      </c>
      <c r="X1251" t="s">
        <v>25947</v>
      </c>
      <c r="Y1251" t="s">
        <v>25948</v>
      </c>
    </row>
    <row r="1252" spans="1:25" x14ac:dyDescent="0.3">
      <c r="A1252">
        <v>62550</v>
      </c>
      <c r="B1252" t="s">
        <v>25949</v>
      </c>
      <c r="C1252" t="s">
        <v>25950</v>
      </c>
      <c r="D1252" t="s">
        <v>25951</v>
      </c>
      <c r="E1252" t="s">
        <v>25952</v>
      </c>
      <c r="F1252" t="s">
        <v>25953</v>
      </c>
      <c r="G1252" t="s">
        <v>25954</v>
      </c>
      <c r="H1252" t="s">
        <v>25955</v>
      </c>
      <c r="I1252" t="s">
        <v>25956</v>
      </c>
      <c r="J1252" t="s">
        <v>25957</v>
      </c>
      <c r="K1252" t="s">
        <v>25958</v>
      </c>
      <c r="L1252" t="s">
        <v>25959</v>
      </c>
      <c r="M1252" t="s">
        <v>25960</v>
      </c>
      <c r="N1252" t="s">
        <v>25961</v>
      </c>
      <c r="O1252">
        <f>-779.527250896021 -103.706413266877 -508.504888150263</f>
        <v>-1391.7385523131611</v>
      </c>
      <c r="P1252">
        <f>-736.573126949761 -147.918563692322 -220.769807494196</f>
        <v>-1105.261498136279</v>
      </c>
      <c r="Q1252">
        <f>-562.194554340286 -44.6837685360481 -351.098375638797</f>
        <v>-957.97669851513115</v>
      </c>
      <c r="R1252" t="s">
        <v>25962</v>
      </c>
      <c r="S1252" t="s">
        <v>25963</v>
      </c>
      <c r="T1252" t="s">
        <v>25964</v>
      </c>
      <c r="U1252" t="s">
        <v>25965</v>
      </c>
      <c r="V1252">
        <f>-715.953157436291 -23.0439160404958 -67.1877190926864</f>
        <v>-806.18479256947319</v>
      </c>
      <c r="W1252" t="s">
        <v>25966</v>
      </c>
      <c r="X1252" t="s">
        <v>25967</v>
      </c>
      <c r="Y1252" t="s">
        <v>25968</v>
      </c>
    </row>
    <row r="1253" spans="1:25" x14ac:dyDescent="0.3">
      <c r="A1253">
        <v>62600</v>
      </c>
      <c r="B1253" t="s">
        <v>25969</v>
      </c>
      <c r="C1253" t="s">
        <v>25970</v>
      </c>
      <c r="D1253" t="s">
        <v>25971</v>
      </c>
      <c r="E1253" t="s">
        <v>25972</v>
      </c>
      <c r="F1253" t="s">
        <v>25973</v>
      </c>
      <c r="G1253" t="s">
        <v>25974</v>
      </c>
      <c r="H1253" t="s">
        <v>25975</v>
      </c>
      <c r="I1253" t="s">
        <v>25976</v>
      </c>
      <c r="J1253" t="s">
        <v>25977</v>
      </c>
      <c r="K1253" t="s">
        <v>25978</v>
      </c>
      <c r="L1253" t="s">
        <v>25979</v>
      </c>
      <c r="M1253" t="s">
        <v>25980</v>
      </c>
      <c r="N1253" t="s">
        <v>25981</v>
      </c>
      <c r="O1253">
        <f>-779.983584332937 -104.049599484837 -508.637445405678</f>
        <v>-1392.6706292234521</v>
      </c>
      <c r="P1253">
        <f>-740.126229246245 -148.368786557289 -220.473505417936</f>
        <v>-1108.9685212214699</v>
      </c>
      <c r="Q1253">
        <f>-562.68089040247 -46.8651086041691 -347.992295277049</f>
        <v>-957.53829428368817</v>
      </c>
      <c r="R1253" t="s">
        <v>25982</v>
      </c>
      <c r="S1253" t="s">
        <v>25983</v>
      </c>
      <c r="T1253" t="s">
        <v>25984</v>
      </c>
      <c r="U1253" t="s">
        <v>25985</v>
      </c>
      <c r="V1253">
        <f>-716.342118606786 -23.8632176371616 -67.2044655055166</f>
        <v>-807.40980174946424</v>
      </c>
      <c r="W1253" t="s">
        <v>25986</v>
      </c>
      <c r="X1253" t="s">
        <v>25987</v>
      </c>
      <c r="Y1253" t="s">
        <v>25988</v>
      </c>
    </row>
    <row r="1254" spans="1:25" x14ac:dyDescent="0.3">
      <c r="A1254">
        <v>62650</v>
      </c>
      <c r="B1254" t="s">
        <v>25989</v>
      </c>
      <c r="C1254" t="s">
        <v>25990</v>
      </c>
      <c r="D1254" t="s">
        <v>25991</v>
      </c>
      <c r="E1254" t="s">
        <v>25992</v>
      </c>
      <c r="F1254" t="s">
        <v>25993</v>
      </c>
      <c r="G1254" t="s">
        <v>25994</v>
      </c>
      <c r="H1254" t="s">
        <v>25995</v>
      </c>
      <c r="I1254" t="s">
        <v>25996</v>
      </c>
      <c r="J1254" t="s">
        <v>25997</v>
      </c>
      <c r="K1254" t="s">
        <v>25998</v>
      </c>
      <c r="L1254" t="s">
        <v>25999</v>
      </c>
      <c r="M1254" t="s">
        <v>26000</v>
      </c>
      <c r="N1254" t="s">
        <v>26001</v>
      </c>
      <c r="O1254">
        <f>-780.318549643586 -104.111060726581 -508.732370809294</f>
        <v>-1393.161981179461</v>
      </c>
      <c r="P1254">
        <f>-741.542254526528 -148.814407618857 -220.480347032257</f>
        <v>-1110.8370091776419</v>
      </c>
      <c r="Q1254">
        <f>-564.413058659367 -47.0492172610063 -348.230039441342</f>
        <v>-959.69231536171537</v>
      </c>
      <c r="R1254" t="s">
        <v>26002</v>
      </c>
      <c r="S1254" t="s">
        <v>26003</v>
      </c>
      <c r="T1254" t="s">
        <v>26004</v>
      </c>
      <c r="U1254" t="s">
        <v>26005</v>
      </c>
      <c r="V1254">
        <f>-716.632239950901 -24.0172938696251 -67.2140864797744</f>
        <v>-807.86362030030045</v>
      </c>
      <c r="W1254" t="s">
        <v>26006</v>
      </c>
      <c r="X1254" t="s">
        <v>26007</v>
      </c>
      <c r="Y1254" t="s">
        <v>26008</v>
      </c>
    </row>
    <row r="1255" spans="1:25" x14ac:dyDescent="0.3">
      <c r="A1255">
        <v>62700</v>
      </c>
      <c r="B1255" t="s">
        <v>26009</v>
      </c>
      <c r="C1255" t="s">
        <v>26010</v>
      </c>
      <c r="D1255" t="s">
        <v>26011</v>
      </c>
      <c r="E1255" t="s">
        <v>26012</v>
      </c>
      <c r="F1255" t="s">
        <v>26013</v>
      </c>
      <c r="G1255" t="s">
        <v>26014</v>
      </c>
      <c r="H1255" t="s">
        <v>26015</v>
      </c>
      <c r="I1255" t="s">
        <v>26016</v>
      </c>
      <c r="J1255" t="s">
        <v>26017</v>
      </c>
      <c r="K1255" t="s">
        <v>26018</v>
      </c>
      <c r="L1255" t="s">
        <v>26019</v>
      </c>
      <c r="M1255" t="s">
        <v>26020</v>
      </c>
      <c r="N1255" t="s">
        <v>26021</v>
      </c>
      <c r="O1255">
        <f>-781.19581659509 -104.222853012742 -508.870407998912</f>
        <v>-1394.2890776067441</v>
      </c>
      <c r="P1255">
        <f>-744.457769773052 -149.874770584068 -220.50018075066</f>
        <v>-1114.8327211077799</v>
      </c>
      <c r="Q1255">
        <f>-570.522752653937 -44.9934919761793 -350.104962478477</f>
        <v>-965.62120710859324</v>
      </c>
      <c r="R1255" t="s">
        <v>26022</v>
      </c>
      <c r="S1255" t="s">
        <v>26023</v>
      </c>
      <c r="T1255" t="s">
        <v>26024</v>
      </c>
      <c r="U1255" t="s">
        <v>26025</v>
      </c>
      <c r="V1255">
        <f>-717.269696691645 -24.2983036230075 -67.1887397107367</f>
        <v>-808.75674002538926</v>
      </c>
      <c r="W1255" t="s">
        <v>26026</v>
      </c>
      <c r="X1255" t="s">
        <v>26027</v>
      </c>
      <c r="Y1255" t="s">
        <v>26028</v>
      </c>
    </row>
    <row r="1256" spans="1:25" x14ac:dyDescent="0.3">
      <c r="A1256">
        <v>62750</v>
      </c>
      <c r="B1256" t="s">
        <v>26029</v>
      </c>
      <c r="C1256" t="s">
        <v>26030</v>
      </c>
      <c r="D1256" t="s">
        <v>26031</v>
      </c>
      <c r="E1256" t="s">
        <v>26032</v>
      </c>
      <c r="F1256" t="s">
        <v>26033</v>
      </c>
      <c r="G1256" t="s">
        <v>26034</v>
      </c>
      <c r="H1256" t="s">
        <v>26035</v>
      </c>
      <c r="I1256" t="s">
        <v>26036</v>
      </c>
      <c r="J1256" t="s">
        <v>26037</v>
      </c>
      <c r="K1256" t="s">
        <v>26038</v>
      </c>
      <c r="L1256" t="s">
        <v>26039</v>
      </c>
      <c r="M1256" t="s">
        <v>26040</v>
      </c>
      <c r="N1256" t="s">
        <v>26041</v>
      </c>
      <c r="O1256">
        <f>-781.800626135151 -104.234573556903 -508.832860418202</f>
        <v>-1394.868060110256</v>
      </c>
      <c r="P1256">
        <f>-746.006924670384 -150.171300467674 -220.3890827616</f>
        <v>-1116.5673078996581</v>
      </c>
      <c r="Q1256">
        <f>-573.345164829485 -43.3746382903978 -350.13199790994</f>
        <v>-966.85180102982281</v>
      </c>
      <c r="R1256" t="s">
        <v>26042</v>
      </c>
      <c r="S1256" t="s">
        <v>26043</v>
      </c>
      <c r="T1256" t="s">
        <v>26044</v>
      </c>
      <c r="U1256" t="s">
        <v>26045</v>
      </c>
      <c r="V1256">
        <f>-717.524686846683 -24.3744649685968 -67.179742083602</f>
        <v>-809.07889389888192</v>
      </c>
      <c r="W1256" t="s">
        <v>26046</v>
      </c>
      <c r="X1256" t="s">
        <v>26047</v>
      </c>
      <c r="Y1256" t="s">
        <v>26048</v>
      </c>
    </row>
    <row r="1257" spans="1:25" x14ac:dyDescent="0.3">
      <c r="A1257">
        <v>62800</v>
      </c>
      <c r="B1257" t="s">
        <v>26049</v>
      </c>
      <c r="C1257" t="s">
        <v>26050</v>
      </c>
      <c r="D1257" t="s">
        <v>26051</v>
      </c>
      <c r="E1257" t="s">
        <v>26052</v>
      </c>
      <c r="F1257" t="s">
        <v>26053</v>
      </c>
      <c r="G1257" t="s">
        <v>26054</v>
      </c>
      <c r="H1257" t="s">
        <v>26055</v>
      </c>
      <c r="I1257" t="s">
        <v>26056</v>
      </c>
      <c r="J1257" t="s">
        <v>26057</v>
      </c>
      <c r="K1257" t="s">
        <v>26058</v>
      </c>
      <c r="L1257" t="s">
        <v>26059</v>
      </c>
      <c r="M1257" t="s">
        <v>26060</v>
      </c>
      <c r="N1257" t="s">
        <v>26061</v>
      </c>
      <c r="O1257">
        <f>-782.68149313157 -104.612160034974 -508.508058743803</f>
        <v>-1395.801711910347</v>
      </c>
      <c r="P1257">
        <f>-749.070155507731 -150.446986583996 -219.785613697912</f>
        <v>-1119.3027557896389</v>
      </c>
      <c r="Q1257">
        <f>-578.960892550815 -38.3299359815021 -348.407155689039</f>
        <v>-965.69798422135602</v>
      </c>
      <c r="R1257" t="s">
        <v>26062</v>
      </c>
      <c r="S1257" t="s">
        <v>26063</v>
      </c>
      <c r="T1257" t="s">
        <v>26064</v>
      </c>
      <c r="U1257" t="s">
        <v>26065</v>
      </c>
      <c r="V1257">
        <f>-717.929185027568 -24.5239145920887 -67.1162026764891</f>
        <v>-809.56930229614579</v>
      </c>
      <c r="W1257" t="s">
        <v>26066</v>
      </c>
      <c r="X1257" t="s">
        <v>26067</v>
      </c>
      <c r="Y1257" t="s">
        <v>26068</v>
      </c>
    </row>
    <row r="1258" spans="1:25" x14ac:dyDescent="0.3">
      <c r="A1258">
        <v>62850</v>
      </c>
      <c r="B1258" t="s">
        <v>26069</v>
      </c>
      <c r="C1258" t="s">
        <v>26070</v>
      </c>
      <c r="D1258" t="s">
        <v>26071</v>
      </c>
      <c r="E1258" t="s">
        <v>26072</v>
      </c>
      <c r="F1258" t="s">
        <v>26073</v>
      </c>
      <c r="G1258" t="s">
        <v>26074</v>
      </c>
      <c r="H1258" t="s">
        <v>26075</v>
      </c>
      <c r="I1258" t="s">
        <v>26076</v>
      </c>
      <c r="J1258" t="s">
        <v>26077</v>
      </c>
      <c r="K1258" t="s">
        <v>26078</v>
      </c>
      <c r="L1258" t="s">
        <v>26079</v>
      </c>
      <c r="M1258" t="s">
        <v>26080</v>
      </c>
      <c r="N1258" t="s">
        <v>26081</v>
      </c>
      <c r="O1258">
        <f>-783.015871267151 -104.802088837217 -508.296614851991</f>
        <v>-1396.1145749563591</v>
      </c>
      <c r="P1258">
        <f>-750.698033410591 -150.326313263823 -219.377352152663</f>
        <v>-1120.4016988270771</v>
      </c>
      <c r="Q1258">
        <f>-581.970445588169 -34.7410958626383 -346.742726108195</f>
        <v>-963.45426755900235</v>
      </c>
      <c r="R1258" t="s">
        <v>26082</v>
      </c>
      <c r="S1258" t="s">
        <v>26083</v>
      </c>
      <c r="T1258" t="s">
        <v>26084</v>
      </c>
      <c r="U1258" t="s">
        <v>26085</v>
      </c>
      <c r="V1258">
        <f>-718.141923730027 -24.6233599405509 -67.0839822270407</f>
        <v>-809.84926589761858</v>
      </c>
      <c r="W1258" t="s">
        <v>26086</v>
      </c>
      <c r="X1258" t="s">
        <v>26087</v>
      </c>
      <c r="Y1258" t="s">
        <v>26088</v>
      </c>
    </row>
    <row r="1259" spans="1:25" x14ac:dyDescent="0.3">
      <c r="A1259">
        <v>62900</v>
      </c>
      <c r="B1259" t="s">
        <v>26089</v>
      </c>
      <c r="C1259" t="s">
        <v>26090</v>
      </c>
      <c r="D1259" t="s">
        <v>26091</v>
      </c>
      <c r="E1259" t="s">
        <v>26092</v>
      </c>
      <c r="F1259" t="s">
        <v>26093</v>
      </c>
      <c r="G1259" t="s">
        <v>26094</v>
      </c>
      <c r="H1259" t="s">
        <v>26095</v>
      </c>
      <c r="I1259" t="s">
        <v>26096</v>
      </c>
      <c r="J1259" t="s">
        <v>26097</v>
      </c>
      <c r="K1259" t="s">
        <v>26098</v>
      </c>
      <c r="L1259" t="s">
        <v>26099</v>
      </c>
      <c r="M1259" t="s">
        <v>26100</v>
      </c>
      <c r="N1259" t="s">
        <v>26101</v>
      </c>
      <c r="O1259">
        <f>-783.989230162768 -104.899968707013 -507.884140210667</f>
        <v>-1396.7733390804481</v>
      </c>
      <c r="P1259">
        <f>-754.337887399274 -149.064337582304 -218.46822517746</f>
        <v>-1121.870450159038</v>
      </c>
      <c r="Q1259">
        <f>-586.414370722408 -28.8482129111285 -342.567368722581</f>
        <v>-957.82995235611747</v>
      </c>
      <c r="R1259" t="s">
        <v>26102</v>
      </c>
      <c r="S1259" t="s">
        <v>26103</v>
      </c>
      <c r="T1259" t="s">
        <v>26104</v>
      </c>
      <c r="U1259" t="s">
        <v>26105</v>
      </c>
      <c r="V1259">
        <f>-718.758231579094 -24.9723197827752 -67.0529505760179</f>
        <v>-810.78350193788708</v>
      </c>
      <c r="W1259" t="s">
        <v>26106</v>
      </c>
      <c r="X1259" t="s">
        <v>26107</v>
      </c>
      <c r="Y1259" t="s">
        <v>26108</v>
      </c>
    </row>
    <row r="1260" spans="1:25" x14ac:dyDescent="0.3">
      <c r="A1260">
        <v>62950</v>
      </c>
      <c r="B1260" t="s">
        <v>26109</v>
      </c>
      <c r="C1260" t="s">
        <v>26110</v>
      </c>
      <c r="D1260" t="s">
        <v>26111</v>
      </c>
      <c r="E1260" t="s">
        <v>26112</v>
      </c>
      <c r="F1260" t="s">
        <v>26113</v>
      </c>
      <c r="G1260" t="s">
        <v>26114</v>
      </c>
      <c r="H1260" t="s">
        <v>26115</v>
      </c>
      <c r="I1260" t="s">
        <v>26116</v>
      </c>
      <c r="J1260" t="s">
        <v>26117</v>
      </c>
      <c r="K1260" t="s">
        <v>26118</v>
      </c>
      <c r="L1260" t="s">
        <v>26119</v>
      </c>
      <c r="M1260" t="s">
        <v>26120</v>
      </c>
      <c r="N1260" t="s">
        <v>26121</v>
      </c>
      <c r="O1260">
        <f>-784.259096389826 -104.742601135033 -507.689782215014</f>
        <v>-1396.6914797398731</v>
      </c>
      <c r="P1260">
        <f>-755.728533988878 -148.415649965801 -218.086885589219</f>
        <v>-1122.231069543898</v>
      </c>
      <c r="Q1260">
        <f>-588.12930162117 -26.5048426516323 -340.965422433375</f>
        <v>-955.59956670617737</v>
      </c>
      <c r="R1260" t="s">
        <v>26122</v>
      </c>
      <c r="S1260" t="s">
        <v>26123</v>
      </c>
      <c r="T1260" t="s">
        <v>26124</v>
      </c>
      <c r="U1260" t="s">
        <v>26125</v>
      </c>
      <c r="V1260">
        <f>-719.077996255612 -24.9048459948622 -67.0379873284977</f>
        <v>-811.02082957897187</v>
      </c>
      <c r="W1260" t="s">
        <v>26126</v>
      </c>
      <c r="X1260" t="s">
        <v>26127</v>
      </c>
      <c r="Y1260" t="s">
        <v>26128</v>
      </c>
    </row>
    <row r="1261" spans="1:25" x14ac:dyDescent="0.3">
      <c r="A1261">
        <v>63000</v>
      </c>
      <c r="B1261" t="s">
        <v>26129</v>
      </c>
      <c r="C1261" t="s">
        <v>26130</v>
      </c>
      <c r="D1261" t="s">
        <v>26131</v>
      </c>
      <c r="E1261" t="s">
        <v>26132</v>
      </c>
      <c r="F1261" t="s">
        <v>26133</v>
      </c>
      <c r="G1261" t="s">
        <v>26134</v>
      </c>
      <c r="H1261" t="s">
        <v>26135</v>
      </c>
      <c r="I1261" t="s">
        <v>26136</v>
      </c>
      <c r="J1261" t="s">
        <v>26137</v>
      </c>
      <c r="K1261" t="s">
        <v>26138</v>
      </c>
      <c r="L1261" t="s">
        <v>26139</v>
      </c>
      <c r="M1261" t="s">
        <v>26140</v>
      </c>
      <c r="N1261" t="s">
        <v>26141</v>
      </c>
      <c r="O1261">
        <f>-784.609346558359 -104.138797036253 -507.440957151642</f>
        <v>-1396.1891007462541</v>
      </c>
      <c r="P1261">
        <f>-757.667951256698 -146.327275875062 -217.465913529981</f>
        <v>-1121.461140661741</v>
      </c>
      <c r="Q1261">
        <f>-588.873072641579 -24.389646262387 -338.669872180616</f>
        <v>-951.9325910845821</v>
      </c>
      <c r="R1261" t="s">
        <v>26142</v>
      </c>
      <c r="S1261" t="s">
        <v>26143</v>
      </c>
      <c r="T1261" t="s">
        <v>26144</v>
      </c>
      <c r="U1261" t="s">
        <v>26145</v>
      </c>
      <c r="V1261">
        <f>-719.746644795714 -24.3345237705303 -67.0190768751027</f>
        <v>-811.10024544134694</v>
      </c>
      <c r="W1261" t="s">
        <v>26146</v>
      </c>
      <c r="X1261" t="s">
        <v>26147</v>
      </c>
      <c r="Y1261" t="s">
        <v>26148</v>
      </c>
    </row>
    <row r="1262" spans="1:25" x14ac:dyDescent="0.3">
      <c r="A1262">
        <v>63050</v>
      </c>
      <c r="B1262" t="s">
        <v>26149</v>
      </c>
      <c r="C1262" t="s">
        <v>26150</v>
      </c>
      <c r="D1262" t="s">
        <v>26151</v>
      </c>
      <c r="E1262" t="s">
        <v>26152</v>
      </c>
      <c r="F1262" t="s">
        <v>26153</v>
      </c>
      <c r="G1262" t="s">
        <v>26154</v>
      </c>
      <c r="H1262" t="s">
        <v>26155</v>
      </c>
      <c r="I1262" t="s">
        <v>26156</v>
      </c>
      <c r="J1262" t="s">
        <v>26157</v>
      </c>
      <c r="K1262" t="s">
        <v>26158</v>
      </c>
      <c r="L1262" t="s">
        <v>26159</v>
      </c>
      <c r="M1262" t="s">
        <v>26160</v>
      </c>
      <c r="N1262" t="s">
        <v>26161</v>
      </c>
      <c r="O1262">
        <f>-784.785524226746 -103.767634930864 -507.35369225736</f>
        <v>-1395.9068514149701</v>
      </c>
      <c r="P1262">
        <f>-758.015423905238 -145.737230567108 -217.331089021221</f>
        <v>-1121.083743493567</v>
      </c>
      <c r="Q1262">
        <f>-588.155515136342 -24.6859542693933 -337.934098497362</f>
        <v>-950.77556790309734</v>
      </c>
      <c r="R1262" t="s">
        <v>26162</v>
      </c>
      <c r="S1262" t="s">
        <v>26163</v>
      </c>
      <c r="T1262" t="s">
        <v>26164</v>
      </c>
      <c r="U1262" t="s">
        <v>26165</v>
      </c>
      <c r="V1262">
        <f>-720.065854877222 -23.8086234850798 -67.0074435230422</f>
        <v>-810.88192188534401</v>
      </c>
      <c r="W1262" t="s">
        <v>26166</v>
      </c>
      <c r="X1262" t="s">
        <v>26167</v>
      </c>
      <c r="Y1262" t="s">
        <v>26168</v>
      </c>
    </row>
    <row r="1263" spans="1:25" x14ac:dyDescent="0.3">
      <c r="A1263">
        <v>63100</v>
      </c>
      <c r="B1263" t="s">
        <v>26169</v>
      </c>
      <c r="C1263" t="s">
        <v>26170</v>
      </c>
      <c r="D1263" t="s">
        <v>26171</v>
      </c>
      <c r="E1263" t="s">
        <v>26172</v>
      </c>
      <c r="F1263" t="s">
        <v>26173</v>
      </c>
      <c r="G1263" t="s">
        <v>26174</v>
      </c>
      <c r="H1263" t="s">
        <v>26175</v>
      </c>
      <c r="I1263" t="s">
        <v>26176</v>
      </c>
      <c r="J1263" t="s">
        <v>26177</v>
      </c>
      <c r="K1263" t="s">
        <v>26178</v>
      </c>
      <c r="L1263" t="s">
        <v>26179</v>
      </c>
      <c r="M1263" t="s">
        <v>26180</v>
      </c>
      <c r="N1263" t="s">
        <v>26181</v>
      </c>
      <c r="O1263">
        <f>-784.359114420336 -102.3758122133 -507.461460851243</f>
        <v>-1394.1963874848791</v>
      </c>
      <c r="P1263">
        <f>-757.642716565074 -145.211187010485 -217.560508032379</f>
        <v>-1120.4144116079381</v>
      </c>
      <c r="Q1263">
        <f>-586.683210049089 -24.9306754972067 -337.378561178585</f>
        <v>-948.99244672488066</v>
      </c>
      <c r="R1263" t="s">
        <v>26182</v>
      </c>
      <c r="S1263" t="s">
        <v>26183</v>
      </c>
      <c r="T1263" t="s">
        <v>26184</v>
      </c>
      <c r="U1263" t="s">
        <v>26185</v>
      </c>
      <c r="V1263">
        <f>-720.435789343878 -22.711691897221 -66.9887954261533</f>
        <v>-810.13627666725233</v>
      </c>
      <c r="W1263" t="s">
        <v>26186</v>
      </c>
      <c r="X1263" t="s">
        <v>26187</v>
      </c>
      <c r="Y1263" t="s">
        <v>26188</v>
      </c>
    </row>
    <row r="1264" spans="1:25" x14ac:dyDescent="0.3">
      <c r="A1264">
        <v>63150</v>
      </c>
      <c r="B1264" t="s">
        <v>26189</v>
      </c>
      <c r="C1264" t="s">
        <v>26190</v>
      </c>
      <c r="D1264" t="s">
        <v>26191</v>
      </c>
      <c r="E1264" t="s">
        <v>26192</v>
      </c>
      <c r="F1264" t="s">
        <v>26193</v>
      </c>
      <c r="G1264" t="s">
        <v>26194</v>
      </c>
      <c r="H1264" t="s">
        <v>26195</v>
      </c>
      <c r="I1264" t="s">
        <v>26196</v>
      </c>
      <c r="J1264" t="s">
        <v>26197</v>
      </c>
      <c r="K1264" t="s">
        <v>26198</v>
      </c>
      <c r="L1264" t="s">
        <v>26199</v>
      </c>
      <c r="M1264" t="s">
        <v>26200</v>
      </c>
      <c r="N1264" t="s">
        <v>26201</v>
      </c>
      <c r="O1264">
        <f>-783.999869027743 -101.331863209808 -507.639518479513</f>
        <v>-1392.9712507170641</v>
      </c>
      <c r="P1264">
        <f>-757.38858064488 -144.403222749244 -217.763709235583</f>
        <v>-1119.555512629707</v>
      </c>
      <c r="Q1264">
        <f>-585.553165995649 -24.8985830130159 -337.103848137444</f>
        <v>-947.55559714610899</v>
      </c>
      <c r="R1264" t="s">
        <v>26202</v>
      </c>
      <c r="S1264" t="s">
        <v>26203</v>
      </c>
      <c r="T1264" t="s">
        <v>26204</v>
      </c>
      <c r="U1264" t="s">
        <v>26205</v>
      </c>
      <c r="V1264">
        <f>-720.725186042254 -21.8935295984556 -66.982894964328</f>
        <v>-809.60161060503765</v>
      </c>
      <c r="W1264" t="s">
        <v>26206</v>
      </c>
      <c r="X1264" t="s">
        <v>26207</v>
      </c>
      <c r="Y1264" t="s">
        <v>26208</v>
      </c>
    </row>
    <row r="1265" spans="1:25" x14ac:dyDescent="0.3">
      <c r="A1265">
        <v>63200</v>
      </c>
      <c r="B1265" t="s">
        <v>26209</v>
      </c>
      <c r="C1265" t="s">
        <v>26210</v>
      </c>
      <c r="D1265" t="s">
        <v>26211</v>
      </c>
      <c r="E1265" t="s">
        <v>26212</v>
      </c>
      <c r="F1265" t="s">
        <v>26213</v>
      </c>
      <c r="G1265" t="s">
        <v>26214</v>
      </c>
      <c r="H1265" t="s">
        <v>26215</v>
      </c>
      <c r="I1265" t="s">
        <v>26216</v>
      </c>
      <c r="J1265" t="s">
        <v>26217</v>
      </c>
      <c r="K1265" t="s">
        <v>26218</v>
      </c>
      <c r="L1265" t="s">
        <v>26219</v>
      </c>
      <c r="M1265" t="s">
        <v>26220</v>
      </c>
      <c r="N1265" t="s">
        <v>26221</v>
      </c>
      <c r="O1265">
        <f>-783.035869156737 -98.7976067283946 -507.98187575064</f>
        <v>-1389.8153516357715</v>
      </c>
      <c r="P1265">
        <f>-756.224309247855 -142.649910535129 -218.241716940081</f>
        <v>-1117.115936723065</v>
      </c>
      <c r="Q1265">
        <f>-583.946698891841 -23.5937958421832 -337.392822814531</f>
        <v>-944.93331754855524</v>
      </c>
      <c r="R1265" t="s">
        <v>26222</v>
      </c>
      <c r="S1265" t="s">
        <v>26223</v>
      </c>
      <c r="T1265" t="s">
        <v>26224</v>
      </c>
      <c r="U1265" t="s">
        <v>26225</v>
      </c>
      <c r="V1265">
        <f>-721.571231341142 -20.3661885312931 -66.9592172502032</f>
        <v>-808.89663712263837</v>
      </c>
      <c r="W1265" t="s">
        <v>26226</v>
      </c>
      <c r="X1265" t="s">
        <v>26227</v>
      </c>
      <c r="Y1265" t="s">
        <v>26228</v>
      </c>
    </row>
    <row r="1266" spans="1:25" x14ac:dyDescent="0.3">
      <c r="A1266">
        <v>63250</v>
      </c>
      <c r="B1266" t="s">
        <v>26229</v>
      </c>
      <c r="C1266" t="s">
        <v>26230</v>
      </c>
      <c r="D1266" t="s">
        <v>26231</v>
      </c>
      <c r="E1266" t="s">
        <v>26232</v>
      </c>
      <c r="F1266" t="s">
        <v>26233</v>
      </c>
      <c r="G1266" t="s">
        <v>26234</v>
      </c>
      <c r="H1266" t="s">
        <v>26235</v>
      </c>
      <c r="I1266" t="s">
        <v>26236</v>
      </c>
      <c r="J1266" t="s">
        <v>26237</v>
      </c>
      <c r="K1266" t="s">
        <v>26238</v>
      </c>
      <c r="L1266" t="s">
        <v>26239</v>
      </c>
      <c r="M1266" t="s">
        <v>26240</v>
      </c>
      <c r="N1266" t="s">
        <v>26241</v>
      </c>
      <c r="O1266">
        <f>-782.507334069194 -97.6144188647738 -508.129172487538</f>
        <v>-1388.2509254215058</v>
      </c>
      <c r="P1266">
        <f>-755.56478588627 -141.907191319852 -218.46824255121</f>
        <v>-1115.940219757332</v>
      </c>
      <c r="Q1266">
        <f>-582.971591872647 -23.3619223997093 -337.67166453893</f>
        <v>-944.00517881128621</v>
      </c>
      <c r="R1266" t="s">
        <v>26242</v>
      </c>
      <c r="S1266" t="s">
        <v>26243</v>
      </c>
      <c r="T1266" t="s">
        <v>26244</v>
      </c>
      <c r="U1266" t="s">
        <v>26245</v>
      </c>
      <c r="V1266">
        <f>-721.878854463877 -19.8424668040711 -66.9582598997034</f>
        <v>-808.67958116765158</v>
      </c>
      <c r="W1266" t="s">
        <v>26246</v>
      </c>
      <c r="X1266" t="s">
        <v>26247</v>
      </c>
      <c r="Y1266" t="s">
        <v>26248</v>
      </c>
    </row>
    <row r="1267" spans="1:25" x14ac:dyDescent="0.3">
      <c r="A1267">
        <v>63300</v>
      </c>
      <c r="B1267" t="s">
        <v>26249</v>
      </c>
      <c r="C1267" t="s">
        <v>26250</v>
      </c>
      <c r="D1267" t="s">
        <v>26251</v>
      </c>
      <c r="E1267" t="s">
        <v>26252</v>
      </c>
      <c r="F1267" t="s">
        <v>26253</v>
      </c>
      <c r="G1267" t="s">
        <v>26254</v>
      </c>
      <c r="H1267" t="s">
        <v>26255</v>
      </c>
      <c r="I1267" t="s">
        <v>26256</v>
      </c>
      <c r="J1267" t="s">
        <v>26257</v>
      </c>
      <c r="K1267" t="s">
        <v>26258</v>
      </c>
      <c r="L1267" t="s">
        <v>26259</v>
      </c>
      <c r="M1267" t="s">
        <v>26260</v>
      </c>
      <c r="N1267" t="s">
        <v>26261</v>
      </c>
      <c r="O1267">
        <f>-780.906959111051 -95.2953667844454 -508.367431138191</f>
        <v>-1384.5697570336874</v>
      </c>
      <c r="P1267">
        <f>-754.952425918173 -139.601697757427 -218.618375532246</f>
        <v>-1113.1724992078462</v>
      </c>
      <c r="Q1267">
        <f>-581.604073208463 -24.8022678575712 -340.364941647685</f>
        <v>-946.77128271371919</v>
      </c>
      <c r="R1267" t="s">
        <v>26262</v>
      </c>
      <c r="S1267" t="s">
        <v>26263</v>
      </c>
      <c r="T1267" t="s">
        <v>26264</v>
      </c>
      <c r="U1267" t="s">
        <v>26265</v>
      </c>
      <c r="V1267">
        <f>-722.327176583035 -18.7488153639829 -66.943329360439</f>
        <v>-808.01932130745683</v>
      </c>
      <c r="W1267" t="s">
        <v>26266</v>
      </c>
      <c r="X1267" t="s">
        <v>26267</v>
      </c>
      <c r="Y1267" t="s">
        <v>26268</v>
      </c>
    </row>
    <row r="1268" spans="1:25" x14ac:dyDescent="0.3">
      <c r="A1268">
        <v>63350</v>
      </c>
      <c r="B1268" t="s">
        <v>26269</v>
      </c>
      <c r="C1268" t="s">
        <v>26270</v>
      </c>
      <c r="D1268" t="s">
        <v>26271</v>
      </c>
      <c r="E1268" t="s">
        <v>26272</v>
      </c>
      <c r="F1268" t="s">
        <v>26273</v>
      </c>
      <c r="G1268" t="s">
        <v>26274</v>
      </c>
      <c r="H1268" t="s">
        <v>26275</v>
      </c>
      <c r="I1268" t="s">
        <v>26276</v>
      </c>
      <c r="J1268" t="s">
        <v>26277</v>
      </c>
      <c r="K1268" t="s">
        <v>26278</v>
      </c>
      <c r="L1268" t="s">
        <v>26279</v>
      </c>
      <c r="M1268" t="s">
        <v>26280</v>
      </c>
      <c r="N1268" t="s">
        <v>26281</v>
      </c>
      <c r="O1268">
        <f>-779.782968173599 -94.224387810872 -508.475003622887</f>
        <v>-1382.4823596073579</v>
      </c>
      <c r="P1268">
        <f>-755.616019618137 -137.663739675089 -218.440165754012</f>
        <v>-1111.7199250472381</v>
      </c>
      <c r="Q1268">
        <f>-581.536897568802 -27.3912588490994 -343.289338210112</f>
        <v>-952.21749462801336</v>
      </c>
      <c r="R1268" t="s">
        <v>26282</v>
      </c>
      <c r="S1268" t="s">
        <v>26283</v>
      </c>
      <c r="T1268" t="s">
        <v>26284</v>
      </c>
      <c r="U1268" t="s">
        <v>26285</v>
      </c>
      <c r="V1268">
        <f>-722.594122138303 -18.2130904064647 -66.9398711602294</f>
        <v>-807.74708370499707</v>
      </c>
      <c r="W1268" t="s">
        <v>26286</v>
      </c>
      <c r="X1268" t="s">
        <v>26287</v>
      </c>
      <c r="Y1268" t="s">
        <v>26288</v>
      </c>
    </row>
    <row r="1269" spans="1:25" x14ac:dyDescent="0.3">
      <c r="A1269">
        <v>63400</v>
      </c>
      <c r="B1269" t="s">
        <v>26289</v>
      </c>
      <c r="C1269" t="s">
        <v>26290</v>
      </c>
      <c r="D1269" t="s">
        <v>26291</v>
      </c>
      <c r="E1269" t="s">
        <v>26292</v>
      </c>
      <c r="F1269" t="s">
        <v>26293</v>
      </c>
      <c r="G1269" t="s">
        <v>26294</v>
      </c>
      <c r="H1269" t="s">
        <v>26295</v>
      </c>
      <c r="I1269" t="s">
        <v>26296</v>
      </c>
      <c r="J1269" t="s">
        <v>26297</v>
      </c>
      <c r="K1269" t="s">
        <v>26298</v>
      </c>
      <c r="L1269" t="s">
        <v>26299</v>
      </c>
      <c r="M1269" t="s">
        <v>26300</v>
      </c>
      <c r="N1269" t="s">
        <v>26301</v>
      </c>
      <c r="O1269">
        <f>-777.35071703295 -92.5178881428863 -508.920300383221</f>
        <v>-1378.7889055590574</v>
      </c>
      <c r="P1269">
        <f>-757.239441205031 -133.76533524362 -218.256604862052</f>
        <v>-1109.261381310703</v>
      </c>
      <c r="Q1269">
        <f>-582.178795019606 -35.2611421595852 -351.303810759358</f>
        <v>-968.74374793854918</v>
      </c>
      <c r="R1269" t="s">
        <v>26302</v>
      </c>
      <c r="S1269" t="s">
        <v>26303</v>
      </c>
      <c r="T1269" t="s">
        <v>26304</v>
      </c>
      <c r="U1269" t="s">
        <v>26305</v>
      </c>
      <c r="V1269">
        <f>-723.056038003765 -17.6570012254583 -67.0158074330195</f>
        <v>-807.72884666224286</v>
      </c>
      <c r="W1269" t="s">
        <v>26306</v>
      </c>
      <c r="X1269" t="s">
        <v>26307</v>
      </c>
      <c r="Y1269" t="s">
        <v>26308</v>
      </c>
    </row>
    <row r="1270" spans="1:25" x14ac:dyDescent="0.3">
      <c r="A1270">
        <v>63450</v>
      </c>
      <c r="B1270" t="s">
        <v>26309</v>
      </c>
      <c r="C1270" t="s">
        <v>26310</v>
      </c>
      <c r="D1270" t="s">
        <v>26311</v>
      </c>
      <c r="E1270" t="s">
        <v>26312</v>
      </c>
      <c r="F1270" t="s">
        <v>26313</v>
      </c>
      <c r="G1270" t="s">
        <v>26314</v>
      </c>
      <c r="H1270" t="s">
        <v>26315</v>
      </c>
      <c r="I1270" t="s">
        <v>26316</v>
      </c>
      <c r="J1270" t="s">
        <v>26317</v>
      </c>
      <c r="K1270" t="s">
        <v>26318</v>
      </c>
      <c r="L1270" t="s">
        <v>26319</v>
      </c>
      <c r="M1270" t="s">
        <v>26320</v>
      </c>
      <c r="N1270" t="s">
        <v>26321</v>
      </c>
      <c r="O1270">
        <f>-775.996898482354 -92.0209150116682 -509.070274605068</f>
        <v>-1377.0880880990903</v>
      </c>
      <c r="P1270">
        <f>-757.539476783511 -133.298363662089 -218.301261536284</f>
        <v>-1109.1391019818841</v>
      </c>
      <c r="Q1270">
        <f>-583.351591158434 -40.3931293575527 -356.424325984416</f>
        <v>-980.1690465004026</v>
      </c>
      <c r="R1270" t="s">
        <v>26322</v>
      </c>
      <c r="S1270" t="s">
        <v>26323</v>
      </c>
      <c r="T1270" t="s">
        <v>26324</v>
      </c>
      <c r="U1270" t="s">
        <v>26325</v>
      </c>
      <c r="V1270">
        <f>-723.326863393955 -17.6107245156618 -67.0199363177663</f>
        <v>-807.95752422738315</v>
      </c>
      <c r="W1270" t="s">
        <v>26326</v>
      </c>
      <c r="X1270" t="s">
        <v>26327</v>
      </c>
      <c r="Y1270" t="s">
        <v>26328</v>
      </c>
    </row>
    <row r="1271" spans="1:25" x14ac:dyDescent="0.3">
      <c r="A1271">
        <v>63500</v>
      </c>
      <c r="B1271" t="s">
        <v>26329</v>
      </c>
      <c r="C1271" t="s">
        <v>26330</v>
      </c>
      <c r="D1271" t="s">
        <v>26331</v>
      </c>
      <c r="E1271" t="s">
        <v>26332</v>
      </c>
      <c r="F1271" t="s">
        <v>26333</v>
      </c>
      <c r="G1271" t="s">
        <v>26334</v>
      </c>
      <c r="H1271" t="s">
        <v>26335</v>
      </c>
      <c r="I1271" t="s">
        <v>26336</v>
      </c>
      <c r="J1271" t="s">
        <v>26337</v>
      </c>
      <c r="K1271" t="s">
        <v>26338</v>
      </c>
      <c r="L1271" t="s">
        <v>26339</v>
      </c>
      <c r="M1271" t="s">
        <v>26340</v>
      </c>
      <c r="N1271" t="s">
        <v>26341</v>
      </c>
      <c r="O1271">
        <f>-773.556606553431 -91.5339931685749 -509.295721501906</f>
        <v>-1374.3863212239119</v>
      </c>
      <c r="P1271">
        <f>-758.014053272508 -134.414310767344 -218.588180326814</f>
        <v>-1111.016544366666</v>
      </c>
      <c r="Q1271">
        <f>-588.398684953949 -50.2677770432149 -367.587602896206</f>
        <v>-1006.2540648933699</v>
      </c>
      <c r="R1271" t="s">
        <v>26342</v>
      </c>
      <c r="S1271" t="s">
        <v>26343</v>
      </c>
      <c r="T1271" t="s">
        <v>26344</v>
      </c>
      <c r="U1271" t="s">
        <v>26345</v>
      </c>
      <c r="V1271">
        <f>-723.948094099307 -17.612596095405 -66.9513879049071</f>
        <v>-808.51207809961909</v>
      </c>
      <c r="W1271" t="s">
        <v>26346</v>
      </c>
      <c r="X1271" t="s">
        <v>26347</v>
      </c>
      <c r="Y1271" t="s">
        <v>26348</v>
      </c>
    </row>
    <row r="1272" spans="1:25" x14ac:dyDescent="0.3">
      <c r="A1272">
        <v>63550</v>
      </c>
      <c r="B1272" t="s">
        <v>26349</v>
      </c>
      <c r="C1272" t="s">
        <v>26350</v>
      </c>
      <c r="D1272" t="s">
        <v>26351</v>
      </c>
      <c r="E1272" t="s">
        <v>26352</v>
      </c>
      <c r="F1272" t="s">
        <v>26353</v>
      </c>
      <c r="G1272" t="s">
        <v>26354</v>
      </c>
      <c r="H1272" t="s">
        <v>26355</v>
      </c>
      <c r="I1272" t="s">
        <v>26356</v>
      </c>
      <c r="J1272" t="s">
        <v>26357</v>
      </c>
      <c r="K1272" t="s">
        <v>26358</v>
      </c>
      <c r="L1272" t="s">
        <v>26359</v>
      </c>
      <c r="M1272" t="s">
        <v>26360</v>
      </c>
      <c r="N1272" t="s">
        <v>26361</v>
      </c>
      <c r="O1272">
        <f>-772.529639118904 -91.5420656003053 -509.282170214918</f>
        <v>-1373.3538749341274</v>
      </c>
      <c r="P1272">
        <f>-757.910771418566 -136.121873349113 -218.782248086076</f>
        <v>-1112.8148928537551</v>
      </c>
      <c r="Q1272">
        <f>-591.487845153662 -53.8183501111914 -372.341441789897</f>
        <v>-1017.6476370547504</v>
      </c>
      <c r="R1272" t="s">
        <v>26362</v>
      </c>
      <c r="S1272" t="s">
        <v>26363</v>
      </c>
      <c r="T1272" t="s">
        <v>26364</v>
      </c>
      <c r="U1272" t="s">
        <v>26365</v>
      </c>
      <c r="V1272">
        <f>-724.394458238126 -17.6770566758682 -66.9147904071491</f>
        <v>-808.98630532114339</v>
      </c>
      <c r="W1272" t="s">
        <v>26366</v>
      </c>
      <c r="X1272" t="s">
        <v>26367</v>
      </c>
      <c r="Y1272" t="s">
        <v>26368</v>
      </c>
    </row>
    <row r="1273" spans="1:25" x14ac:dyDescent="0.3">
      <c r="A1273">
        <v>63600</v>
      </c>
      <c r="B1273" t="s">
        <v>26369</v>
      </c>
      <c r="C1273" t="s">
        <v>26370</v>
      </c>
      <c r="D1273" t="s">
        <v>26371</v>
      </c>
      <c r="E1273" t="s">
        <v>26372</v>
      </c>
      <c r="F1273" t="s">
        <v>26373</v>
      </c>
      <c r="G1273" t="s">
        <v>26374</v>
      </c>
      <c r="H1273" t="s">
        <v>26375</v>
      </c>
      <c r="I1273" t="s">
        <v>26376</v>
      </c>
      <c r="J1273" t="s">
        <v>26377</v>
      </c>
      <c r="K1273" t="s">
        <v>26378</v>
      </c>
      <c r="L1273" t="s">
        <v>26379</v>
      </c>
      <c r="M1273" t="s">
        <v>26380</v>
      </c>
      <c r="N1273" t="s">
        <v>26381</v>
      </c>
      <c r="O1273">
        <f>-770.979787550302 -92.1966241671723 -509.120336093049</f>
        <v>-1372.2967478105234</v>
      </c>
      <c r="P1273">
        <f>-758.137206450322 -140.910426165494 -219.200898550734</f>
        <v>-1118.24853116655</v>
      </c>
      <c r="Q1273">
        <f>-599.196450835849 -59.4538589273966 -380.921543966125</f>
        <v>-1039.5718537293706</v>
      </c>
      <c r="R1273" t="s">
        <v>26382</v>
      </c>
      <c r="S1273" t="s">
        <v>26383</v>
      </c>
      <c r="T1273" t="s">
        <v>26384</v>
      </c>
      <c r="U1273" t="s">
        <v>26385</v>
      </c>
      <c r="V1273">
        <f>-725.32519167961 -18.1884921953306 -66.8185891013746</f>
        <v>-810.33227297631527</v>
      </c>
      <c r="W1273" t="s">
        <v>26386</v>
      </c>
      <c r="X1273" t="s">
        <v>26387</v>
      </c>
      <c r="Y1273" t="s">
        <v>26388</v>
      </c>
    </row>
    <row r="1274" spans="1:25" x14ac:dyDescent="0.3">
      <c r="A1274">
        <v>63650</v>
      </c>
      <c r="B1274" t="s">
        <v>26389</v>
      </c>
      <c r="C1274" t="s">
        <v>26390</v>
      </c>
      <c r="D1274" t="s">
        <v>26391</v>
      </c>
      <c r="E1274" t="s">
        <v>26392</v>
      </c>
      <c r="F1274" t="s">
        <v>26393</v>
      </c>
      <c r="G1274" t="s">
        <v>26394</v>
      </c>
      <c r="H1274" t="s">
        <v>26395</v>
      </c>
      <c r="I1274" t="s">
        <v>26396</v>
      </c>
      <c r="J1274" t="s">
        <v>26397</v>
      </c>
      <c r="K1274" t="s">
        <v>26398</v>
      </c>
      <c r="L1274" t="s">
        <v>26399</v>
      </c>
      <c r="M1274" t="s">
        <v>26400</v>
      </c>
      <c r="N1274" t="s">
        <v>26401</v>
      </c>
      <c r="O1274">
        <f>-770.6057164629 -92.9595681125529 -509.024245681216</f>
        <v>-1372.5895302566689</v>
      </c>
      <c r="P1274">
        <f>-759.04803310998 -142.887246697372 -219.257289819122</f>
        <v>-1121.1925696264741</v>
      </c>
      <c r="Q1274">
        <f>-603.459348939585 -61.5384215873805 -384.258476985421</f>
        <v>-1049.2562475123864</v>
      </c>
      <c r="R1274" t="s">
        <v>26402</v>
      </c>
      <c r="S1274" t="s">
        <v>26403</v>
      </c>
      <c r="T1274" t="s">
        <v>26404</v>
      </c>
      <c r="U1274" t="s">
        <v>26405</v>
      </c>
      <c r="V1274">
        <f>-725.867740667993 -18.5955620549512 -66.7530392756216</f>
        <v>-811.21634199856578</v>
      </c>
      <c r="W1274" t="s">
        <v>26406</v>
      </c>
      <c r="X1274" t="s">
        <v>26407</v>
      </c>
      <c r="Y1274" t="s">
        <v>26408</v>
      </c>
    </row>
    <row r="1275" spans="1:25" x14ac:dyDescent="0.3">
      <c r="A1275">
        <v>63700</v>
      </c>
      <c r="B1275" t="s">
        <v>26409</v>
      </c>
      <c r="C1275" t="s">
        <v>26410</v>
      </c>
      <c r="D1275" t="s">
        <v>26411</v>
      </c>
      <c r="E1275" t="s">
        <v>26412</v>
      </c>
      <c r="F1275" t="s">
        <v>26413</v>
      </c>
      <c r="G1275" t="s">
        <v>26414</v>
      </c>
      <c r="H1275" t="s">
        <v>26415</v>
      </c>
      <c r="I1275" t="s">
        <v>26416</v>
      </c>
      <c r="J1275" t="s">
        <v>26417</v>
      </c>
      <c r="K1275" t="s">
        <v>26418</v>
      </c>
      <c r="L1275" t="s">
        <v>26419</v>
      </c>
      <c r="M1275" t="s">
        <v>26420</v>
      </c>
      <c r="N1275" t="s">
        <v>26421</v>
      </c>
      <c r="O1275">
        <f>-770.141175746134 -95.7309352529273 -508.246211351714</f>
        <v>-1374.1183223507753</v>
      </c>
      <c r="P1275">
        <f>-761.647057755977 -144.398817790539 -218.159209913888</f>
        <v>-1124.205085460404</v>
      </c>
      <c r="Q1275">
        <f>-610.879242302207 -64.7671154905186 -388.390630059257</f>
        <v>-1064.0369878519825</v>
      </c>
      <c r="R1275" t="s">
        <v>26422</v>
      </c>
      <c r="S1275" t="s">
        <v>26423</v>
      </c>
      <c r="T1275" t="s">
        <v>26424</v>
      </c>
      <c r="U1275" t="s">
        <v>26425</v>
      </c>
      <c r="V1275">
        <f>-726.999267903269 -19.984135903605 -66.6507680093798</f>
        <v>-813.6341718162538</v>
      </c>
      <c r="W1275" t="s">
        <v>26426</v>
      </c>
      <c r="X1275" t="s">
        <v>26427</v>
      </c>
      <c r="Y1275" t="s">
        <v>26428</v>
      </c>
    </row>
    <row r="1276" spans="1:25" x14ac:dyDescent="0.3">
      <c r="A1276">
        <v>63750</v>
      </c>
      <c r="B1276" t="s">
        <v>26429</v>
      </c>
      <c r="C1276" t="s">
        <v>26430</v>
      </c>
      <c r="D1276" t="s">
        <v>26431</v>
      </c>
      <c r="E1276" t="s">
        <v>26432</v>
      </c>
      <c r="F1276" t="s">
        <v>26433</v>
      </c>
      <c r="G1276" t="s">
        <v>26434</v>
      </c>
      <c r="H1276" t="s">
        <v>26435</v>
      </c>
      <c r="I1276" t="s">
        <v>26436</v>
      </c>
      <c r="J1276" t="s">
        <v>26437</v>
      </c>
      <c r="K1276" t="s">
        <v>26438</v>
      </c>
      <c r="L1276" t="s">
        <v>26439</v>
      </c>
      <c r="M1276" t="s">
        <v>26440</v>
      </c>
      <c r="N1276" t="s">
        <v>26441</v>
      </c>
      <c r="O1276">
        <f>-770.250534358963 -97.6241613412046 -507.683744488429</f>
        <v>-1375.5584401885967</v>
      </c>
      <c r="P1276">
        <f>-763.051440950821 -144.429992056969 -217.255452134175</f>
        <v>-1124.7368851419649</v>
      </c>
      <c r="Q1276">
        <f>-614.3161066698 -66.2734987991712 -389.940634158511</f>
        <v>-1070.5302396274822</v>
      </c>
      <c r="R1276" t="s">
        <v>26442</v>
      </c>
      <c r="S1276" t="s">
        <v>26443</v>
      </c>
      <c r="T1276" t="s">
        <v>26444</v>
      </c>
      <c r="U1276" t="s">
        <v>26445</v>
      </c>
      <c r="V1276">
        <f>-727.418792511589 -20.9249168224201 -66.6347683096172</f>
        <v>-814.97847764362632</v>
      </c>
      <c r="W1276" t="s">
        <v>26446</v>
      </c>
      <c r="X1276" t="s">
        <v>26447</v>
      </c>
      <c r="Y1276" t="s">
        <v>26448</v>
      </c>
    </row>
    <row r="1277" spans="1:25" x14ac:dyDescent="0.3">
      <c r="A1277">
        <v>63800</v>
      </c>
      <c r="B1277" t="s">
        <v>26449</v>
      </c>
      <c r="C1277" t="s">
        <v>26450</v>
      </c>
      <c r="D1277" t="s">
        <v>26451</v>
      </c>
      <c r="E1277" t="s">
        <v>26452</v>
      </c>
      <c r="F1277" t="s">
        <v>26453</v>
      </c>
      <c r="G1277" t="s">
        <v>26454</v>
      </c>
      <c r="H1277" t="s">
        <v>26455</v>
      </c>
      <c r="I1277" t="s">
        <v>26456</v>
      </c>
      <c r="J1277" t="s">
        <v>26457</v>
      </c>
      <c r="K1277" t="s">
        <v>26458</v>
      </c>
      <c r="L1277" t="s">
        <v>26459</v>
      </c>
      <c r="M1277" t="s">
        <v>26460</v>
      </c>
      <c r="N1277" t="s">
        <v>26461</v>
      </c>
      <c r="O1277">
        <f>-770.638475334778 -102.007699877489 -506.550050861962</f>
        <v>-1379.1962260742291</v>
      </c>
      <c r="P1277">
        <f>-764.785450582464 -145.827295395999 -215.626032750814</f>
        <v>-1126.2387787292769</v>
      </c>
      <c r="Q1277">
        <f>-619.792859667255 -69.0746220262618 -392.082840654138</f>
        <v>-1080.9503223476547</v>
      </c>
      <c r="R1277" t="s">
        <v>26462</v>
      </c>
      <c r="S1277" t="s">
        <v>26463</v>
      </c>
      <c r="T1277" t="s">
        <v>26464</v>
      </c>
      <c r="U1277" t="s">
        <v>26465</v>
      </c>
      <c r="V1277">
        <f>-728.037065139409 -23.1670165869918 -66.6306388001154</f>
        <v>-817.83472052651632</v>
      </c>
      <c r="W1277" t="s">
        <v>26466</v>
      </c>
      <c r="X1277" t="s">
        <v>26467</v>
      </c>
      <c r="Y1277" t="s">
        <v>26468</v>
      </c>
    </row>
    <row r="1278" spans="1:25" x14ac:dyDescent="0.3">
      <c r="A1278">
        <v>63850</v>
      </c>
      <c r="B1278" t="s">
        <v>26469</v>
      </c>
      <c r="C1278" t="s">
        <v>26470</v>
      </c>
      <c r="D1278" t="s">
        <v>26471</v>
      </c>
      <c r="E1278" t="s">
        <v>26472</v>
      </c>
      <c r="F1278" t="s">
        <v>26473</v>
      </c>
      <c r="G1278" t="s">
        <v>26474</v>
      </c>
      <c r="H1278" t="s">
        <v>26475</v>
      </c>
      <c r="I1278" t="s">
        <v>26476</v>
      </c>
      <c r="J1278" t="s">
        <v>26477</v>
      </c>
      <c r="K1278" t="s">
        <v>26478</v>
      </c>
      <c r="L1278" t="s">
        <v>26479</v>
      </c>
      <c r="M1278" t="s">
        <v>26480</v>
      </c>
      <c r="N1278" t="s">
        <v>26481</v>
      </c>
      <c r="O1278">
        <f>-770.633785483667 -104.286509427871 -506.046423481867</f>
        <v>-1380.966718393405</v>
      </c>
      <c r="P1278">
        <f>-765.095657146472 -146.940432131034 -214.943024905806</f>
        <v>-1126.979114183312</v>
      </c>
      <c r="Q1278">
        <f>-621.284076790872 -70.4313314209214 -392.469110659625</f>
        <v>-1084.1845188714183</v>
      </c>
      <c r="R1278" t="s">
        <v>26482</v>
      </c>
      <c r="S1278" t="s">
        <v>26483</v>
      </c>
      <c r="T1278" t="s">
        <v>26484</v>
      </c>
      <c r="U1278" t="s">
        <v>26485</v>
      </c>
      <c r="V1278">
        <f>-728.250978606993 -24.3716898003709 -66.6276606767789</f>
        <v>-819.25032908414278</v>
      </c>
      <c r="W1278" t="s">
        <v>26486</v>
      </c>
      <c r="X1278" t="s">
        <v>26487</v>
      </c>
      <c r="Y1278" t="s">
        <v>26488</v>
      </c>
    </row>
    <row r="1279" spans="1:25" x14ac:dyDescent="0.3">
      <c r="A1279">
        <v>63900</v>
      </c>
      <c r="B1279" t="s">
        <v>26489</v>
      </c>
      <c r="C1279" t="s">
        <v>26490</v>
      </c>
      <c r="D1279" t="s">
        <v>26491</v>
      </c>
      <c r="E1279" t="s">
        <v>26492</v>
      </c>
      <c r="F1279" t="s">
        <v>26493</v>
      </c>
      <c r="G1279" t="s">
        <v>26494</v>
      </c>
      <c r="H1279" t="s">
        <v>26495</v>
      </c>
      <c r="I1279" t="s">
        <v>26496</v>
      </c>
      <c r="J1279" t="s">
        <v>26497</v>
      </c>
      <c r="K1279" t="s">
        <v>26498</v>
      </c>
      <c r="L1279" t="s">
        <v>26499</v>
      </c>
      <c r="M1279" t="s">
        <v>26500</v>
      </c>
      <c r="N1279" t="s">
        <v>26501</v>
      </c>
      <c r="O1279">
        <f>-770.313328646569 -108.703566335556 -505.189213227823</f>
        <v>-1384.2061082099481</v>
      </c>
      <c r="P1279">
        <f>-764.532225011184 -149.495966886843 -213.823788192506</f>
        <v>-1127.8519800905331</v>
      </c>
      <c r="Q1279">
        <f>-623.368049337565 -72.941296778034 -393.442589915677</f>
        <v>-1089.751936031276</v>
      </c>
      <c r="R1279" t="s">
        <v>26502</v>
      </c>
      <c r="S1279" t="s">
        <v>26503</v>
      </c>
      <c r="T1279" t="s">
        <v>26504</v>
      </c>
      <c r="U1279" t="s">
        <v>26505</v>
      </c>
      <c r="V1279">
        <f>-728.441540510908 -26.2990267013092 -66.6348587375028</f>
        <v>-821.37542594972001</v>
      </c>
      <c r="W1279" t="s">
        <v>26506</v>
      </c>
      <c r="X1279" t="s">
        <v>26507</v>
      </c>
      <c r="Y1279" t="s">
        <v>26508</v>
      </c>
    </row>
    <row r="1280" spans="1:25" x14ac:dyDescent="0.3">
      <c r="A1280">
        <v>63950</v>
      </c>
      <c r="B1280" t="s">
        <v>26509</v>
      </c>
      <c r="C1280" t="s">
        <v>26510</v>
      </c>
      <c r="D1280" t="s">
        <v>26511</v>
      </c>
      <c r="E1280" t="s">
        <v>26512</v>
      </c>
      <c r="F1280" t="s">
        <v>26513</v>
      </c>
      <c r="G1280" t="s">
        <v>26514</v>
      </c>
      <c r="H1280" t="s">
        <v>26515</v>
      </c>
      <c r="I1280" t="s">
        <v>26516</v>
      </c>
      <c r="J1280" t="s">
        <v>26517</v>
      </c>
      <c r="K1280" t="s">
        <v>26518</v>
      </c>
      <c r="L1280" t="s">
        <v>26519</v>
      </c>
      <c r="M1280" t="s">
        <v>26520</v>
      </c>
      <c r="N1280" t="s">
        <v>26521</v>
      </c>
      <c r="O1280">
        <f>-769.983926307014 -110.98180873889 -504.71172987191</f>
        <v>-1385.6774649178139</v>
      </c>
      <c r="P1280">
        <f>-763.701332580732 -150.567256643696 -213.190227430914</f>
        <v>-1127.4588166553422</v>
      </c>
      <c r="Q1280">
        <f>-623.70204495459 -74.3910262258289 -393.878632492549</f>
        <v>-1091.9717036729678</v>
      </c>
      <c r="R1280" t="s">
        <v>26522</v>
      </c>
      <c r="S1280" t="s">
        <v>26523</v>
      </c>
      <c r="T1280" t="s">
        <v>26524</v>
      </c>
      <c r="U1280" t="s">
        <v>26525</v>
      </c>
      <c r="V1280">
        <f>-728.367982320046 -27.1702034507448 -66.6575200204514</f>
        <v>-822.19570579124229</v>
      </c>
      <c r="W1280" t="s">
        <v>26526</v>
      </c>
      <c r="X1280" t="s">
        <v>26527</v>
      </c>
      <c r="Y1280" t="s">
        <v>26528</v>
      </c>
    </row>
    <row r="1281" spans="1:25" x14ac:dyDescent="0.3">
      <c r="A1281">
        <v>64000</v>
      </c>
      <c r="B1281" t="s">
        <v>26529</v>
      </c>
      <c r="C1281" t="s">
        <v>26530</v>
      </c>
      <c r="D1281" t="s">
        <v>26531</v>
      </c>
      <c r="E1281" t="s">
        <v>26532</v>
      </c>
      <c r="F1281" t="s">
        <v>26533</v>
      </c>
      <c r="G1281" t="s">
        <v>26534</v>
      </c>
      <c r="H1281" t="s">
        <v>26535</v>
      </c>
      <c r="I1281" t="s">
        <v>26536</v>
      </c>
      <c r="J1281" t="s">
        <v>26537</v>
      </c>
      <c r="K1281" t="s">
        <v>26538</v>
      </c>
      <c r="L1281" t="s">
        <v>26539</v>
      </c>
      <c r="M1281" t="s">
        <v>26540</v>
      </c>
      <c r="N1281" t="s">
        <v>26541</v>
      </c>
      <c r="O1281">
        <f>-768.985507715357 -115.824821769073 -503.53889907316</f>
        <v>-1388.3492285575899</v>
      </c>
      <c r="P1281">
        <f>-760.462576546176 -152.366468278579 -211.677106677847</f>
        <v>-1124.5061515026021</v>
      </c>
      <c r="Q1281">
        <f>-623.142678624143 -77.5121880313084 -394.955458309556</f>
        <v>-1095.6103249650073</v>
      </c>
      <c r="R1281" t="s">
        <v>26542</v>
      </c>
      <c r="S1281" t="s">
        <v>26543</v>
      </c>
      <c r="T1281" t="s">
        <v>26544</v>
      </c>
      <c r="U1281" t="s">
        <v>26545</v>
      </c>
      <c r="V1281">
        <f>-727.962645390719 -28.7888540035833 -66.7469578676842</f>
        <v>-823.49845726198646</v>
      </c>
      <c r="W1281" t="s">
        <v>26546</v>
      </c>
      <c r="X1281" t="s">
        <v>26547</v>
      </c>
      <c r="Y1281" t="s">
        <v>26548</v>
      </c>
    </row>
    <row r="1282" spans="1:25" x14ac:dyDescent="0.3">
      <c r="A1282">
        <v>64050</v>
      </c>
      <c r="B1282" t="s">
        <v>26549</v>
      </c>
      <c r="C1282" t="s">
        <v>26550</v>
      </c>
      <c r="D1282" t="s">
        <v>26551</v>
      </c>
      <c r="E1282" t="s">
        <v>26552</v>
      </c>
      <c r="F1282" t="s">
        <v>26553</v>
      </c>
      <c r="G1282" t="s">
        <v>26554</v>
      </c>
      <c r="H1282" t="s">
        <v>26555</v>
      </c>
      <c r="I1282" t="s">
        <v>26556</v>
      </c>
      <c r="J1282" t="s">
        <v>26557</v>
      </c>
      <c r="K1282" t="s">
        <v>26558</v>
      </c>
      <c r="L1282" t="s">
        <v>26559</v>
      </c>
      <c r="M1282" t="s">
        <v>26560</v>
      </c>
      <c r="N1282" t="s">
        <v>26561</v>
      </c>
      <c r="O1282">
        <f>-768.401388165366 -118.243490301997 -502.860035354084</f>
        <v>-1389.504913821447</v>
      </c>
      <c r="P1282">
        <f>-758.618027432296 -152.822550559983 -210.798794482128</f>
        <v>-1122.239372474407</v>
      </c>
      <c r="Q1282">
        <f>-622.68209396264 -78.855052684602 -395.46366025104</f>
        <v>-1097.000806898282</v>
      </c>
      <c r="R1282" t="s">
        <v>26562</v>
      </c>
      <c r="S1282" t="s">
        <v>26563</v>
      </c>
      <c r="T1282" t="s">
        <v>26564</v>
      </c>
      <c r="U1282" t="s">
        <v>26565</v>
      </c>
      <c r="V1282">
        <f>-727.669176938831 -29.5476304221111 -66.813524937241</f>
        <v>-824.03033229818311</v>
      </c>
      <c r="W1282" t="s">
        <v>26566</v>
      </c>
      <c r="X1282" t="s">
        <v>26567</v>
      </c>
      <c r="Y1282" t="s">
        <v>26568</v>
      </c>
    </row>
    <row r="1283" spans="1:25" x14ac:dyDescent="0.3">
      <c r="A1283">
        <v>64100</v>
      </c>
      <c r="B1283" t="s">
        <v>26569</v>
      </c>
      <c r="C1283" t="s">
        <v>26570</v>
      </c>
      <c r="D1283" t="s">
        <v>26571</v>
      </c>
      <c r="E1283" t="s">
        <v>26572</v>
      </c>
      <c r="F1283" t="s">
        <v>26573</v>
      </c>
      <c r="G1283" t="s">
        <v>26574</v>
      </c>
      <c r="H1283" t="s">
        <v>26575</v>
      </c>
      <c r="I1283" t="s">
        <v>26576</v>
      </c>
      <c r="J1283" t="s">
        <v>26577</v>
      </c>
      <c r="K1283" t="s">
        <v>26578</v>
      </c>
      <c r="L1283" t="s">
        <v>26579</v>
      </c>
      <c r="M1283" t="s">
        <v>26580</v>
      </c>
      <c r="N1283" t="s">
        <v>26581</v>
      </c>
      <c r="O1283">
        <f>-767.00423401208 -122.855124724197 -501.420393188817</f>
        <v>-1391.2797519250939</v>
      </c>
      <c r="P1283">
        <f>-753.843760622724 -153.680527110084 -209.071636924969</f>
        <v>-1116.595924657777</v>
      </c>
      <c r="Q1283">
        <f>-620.526373359822 -81.4753444106539 -396.324789332066</f>
        <v>-1098.3265071025419</v>
      </c>
      <c r="R1283" t="s">
        <v>26582</v>
      </c>
      <c r="S1283" t="s">
        <v>26583</v>
      </c>
      <c r="T1283" t="s">
        <v>26584</v>
      </c>
      <c r="U1283" t="s">
        <v>26585</v>
      </c>
      <c r="V1283">
        <f>-726.957785920372 -30.6672814953381 -66.8948047352739</f>
        <v>-824.51987215098393</v>
      </c>
      <c r="W1283" t="s">
        <v>26586</v>
      </c>
      <c r="X1283" t="s">
        <v>26587</v>
      </c>
      <c r="Y1283" t="s">
        <v>26588</v>
      </c>
    </row>
    <row r="1284" spans="1:25" x14ac:dyDescent="0.3">
      <c r="A1284">
        <v>64150</v>
      </c>
      <c r="B1284" t="s">
        <v>26589</v>
      </c>
      <c r="C1284" t="s">
        <v>26590</v>
      </c>
      <c r="D1284" t="s">
        <v>26591</v>
      </c>
      <c r="E1284" t="s">
        <v>26592</v>
      </c>
      <c r="F1284" t="s">
        <v>26593</v>
      </c>
      <c r="G1284" t="s">
        <v>26594</v>
      </c>
      <c r="H1284" t="s">
        <v>26595</v>
      </c>
      <c r="I1284" t="s">
        <v>26596</v>
      </c>
      <c r="J1284" t="s">
        <v>26597</v>
      </c>
      <c r="K1284" t="s">
        <v>26598</v>
      </c>
      <c r="L1284" t="s">
        <v>26599</v>
      </c>
      <c r="M1284" t="s">
        <v>26600</v>
      </c>
      <c r="N1284" t="s">
        <v>26601</v>
      </c>
      <c r="O1284">
        <f>-766.32551844868 -124.808114026548 -500.78528226107</f>
        <v>-1391.9189147362979</v>
      </c>
      <c r="P1284">
        <f>-751.536309560621 -154.173973735593 -208.36412413922</f>
        <v>-1114.0744074354341</v>
      </c>
      <c r="Q1284">
        <f>-619.384489601742 -82.5291376430914 -396.655779908443</f>
        <v>-1098.5694071532764</v>
      </c>
      <c r="R1284" t="s">
        <v>26602</v>
      </c>
      <c r="S1284" t="s">
        <v>26603</v>
      </c>
      <c r="T1284" t="s">
        <v>26604</v>
      </c>
      <c r="U1284" t="s">
        <v>26605</v>
      </c>
      <c r="V1284">
        <f>-726.547355254729 -30.9570303590826 -66.9201556024295</f>
        <v>-824.42454121624121</v>
      </c>
      <c r="W1284" t="s">
        <v>26606</v>
      </c>
      <c r="X1284" t="s">
        <v>26607</v>
      </c>
      <c r="Y1284" t="s">
        <v>26608</v>
      </c>
    </row>
    <row r="1285" spans="1:25" x14ac:dyDescent="0.3">
      <c r="A1285">
        <v>64200</v>
      </c>
      <c r="B1285" t="s">
        <v>26609</v>
      </c>
      <c r="C1285" t="s">
        <v>26610</v>
      </c>
      <c r="D1285" t="s">
        <v>26611</v>
      </c>
      <c r="E1285" t="s">
        <v>26612</v>
      </c>
      <c r="F1285" t="s">
        <v>26613</v>
      </c>
      <c r="G1285" t="s">
        <v>26614</v>
      </c>
      <c r="H1285" t="s">
        <v>26615</v>
      </c>
      <c r="I1285" t="s">
        <v>26616</v>
      </c>
      <c r="J1285" t="s">
        <v>26617</v>
      </c>
      <c r="K1285" t="s">
        <v>26618</v>
      </c>
      <c r="L1285" t="s">
        <v>26619</v>
      </c>
      <c r="M1285" t="s">
        <v>26620</v>
      </c>
      <c r="N1285" t="s">
        <v>26621</v>
      </c>
      <c r="O1285">
        <f>-765.235630283982 -127.773995812364 -499.91316573448</f>
        <v>-1392.9227918308261</v>
      </c>
      <c r="P1285">
        <f>-747.702813208272 -154.624697636598 -207.401859779647</f>
        <v>-1109.7293706245168</v>
      </c>
      <c r="Q1285">
        <f>-617.450836389413 -83.8125686314754 -397.325280108547</f>
        <v>-1098.5886851294354</v>
      </c>
      <c r="R1285" t="s">
        <v>26622</v>
      </c>
      <c r="S1285" t="s">
        <v>26623</v>
      </c>
      <c r="T1285" t="s">
        <v>26624</v>
      </c>
      <c r="U1285" t="s">
        <v>26625</v>
      </c>
      <c r="V1285">
        <f>-725.755872488482 -31.4614708381077 -67.0325093069335</f>
        <v>-824.24985263352335</v>
      </c>
      <c r="W1285" t="s">
        <v>26626</v>
      </c>
      <c r="X1285" t="s">
        <v>26627</v>
      </c>
      <c r="Y1285" t="s">
        <v>26628</v>
      </c>
    </row>
    <row r="1286" spans="1:25" x14ac:dyDescent="0.3">
      <c r="A1286">
        <v>64250</v>
      </c>
      <c r="B1286" t="s">
        <v>26629</v>
      </c>
      <c r="C1286" t="s">
        <v>26630</v>
      </c>
      <c r="D1286" t="s">
        <v>26631</v>
      </c>
      <c r="E1286" t="s">
        <v>26632</v>
      </c>
      <c r="F1286" t="s">
        <v>26633</v>
      </c>
      <c r="G1286" t="s">
        <v>26634</v>
      </c>
      <c r="H1286" t="s">
        <v>26635</v>
      </c>
      <c r="I1286" t="s">
        <v>26636</v>
      </c>
      <c r="J1286" t="s">
        <v>26637</v>
      </c>
      <c r="K1286" t="s">
        <v>26638</v>
      </c>
      <c r="L1286" t="s">
        <v>26639</v>
      </c>
      <c r="M1286" t="s">
        <v>26640</v>
      </c>
      <c r="N1286" t="s">
        <v>26641</v>
      </c>
      <c r="O1286">
        <f>-764.790949105628 -128.891070584135 -499.579364203896</f>
        <v>-1393.2613838936591</v>
      </c>
      <c r="P1286">
        <f>-745.874055369701 -154.656610219386 -207.05677479981</f>
        <v>-1107.587440388897</v>
      </c>
      <c r="Q1286">
        <f>-616.352906001947 -83.9158968530062 -397.506028900645</f>
        <v>-1097.7748317555981</v>
      </c>
      <c r="R1286" t="s">
        <v>26642</v>
      </c>
      <c r="S1286" t="s">
        <v>26643</v>
      </c>
      <c r="T1286" t="s">
        <v>26644</v>
      </c>
      <c r="U1286" t="s">
        <v>26645</v>
      </c>
      <c r="V1286">
        <f>-725.407357496609 -31.6748568122071 -67.108754779134</f>
        <v>-824.19096908795007</v>
      </c>
      <c r="W1286" t="s">
        <v>26646</v>
      </c>
      <c r="X1286" t="s">
        <v>26647</v>
      </c>
      <c r="Y1286" t="s">
        <v>26648</v>
      </c>
    </row>
    <row r="1287" spans="1:25" x14ac:dyDescent="0.3">
      <c r="A1287">
        <v>64300</v>
      </c>
      <c r="B1287" t="s">
        <v>26649</v>
      </c>
      <c r="C1287" t="s">
        <v>26650</v>
      </c>
      <c r="D1287" t="s">
        <v>26651</v>
      </c>
      <c r="E1287" t="s">
        <v>26652</v>
      </c>
      <c r="F1287" t="s">
        <v>26653</v>
      </c>
      <c r="G1287" t="s">
        <v>26654</v>
      </c>
      <c r="H1287" t="s">
        <v>26655</v>
      </c>
      <c r="I1287" t="s">
        <v>26656</v>
      </c>
      <c r="J1287" t="s">
        <v>26657</v>
      </c>
      <c r="K1287" t="s">
        <v>26658</v>
      </c>
      <c r="L1287" t="s">
        <v>26659</v>
      </c>
      <c r="M1287" t="s">
        <v>26660</v>
      </c>
      <c r="N1287" t="s">
        <v>26661</v>
      </c>
      <c r="O1287">
        <f>-763.866296931088 -130.405607482281 -498.983710391379</f>
        <v>-1393.2556148047479</v>
      </c>
      <c r="P1287">
        <f>-741.864485572495 -155.050523415841 -206.580144631926</f>
        <v>-1103.495153620262</v>
      </c>
      <c r="Q1287">
        <f>-614.157559661204 -83.2818202358606 -397.868117127508</f>
        <v>-1095.3074970245725</v>
      </c>
      <c r="R1287" t="s">
        <v>26662</v>
      </c>
      <c r="S1287" t="s">
        <v>26663</v>
      </c>
      <c r="T1287" t="s">
        <v>26664</v>
      </c>
      <c r="U1287" t="s">
        <v>26665</v>
      </c>
      <c r="V1287">
        <f>-724.967919666157 -31.9938303611357 -67.2433302926767</f>
        <v>-824.20508031996928</v>
      </c>
      <c r="W1287" t="s">
        <v>26666</v>
      </c>
      <c r="X1287" t="s">
        <v>26667</v>
      </c>
      <c r="Y1287" t="s">
        <v>26668</v>
      </c>
    </row>
    <row r="1288" spans="1:25" x14ac:dyDescent="0.3">
      <c r="A1288">
        <v>64350</v>
      </c>
      <c r="B1288" t="s">
        <v>26669</v>
      </c>
      <c r="C1288" t="s">
        <v>26670</v>
      </c>
      <c r="D1288" t="s">
        <v>26671</v>
      </c>
      <c r="E1288" t="s">
        <v>26672</v>
      </c>
      <c r="F1288" t="s">
        <v>26673</v>
      </c>
      <c r="G1288" t="s">
        <v>26674</v>
      </c>
      <c r="H1288" t="s">
        <v>26675</v>
      </c>
      <c r="I1288" t="s">
        <v>26676</v>
      </c>
      <c r="J1288" t="s">
        <v>26677</v>
      </c>
      <c r="K1288" t="s">
        <v>26678</v>
      </c>
      <c r="L1288" t="s">
        <v>26679</v>
      </c>
      <c r="M1288" t="s">
        <v>26680</v>
      </c>
      <c r="N1288">
        <f>-796.638347921703 -0.357597972914846 -526.28980393936</f>
        <v>-1323.2857498339779</v>
      </c>
      <c r="O1288">
        <f>-763.312165152344 -130.843150116905 -498.756704292557</f>
        <v>-1392.9120195618061</v>
      </c>
      <c r="P1288">
        <f>-739.597736836576 -154.975454693486 -206.444433664434</f>
        <v>-1101.0176251944961</v>
      </c>
      <c r="Q1288">
        <f>-613.162812986721 -82.2156803024859 -398.202466480892</f>
        <v>-1093.5809597700988</v>
      </c>
      <c r="R1288" t="s">
        <v>26681</v>
      </c>
      <c r="S1288" t="s">
        <v>26682</v>
      </c>
      <c r="T1288" t="s">
        <v>26683</v>
      </c>
      <c r="U1288" t="s">
        <v>26684</v>
      </c>
      <c r="V1288">
        <f>-724.768113794666 -31.9952490421133 -67.3036094474777</f>
        <v>-824.06697228425696</v>
      </c>
      <c r="W1288" t="s">
        <v>26685</v>
      </c>
      <c r="X1288" t="s">
        <v>26686</v>
      </c>
      <c r="Y1288" t="s">
        <v>26687</v>
      </c>
    </row>
    <row r="1289" spans="1:25" x14ac:dyDescent="0.3">
      <c r="A1289">
        <v>64400</v>
      </c>
      <c r="B1289" t="s">
        <v>26688</v>
      </c>
      <c r="C1289" t="s">
        <v>26689</v>
      </c>
      <c r="D1289" t="s">
        <v>26690</v>
      </c>
      <c r="E1289" t="s">
        <v>26691</v>
      </c>
      <c r="F1289" t="s">
        <v>26692</v>
      </c>
      <c r="G1289" t="s">
        <v>26693</v>
      </c>
      <c r="H1289" t="s">
        <v>26694</v>
      </c>
      <c r="I1289" t="s">
        <v>26695</v>
      </c>
      <c r="J1289" t="s">
        <v>26696</v>
      </c>
      <c r="K1289" t="s">
        <v>26697</v>
      </c>
      <c r="L1289" t="s">
        <v>26698</v>
      </c>
      <c r="M1289" t="s">
        <v>26699</v>
      </c>
      <c r="N1289">
        <f>-796.338501800746 -0.362351168663281 -526.339629783879</f>
        <v>-1323.0404827532884</v>
      </c>
      <c r="O1289">
        <f>-762.288768037061 -130.608585281283 -498.494692568572</f>
        <v>-1391.3920458869161</v>
      </c>
      <c r="P1289">
        <f>-735.191714827849 -153.093294352217 -206.345117011377</f>
        <v>-1094.630126191443</v>
      </c>
      <c r="Q1289">
        <f>-610.42818081775 -79.7684913241328 -398.980397765472</f>
        <v>-1089.1770699073547</v>
      </c>
      <c r="R1289" t="s">
        <v>26700</v>
      </c>
      <c r="S1289" t="s">
        <v>26701</v>
      </c>
      <c r="T1289" t="s">
        <v>26702</v>
      </c>
      <c r="U1289" t="s">
        <v>26703</v>
      </c>
      <c r="V1289">
        <f>-724.280390135178 -31.4799736905088 -67.427982216079</f>
        <v>-823.18834604176584</v>
      </c>
      <c r="W1289" t="s">
        <v>26704</v>
      </c>
      <c r="X1289" t="s">
        <v>26705</v>
      </c>
      <c r="Y1289" t="s">
        <v>26706</v>
      </c>
    </row>
    <row r="1290" spans="1:25" x14ac:dyDescent="0.3">
      <c r="A1290">
        <v>64450</v>
      </c>
      <c r="B1290" t="s">
        <v>26707</v>
      </c>
      <c r="C1290" t="s">
        <v>26708</v>
      </c>
      <c r="D1290" t="s">
        <v>26709</v>
      </c>
      <c r="E1290" t="s">
        <v>26710</v>
      </c>
      <c r="F1290" t="s">
        <v>26711</v>
      </c>
      <c r="G1290" t="s">
        <v>26712</v>
      </c>
      <c r="H1290" t="s">
        <v>26713</v>
      </c>
      <c r="I1290" t="s">
        <v>26714</v>
      </c>
      <c r="J1290" t="s">
        <v>26715</v>
      </c>
      <c r="K1290" t="s">
        <v>26716</v>
      </c>
      <c r="L1290" t="s">
        <v>26717</v>
      </c>
      <c r="M1290" t="s">
        <v>26718</v>
      </c>
      <c r="N1290" t="s">
        <v>26719</v>
      </c>
      <c r="O1290">
        <f>-761.506214157914 -130.037513360663 -498.495413919057</f>
        <v>-1390.039141437634</v>
      </c>
      <c r="P1290">
        <f>-733.256698822421 -151.716846074704 -206.394039864005</f>
        <v>-1091.36758476113</v>
      </c>
      <c r="Q1290">
        <f>-608.277368889821 -78.6843682034992 -399.00052346373</f>
        <v>-1085.9622605570503</v>
      </c>
      <c r="R1290" t="s">
        <v>26720</v>
      </c>
      <c r="S1290" t="s">
        <v>26721</v>
      </c>
      <c r="T1290" t="s">
        <v>26722</v>
      </c>
      <c r="U1290" t="s">
        <v>26723</v>
      </c>
      <c r="V1290">
        <f>-723.895893082135 -31.1522409024519 -67.5058047800959</f>
        <v>-822.55393876468281</v>
      </c>
      <c r="W1290" t="s">
        <v>26724</v>
      </c>
      <c r="X1290" t="s">
        <v>26725</v>
      </c>
      <c r="Y1290" t="s">
        <v>26726</v>
      </c>
    </row>
    <row r="1291" spans="1:25" x14ac:dyDescent="0.3">
      <c r="A1291">
        <v>64500</v>
      </c>
      <c r="B1291" t="s">
        <v>26727</v>
      </c>
      <c r="C1291" t="s">
        <v>26728</v>
      </c>
      <c r="D1291" t="s">
        <v>26729</v>
      </c>
      <c r="E1291" t="s">
        <v>26730</v>
      </c>
      <c r="F1291" t="s">
        <v>26731</v>
      </c>
      <c r="G1291" t="s">
        <v>26732</v>
      </c>
      <c r="H1291" t="s">
        <v>26733</v>
      </c>
      <c r="I1291" t="s">
        <v>26734</v>
      </c>
      <c r="J1291" t="s">
        <v>26735</v>
      </c>
      <c r="K1291" t="s">
        <v>26736</v>
      </c>
      <c r="L1291" t="s">
        <v>26737</v>
      </c>
      <c r="M1291" t="s">
        <v>26738</v>
      </c>
      <c r="N1291" t="s">
        <v>26739</v>
      </c>
      <c r="O1291">
        <f>-759.523712404175 -128.26724600836 -498.691719844082</f>
        <v>-1386.482678256617</v>
      </c>
      <c r="P1291">
        <f>-730.137212325837 -148.736529601137 -206.6152630578</f>
        <v>-1085.4890049847741</v>
      </c>
      <c r="Q1291">
        <f>-603.438011746964 -77.2873164942089 -398.691299920281</f>
        <v>-1079.4166281614539</v>
      </c>
      <c r="R1291" t="s">
        <v>26740</v>
      </c>
      <c r="S1291" t="s">
        <v>26741</v>
      </c>
      <c r="T1291" t="s">
        <v>26742</v>
      </c>
      <c r="U1291" t="s">
        <v>26743</v>
      </c>
      <c r="V1291">
        <f>-723.037236054582 -30.0672779076167 -67.6251569279815</f>
        <v>-820.72967089018016</v>
      </c>
      <c r="W1291" t="s">
        <v>26744</v>
      </c>
      <c r="X1291" t="s">
        <v>26745</v>
      </c>
      <c r="Y1291" t="s">
        <v>26746</v>
      </c>
    </row>
    <row r="1292" spans="1:25" x14ac:dyDescent="0.3">
      <c r="A1292">
        <v>64550</v>
      </c>
      <c r="B1292" t="s">
        <v>26747</v>
      </c>
      <c r="C1292" t="s">
        <v>26748</v>
      </c>
      <c r="D1292" t="s">
        <v>26749</v>
      </c>
      <c r="E1292" t="s">
        <v>26750</v>
      </c>
      <c r="F1292" t="s">
        <v>26751</v>
      </c>
      <c r="G1292" t="s">
        <v>26752</v>
      </c>
      <c r="H1292" t="s">
        <v>26753</v>
      </c>
      <c r="I1292" t="s">
        <v>26754</v>
      </c>
      <c r="J1292" t="s">
        <v>26755</v>
      </c>
      <c r="K1292" t="s">
        <v>26756</v>
      </c>
      <c r="L1292" t="s">
        <v>26757</v>
      </c>
      <c r="M1292" t="s">
        <v>26758</v>
      </c>
      <c r="N1292" t="s">
        <v>26759</v>
      </c>
      <c r="O1292">
        <f>-758.694124107205 -127.190312555769 -498.849996750401</f>
        <v>-1384.734433413375</v>
      </c>
      <c r="P1292">
        <f>-728.982400126604 -147.400331250221 -206.788300972665</f>
        <v>-1083.1710323494901</v>
      </c>
      <c r="Q1292">
        <f>-601.223891749032 -76.4875670191111 -398.361045073198</f>
        <v>-1076.0725038413411</v>
      </c>
      <c r="R1292" t="s">
        <v>26760</v>
      </c>
      <c r="S1292" t="s">
        <v>26761</v>
      </c>
      <c r="T1292" t="s">
        <v>26762</v>
      </c>
      <c r="U1292" t="s">
        <v>26763</v>
      </c>
      <c r="V1292">
        <f>-722.588649116351 -29.2362241637911 -67.6490235857268</f>
        <v>-819.47389686586894</v>
      </c>
      <c r="W1292" t="s">
        <v>26764</v>
      </c>
      <c r="X1292" t="s">
        <v>26765</v>
      </c>
      <c r="Y1292" t="s">
        <v>26766</v>
      </c>
    </row>
    <row r="1293" spans="1:25" x14ac:dyDescent="0.3">
      <c r="A1293">
        <v>64600</v>
      </c>
      <c r="B1293" t="s">
        <v>26767</v>
      </c>
      <c r="C1293" t="s">
        <v>26768</v>
      </c>
      <c r="D1293" t="s">
        <v>26769</v>
      </c>
      <c r="E1293" t="s">
        <v>26770</v>
      </c>
      <c r="F1293" t="s">
        <v>26771</v>
      </c>
      <c r="G1293" t="s">
        <v>26772</v>
      </c>
      <c r="H1293" t="s">
        <v>26773</v>
      </c>
      <c r="I1293" t="s">
        <v>26774</v>
      </c>
      <c r="J1293" t="s">
        <v>26775</v>
      </c>
      <c r="K1293" t="s">
        <v>26776</v>
      </c>
      <c r="L1293" t="s">
        <v>26777</v>
      </c>
      <c r="M1293" t="s">
        <v>26778</v>
      </c>
      <c r="N1293" t="s">
        <v>26779</v>
      </c>
      <c r="O1293">
        <f>-757.115597760366 -125.134153744445 -499.074842913176</f>
        <v>-1381.3245944179871</v>
      </c>
      <c r="P1293">
        <f>-726.952572704939 -144.859875948163 -207.026444262095</f>
        <v>-1078.838892915197</v>
      </c>
      <c r="Q1293">
        <f>-597.318333720274 -74.5761382077014 -397.567827494157</f>
        <v>-1069.4622994221324</v>
      </c>
      <c r="R1293" t="s">
        <v>26780</v>
      </c>
      <c r="S1293" t="s">
        <v>26781</v>
      </c>
      <c r="T1293" t="s">
        <v>26782</v>
      </c>
      <c r="U1293" t="s">
        <v>26783</v>
      </c>
      <c r="V1293">
        <f>-721.602733893101 -27.689092816905 -67.699005821194</f>
        <v>-816.9908325312</v>
      </c>
      <c r="W1293" t="s">
        <v>26784</v>
      </c>
      <c r="X1293" t="s">
        <v>26785</v>
      </c>
      <c r="Y1293" t="s">
        <v>26786</v>
      </c>
    </row>
    <row r="1294" spans="1:25" x14ac:dyDescent="0.3">
      <c r="A1294">
        <v>64650</v>
      </c>
      <c r="B1294" t="s">
        <v>26787</v>
      </c>
      <c r="C1294" t="s">
        <v>26788</v>
      </c>
      <c r="D1294" t="s">
        <v>26789</v>
      </c>
      <c r="E1294" t="s">
        <v>26790</v>
      </c>
      <c r="F1294" t="s">
        <v>26791</v>
      </c>
      <c r="G1294" t="s">
        <v>26792</v>
      </c>
      <c r="H1294" t="s">
        <v>26793</v>
      </c>
      <c r="I1294" t="s">
        <v>26794</v>
      </c>
      <c r="J1294" t="s">
        <v>26795</v>
      </c>
      <c r="K1294" t="s">
        <v>26796</v>
      </c>
      <c r="L1294" t="s">
        <v>26797</v>
      </c>
      <c r="M1294" t="s">
        <v>26798</v>
      </c>
      <c r="N1294" t="s">
        <v>26799</v>
      </c>
      <c r="O1294">
        <f>-756.361710232134 -124.212713313168 -499.136631205606</f>
        <v>-1379.711054750908</v>
      </c>
      <c r="P1294">
        <f>-725.95114015806 -143.457013942716 -207.081632916305</f>
        <v>-1076.489787017081</v>
      </c>
      <c r="Q1294">
        <f>-595.389590679936 -73.4499729481317 -397.091151268258</f>
        <v>-1065.9307148963258</v>
      </c>
      <c r="R1294" t="s">
        <v>26800</v>
      </c>
      <c r="S1294" t="s">
        <v>26801</v>
      </c>
      <c r="T1294" t="s">
        <v>26802</v>
      </c>
      <c r="U1294" t="s">
        <v>26803</v>
      </c>
      <c r="V1294">
        <f>-721.226778871198 -26.9282633351236 -67.6953447000739</f>
        <v>-815.85038690639544</v>
      </c>
      <c r="W1294" t="s">
        <v>26804</v>
      </c>
      <c r="X1294" t="s">
        <v>26805</v>
      </c>
      <c r="Y1294" t="s">
        <v>26806</v>
      </c>
    </row>
    <row r="1295" spans="1:25" x14ac:dyDescent="0.3">
      <c r="A1295">
        <v>64700</v>
      </c>
      <c r="B1295" t="s">
        <v>26807</v>
      </c>
      <c r="C1295" t="s">
        <v>26808</v>
      </c>
      <c r="D1295" t="s">
        <v>26809</v>
      </c>
      <c r="E1295" t="s">
        <v>26810</v>
      </c>
      <c r="F1295" t="s">
        <v>26811</v>
      </c>
      <c r="G1295" t="s">
        <v>26812</v>
      </c>
      <c r="H1295" t="s">
        <v>26813</v>
      </c>
      <c r="I1295" t="s">
        <v>26814</v>
      </c>
      <c r="J1295" t="s">
        <v>26815</v>
      </c>
      <c r="K1295" t="s">
        <v>26816</v>
      </c>
      <c r="L1295" t="s">
        <v>26817</v>
      </c>
      <c r="M1295" t="s">
        <v>26818</v>
      </c>
      <c r="N1295" t="s">
        <v>26819</v>
      </c>
      <c r="O1295">
        <f>-755.516478357177 -122.431940219049 -499.311170840462</f>
        <v>-1377.259589416688</v>
      </c>
      <c r="P1295">
        <f>-724.208530214289 -141.120093742819 -207.314912411341</f>
        <v>-1072.6435363684491</v>
      </c>
      <c r="Q1295">
        <f>-591.950980928468 -71.0041051264604 -396.107360477438</f>
        <v>-1059.0624465323665</v>
      </c>
      <c r="R1295" t="s">
        <v>26820</v>
      </c>
      <c r="S1295" t="s">
        <v>26821</v>
      </c>
      <c r="T1295" t="s">
        <v>26822</v>
      </c>
      <c r="U1295" t="s">
        <v>26823</v>
      </c>
      <c r="V1295">
        <f>-720.603313716294 -25.1722950405201 -67.6835728586183</f>
        <v>-813.45918161543239</v>
      </c>
      <c r="W1295" t="s">
        <v>26824</v>
      </c>
      <c r="X1295" t="s">
        <v>26825</v>
      </c>
      <c r="Y1295" t="s">
        <v>26826</v>
      </c>
    </row>
    <row r="1296" spans="1:25" x14ac:dyDescent="0.3">
      <c r="A1296">
        <v>64750</v>
      </c>
      <c r="B1296" t="s">
        <v>26827</v>
      </c>
      <c r="C1296" t="s">
        <v>26828</v>
      </c>
      <c r="D1296" t="s">
        <v>26829</v>
      </c>
      <c r="E1296" t="s">
        <v>26830</v>
      </c>
      <c r="F1296" t="s">
        <v>26831</v>
      </c>
      <c r="G1296" t="s">
        <v>26832</v>
      </c>
      <c r="H1296" t="s">
        <v>26833</v>
      </c>
      <c r="I1296" t="s">
        <v>26834</v>
      </c>
      <c r="J1296" t="s">
        <v>26835</v>
      </c>
      <c r="K1296" t="s">
        <v>26836</v>
      </c>
      <c r="L1296" t="s">
        <v>26837</v>
      </c>
      <c r="M1296" t="s">
        <v>26838</v>
      </c>
      <c r="N1296" t="s">
        <v>26839</v>
      </c>
      <c r="O1296">
        <f>-755.388768433377 -121.482412373416 -499.431426727697</f>
        <v>-1376.3026075344899</v>
      </c>
      <c r="P1296">
        <f>-723.619141988817 -139.975605830801 -207.472676524564</f>
        <v>-1071.067424344182</v>
      </c>
      <c r="Q1296">
        <f>-590.468830805988 -69.7541022072528 -395.597209360863</f>
        <v>-1055.8201423741039</v>
      </c>
      <c r="R1296" t="s">
        <v>26840</v>
      </c>
      <c r="S1296" t="s">
        <v>26841</v>
      </c>
      <c r="T1296" t="s">
        <v>26842</v>
      </c>
      <c r="U1296" t="s">
        <v>26843</v>
      </c>
      <c r="V1296">
        <f>-720.383610480709 -24.3734244508869 -67.6834445368396</f>
        <v>-812.44047946843546</v>
      </c>
      <c r="W1296" t="s">
        <v>26844</v>
      </c>
      <c r="X1296" t="s">
        <v>26845</v>
      </c>
      <c r="Y1296" t="s">
        <v>26846</v>
      </c>
    </row>
    <row r="1297" spans="1:25" x14ac:dyDescent="0.3">
      <c r="A1297">
        <v>64800</v>
      </c>
      <c r="B1297" t="s">
        <v>26847</v>
      </c>
      <c r="C1297" t="s">
        <v>26848</v>
      </c>
      <c r="D1297" t="s">
        <v>26849</v>
      </c>
      <c r="E1297" t="s">
        <v>26850</v>
      </c>
      <c r="F1297" t="s">
        <v>26851</v>
      </c>
      <c r="G1297" t="s">
        <v>26852</v>
      </c>
      <c r="H1297" t="s">
        <v>26853</v>
      </c>
      <c r="I1297" t="s">
        <v>26854</v>
      </c>
      <c r="J1297" t="s">
        <v>26855</v>
      </c>
      <c r="K1297" t="s">
        <v>26856</v>
      </c>
      <c r="L1297" t="s">
        <v>26857</v>
      </c>
      <c r="M1297" t="s">
        <v>26858</v>
      </c>
      <c r="N1297" t="s">
        <v>26859</v>
      </c>
      <c r="O1297">
        <f>-755.699759466413 -119.587120501464 -499.617844095398</f>
        <v>-1374.9047240632749</v>
      </c>
      <c r="P1297">
        <f>-723.179348256534 -137.692143871221 -207.717407773485</f>
        <v>-1068.58889990124</v>
      </c>
      <c r="Q1297">
        <f>-588.459354614201 -67.2866415759236 -394.651734303761</f>
        <v>-1050.3977304938855</v>
      </c>
      <c r="R1297" t="s">
        <v>26860</v>
      </c>
      <c r="S1297" t="s">
        <v>26861</v>
      </c>
      <c r="T1297" t="s">
        <v>26862</v>
      </c>
      <c r="U1297" t="s">
        <v>26863</v>
      </c>
      <c r="V1297">
        <f>-720.01430163927 -22.7044855835188 -67.6489989634285</f>
        <v>-810.36778618621736</v>
      </c>
      <c r="W1297" t="s">
        <v>26864</v>
      </c>
      <c r="X1297" t="s">
        <v>26865</v>
      </c>
      <c r="Y1297" t="s">
        <v>26866</v>
      </c>
    </row>
    <row r="1298" spans="1:25" x14ac:dyDescent="0.3">
      <c r="A1298">
        <v>64850</v>
      </c>
      <c r="B1298" t="s">
        <v>26867</v>
      </c>
      <c r="C1298" t="s">
        <v>26868</v>
      </c>
      <c r="D1298" t="s">
        <v>26869</v>
      </c>
      <c r="E1298" t="s">
        <v>26870</v>
      </c>
      <c r="F1298" t="s">
        <v>26871</v>
      </c>
      <c r="G1298" t="s">
        <v>26872</v>
      </c>
      <c r="H1298" t="s">
        <v>26873</v>
      </c>
      <c r="I1298" t="s">
        <v>26874</v>
      </c>
      <c r="J1298" t="s">
        <v>26875</v>
      </c>
      <c r="K1298" t="s">
        <v>26876</v>
      </c>
      <c r="L1298" t="s">
        <v>26877</v>
      </c>
      <c r="M1298" t="s">
        <v>26878</v>
      </c>
      <c r="N1298" t="s">
        <v>26879</v>
      </c>
      <c r="O1298">
        <f>-756.008114377915 -118.688367249567 -499.728709784641</f>
        <v>-1374.425191412123</v>
      </c>
      <c r="P1298">
        <f>-723.177732575555 -136.635738303927 -207.853338642042</f>
        <v>-1067.6668095215241</v>
      </c>
      <c r="Q1298">
        <f>-587.500553912634 -66.3553934751997 -394.141416960069</f>
        <v>-1047.9973643479027</v>
      </c>
      <c r="R1298" t="s">
        <v>26880</v>
      </c>
      <c r="S1298" t="s">
        <v>26881</v>
      </c>
      <c r="T1298" t="s">
        <v>26882</v>
      </c>
      <c r="U1298" t="s">
        <v>26883</v>
      </c>
      <c r="V1298">
        <f>-719.826560772649 -21.8565066010633 -67.6160248190939</f>
        <v>-809.29909219280626</v>
      </c>
      <c r="W1298" t="s">
        <v>26884</v>
      </c>
      <c r="X1298" t="s">
        <v>26885</v>
      </c>
      <c r="Y1298" t="s">
        <v>26886</v>
      </c>
    </row>
    <row r="1299" spans="1:25" x14ac:dyDescent="0.3">
      <c r="A1299">
        <v>64900</v>
      </c>
      <c r="B1299" t="s">
        <v>26887</v>
      </c>
      <c r="C1299" t="s">
        <v>26888</v>
      </c>
      <c r="D1299" t="s">
        <v>26889</v>
      </c>
      <c r="E1299" t="s">
        <v>26890</v>
      </c>
      <c r="F1299" t="s">
        <v>26891</v>
      </c>
      <c r="G1299" t="s">
        <v>26892</v>
      </c>
      <c r="H1299" t="s">
        <v>26893</v>
      </c>
      <c r="I1299" t="s">
        <v>26894</v>
      </c>
      <c r="J1299" t="s">
        <v>26895</v>
      </c>
      <c r="K1299" t="s">
        <v>26896</v>
      </c>
      <c r="L1299" t="s">
        <v>26897</v>
      </c>
      <c r="M1299" t="s">
        <v>26898</v>
      </c>
      <c r="N1299" t="s">
        <v>26899</v>
      </c>
      <c r="O1299">
        <f>-757.28384130051 -116.539481137444 -500.175710857891</f>
        <v>-1373.999033295845</v>
      </c>
      <c r="P1299">
        <f>-723.736843393612 -134.811310632718 -208.402008673258</f>
        <v>-1066.950162699588</v>
      </c>
      <c r="Q1299">
        <f>-585.812902812122 -64.8145610498998 -393.140327253824</f>
        <v>-1043.7677911158457</v>
      </c>
      <c r="R1299" t="s">
        <v>26900</v>
      </c>
      <c r="S1299" t="s">
        <v>26901</v>
      </c>
      <c r="T1299" t="s">
        <v>26902</v>
      </c>
      <c r="U1299" t="s">
        <v>26903</v>
      </c>
      <c r="V1299">
        <f>-719.741407133407 -20.3126050730771 -67.5495985517996</f>
        <v>-807.60361075828371</v>
      </c>
      <c r="W1299" t="s">
        <v>26904</v>
      </c>
      <c r="X1299" t="s">
        <v>26905</v>
      </c>
      <c r="Y1299" t="s">
        <v>26906</v>
      </c>
    </row>
    <row r="1300" spans="1:25" x14ac:dyDescent="0.3">
      <c r="A1300">
        <v>64950</v>
      </c>
      <c r="B1300" t="s">
        <v>26907</v>
      </c>
      <c r="C1300" t="s">
        <v>26908</v>
      </c>
      <c r="D1300" t="s">
        <v>26909</v>
      </c>
      <c r="E1300" t="s">
        <v>26910</v>
      </c>
      <c r="F1300" t="s">
        <v>26911</v>
      </c>
      <c r="G1300" t="s">
        <v>26912</v>
      </c>
      <c r="H1300" t="s">
        <v>26913</v>
      </c>
      <c r="I1300" t="s">
        <v>26914</v>
      </c>
      <c r="J1300" t="s">
        <v>26915</v>
      </c>
      <c r="K1300" t="s">
        <v>26916</v>
      </c>
      <c r="L1300" t="s">
        <v>26917</v>
      </c>
      <c r="M1300" t="s">
        <v>26918</v>
      </c>
      <c r="N1300" t="s">
        <v>26919</v>
      </c>
      <c r="O1300">
        <f>-758.155855761896 -115.308340646841 -500.47659410369</f>
        <v>-1373.9407905124269</v>
      </c>
      <c r="P1300">
        <f>-724.203672277096 -134.072732408795 -208.781022256971</f>
        <v>-1067.0574269428619</v>
      </c>
      <c r="Q1300">
        <f>-585.199486157665 -64.1173498257526 -392.723779378095</f>
        <v>-1042.0406153615127</v>
      </c>
      <c r="R1300" t="s">
        <v>26920</v>
      </c>
      <c r="S1300" t="s">
        <v>26921</v>
      </c>
      <c r="T1300" t="s">
        <v>26922</v>
      </c>
      <c r="U1300" t="s">
        <v>26923</v>
      </c>
      <c r="V1300">
        <f>-719.871115339045 -19.5515470573628 -67.5119016087266</f>
        <v>-806.93456400513435</v>
      </c>
      <c r="W1300" t="s">
        <v>26924</v>
      </c>
      <c r="X1300" t="s">
        <v>26925</v>
      </c>
      <c r="Y1300" t="s">
        <v>26926</v>
      </c>
    </row>
    <row r="1301" spans="1:25" x14ac:dyDescent="0.3">
      <c r="A1301">
        <v>65000</v>
      </c>
      <c r="B1301" t="s">
        <v>26927</v>
      </c>
      <c r="C1301" t="s">
        <v>26928</v>
      </c>
      <c r="D1301" t="s">
        <v>26929</v>
      </c>
      <c r="E1301" t="s">
        <v>26930</v>
      </c>
      <c r="F1301" t="s">
        <v>26931</v>
      </c>
      <c r="G1301" t="s">
        <v>26932</v>
      </c>
      <c r="H1301" t="s">
        <v>26933</v>
      </c>
      <c r="I1301" t="s">
        <v>26934</v>
      </c>
      <c r="J1301" t="s">
        <v>26935</v>
      </c>
      <c r="K1301" t="s">
        <v>26936</v>
      </c>
      <c r="L1301" t="s">
        <v>26937</v>
      </c>
      <c r="M1301" t="s">
        <v>26938</v>
      </c>
      <c r="N1301" t="s">
        <v>26939</v>
      </c>
      <c r="O1301">
        <f>-760.105109429452 -112.957246833819 -501.035730659921</f>
        <v>-1374.0980869231921</v>
      </c>
      <c r="P1301">
        <f>-725.662947638471 -132.86970857194 -209.473671079984</f>
        <v>-1068.0063272903949</v>
      </c>
      <c r="Q1301">
        <f>-584.110186517757 -63.2321456735583 -391.584366096511</f>
        <v>-1038.9266982878264</v>
      </c>
      <c r="R1301" t="s">
        <v>26940</v>
      </c>
      <c r="S1301" t="s">
        <v>26941</v>
      </c>
      <c r="T1301" t="s">
        <v>26942</v>
      </c>
      <c r="U1301" t="s">
        <v>26943</v>
      </c>
      <c r="V1301">
        <f>-720.218138258246 -18.1422537092008 -67.414258917934</f>
        <v>-805.77465088538077</v>
      </c>
      <c r="W1301" t="s">
        <v>26944</v>
      </c>
      <c r="X1301" t="s">
        <v>26945</v>
      </c>
      <c r="Y1301" t="s">
        <v>26946</v>
      </c>
    </row>
    <row r="1302" spans="1:25" x14ac:dyDescent="0.3">
      <c r="A1302">
        <v>65050</v>
      </c>
      <c r="B1302" t="s">
        <v>26947</v>
      </c>
      <c r="C1302" t="s">
        <v>26948</v>
      </c>
      <c r="D1302" t="s">
        <v>26949</v>
      </c>
      <c r="E1302" t="s">
        <v>26950</v>
      </c>
      <c r="F1302" t="s">
        <v>26951</v>
      </c>
      <c r="G1302" t="s">
        <v>26952</v>
      </c>
      <c r="H1302" t="s">
        <v>26953</v>
      </c>
      <c r="I1302" t="s">
        <v>26954</v>
      </c>
      <c r="J1302" t="s">
        <v>26955</v>
      </c>
      <c r="K1302" t="s">
        <v>26956</v>
      </c>
      <c r="L1302" t="s">
        <v>26957</v>
      </c>
      <c r="M1302" t="s">
        <v>26958</v>
      </c>
      <c r="N1302" t="s">
        <v>26959</v>
      </c>
      <c r="O1302">
        <f>-761.093672310804 -111.832189100089 -501.311624527476</f>
        <v>-1374.237485938369</v>
      </c>
      <c r="P1302">
        <f>-726.55543580514 -132.289061736284 -209.798645265769</f>
        <v>-1068.643142807193</v>
      </c>
      <c r="Q1302">
        <f>-583.333365003493 -62.9409520610634 -390.710446288011</f>
        <v>-1036.9847633525674</v>
      </c>
      <c r="R1302" t="s">
        <v>26960</v>
      </c>
      <c r="S1302" t="s">
        <v>26961</v>
      </c>
      <c r="T1302" t="s">
        <v>26962</v>
      </c>
      <c r="U1302" t="s">
        <v>26963</v>
      </c>
      <c r="V1302">
        <f>-720.422748018043 -17.5599203773072 -67.3579133648697</f>
        <v>-805.34058176021983</v>
      </c>
      <c r="W1302" t="s">
        <v>26964</v>
      </c>
      <c r="X1302" t="s">
        <v>26965</v>
      </c>
      <c r="Y1302" t="s">
        <v>26966</v>
      </c>
    </row>
    <row r="1303" spans="1:25" x14ac:dyDescent="0.3">
      <c r="A1303">
        <v>65100</v>
      </c>
      <c r="B1303" t="s">
        <v>26967</v>
      </c>
      <c r="C1303" t="s">
        <v>26968</v>
      </c>
      <c r="D1303" t="s">
        <v>26969</v>
      </c>
      <c r="E1303" t="s">
        <v>26970</v>
      </c>
      <c r="F1303" t="s">
        <v>26971</v>
      </c>
      <c r="G1303" t="s">
        <v>26972</v>
      </c>
      <c r="H1303" t="s">
        <v>26973</v>
      </c>
      <c r="I1303" t="s">
        <v>26974</v>
      </c>
      <c r="J1303" t="s">
        <v>26975</v>
      </c>
      <c r="K1303" t="s">
        <v>26976</v>
      </c>
      <c r="L1303" t="s">
        <v>26977</v>
      </c>
      <c r="M1303" t="s">
        <v>26978</v>
      </c>
      <c r="N1303" t="s">
        <v>26979</v>
      </c>
      <c r="O1303">
        <f>-763.14416799186 -109.666686403556 -501.822006422821</f>
        <v>-1374.6328608182371</v>
      </c>
      <c r="P1303">
        <f>-728.574181200557 -131.408412132338 -210.405594541589</f>
        <v>-1070.3881878744839</v>
      </c>
      <c r="Q1303">
        <f>-581.437782197898 -62.6689192475628 -388.384907417385</f>
        <v>-1032.4916088628459</v>
      </c>
      <c r="R1303" t="s">
        <v>26980</v>
      </c>
      <c r="S1303" t="s">
        <v>26981</v>
      </c>
      <c r="T1303" t="s">
        <v>26982</v>
      </c>
      <c r="U1303" t="s">
        <v>26983</v>
      </c>
      <c r="V1303">
        <f>-720.915887869634 -16.4024303486608 -67.2146239162327</f>
        <v>-804.5329421345275</v>
      </c>
      <c r="W1303" t="s">
        <v>26984</v>
      </c>
      <c r="X1303" t="s">
        <v>26985</v>
      </c>
      <c r="Y1303" t="s">
        <v>26986</v>
      </c>
    </row>
    <row r="1304" spans="1:25" x14ac:dyDescent="0.3">
      <c r="A1304">
        <v>65150</v>
      </c>
      <c r="B1304" t="s">
        <v>26987</v>
      </c>
      <c r="C1304" t="s">
        <v>26988</v>
      </c>
      <c r="D1304" t="s">
        <v>26989</v>
      </c>
      <c r="E1304" t="s">
        <v>26990</v>
      </c>
      <c r="F1304" t="s">
        <v>26991</v>
      </c>
      <c r="G1304" t="s">
        <v>26992</v>
      </c>
      <c r="H1304" t="s">
        <v>26993</v>
      </c>
      <c r="I1304" t="s">
        <v>26994</v>
      </c>
      <c r="J1304" t="s">
        <v>26995</v>
      </c>
      <c r="K1304" t="s">
        <v>26996</v>
      </c>
      <c r="L1304" t="s">
        <v>26997</v>
      </c>
      <c r="M1304" t="s">
        <v>26998</v>
      </c>
      <c r="N1304" t="s">
        <v>26999</v>
      </c>
      <c r="O1304">
        <f>-764.372915036399 -108.683564621509 -502.032038619101</f>
        <v>-1375.0885182770091</v>
      </c>
      <c r="P1304">
        <f>-729.885912399625 -130.945086696764 -210.645244720192</f>
        <v>-1071.476243816581</v>
      </c>
      <c r="Q1304">
        <f>-580.557360802236 -62.8906492885744 -387.055147369011</f>
        <v>-1030.5031574598215</v>
      </c>
      <c r="R1304" t="s">
        <v>27000</v>
      </c>
      <c r="S1304" t="s">
        <v>27001</v>
      </c>
      <c r="T1304" t="s">
        <v>27002</v>
      </c>
      <c r="U1304" t="s">
        <v>27003</v>
      </c>
      <c r="V1304">
        <f>-721.242701602672 -15.9141412417707 -67.1440761043884</f>
        <v>-804.30091894883117</v>
      </c>
      <c r="W1304" t="s">
        <v>27004</v>
      </c>
      <c r="X1304" t="s">
        <v>27005</v>
      </c>
      <c r="Y1304" t="s">
        <v>27006</v>
      </c>
    </row>
    <row r="1305" spans="1:25" x14ac:dyDescent="0.3">
      <c r="A1305">
        <v>65200</v>
      </c>
      <c r="B1305" t="s">
        <v>27007</v>
      </c>
      <c r="C1305" t="s">
        <v>27008</v>
      </c>
      <c r="D1305" t="s">
        <v>27009</v>
      </c>
      <c r="E1305" t="s">
        <v>27010</v>
      </c>
      <c r="F1305" t="s">
        <v>27011</v>
      </c>
      <c r="G1305" t="s">
        <v>27012</v>
      </c>
      <c r="H1305" t="s">
        <v>27013</v>
      </c>
      <c r="I1305" t="s">
        <v>27014</v>
      </c>
      <c r="J1305" t="s">
        <v>27015</v>
      </c>
      <c r="K1305" t="s">
        <v>27016</v>
      </c>
      <c r="L1305" t="s">
        <v>27017</v>
      </c>
      <c r="M1305" t="s">
        <v>27018</v>
      </c>
      <c r="N1305" t="s">
        <v>27019</v>
      </c>
      <c r="O1305">
        <f>-766.374850697203 -106.832441483105 -502.440408232937</f>
        <v>-1375.6477004132448</v>
      </c>
      <c r="P1305">
        <f>-732.654957662993 -130.073122717384 -211.040293625678</f>
        <v>-1073.768374006055</v>
      </c>
      <c r="Q1305">
        <f>-579.172931680216 -63.3986151798049 -384.385664782509</f>
        <v>-1026.95721164253</v>
      </c>
      <c r="R1305" t="s">
        <v>27020</v>
      </c>
      <c r="S1305" t="s">
        <v>27021</v>
      </c>
      <c r="T1305" t="s">
        <v>27022</v>
      </c>
      <c r="U1305" t="s">
        <v>27023</v>
      </c>
      <c r="V1305">
        <f>-722.105974018754 -15.0525808178595 -67.0166113644998</f>
        <v>-804.17516620111326</v>
      </c>
      <c r="W1305" t="s">
        <v>27024</v>
      </c>
      <c r="X1305" t="s">
        <v>27025</v>
      </c>
      <c r="Y1305" t="s">
        <v>27026</v>
      </c>
    </row>
    <row r="1306" spans="1:25" x14ac:dyDescent="0.3">
      <c r="A1306">
        <v>65250</v>
      </c>
      <c r="B1306" t="s">
        <v>27027</v>
      </c>
      <c r="C1306" t="s">
        <v>27028</v>
      </c>
      <c r="D1306" t="s">
        <v>27029</v>
      </c>
      <c r="E1306" t="s">
        <v>27030</v>
      </c>
      <c r="F1306" t="s">
        <v>27031</v>
      </c>
      <c r="G1306" t="s">
        <v>27032</v>
      </c>
      <c r="H1306" t="s">
        <v>27033</v>
      </c>
      <c r="I1306" t="s">
        <v>27034</v>
      </c>
      <c r="J1306" t="s">
        <v>27035</v>
      </c>
      <c r="K1306" t="s">
        <v>27036</v>
      </c>
      <c r="L1306" t="s">
        <v>27037</v>
      </c>
      <c r="M1306" t="s">
        <v>27038</v>
      </c>
      <c r="N1306" t="s">
        <v>27039</v>
      </c>
      <c r="O1306">
        <f>-767.219269442791 -106.006811368587 -502.645974259915</f>
        <v>-1375.8720550712931</v>
      </c>
      <c r="P1306">
        <f>-734.085827165054 -129.649114472965 -211.210920251455</f>
        <v>-1074.9458618894739</v>
      </c>
      <c r="Q1306">
        <f>-578.309006381523 -63.7780745246305 -382.807726387609</f>
        <v>-1024.8948072937624</v>
      </c>
      <c r="R1306" t="s">
        <v>27040</v>
      </c>
      <c r="S1306" t="s">
        <v>27041</v>
      </c>
      <c r="T1306" t="s">
        <v>27042</v>
      </c>
      <c r="U1306" t="s">
        <v>27043</v>
      </c>
      <c r="V1306">
        <f>-722.475440558171 -14.7332023563686 -66.9849236186271</f>
        <v>-804.19356653316675</v>
      </c>
      <c r="W1306" t="s">
        <v>27044</v>
      </c>
      <c r="X1306" t="s">
        <v>27045</v>
      </c>
      <c r="Y1306" t="s">
        <v>27046</v>
      </c>
    </row>
    <row r="1307" spans="1:25" x14ac:dyDescent="0.3">
      <c r="A1307">
        <v>65300</v>
      </c>
      <c r="B1307" t="s">
        <v>27047</v>
      </c>
      <c r="C1307" t="s">
        <v>27048</v>
      </c>
      <c r="D1307" t="s">
        <v>27049</v>
      </c>
      <c r="E1307" t="s">
        <v>27050</v>
      </c>
      <c r="F1307" t="s">
        <v>27051</v>
      </c>
      <c r="G1307" t="s">
        <v>27052</v>
      </c>
      <c r="H1307" t="s">
        <v>27053</v>
      </c>
      <c r="I1307" t="s">
        <v>27054</v>
      </c>
      <c r="J1307" t="s">
        <v>27055</v>
      </c>
      <c r="K1307" t="s">
        <v>27056</v>
      </c>
      <c r="L1307" t="s">
        <v>27057</v>
      </c>
      <c r="M1307" t="s">
        <v>27058</v>
      </c>
      <c r="N1307" t="s">
        <v>27059</v>
      </c>
      <c r="O1307">
        <f>-768.571239778779 -104.435207227356 -502.946584264451</f>
        <v>-1375.9530312705861</v>
      </c>
      <c r="P1307">
        <f>-737.158042646696 -128.926014246907 -211.391120083269</f>
        <v>-1077.475176976872</v>
      </c>
      <c r="Q1307">
        <f>-577.685841315745 -63.8980284300887 -379.887016476709</f>
        <v>-1021.4708862225427</v>
      </c>
      <c r="R1307" t="s">
        <v>27060</v>
      </c>
      <c r="S1307" t="s">
        <v>27061</v>
      </c>
      <c r="T1307" t="s">
        <v>27062</v>
      </c>
      <c r="U1307" t="s">
        <v>27063</v>
      </c>
      <c r="V1307">
        <f>-723.118707611886 -14.0919366112917 -66.950304771114</f>
        <v>-804.16094899429163</v>
      </c>
      <c r="W1307" t="s">
        <v>27064</v>
      </c>
      <c r="X1307" t="s">
        <v>27065</v>
      </c>
      <c r="Y1307" t="s">
        <v>27066</v>
      </c>
    </row>
    <row r="1308" spans="1:25" x14ac:dyDescent="0.3">
      <c r="A1308">
        <v>65350</v>
      </c>
      <c r="B1308" t="s">
        <v>27067</v>
      </c>
      <c r="C1308" t="s">
        <v>27068</v>
      </c>
      <c r="D1308" t="s">
        <v>27069</v>
      </c>
      <c r="E1308" t="s">
        <v>27070</v>
      </c>
      <c r="F1308" t="s">
        <v>27071</v>
      </c>
      <c r="G1308" t="s">
        <v>27072</v>
      </c>
      <c r="H1308" t="s">
        <v>27073</v>
      </c>
      <c r="I1308" t="s">
        <v>27074</v>
      </c>
      <c r="J1308" t="s">
        <v>27075</v>
      </c>
      <c r="K1308" t="s">
        <v>27076</v>
      </c>
      <c r="L1308" t="s">
        <v>27077</v>
      </c>
      <c r="M1308" t="s">
        <v>27078</v>
      </c>
      <c r="N1308" t="s">
        <v>27079</v>
      </c>
      <c r="O1308">
        <f>-769.212446409915 -103.728451267287 -503.090982125893</f>
        <v>-1376.0318798030949</v>
      </c>
      <c r="P1308">
        <f>-738.954422232077 -128.638468008596 -211.448753883992</f>
        <v>-1079.041644124665</v>
      </c>
      <c r="Q1308">
        <f>-578.452814031406 -64.5978820945281 -379.344265907778</f>
        <v>-1022.3949620337121</v>
      </c>
      <c r="R1308" t="s">
        <v>27080</v>
      </c>
      <c r="S1308" t="s">
        <v>27081</v>
      </c>
      <c r="T1308" t="s">
        <v>27082</v>
      </c>
      <c r="U1308" t="s">
        <v>27083</v>
      </c>
      <c r="V1308">
        <f>-723.449486881964 -13.9391947669701 -66.9089365610674</f>
        <v>-804.29761821000159</v>
      </c>
      <c r="W1308" t="s">
        <v>27084</v>
      </c>
      <c r="X1308" t="s">
        <v>27085</v>
      </c>
      <c r="Y1308" t="s">
        <v>27086</v>
      </c>
    </row>
    <row r="1309" spans="1:25" x14ac:dyDescent="0.3">
      <c r="A1309">
        <v>65400</v>
      </c>
      <c r="B1309" t="s">
        <v>27087</v>
      </c>
      <c r="C1309" t="s">
        <v>27088</v>
      </c>
      <c r="D1309" t="s">
        <v>27089</v>
      </c>
      <c r="E1309" t="s">
        <v>27090</v>
      </c>
      <c r="F1309" t="s">
        <v>27091</v>
      </c>
      <c r="G1309" t="s">
        <v>27092</v>
      </c>
      <c r="H1309" t="s">
        <v>27093</v>
      </c>
      <c r="I1309" t="s">
        <v>27094</v>
      </c>
      <c r="J1309" t="s">
        <v>27095</v>
      </c>
      <c r="K1309" t="s">
        <v>27096</v>
      </c>
      <c r="L1309" t="s">
        <v>27097</v>
      </c>
      <c r="M1309" t="s">
        <v>27098</v>
      </c>
      <c r="N1309" t="s">
        <v>27099</v>
      </c>
      <c r="O1309">
        <f>-770.882539508089 -102.542971962558 -503.535750177005</f>
        <v>-1376.961261647652</v>
      </c>
      <c r="P1309">
        <f>-741.474317408582 -129.069153526063 -211.949120563107</f>
        <v>-1082.4925914977521</v>
      </c>
      <c r="Q1309">
        <f>-580.583931887358 -64.8733314695398 -379.412746964499</f>
        <v>-1024.8700103213969</v>
      </c>
      <c r="R1309" t="s">
        <v>27100</v>
      </c>
      <c r="S1309" t="s">
        <v>27101</v>
      </c>
      <c r="T1309" t="s">
        <v>27102</v>
      </c>
      <c r="U1309" t="s">
        <v>27103</v>
      </c>
      <c r="V1309">
        <f>-723.922469748888 -13.8550916726122 -66.8404584378126</f>
        <v>-804.61801985931277</v>
      </c>
      <c r="W1309" t="s">
        <v>27104</v>
      </c>
      <c r="X1309" t="s">
        <v>27105</v>
      </c>
      <c r="Y1309" t="s">
        <v>27106</v>
      </c>
    </row>
    <row r="1310" spans="1:25" x14ac:dyDescent="0.3">
      <c r="A1310">
        <v>65450</v>
      </c>
      <c r="B1310" t="s">
        <v>27107</v>
      </c>
      <c r="C1310" t="s">
        <v>27108</v>
      </c>
      <c r="D1310" t="s">
        <v>27109</v>
      </c>
      <c r="E1310" t="s">
        <v>27110</v>
      </c>
      <c r="F1310" t="s">
        <v>27111</v>
      </c>
      <c r="G1310" t="s">
        <v>27112</v>
      </c>
      <c r="H1310" t="s">
        <v>27113</v>
      </c>
      <c r="I1310" t="s">
        <v>27114</v>
      </c>
      <c r="J1310" t="s">
        <v>27115</v>
      </c>
      <c r="K1310" t="s">
        <v>27116</v>
      </c>
      <c r="L1310" t="s">
        <v>27117</v>
      </c>
      <c r="M1310" t="s">
        <v>27118</v>
      </c>
      <c r="N1310" t="s">
        <v>27119</v>
      </c>
      <c r="O1310">
        <f>-771.593562425981 -101.926003134217 -503.838261886347</f>
        <v>-1377.3578274465449</v>
      </c>
      <c r="P1310">
        <f>-742.092297345502 -129.567463125314 -212.364744280224</f>
        <v>-1084.02450475104</v>
      </c>
      <c r="Q1310">
        <f>-581.339769420505 -64.5244111795942 -379.633596026841</f>
        <v>-1025.4977766269403</v>
      </c>
      <c r="R1310" t="s">
        <v>27120</v>
      </c>
      <c r="S1310" t="s">
        <v>27121</v>
      </c>
      <c r="T1310" t="s">
        <v>27122</v>
      </c>
      <c r="U1310" t="s">
        <v>27123</v>
      </c>
      <c r="V1310">
        <f>-724.105682197236 -14.1207729976204 -66.7946428519592</f>
        <v>-805.02109804681561</v>
      </c>
      <c r="W1310" t="s">
        <v>27124</v>
      </c>
      <c r="X1310" t="s">
        <v>27125</v>
      </c>
      <c r="Y1310" t="s">
        <v>27126</v>
      </c>
    </row>
    <row r="1311" spans="1:25" x14ac:dyDescent="0.3">
      <c r="A1311">
        <v>65500</v>
      </c>
      <c r="B1311" t="s">
        <v>27127</v>
      </c>
      <c r="C1311" t="s">
        <v>27128</v>
      </c>
      <c r="D1311" t="s">
        <v>27129</v>
      </c>
      <c r="E1311" t="s">
        <v>27130</v>
      </c>
      <c r="F1311" t="s">
        <v>27131</v>
      </c>
      <c r="G1311" t="s">
        <v>27132</v>
      </c>
      <c r="H1311" t="s">
        <v>27133</v>
      </c>
      <c r="I1311" t="s">
        <v>27134</v>
      </c>
      <c r="J1311" t="s">
        <v>27135</v>
      </c>
      <c r="K1311" t="s">
        <v>27136</v>
      </c>
      <c r="L1311" t="s">
        <v>27137</v>
      </c>
      <c r="M1311" t="s">
        <v>27138</v>
      </c>
      <c r="N1311" t="s">
        <v>27139</v>
      </c>
      <c r="O1311">
        <f>-773.051561597493 -101.341662273565 -504.485673141165</f>
        <v>-1378.878897012223</v>
      </c>
      <c r="P1311">
        <f>-743.04625739182 -130.623275108331 -213.223827264855</f>
        <v>-1086.8933597650059</v>
      </c>
      <c r="Q1311">
        <f>-582.620016099271 -64.0467359329514 -380.202264350169</f>
        <v>-1026.8690163823912</v>
      </c>
      <c r="R1311" t="s">
        <v>27140</v>
      </c>
      <c r="S1311" t="s">
        <v>27141</v>
      </c>
      <c r="T1311" t="s">
        <v>27142</v>
      </c>
      <c r="U1311" t="s">
        <v>27143</v>
      </c>
      <c r="V1311">
        <f>-724.585054170922 -14.6967708322932 -66.7368289949125</f>
        <v>-806.01865399812766</v>
      </c>
      <c r="W1311" t="s">
        <v>27144</v>
      </c>
      <c r="X1311" t="s">
        <v>27145</v>
      </c>
      <c r="Y1311" t="s">
        <v>27146</v>
      </c>
    </row>
    <row r="1312" spans="1:25" x14ac:dyDescent="0.3">
      <c r="A1312">
        <v>65550</v>
      </c>
      <c r="B1312" t="s">
        <v>27147</v>
      </c>
      <c r="C1312" t="s">
        <v>27148</v>
      </c>
      <c r="D1312" t="s">
        <v>27149</v>
      </c>
      <c r="E1312" t="s">
        <v>27150</v>
      </c>
      <c r="F1312" t="s">
        <v>27151</v>
      </c>
      <c r="G1312" t="s">
        <v>27152</v>
      </c>
      <c r="H1312" t="s">
        <v>27153</v>
      </c>
      <c r="I1312" t="s">
        <v>27154</v>
      </c>
      <c r="J1312" t="s">
        <v>27155</v>
      </c>
      <c r="K1312" t="s">
        <v>27156</v>
      </c>
      <c r="L1312" t="s">
        <v>27157</v>
      </c>
      <c r="M1312" t="s">
        <v>27158</v>
      </c>
      <c r="N1312" t="s">
        <v>27159</v>
      </c>
      <c r="O1312">
        <f>-773.772291384003 -101.226286833337 -504.794294385554</f>
        <v>-1379.792872602894</v>
      </c>
      <c r="P1312">
        <f>-743.221565411918 -131.427914150996 -213.683117756691</f>
        <v>-1088.3325973196052</v>
      </c>
      <c r="Q1312">
        <f>-583.116331695242 -64.084636997987 -380.662335842552</f>
        <v>-1027.863304535781</v>
      </c>
      <c r="R1312" t="s">
        <v>27160</v>
      </c>
      <c r="S1312" t="s">
        <v>27161</v>
      </c>
      <c r="T1312" t="s">
        <v>27162</v>
      </c>
      <c r="U1312" t="s">
        <v>27163</v>
      </c>
      <c r="V1312">
        <f>-724.744231075181 -15.1391613866467 -66.742459839644</f>
        <v>-806.6258523014717</v>
      </c>
      <c r="W1312" t="s">
        <v>27164</v>
      </c>
      <c r="X1312" t="s">
        <v>27165</v>
      </c>
      <c r="Y1312" t="s">
        <v>27166</v>
      </c>
    </row>
    <row r="1313" spans="1:25" x14ac:dyDescent="0.3">
      <c r="A1313">
        <v>65600</v>
      </c>
      <c r="B1313" t="s">
        <v>27167</v>
      </c>
      <c r="C1313" t="s">
        <v>27168</v>
      </c>
      <c r="D1313" t="s">
        <v>27169</v>
      </c>
      <c r="E1313" t="s">
        <v>27170</v>
      </c>
      <c r="F1313" t="s">
        <v>27171</v>
      </c>
      <c r="G1313" t="s">
        <v>27172</v>
      </c>
      <c r="H1313" t="s">
        <v>27173</v>
      </c>
      <c r="I1313" t="s">
        <v>27174</v>
      </c>
      <c r="J1313" t="s">
        <v>27175</v>
      </c>
      <c r="K1313" t="s">
        <v>27176</v>
      </c>
      <c r="L1313" t="s">
        <v>27177</v>
      </c>
      <c r="M1313" t="s">
        <v>27178</v>
      </c>
      <c r="N1313" t="s">
        <v>27179</v>
      </c>
      <c r="O1313">
        <f>-774.835648679724 -101.431704677991 -505.257342437539</f>
        <v>-1381.524695795254</v>
      </c>
      <c r="P1313">
        <f>-743.209239167469 -132.683668733085 -214.372051030311</f>
        <v>-1090.2649589308651</v>
      </c>
      <c r="Q1313">
        <f>-583.424085140389 -63.9990056211097 -381.111363246888</f>
        <v>-1028.5344540083868</v>
      </c>
      <c r="R1313" t="s">
        <v>27180</v>
      </c>
      <c r="S1313" t="s">
        <v>27181</v>
      </c>
      <c r="T1313" t="s">
        <v>27182</v>
      </c>
      <c r="U1313" t="s">
        <v>27183</v>
      </c>
      <c r="V1313">
        <f>-724.939199728207 -16.3789402211851 -66.7475339176874</f>
        <v>-808.06567386707945</v>
      </c>
      <c r="W1313" t="s">
        <v>27184</v>
      </c>
      <c r="X1313" t="s">
        <v>27185</v>
      </c>
      <c r="Y1313" t="s">
        <v>27186</v>
      </c>
    </row>
    <row r="1314" spans="1:25" x14ac:dyDescent="0.3">
      <c r="A1314">
        <v>65650</v>
      </c>
      <c r="B1314" t="s">
        <v>27187</v>
      </c>
      <c r="C1314" t="s">
        <v>27188</v>
      </c>
      <c r="D1314" t="s">
        <v>27189</v>
      </c>
      <c r="E1314" t="s">
        <v>27190</v>
      </c>
      <c r="F1314" t="s">
        <v>27191</v>
      </c>
      <c r="G1314" t="s">
        <v>27192</v>
      </c>
      <c r="H1314" t="s">
        <v>27193</v>
      </c>
      <c r="I1314" t="s">
        <v>27194</v>
      </c>
      <c r="J1314" t="s">
        <v>27195</v>
      </c>
      <c r="K1314" t="s">
        <v>27196</v>
      </c>
      <c r="L1314" t="s">
        <v>27197</v>
      </c>
      <c r="M1314" t="s">
        <v>27198</v>
      </c>
      <c r="N1314" t="s">
        <v>27199</v>
      </c>
      <c r="O1314">
        <f>-775.332625583064 -101.603871366985 -505.442993110712</f>
        <v>-1382.3794900607609</v>
      </c>
      <c r="P1314">
        <f>-743.371990565823 -133.28064507777 -214.640260301097</f>
        <v>-1091.2928959446899</v>
      </c>
      <c r="Q1314">
        <f>-583.894206102847 -64.2317944988322 -381.52336282403</f>
        <v>-1029.6493634257092</v>
      </c>
      <c r="R1314" t="s">
        <v>27200</v>
      </c>
      <c r="S1314" t="s">
        <v>27201</v>
      </c>
      <c r="T1314" t="s">
        <v>27202</v>
      </c>
      <c r="U1314" t="s">
        <v>27203</v>
      </c>
      <c r="V1314">
        <f>-725.008560268735 -16.9619941077681 -66.7530525383814</f>
        <v>-808.7236069148845</v>
      </c>
      <c r="W1314" t="s">
        <v>27204</v>
      </c>
      <c r="X1314" t="s">
        <v>27205</v>
      </c>
      <c r="Y1314" t="s">
        <v>27206</v>
      </c>
    </row>
    <row r="1315" spans="1:25" x14ac:dyDescent="0.3">
      <c r="A1315">
        <v>65700</v>
      </c>
      <c r="B1315" t="s">
        <v>27207</v>
      </c>
      <c r="C1315" t="s">
        <v>27208</v>
      </c>
      <c r="D1315" t="s">
        <v>27209</v>
      </c>
      <c r="E1315" t="s">
        <v>27210</v>
      </c>
      <c r="F1315" t="s">
        <v>27211</v>
      </c>
      <c r="G1315" t="s">
        <v>27212</v>
      </c>
      <c r="H1315" t="s">
        <v>27213</v>
      </c>
      <c r="I1315" t="s">
        <v>27214</v>
      </c>
      <c r="J1315" t="s">
        <v>27215</v>
      </c>
      <c r="K1315" t="s">
        <v>27216</v>
      </c>
      <c r="L1315" t="s">
        <v>27217</v>
      </c>
      <c r="M1315" t="s">
        <v>27218</v>
      </c>
      <c r="N1315" t="s">
        <v>27219</v>
      </c>
      <c r="O1315">
        <f>-775.842287989777 -102.066852140848 -505.866929599901</f>
        <v>-1383.7760697305262</v>
      </c>
      <c r="P1315">
        <f>-743.380469215375 -134.398471364246 -215.191569763463</f>
        <v>-1092.970510343084</v>
      </c>
      <c r="Q1315">
        <f>-583.712188063196 -64.3639378461364 -381.480679140205</f>
        <v>-1029.5568050495374</v>
      </c>
      <c r="R1315" t="s">
        <v>27220</v>
      </c>
      <c r="S1315" t="s">
        <v>27221</v>
      </c>
      <c r="T1315" t="s">
        <v>27222</v>
      </c>
      <c r="U1315" t="s">
        <v>27223</v>
      </c>
      <c r="V1315">
        <f>-725.003876814677 -18.1100307786082 -66.7917177252185</f>
        <v>-809.90562531850378</v>
      </c>
      <c r="W1315" t="s">
        <v>27224</v>
      </c>
      <c r="X1315" t="s">
        <v>27225</v>
      </c>
      <c r="Y1315" t="s">
        <v>27226</v>
      </c>
    </row>
    <row r="1316" spans="1:25" x14ac:dyDescent="0.3">
      <c r="A1316">
        <v>65750</v>
      </c>
      <c r="B1316" t="s">
        <v>27227</v>
      </c>
      <c r="C1316" t="s">
        <v>27228</v>
      </c>
      <c r="D1316" t="s">
        <v>27229</v>
      </c>
      <c r="E1316" t="s">
        <v>27230</v>
      </c>
      <c r="F1316" t="s">
        <v>27231</v>
      </c>
      <c r="G1316" t="s">
        <v>27232</v>
      </c>
      <c r="H1316" t="s">
        <v>27233</v>
      </c>
      <c r="I1316" t="s">
        <v>27234</v>
      </c>
      <c r="J1316" t="s">
        <v>27235</v>
      </c>
      <c r="K1316" t="s">
        <v>27236</v>
      </c>
      <c r="L1316" t="s">
        <v>27237</v>
      </c>
      <c r="M1316" t="s">
        <v>27238</v>
      </c>
      <c r="N1316" t="s">
        <v>27239</v>
      </c>
      <c r="O1316">
        <f>-775.800315696552 -102.099263891007 -506.11502182035</f>
        <v>-1384.0146014079091</v>
      </c>
      <c r="P1316">
        <f>-743.28968356263 -135.136053734634 -215.524463605876</f>
        <v>-1093.9502009031401</v>
      </c>
      <c r="Q1316">
        <f>-583.306799793813 -64.7347777244265 -381.355790638518</f>
        <v>-1029.3973681567575</v>
      </c>
      <c r="R1316" t="s">
        <v>27240</v>
      </c>
      <c r="S1316" t="s">
        <v>27241</v>
      </c>
      <c r="T1316" t="s">
        <v>27242</v>
      </c>
      <c r="U1316" t="s">
        <v>27243</v>
      </c>
      <c r="V1316">
        <f>-724.969632112857 -18.5488187959677 -66.8277761095042</f>
        <v>-810.34622701832882</v>
      </c>
      <c r="W1316" t="s">
        <v>27244</v>
      </c>
      <c r="X1316" t="s">
        <v>27245</v>
      </c>
      <c r="Y1316" t="s">
        <v>27246</v>
      </c>
    </row>
    <row r="1317" spans="1:25" x14ac:dyDescent="0.3">
      <c r="A1317">
        <v>65800</v>
      </c>
      <c r="B1317" t="s">
        <v>27247</v>
      </c>
      <c r="C1317" t="s">
        <v>27248</v>
      </c>
      <c r="D1317" t="s">
        <v>27249</v>
      </c>
      <c r="E1317" t="s">
        <v>27250</v>
      </c>
      <c r="F1317" t="s">
        <v>27251</v>
      </c>
      <c r="G1317" t="s">
        <v>27252</v>
      </c>
      <c r="H1317" t="s">
        <v>27253</v>
      </c>
      <c r="I1317" t="s">
        <v>27254</v>
      </c>
      <c r="J1317" t="s">
        <v>27255</v>
      </c>
      <c r="K1317" t="s">
        <v>27256</v>
      </c>
      <c r="L1317" t="s">
        <v>27257</v>
      </c>
      <c r="M1317" t="s">
        <v>27258</v>
      </c>
      <c r="N1317" t="s">
        <v>27259</v>
      </c>
      <c r="O1317">
        <f>-775.429819208347 -102.475694915446 -506.521487474121</f>
        <v>-1384.4270015979139</v>
      </c>
      <c r="P1317">
        <f>-743.418009643331 -136.636805999692 -216.005422996043</f>
        <v>-1096.060238639066</v>
      </c>
      <c r="Q1317">
        <f>-582.940787416136 -64.7861277924703 -380.733817140207</f>
        <v>-1028.4607323488133</v>
      </c>
      <c r="R1317" t="s">
        <v>27260</v>
      </c>
      <c r="S1317" t="s">
        <v>27261</v>
      </c>
      <c r="T1317" t="s">
        <v>27262</v>
      </c>
      <c r="U1317" t="s">
        <v>27263</v>
      </c>
      <c r="V1317">
        <f>-725.088623416561 -19.6177779911714 -66.8319166046568</f>
        <v>-811.53831801238914</v>
      </c>
      <c r="W1317" t="s">
        <v>27264</v>
      </c>
      <c r="X1317" t="s">
        <v>27265</v>
      </c>
      <c r="Y1317" t="s">
        <v>27266</v>
      </c>
    </row>
    <row r="1318" spans="1:25" x14ac:dyDescent="0.3">
      <c r="A1318">
        <v>65850</v>
      </c>
      <c r="B1318" t="s">
        <v>27267</v>
      </c>
      <c r="C1318" t="s">
        <v>27268</v>
      </c>
      <c r="D1318" t="s">
        <v>27269</v>
      </c>
      <c r="E1318" t="s">
        <v>27270</v>
      </c>
      <c r="F1318" t="s">
        <v>27271</v>
      </c>
      <c r="G1318" t="s">
        <v>27272</v>
      </c>
      <c r="H1318" t="s">
        <v>27273</v>
      </c>
      <c r="I1318" t="s">
        <v>27274</v>
      </c>
      <c r="J1318" t="s">
        <v>27275</v>
      </c>
      <c r="K1318" t="s">
        <v>27276</v>
      </c>
      <c r="L1318" t="s">
        <v>27277</v>
      </c>
      <c r="M1318" t="s">
        <v>27278</v>
      </c>
      <c r="N1318" t="s">
        <v>27279</v>
      </c>
      <c r="O1318">
        <f>-775.403276325962 -102.542753257186 -506.68486720268</f>
        <v>-1384.6308967858279</v>
      </c>
      <c r="P1318">
        <f>-743.566172825316 -137.27440151688 -216.217557984396</f>
        <v>-1097.0581323265922</v>
      </c>
      <c r="Q1318">
        <f>-583.114886986223 -64.4995303014093 -380.56489833557</f>
        <v>-1028.1793156232025</v>
      </c>
      <c r="R1318" t="s">
        <v>27280</v>
      </c>
      <c r="S1318" t="s">
        <v>27281</v>
      </c>
      <c r="T1318" t="s">
        <v>27282</v>
      </c>
      <c r="U1318" t="s">
        <v>27283</v>
      </c>
      <c r="V1318">
        <f>-725.224954151241 -20.037912579839 -66.8297865719824</f>
        <v>-812.09265330306243</v>
      </c>
      <c r="W1318" t="s">
        <v>27284</v>
      </c>
      <c r="X1318" t="s">
        <v>27285</v>
      </c>
      <c r="Y1318" t="s">
        <v>27286</v>
      </c>
    </row>
    <row r="1319" spans="1:25" x14ac:dyDescent="0.3">
      <c r="A1319">
        <v>65900</v>
      </c>
      <c r="B1319" t="s">
        <v>27287</v>
      </c>
      <c r="C1319" t="s">
        <v>27288</v>
      </c>
      <c r="D1319" t="s">
        <v>27289</v>
      </c>
      <c r="E1319" t="s">
        <v>27290</v>
      </c>
      <c r="F1319" t="s">
        <v>27291</v>
      </c>
      <c r="G1319" t="s">
        <v>27292</v>
      </c>
      <c r="H1319" t="s">
        <v>27293</v>
      </c>
      <c r="I1319" t="s">
        <v>27294</v>
      </c>
      <c r="J1319" t="s">
        <v>27295</v>
      </c>
      <c r="K1319" t="s">
        <v>27296</v>
      </c>
      <c r="L1319" t="s">
        <v>27297</v>
      </c>
      <c r="M1319" t="s">
        <v>27298</v>
      </c>
      <c r="N1319" t="s">
        <v>27299</v>
      </c>
      <c r="O1319">
        <f>-775.425679649015 -102.798637908617 -506.800629731429</f>
        <v>-1385.0249472890609</v>
      </c>
      <c r="P1319">
        <f>-743.845013970174 -138.189645667997 -216.38487110834</f>
        <v>-1098.4195307465111</v>
      </c>
      <c r="Q1319">
        <f>-583.423398954215 -64.3520841117709 -380.286719839237</f>
        <v>-1028.0622029052229</v>
      </c>
      <c r="R1319" t="s">
        <v>27300</v>
      </c>
      <c r="S1319" t="s">
        <v>27301</v>
      </c>
      <c r="T1319" t="s">
        <v>27302</v>
      </c>
      <c r="U1319" t="s">
        <v>27303</v>
      </c>
      <c r="V1319">
        <f>-725.418059816154 -20.8003918186528 -66.8256236139035</f>
        <v>-813.04407524871033</v>
      </c>
      <c r="W1319" t="s">
        <v>27304</v>
      </c>
      <c r="X1319" t="s">
        <v>27305</v>
      </c>
      <c r="Y1319" t="s">
        <v>27306</v>
      </c>
    </row>
    <row r="1320" spans="1:25" x14ac:dyDescent="0.3">
      <c r="A1320">
        <v>65950</v>
      </c>
      <c r="B1320" t="s">
        <v>27307</v>
      </c>
      <c r="C1320" t="s">
        <v>27308</v>
      </c>
      <c r="D1320" t="s">
        <v>27309</v>
      </c>
      <c r="E1320" t="s">
        <v>27310</v>
      </c>
      <c r="F1320" t="s">
        <v>27311</v>
      </c>
      <c r="G1320" t="s">
        <v>27312</v>
      </c>
      <c r="H1320" t="s">
        <v>27313</v>
      </c>
      <c r="I1320" t="s">
        <v>27314</v>
      </c>
      <c r="J1320" t="s">
        <v>27315</v>
      </c>
      <c r="K1320" t="s">
        <v>27316</v>
      </c>
      <c r="L1320" t="s">
        <v>27317</v>
      </c>
      <c r="M1320" t="s">
        <v>27318</v>
      </c>
      <c r="N1320" t="s">
        <v>27319</v>
      </c>
      <c r="O1320">
        <f>-775.500877733875 -103.043494910373 -506.716638849888</f>
        <v>-1385.2610114941358</v>
      </c>
      <c r="P1320">
        <f>-744.074753240259 -138.520415512975 -216.294482483551</f>
        <v>-1098.8896512367851</v>
      </c>
      <c r="Q1320">
        <f>-583.696049564127 -64.3883172335188 -380.105254598719</f>
        <v>-1028.1896213963648</v>
      </c>
      <c r="R1320" t="s">
        <v>27320</v>
      </c>
      <c r="S1320" t="s">
        <v>27321</v>
      </c>
      <c r="T1320" t="s">
        <v>27322</v>
      </c>
      <c r="U1320" t="s">
        <v>27323</v>
      </c>
      <c r="V1320">
        <f>-725.619287221179 -20.927763697618 -66.7991716169009</f>
        <v>-813.34622253569796</v>
      </c>
      <c r="W1320" t="s">
        <v>27324</v>
      </c>
      <c r="X1320" t="s">
        <v>27325</v>
      </c>
      <c r="Y1320" t="s">
        <v>27326</v>
      </c>
    </row>
    <row r="1321" spans="1:25" x14ac:dyDescent="0.3">
      <c r="A1321">
        <v>66000</v>
      </c>
      <c r="B1321" t="s">
        <v>27327</v>
      </c>
      <c r="C1321" t="s">
        <v>27328</v>
      </c>
      <c r="D1321" t="s">
        <v>27329</v>
      </c>
      <c r="E1321" t="s">
        <v>27330</v>
      </c>
      <c r="F1321" t="s">
        <v>27331</v>
      </c>
      <c r="G1321" t="s">
        <v>27332</v>
      </c>
      <c r="H1321" t="s">
        <v>27333</v>
      </c>
      <c r="I1321" t="s">
        <v>27334</v>
      </c>
      <c r="J1321" t="s">
        <v>27335</v>
      </c>
      <c r="K1321" t="s">
        <v>27336</v>
      </c>
      <c r="L1321" t="s">
        <v>27337</v>
      </c>
      <c r="M1321" t="s">
        <v>27338</v>
      </c>
      <c r="N1321" t="s">
        <v>27339</v>
      </c>
      <c r="O1321">
        <f>-775.305242206541 -103.47361082428 -506.349241452132</f>
        <v>-1385.128094482953</v>
      </c>
      <c r="P1321">
        <f>-744.932687643589 -138.628956140514 -215.776062126577</f>
        <v>-1099.3377059106799</v>
      </c>
      <c r="Q1321">
        <f>-584.768285606161 -64.4083727715235 -379.756225185016</f>
        <v>-1028.9328835627007</v>
      </c>
      <c r="R1321" t="s">
        <v>27340</v>
      </c>
      <c r="S1321" t="s">
        <v>27341</v>
      </c>
      <c r="T1321" t="s">
        <v>27342</v>
      </c>
      <c r="U1321" t="s">
        <v>27343</v>
      </c>
      <c r="V1321">
        <f>-725.79103352067 -21.0701875335994 -66.7371555976785</f>
        <v>-813.59837665194789</v>
      </c>
      <c r="W1321" t="s">
        <v>27344</v>
      </c>
      <c r="X1321" t="s">
        <v>27345</v>
      </c>
      <c r="Y1321" t="s">
        <v>27346</v>
      </c>
    </row>
    <row r="1322" spans="1:25" x14ac:dyDescent="0.3">
      <c r="A1322">
        <v>66050</v>
      </c>
      <c r="B1322" t="s">
        <v>27347</v>
      </c>
      <c r="C1322" t="s">
        <v>27348</v>
      </c>
      <c r="D1322" t="s">
        <v>27349</v>
      </c>
      <c r="E1322" t="s">
        <v>27350</v>
      </c>
      <c r="F1322" t="s">
        <v>27351</v>
      </c>
      <c r="G1322" t="s">
        <v>27352</v>
      </c>
      <c r="H1322" t="s">
        <v>27353</v>
      </c>
      <c r="I1322" t="s">
        <v>27354</v>
      </c>
      <c r="J1322" t="s">
        <v>27355</v>
      </c>
      <c r="K1322" t="s">
        <v>27356</v>
      </c>
      <c r="L1322" t="s">
        <v>27357</v>
      </c>
      <c r="M1322" t="s">
        <v>27358</v>
      </c>
      <c r="N1322" t="s">
        <v>27359</v>
      </c>
      <c r="O1322">
        <f>-774.923311693372 -103.837820273195 -506.109211395821</f>
        <v>-1384.870343362388</v>
      </c>
      <c r="P1322">
        <f>-745.222158035024 -138.502109010419 -215.407754245198</f>
        <v>-1099.132021290641</v>
      </c>
      <c r="Q1322">
        <f>-585.084663132018 -64.66060185837 -379.585308804698</f>
        <v>-1029.3305737950859</v>
      </c>
      <c r="R1322" t="s">
        <v>27360</v>
      </c>
      <c r="S1322" t="s">
        <v>27361</v>
      </c>
      <c r="T1322" t="s">
        <v>27362</v>
      </c>
      <c r="U1322" t="s">
        <v>27363</v>
      </c>
      <c r="V1322">
        <f>-725.798058639338 -21.1115615727622 -66.7055380731438</f>
        <v>-813.61515828524398</v>
      </c>
      <c r="W1322" t="s">
        <v>27364</v>
      </c>
      <c r="X1322" t="s">
        <v>27365</v>
      </c>
      <c r="Y1322" t="s">
        <v>27366</v>
      </c>
    </row>
    <row r="1323" spans="1:25" x14ac:dyDescent="0.3">
      <c r="A1323">
        <v>66100</v>
      </c>
      <c r="B1323" t="s">
        <v>27367</v>
      </c>
      <c r="C1323" t="s">
        <v>27368</v>
      </c>
      <c r="D1323" t="s">
        <v>27369</v>
      </c>
      <c r="E1323" t="s">
        <v>27370</v>
      </c>
      <c r="F1323" t="s">
        <v>27371</v>
      </c>
      <c r="G1323" t="s">
        <v>27372</v>
      </c>
      <c r="H1323" t="s">
        <v>27373</v>
      </c>
      <c r="I1323" t="s">
        <v>27374</v>
      </c>
      <c r="J1323" t="s">
        <v>27375</v>
      </c>
      <c r="K1323" t="s">
        <v>27376</v>
      </c>
      <c r="L1323" t="s">
        <v>27377</v>
      </c>
      <c r="M1323" t="s">
        <v>27378</v>
      </c>
      <c r="N1323" t="s">
        <v>27379</v>
      </c>
      <c r="O1323">
        <f>-773.891124497489 -104.857743327537 -505.565188817049</f>
        <v>-1384.314056642075</v>
      </c>
      <c r="P1323">
        <f>-745.344823575757 -138.696522355422 -214.650606712977</f>
        <v>-1098.6919526441559</v>
      </c>
      <c r="Q1323">
        <f>-585.141379319864 -66.5765274668861 -379.527513627587</f>
        <v>-1031.2454204143371</v>
      </c>
      <c r="R1323" t="s">
        <v>27380</v>
      </c>
      <c r="S1323" t="s">
        <v>27381</v>
      </c>
      <c r="T1323" t="s">
        <v>27382</v>
      </c>
      <c r="U1323" t="s">
        <v>27383</v>
      </c>
      <c r="V1323">
        <f>-725.841294114924 -21.1244142464875 -66.6330928465792</f>
        <v>-813.59880120799073</v>
      </c>
      <c r="W1323" t="s">
        <v>27384</v>
      </c>
      <c r="X1323" t="s">
        <v>27385</v>
      </c>
      <c r="Y1323" t="s">
        <v>27386</v>
      </c>
    </row>
    <row r="1324" spans="1:25" x14ac:dyDescent="0.3">
      <c r="A1324">
        <v>66150</v>
      </c>
      <c r="B1324" t="s">
        <v>27387</v>
      </c>
      <c r="C1324" t="s">
        <v>27388</v>
      </c>
      <c r="D1324" t="s">
        <v>27389</v>
      </c>
      <c r="E1324" t="s">
        <v>27390</v>
      </c>
      <c r="F1324" t="s">
        <v>27391</v>
      </c>
      <c r="G1324" t="s">
        <v>27392</v>
      </c>
      <c r="H1324" t="s">
        <v>27393</v>
      </c>
      <c r="I1324" t="s">
        <v>27394</v>
      </c>
      <c r="J1324" t="s">
        <v>27395</v>
      </c>
      <c r="K1324" t="s">
        <v>27396</v>
      </c>
      <c r="L1324" t="s">
        <v>27397</v>
      </c>
      <c r="M1324" t="s">
        <v>27398</v>
      </c>
      <c r="N1324" t="s">
        <v>27399</v>
      </c>
      <c r="O1324">
        <f>-773.432621061836 -105.443282653415 -505.28113402644</f>
        <v>-1384.1570377416911</v>
      </c>
      <c r="P1324">
        <f>-745.350837416513 -138.751190208941 -214.260159382817</f>
        <v>-1098.3621870082709</v>
      </c>
      <c r="Q1324">
        <f>-585.142385999249 -67.2968719539822 -379.421922820546</f>
        <v>-1031.8611807737771</v>
      </c>
      <c r="R1324" t="s">
        <v>27400</v>
      </c>
      <c r="S1324" t="s">
        <v>27401</v>
      </c>
      <c r="T1324" t="s">
        <v>27402</v>
      </c>
      <c r="U1324" t="s">
        <v>27403</v>
      </c>
      <c r="V1324">
        <f>-725.78153369488 -21.1422358602531 -66.6203896726302</f>
        <v>-813.5441592277632</v>
      </c>
      <c r="W1324" t="s">
        <v>27404</v>
      </c>
      <c r="X1324" t="s">
        <v>27405</v>
      </c>
      <c r="Y1324" t="s">
        <v>27406</v>
      </c>
    </row>
    <row r="1325" spans="1:25" x14ac:dyDescent="0.3">
      <c r="A1325">
        <v>66200</v>
      </c>
      <c r="B1325" t="s">
        <v>27407</v>
      </c>
      <c r="C1325" t="s">
        <v>27408</v>
      </c>
      <c r="D1325" t="s">
        <v>27409</v>
      </c>
      <c r="E1325" t="s">
        <v>27410</v>
      </c>
      <c r="F1325" t="s">
        <v>27411</v>
      </c>
      <c r="G1325" t="s">
        <v>27412</v>
      </c>
      <c r="H1325" t="s">
        <v>27413</v>
      </c>
      <c r="I1325" t="s">
        <v>27414</v>
      </c>
      <c r="J1325" t="s">
        <v>27415</v>
      </c>
      <c r="K1325" t="s">
        <v>27416</v>
      </c>
      <c r="L1325" t="s">
        <v>27417</v>
      </c>
      <c r="M1325" t="s">
        <v>27418</v>
      </c>
      <c r="N1325" t="s">
        <v>27419</v>
      </c>
      <c r="O1325">
        <f>-772.374988431952 -106.965892455242 -504.640202071363</f>
        <v>-1383.9810829585572</v>
      </c>
      <c r="P1325">
        <f>-744.91807698663 -139.254833403234 -213.44473884231</f>
        <v>-1097.617649232174</v>
      </c>
      <c r="Q1325">
        <f>-585.268622642778 -68.9266254199999 -379.627952938547</f>
        <v>-1033.8232010013251</v>
      </c>
      <c r="R1325" t="s">
        <v>27420</v>
      </c>
      <c r="S1325" t="s">
        <v>27421</v>
      </c>
      <c r="T1325" t="s">
        <v>27422</v>
      </c>
      <c r="U1325" t="s">
        <v>27423</v>
      </c>
      <c r="V1325">
        <f>-725.657451991698 -21.4778188779501 -66.6107905590467</f>
        <v>-813.74606142869482</v>
      </c>
      <c r="W1325" t="s">
        <v>27424</v>
      </c>
      <c r="X1325" t="s">
        <v>27425</v>
      </c>
      <c r="Y1325" t="s">
        <v>27426</v>
      </c>
    </row>
    <row r="1326" spans="1:25" x14ac:dyDescent="0.3">
      <c r="A1326">
        <v>66250</v>
      </c>
      <c r="B1326" t="s">
        <v>27427</v>
      </c>
      <c r="C1326" t="s">
        <v>27428</v>
      </c>
      <c r="D1326" t="s">
        <v>27429</v>
      </c>
      <c r="E1326" t="s">
        <v>27430</v>
      </c>
      <c r="F1326" t="s">
        <v>27431</v>
      </c>
      <c r="G1326" t="s">
        <v>27432</v>
      </c>
      <c r="H1326" t="s">
        <v>27433</v>
      </c>
      <c r="I1326" t="s">
        <v>27434</v>
      </c>
      <c r="J1326" t="s">
        <v>27435</v>
      </c>
      <c r="K1326" t="s">
        <v>27436</v>
      </c>
      <c r="L1326" t="s">
        <v>27437</v>
      </c>
      <c r="M1326" t="s">
        <v>27438</v>
      </c>
      <c r="N1326" t="s">
        <v>27439</v>
      </c>
      <c r="O1326">
        <f>-771.609066465753 -107.675608359964 -504.357993126038</f>
        <v>-1383.6426679517551</v>
      </c>
      <c r="P1326">
        <f>-744.589671816763 -139.43618580691 -213.063617378562</f>
        <v>-1097.0894750022351</v>
      </c>
      <c r="Q1326">
        <f>-585.236812258629 -69.4944914629393 -379.694130639007</f>
        <v>-1034.4254343605753</v>
      </c>
      <c r="R1326" t="s">
        <v>27440</v>
      </c>
      <c r="S1326" t="s">
        <v>27441</v>
      </c>
      <c r="T1326" t="s">
        <v>27442</v>
      </c>
      <c r="U1326" t="s">
        <v>27443</v>
      </c>
      <c r="V1326">
        <f>-725.583037895871 -21.6699389783744 -66.6094948742779</f>
        <v>-813.86247174852326</v>
      </c>
      <c r="W1326" t="s">
        <v>27444</v>
      </c>
      <c r="X1326" t="s">
        <v>27445</v>
      </c>
      <c r="Y1326" t="s">
        <v>27446</v>
      </c>
    </row>
    <row r="1327" spans="1:25" x14ac:dyDescent="0.3">
      <c r="A1327">
        <v>66300</v>
      </c>
      <c r="B1327" t="s">
        <v>27447</v>
      </c>
      <c r="C1327" t="s">
        <v>27448</v>
      </c>
      <c r="D1327" t="s">
        <v>27449</v>
      </c>
      <c r="E1327" t="s">
        <v>27450</v>
      </c>
      <c r="F1327" t="s">
        <v>27451</v>
      </c>
      <c r="G1327" t="s">
        <v>27452</v>
      </c>
      <c r="H1327" t="s">
        <v>27453</v>
      </c>
      <c r="I1327" t="s">
        <v>27454</v>
      </c>
      <c r="J1327" t="s">
        <v>27455</v>
      </c>
      <c r="K1327" t="s">
        <v>27456</v>
      </c>
      <c r="L1327" t="s">
        <v>27457</v>
      </c>
      <c r="M1327" t="s">
        <v>27458</v>
      </c>
      <c r="N1327" t="s">
        <v>27459</v>
      </c>
      <c r="O1327">
        <f>-770.455399651892 -109.042590313931 -503.890748981645</f>
        <v>-1383.388738947468</v>
      </c>
      <c r="P1327">
        <f>-744.199608025212 -140.265461736313 -212.4684560777</f>
        <v>-1096.933525839225</v>
      </c>
      <c r="Q1327">
        <f>-585.566367456885 -70.8945089524573 -380.021456729395</f>
        <v>-1036.4823331387374</v>
      </c>
      <c r="R1327" t="s">
        <v>27460</v>
      </c>
      <c r="S1327" t="s">
        <v>27461</v>
      </c>
      <c r="T1327" t="s">
        <v>27462</v>
      </c>
      <c r="U1327" t="s">
        <v>27463</v>
      </c>
      <c r="V1327">
        <f>-725.541195119182 -22.0016888924547 -66.6042022106268</f>
        <v>-814.14708622226351</v>
      </c>
      <c r="W1327" t="s">
        <v>27464</v>
      </c>
      <c r="X1327" t="s">
        <v>27465</v>
      </c>
      <c r="Y1327" t="s">
        <v>27466</v>
      </c>
    </row>
    <row r="1328" spans="1:25" x14ac:dyDescent="0.3">
      <c r="A1328">
        <v>66350</v>
      </c>
      <c r="B1328" t="s">
        <v>27467</v>
      </c>
      <c r="C1328" t="s">
        <v>27468</v>
      </c>
      <c r="D1328" t="s">
        <v>27469</v>
      </c>
      <c r="E1328" t="s">
        <v>27470</v>
      </c>
      <c r="F1328" t="s">
        <v>27471</v>
      </c>
      <c r="G1328" t="s">
        <v>27472</v>
      </c>
      <c r="H1328" t="s">
        <v>27473</v>
      </c>
      <c r="I1328" t="s">
        <v>27474</v>
      </c>
      <c r="J1328" t="s">
        <v>27475</v>
      </c>
      <c r="K1328" t="s">
        <v>27476</v>
      </c>
      <c r="L1328" t="s">
        <v>27477</v>
      </c>
      <c r="M1328" t="s">
        <v>27478</v>
      </c>
      <c r="N1328" t="s">
        <v>27479</v>
      </c>
      <c r="O1328">
        <f>-770.056483515488 -109.761354576575 -503.702037023793</f>
        <v>-1383.5198751158562</v>
      </c>
      <c r="P1328">
        <f>-744.098901606867 -140.824449642256 -212.235959173228</f>
        <v>-1097.1593104223509</v>
      </c>
      <c r="Q1328">
        <f>-585.645441294746 -71.1852099979644 -379.848118649699</f>
        <v>-1036.6787699424094</v>
      </c>
      <c r="R1328" t="s">
        <v>27480</v>
      </c>
      <c r="S1328" t="s">
        <v>27481</v>
      </c>
      <c r="T1328" t="s">
        <v>27482</v>
      </c>
      <c r="U1328" t="s">
        <v>27483</v>
      </c>
      <c r="V1328">
        <f>-725.452205086817 -22.357276405372 -66.6046179445785</f>
        <v>-814.41409943676751</v>
      </c>
      <c r="W1328" t="s">
        <v>27484</v>
      </c>
      <c r="X1328" t="s">
        <v>27485</v>
      </c>
      <c r="Y1328" t="s">
        <v>27486</v>
      </c>
    </row>
    <row r="1329" spans="1:25" x14ac:dyDescent="0.3">
      <c r="A1329">
        <v>66400</v>
      </c>
      <c r="B1329" t="s">
        <v>27487</v>
      </c>
      <c r="C1329" t="s">
        <v>27488</v>
      </c>
      <c r="D1329" t="s">
        <v>27489</v>
      </c>
      <c r="E1329" t="s">
        <v>27490</v>
      </c>
      <c r="F1329" t="s">
        <v>27491</v>
      </c>
      <c r="G1329" t="s">
        <v>27492</v>
      </c>
      <c r="H1329" t="s">
        <v>27493</v>
      </c>
      <c r="I1329" t="s">
        <v>27494</v>
      </c>
      <c r="J1329" t="s">
        <v>27495</v>
      </c>
      <c r="K1329" t="s">
        <v>27496</v>
      </c>
      <c r="L1329" t="s">
        <v>27497</v>
      </c>
      <c r="M1329" t="s">
        <v>27498</v>
      </c>
      <c r="N1329" t="s">
        <v>27499</v>
      </c>
      <c r="O1329">
        <f>-769.450512300686 -110.948191994276 -503.463559813506</f>
        <v>-1383.862264108468</v>
      </c>
      <c r="P1329">
        <f>-744.212394776872 -141.782166968915 -211.910002697353</f>
        <v>-1097.9045644431401</v>
      </c>
      <c r="Q1329">
        <f>-585.835977325483 -72.6652455172834 -379.81058370929</f>
        <v>-1038.3118065520564</v>
      </c>
      <c r="R1329" t="s">
        <v>27500</v>
      </c>
      <c r="S1329" t="s">
        <v>27501</v>
      </c>
      <c r="T1329" t="s">
        <v>27502</v>
      </c>
      <c r="U1329" t="s">
        <v>27503</v>
      </c>
      <c r="V1329">
        <f>-725.188212470683 -23.1489309182534 -66.6388682295175</f>
        <v>-814.97601161845387</v>
      </c>
      <c r="W1329" t="s">
        <v>27504</v>
      </c>
      <c r="X1329" t="s">
        <v>27505</v>
      </c>
      <c r="Y1329" t="s">
        <v>27506</v>
      </c>
    </row>
    <row r="1330" spans="1:25" x14ac:dyDescent="0.3">
      <c r="A1330">
        <v>66450</v>
      </c>
      <c r="B1330" t="s">
        <v>27507</v>
      </c>
      <c r="C1330" t="s">
        <v>27508</v>
      </c>
      <c r="D1330" t="s">
        <v>27509</v>
      </c>
      <c r="E1330" t="s">
        <v>27510</v>
      </c>
      <c r="F1330" t="s">
        <v>27511</v>
      </c>
      <c r="G1330" t="s">
        <v>27512</v>
      </c>
      <c r="H1330" t="s">
        <v>27513</v>
      </c>
      <c r="I1330" t="s">
        <v>27514</v>
      </c>
      <c r="J1330" t="s">
        <v>27515</v>
      </c>
      <c r="K1330" t="s">
        <v>27516</v>
      </c>
      <c r="L1330" t="s">
        <v>27517</v>
      </c>
      <c r="M1330" t="s">
        <v>27518</v>
      </c>
      <c r="N1330" t="s">
        <v>27519</v>
      </c>
      <c r="O1330">
        <f>-769.337040587157 -111.51948639715 -503.416068624806</f>
        <v>-1384.2725956091131</v>
      </c>
      <c r="P1330">
        <f>-744.411424405203 -142.125192806394 -211.811468723119</f>
        <v>-1098.348085934716</v>
      </c>
      <c r="Q1330">
        <f>-585.750216059422 -73.4045251730295 -379.605663453434</f>
        <v>-1038.7604046858855</v>
      </c>
      <c r="R1330" t="s">
        <v>27520</v>
      </c>
      <c r="S1330" t="s">
        <v>27521</v>
      </c>
      <c r="T1330" t="s">
        <v>27522</v>
      </c>
      <c r="U1330" t="s">
        <v>27523</v>
      </c>
      <c r="V1330">
        <f>-725.106122831626 -23.5990370919626 -66.6560400608935</f>
        <v>-815.36119998448203</v>
      </c>
      <c r="W1330" t="s">
        <v>27524</v>
      </c>
      <c r="X1330" t="s">
        <v>27525</v>
      </c>
      <c r="Y1330" t="s">
        <v>27526</v>
      </c>
    </row>
    <row r="1331" spans="1:25" x14ac:dyDescent="0.3">
      <c r="A1331">
        <v>66500</v>
      </c>
      <c r="B1331" t="s">
        <v>27527</v>
      </c>
      <c r="C1331" t="s">
        <v>27528</v>
      </c>
      <c r="D1331" t="s">
        <v>27529</v>
      </c>
      <c r="E1331" t="s">
        <v>27530</v>
      </c>
      <c r="F1331" t="s">
        <v>27531</v>
      </c>
      <c r="G1331" t="s">
        <v>27532</v>
      </c>
      <c r="H1331" t="s">
        <v>27533</v>
      </c>
      <c r="I1331" t="s">
        <v>27534</v>
      </c>
      <c r="J1331" t="s">
        <v>27535</v>
      </c>
      <c r="K1331" t="s">
        <v>27536</v>
      </c>
      <c r="L1331" t="s">
        <v>27537</v>
      </c>
      <c r="M1331" t="s">
        <v>27538</v>
      </c>
      <c r="N1331" t="s">
        <v>27539</v>
      </c>
      <c r="O1331">
        <f>-769.067899206281 -112.271561742582 -503.447310875655</f>
        <v>-1384.7867718245179</v>
      </c>
      <c r="P1331">
        <f>-744.806347976743 -142.642900737358 -211.762427209173</f>
        <v>-1099.211675923274</v>
      </c>
      <c r="Q1331">
        <f>-585.277528637851 -74.2074057167304 -378.849211213015</f>
        <v>-1038.3341455675964</v>
      </c>
      <c r="R1331" t="s">
        <v>27540</v>
      </c>
      <c r="S1331" t="s">
        <v>27541</v>
      </c>
      <c r="T1331" t="s">
        <v>27542</v>
      </c>
      <c r="U1331" t="s">
        <v>27543</v>
      </c>
      <c r="V1331">
        <f>-724.980592828518 -24.2743804720726 -66.6887191643528</f>
        <v>-815.94369246494341</v>
      </c>
      <c r="W1331" t="s">
        <v>27544</v>
      </c>
      <c r="X1331" t="s">
        <v>27545</v>
      </c>
      <c r="Y1331" t="s">
        <v>27546</v>
      </c>
    </row>
    <row r="1332" spans="1:25" x14ac:dyDescent="0.3">
      <c r="A1332">
        <v>66550</v>
      </c>
      <c r="B1332" t="s">
        <v>27547</v>
      </c>
      <c r="C1332" t="s">
        <v>27548</v>
      </c>
      <c r="D1332" t="s">
        <v>27549</v>
      </c>
      <c r="E1332" t="s">
        <v>27550</v>
      </c>
      <c r="F1332" t="s">
        <v>27551</v>
      </c>
      <c r="G1332" t="s">
        <v>27552</v>
      </c>
      <c r="H1332" t="s">
        <v>27553</v>
      </c>
      <c r="I1332" t="s">
        <v>27554</v>
      </c>
      <c r="J1332" t="s">
        <v>27555</v>
      </c>
      <c r="K1332" t="s">
        <v>27556</v>
      </c>
      <c r="L1332" t="s">
        <v>27557</v>
      </c>
      <c r="M1332" t="s">
        <v>27558</v>
      </c>
      <c r="N1332" t="s">
        <v>27559</v>
      </c>
      <c r="O1332">
        <f>-769.061238989537 -112.37732988165 -503.507029595446</f>
        <v>-1384.9455984666329</v>
      </c>
      <c r="P1332">
        <f>-745.156694038402 -142.654007824133 -211.78265865211</f>
        <v>-1099.5933605146449</v>
      </c>
      <c r="Q1332">
        <f>-585.218926832974 -74.5571813653071 -378.616684966646</f>
        <v>-1038.3927931649271</v>
      </c>
      <c r="R1332" t="s">
        <v>27560</v>
      </c>
      <c r="S1332" t="s">
        <v>27561</v>
      </c>
      <c r="T1332" t="s">
        <v>27562</v>
      </c>
      <c r="U1332" t="s">
        <v>27563</v>
      </c>
      <c r="V1332">
        <f>-724.899861135845 -24.5240084574598 -66.7206954246503</f>
        <v>-816.14456501795507</v>
      </c>
      <c r="W1332" t="s">
        <v>27564</v>
      </c>
      <c r="X1332" t="s">
        <v>27565</v>
      </c>
      <c r="Y1332" t="s">
        <v>27566</v>
      </c>
    </row>
    <row r="1333" spans="1:25" x14ac:dyDescent="0.3">
      <c r="A1333">
        <v>66600</v>
      </c>
      <c r="B1333" t="s">
        <v>27567</v>
      </c>
      <c r="C1333" t="s">
        <v>27568</v>
      </c>
      <c r="D1333" t="s">
        <v>27569</v>
      </c>
      <c r="E1333" t="s">
        <v>27570</v>
      </c>
      <c r="F1333" t="s">
        <v>27571</v>
      </c>
      <c r="G1333" t="s">
        <v>27572</v>
      </c>
      <c r="H1333" t="s">
        <v>27573</v>
      </c>
      <c r="I1333" t="s">
        <v>27574</v>
      </c>
      <c r="J1333" t="s">
        <v>27575</v>
      </c>
      <c r="K1333" t="s">
        <v>27576</v>
      </c>
      <c r="L1333" t="s">
        <v>27577</v>
      </c>
      <c r="M1333" t="s">
        <v>27578</v>
      </c>
      <c r="N1333" t="s">
        <v>27579</v>
      </c>
      <c r="O1333">
        <f>-768.92601343026 -112.658132514714 -503.605821337478</f>
        <v>-1385.189967282452</v>
      </c>
      <c r="P1333">
        <f>-745.664481845694 -142.899795660933 -211.825870340577</f>
        <v>-1100.3901478472039</v>
      </c>
      <c r="Q1333">
        <f>-585.290919338664 -75.5533571157102 -378.546109669402</f>
        <v>-1039.3903861237764</v>
      </c>
      <c r="R1333" t="s">
        <v>27580</v>
      </c>
      <c r="S1333" t="s">
        <v>27581</v>
      </c>
      <c r="T1333" t="s">
        <v>27582</v>
      </c>
      <c r="U1333" t="s">
        <v>27583</v>
      </c>
      <c r="V1333">
        <f>-724.598991291846 -25.1816502183678 -66.8131433667145</f>
        <v>-816.59378487692834</v>
      </c>
      <c r="W1333" t="s">
        <v>27584</v>
      </c>
      <c r="X1333" t="s">
        <v>27585</v>
      </c>
      <c r="Y1333" t="s">
        <v>27586</v>
      </c>
    </row>
    <row r="1334" spans="1:25" x14ac:dyDescent="0.3">
      <c r="A1334">
        <v>66650</v>
      </c>
      <c r="B1334" t="s">
        <v>27587</v>
      </c>
      <c r="C1334" t="s">
        <v>27588</v>
      </c>
      <c r="D1334" t="s">
        <v>27589</v>
      </c>
      <c r="E1334" t="s">
        <v>27590</v>
      </c>
      <c r="F1334" t="s">
        <v>27591</v>
      </c>
      <c r="G1334" t="s">
        <v>27592</v>
      </c>
      <c r="H1334" t="s">
        <v>27593</v>
      </c>
      <c r="I1334" t="s">
        <v>27594</v>
      </c>
      <c r="J1334" t="s">
        <v>27595</v>
      </c>
      <c r="K1334" t="s">
        <v>27596</v>
      </c>
      <c r="L1334" t="s">
        <v>27597</v>
      </c>
      <c r="M1334" t="s">
        <v>27598</v>
      </c>
      <c r="N1334" t="s">
        <v>27599</v>
      </c>
      <c r="O1334">
        <f>-768.919200854195 -112.642020700659 -503.642007427903</f>
        <v>-1385.2032289827571</v>
      </c>
      <c r="P1334">
        <f>-745.764658039987 -142.793097213267 -211.844157122465</f>
        <v>-1100.4019123757191</v>
      </c>
      <c r="Q1334">
        <f>-585.365741711316 -75.6565081967203 -378.624671138977</f>
        <v>-1039.6469210470134</v>
      </c>
      <c r="R1334" t="s">
        <v>27600</v>
      </c>
      <c r="S1334" t="s">
        <v>27601</v>
      </c>
      <c r="T1334" t="s">
        <v>27602</v>
      </c>
      <c r="U1334" t="s">
        <v>27603</v>
      </c>
      <c r="V1334">
        <f>-724.50369835839 -25.3062950719973 -66.848496274833</f>
        <v>-816.65848970522029</v>
      </c>
      <c r="W1334" t="s">
        <v>27604</v>
      </c>
      <c r="X1334" t="s">
        <v>27605</v>
      </c>
      <c r="Y1334" t="s">
        <v>27606</v>
      </c>
    </row>
    <row r="1335" spans="1:25" x14ac:dyDescent="0.3">
      <c r="A1335">
        <v>66700</v>
      </c>
      <c r="B1335" t="s">
        <v>27607</v>
      </c>
      <c r="C1335" t="s">
        <v>27608</v>
      </c>
      <c r="D1335" t="s">
        <v>27609</v>
      </c>
      <c r="E1335" t="s">
        <v>27610</v>
      </c>
      <c r="F1335" t="s">
        <v>27611</v>
      </c>
      <c r="G1335" t="s">
        <v>27612</v>
      </c>
      <c r="H1335" t="s">
        <v>27613</v>
      </c>
      <c r="I1335" t="s">
        <v>27614</v>
      </c>
      <c r="J1335" t="s">
        <v>27615</v>
      </c>
      <c r="K1335" t="s">
        <v>27616</v>
      </c>
      <c r="L1335" t="s">
        <v>27617</v>
      </c>
      <c r="M1335" t="s">
        <v>27618</v>
      </c>
      <c r="N1335" t="s">
        <v>27619</v>
      </c>
      <c r="O1335">
        <f>-768.842100054372 -112.404346038905 -503.743605726311</f>
        <v>-1384.9900518195882</v>
      </c>
      <c r="P1335">
        <f>-745.545623314021 -142.589494298543 -211.960635119354</f>
        <v>-1100.0957527319181</v>
      </c>
      <c r="Q1335">
        <f>-585.400784896103 -75.0965706271268 -378.841280670177</f>
        <v>-1039.3386361934067</v>
      </c>
      <c r="R1335" t="s">
        <v>27620</v>
      </c>
      <c r="S1335" t="s">
        <v>27621</v>
      </c>
      <c r="T1335" t="s">
        <v>27622</v>
      </c>
      <c r="U1335" t="s">
        <v>27623</v>
      </c>
      <c r="V1335">
        <f>-724.354967370471 -25.2069661180649 -66.9048684250724</f>
        <v>-816.46680191360826</v>
      </c>
      <c r="W1335" t="s">
        <v>27624</v>
      </c>
      <c r="X1335" t="s">
        <v>27625</v>
      </c>
      <c r="Y1335" t="s">
        <v>27626</v>
      </c>
    </row>
    <row r="1336" spans="1:25" x14ac:dyDescent="0.3">
      <c r="A1336">
        <v>66750</v>
      </c>
      <c r="B1336" t="s">
        <v>27627</v>
      </c>
      <c r="C1336" t="s">
        <v>27628</v>
      </c>
      <c r="D1336" t="s">
        <v>27629</v>
      </c>
      <c r="E1336" t="s">
        <v>27630</v>
      </c>
      <c r="F1336" t="s">
        <v>27631</v>
      </c>
      <c r="G1336" t="s">
        <v>27632</v>
      </c>
      <c r="H1336" t="s">
        <v>27633</v>
      </c>
      <c r="I1336" t="s">
        <v>27634</v>
      </c>
      <c r="J1336" t="s">
        <v>27635</v>
      </c>
      <c r="K1336" t="s">
        <v>27636</v>
      </c>
      <c r="L1336" t="s">
        <v>27637</v>
      </c>
      <c r="M1336" t="s">
        <v>27638</v>
      </c>
      <c r="N1336" t="s">
        <v>27639</v>
      </c>
      <c r="O1336">
        <f>-768.740049634162 -112.239056348521 -503.769411699128</f>
        <v>-1384.7485176818109</v>
      </c>
      <c r="P1336">
        <f>-745.276338148845 -142.48963696398 -212.006570891019</f>
        <v>-1099.7725460038439</v>
      </c>
      <c r="Q1336">
        <f>-585.362005907086 -74.7296992156967 -379.000164133187</f>
        <v>-1039.0918692559696</v>
      </c>
      <c r="R1336" t="s">
        <v>27640</v>
      </c>
      <c r="S1336" t="s">
        <v>27641</v>
      </c>
      <c r="T1336" t="s">
        <v>27642</v>
      </c>
      <c r="U1336" t="s">
        <v>27643</v>
      </c>
      <c r="V1336">
        <f>-724.247192229099 -25.0936710521237 -66.9311323949215</f>
        <v>-816.27199567614423</v>
      </c>
      <c r="W1336" t="s">
        <v>27644</v>
      </c>
      <c r="X1336" t="s">
        <v>27645</v>
      </c>
      <c r="Y1336" t="s">
        <v>27646</v>
      </c>
    </row>
    <row r="1337" spans="1:25" x14ac:dyDescent="0.3">
      <c r="A1337">
        <v>66800</v>
      </c>
      <c r="B1337" t="s">
        <v>27647</v>
      </c>
      <c r="C1337" t="s">
        <v>27648</v>
      </c>
      <c r="D1337" t="s">
        <v>27649</v>
      </c>
      <c r="E1337" t="s">
        <v>27650</v>
      </c>
      <c r="F1337" t="s">
        <v>27651</v>
      </c>
      <c r="G1337" t="s">
        <v>27652</v>
      </c>
      <c r="H1337" t="s">
        <v>27653</v>
      </c>
      <c r="I1337" t="s">
        <v>27654</v>
      </c>
      <c r="J1337" t="s">
        <v>27655</v>
      </c>
      <c r="K1337" t="s">
        <v>27656</v>
      </c>
      <c r="L1337" t="s">
        <v>27657</v>
      </c>
      <c r="M1337" t="s">
        <v>27658</v>
      </c>
      <c r="N1337" t="s">
        <v>27659</v>
      </c>
      <c r="O1337">
        <f>-768.514271657941 -111.879543534362 -503.771537883192</f>
        <v>-1384.165353075495</v>
      </c>
      <c r="P1337">
        <f>-744.724503695437 -141.927126785789 -212.01404960483</f>
        <v>-1098.665680086056</v>
      </c>
      <c r="Q1337">
        <f>-585.42640361207 -72.2142386168609 -378.792844748144</f>
        <v>-1036.4334869770748</v>
      </c>
      <c r="R1337" t="s">
        <v>27660</v>
      </c>
      <c r="S1337" t="s">
        <v>27661</v>
      </c>
      <c r="T1337" t="s">
        <v>27662</v>
      </c>
      <c r="U1337" t="s">
        <v>27663</v>
      </c>
      <c r="V1337">
        <f>-724.090938567703 -24.704922669895 -66.9452883122556</f>
        <v>-815.74114954985362</v>
      </c>
      <c r="W1337" t="s">
        <v>27664</v>
      </c>
      <c r="X1337" t="s">
        <v>27665</v>
      </c>
      <c r="Y1337" t="s">
        <v>27666</v>
      </c>
    </row>
    <row r="1338" spans="1:25" x14ac:dyDescent="0.3">
      <c r="A1338">
        <v>66850</v>
      </c>
      <c r="B1338" t="s">
        <v>27667</v>
      </c>
      <c r="C1338" t="s">
        <v>27668</v>
      </c>
      <c r="D1338" t="s">
        <v>27669</v>
      </c>
      <c r="E1338" t="s">
        <v>27670</v>
      </c>
      <c r="F1338" t="s">
        <v>27671</v>
      </c>
      <c r="G1338" t="s">
        <v>27672</v>
      </c>
      <c r="H1338" t="s">
        <v>27673</v>
      </c>
      <c r="I1338" t="s">
        <v>27674</v>
      </c>
      <c r="J1338" t="s">
        <v>27675</v>
      </c>
      <c r="K1338" t="s">
        <v>27676</v>
      </c>
      <c r="L1338" t="s">
        <v>27677</v>
      </c>
      <c r="M1338" t="s">
        <v>27678</v>
      </c>
      <c r="N1338" t="s">
        <v>27679</v>
      </c>
      <c r="O1338">
        <f>-768.466665346334 -111.718333158032 -503.775670692364</f>
        <v>-1383.9606691967301</v>
      </c>
      <c r="P1338">
        <f>-744.56521496341 -141.663038430146 -212.016898939633</f>
        <v>-1098.245152333189</v>
      </c>
      <c r="Q1338">
        <f>-585.412450661814 -71.0672508038917 -378.562797467249</f>
        <v>-1035.0424989329547</v>
      </c>
      <c r="R1338" t="s">
        <v>27680</v>
      </c>
      <c r="S1338" t="s">
        <v>27681</v>
      </c>
      <c r="T1338" t="s">
        <v>27682</v>
      </c>
      <c r="U1338" t="s">
        <v>27683</v>
      </c>
      <c r="V1338">
        <f>-724.028710754388 -24.511470717202 -66.9647699541374</f>
        <v>-815.50495142572743</v>
      </c>
      <c r="W1338" t="s">
        <v>27684</v>
      </c>
      <c r="X1338" t="s">
        <v>27685</v>
      </c>
      <c r="Y1338" t="s">
        <v>27686</v>
      </c>
    </row>
    <row r="1339" spans="1:25" x14ac:dyDescent="0.3">
      <c r="A1339">
        <v>66900</v>
      </c>
      <c r="B1339" t="s">
        <v>27687</v>
      </c>
      <c r="C1339" t="s">
        <v>27688</v>
      </c>
      <c r="D1339" t="s">
        <v>27689</v>
      </c>
      <c r="E1339" t="s">
        <v>27690</v>
      </c>
      <c r="F1339" t="s">
        <v>27691</v>
      </c>
      <c r="G1339" t="s">
        <v>27692</v>
      </c>
      <c r="H1339" t="s">
        <v>27693</v>
      </c>
      <c r="I1339" t="s">
        <v>27694</v>
      </c>
      <c r="J1339" t="s">
        <v>27695</v>
      </c>
      <c r="K1339" t="s">
        <v>27696</v>
      </c>
      <c r="L1339" t="s">
        <v>27697</v>
      </c>
      <c r="M1339" t="s">
        <v>27698</v>
      </c>
      <c r="N1339" t="s">
        <v>27699</v>
      </c>
      <c r="O1339">
        <f>-768.310504124604 -111.513229511035 -503.708915891935</f>
        <v>-1383.532649527574</v>
      </c>
      <c r="P1339">
        <f>-744.762102169532 -141.085081624804 -211.883253536303</f>
        <v>-1097.730437330639</v>
      </c>
      <c r="Q1339">
        <f>-585.083133203824 -70.6909728224837 -378.010094231027</f>
        <v>-1033.7842002573348</v>
      </c>
      <c r="R1339" t="s">
        <v>27700</v>
      </c>
      <c r="S1339" t="s">
        <v>27701</v>
      </c>
      <c r="T1339" t="s">
        <v>27702</v>
      </c>
      <c r="U1339" t="s">
        <v>27703</v>
      </c>
      <c r="V1339">
        <f>-723.884981905868 -24.2065856958557 -66.9899419520533</f>
        <v>-815.08150955377698</v>
      </c>
      <c r="W1339" t="s">
        <v>27704</v>
      </c>
      <c r="X1339" t="s">
        <v>27705</v>
      </c>
      <c r="Y1339" t="s">
        <v>27706</v>
      </c>
    </row>
    <row r="1340" spans="1:25" x14ac:dyDescent="0.3">
      <c r="A1340">
        <v>66950</v>
      </c>
      <c r="B1340" t="s">
        <v>27707</v>
      </c>
      <c r="C1340" t="s">
        <v>27708</v>
      </c>
      <c r="D1340" t="s">
        <v>27709</v>
      </c>
      <c r="E1340" t="s">
        <v>27710</v>
      </c>
      <c r="F1340" t="s">
        <v>27711</v>
      </c>
      <c r="G1340" t="s">
        <v>27712</v>
      </c>
      <c r="H1340" t="s">
        <v>27713</v>
      </c>
      <c r="I1340" t="s">
        <v>27714</v>
      </c>
      <c r="J1340" t="s">
        <v>27715</v>
      </c>
      <c r="K1340" t="s">
        <v>27716</v>
      </c>
      <c r="L1340" t="s">
        <v>27717</v>
      </c>
      <c r="M1340" t="s">
        <v>27718</v>
      </c>
      <c r="N1340" t="s">
        <v>27719</v>
      </c>
      <c r="O1340">
        <f>-768.17502072197 -111.402690582399 -503.678594538403</f>
        <v>-1383.256305842772</v>
      </c>
      <c r="P1340">
        <f>-745.111938401571 -140.966597228304 -211.813320002287</f>
        <v>-1097.8918556321619</v>
      </c>
      <c r="Q1340">
        <f>-585.180964073066 -70.7239660609996 -377.76187456608</f>
        <v>-1033.6668047001456</v>
      </c>
      <c r="R1340" t="s">
        <v>27720</v>
      </c>
      <c r="S1340" t="s">
        <v>27721</v>
      </c>
      <c r="T1340" t="s">
        <v>27722</v>
      </c>
      <c r="U1340" t="s">
        <v>27723</v>
      </c>
      <c r="V1340">
        <f>-723.835655266208 -24.0153938693406 -66.9953555116693</f>
        <v>-814.84640464721804</v>
      </c>
      <c r="W1340" t="s">
        <v>27724</v>
      </c>
      <c r="X1340" t="s">
        <v>27725</v>
      </c>
      <c r="Y1340" t="s">
        <v>27726</v>
      </c>
    </row>
    <row r="1341" spans="1:25" x14ac:dyDescent="0.3">
      <c r="A1341">
        <v>67000</v>
      </c>
      <c r="B1341" t="s">
        <v>27727</v>
      </c>
      <c r="C1341" t="s">
        <v>27728</v>
      </c>
      <c r="D1341" t="s">
        <v>27729</v>
      </c>
      <c r="E1341" t="s">
        <v>27730</v>
      </c>
      <c r="F1341" t="s">
        <v>27731</v>
      </c>
      <c r="G1341" t="s">
        <v>27732</v>
      </c>
      <c r="H1341" t="s">
        <v>27733</v>
      </c>
      <c r="I1341" t="s">
        <v>27734</v>
      </c>
      <c r="J1341" t="s">
        <v>27735</v>
      </c>
      <c r="K1341" t="s">
        <v>27736</v>
      </c>
      <c r="L1341" t="s">
        <v>27737</v>
      </c>
      <c r="M1341" t="s">
        <v>27738</v>
      </c>
      <c r="N1341" t="s">
        <v>27739</v>
      </c>
      <c r="O1341">
        <f>-768.107117871831 -111.164058908159 -503.650749315465</f>
        <v>-1382.9219260954549</v>
      </c>
      <c r="P1341">
        <f>-746.006740280046 -140.343166408439 -211.672403584353</f>
        <v>-1098.0223102728378</v>
      </c>
      <c r="Q1341">
        <f>-585.336848444997 -71.111711080049 -377.331668110218</f>
        <v>-1033.7802276352641</v>
      </c>
      <c r="R1341" t="s">
        <v>27740</v>
      </c>
      <c r="S1341" t="s">
        <v>27741</v>
      </c>
      <c r="T1341" t="s">
        <v>27742</v>
      </c>
      <c r="U1341" t="s">
        <v>27743</v>
      </c>
      <c r="V1341">
        <f>-723.748348936571 -23.6990283278601 -66.9979432536455</f>
        <v>-814.44532051807664</v>
      </c>
      <c r="W1341" t="s">
        <v>27744</v>
      </c>
      <c r="X1341" t="s">
        <v>27745</v>
      </c>
      <c r="Y1341" t="s">
        <v>27746</v>
      </c>
    </row>
    <row r="1342" spans="1:25" x14ac:dyDescent="0.3">
      <c r="A1342">
        <v>67050</v>
      </c>
      <c r="B1342" t="s">
        <v>27747</v>
      </c>
      <c r="C1342" t="s">
        <v>27748</v>
      </c>
      <c r="D1342" t="s">
        <v>27749</v>
      </c>
      <c r="E1342" t="s">
        <v>27750</v>
      </c>
      <c r="F1342" t="s">
        <v>27751</v>
      </c>
      <c r="G1342" t="s">
        <v>27752</v>
      </c>
      <c r="H1342" t="s">
        <v>27753</v>
      </c>
      <c r="I1342" t="s">
        <v>27754</v>
      </c>
      <c r="J1342" t="s">
        <v>27755</v>
      </c>
      <c r="K1342" t="s">
        <v>27756</v>
      </c>
      <c r="L1342" t="s">
        <v>27757</v>
      </c>
      <c r="M1342" t="s">
        <v>27758</v>
      </c>
      <c r="N1342" t="s">
        <v>27759</v>
      </c>
      <c r="O1342">
        <f>-768.071121904493 -111.181343448308 -503.592938193715</f>
        <v>-1382.8454035465161</v>
      </c>
      <c r="P1342">
        <f>-746.146222713238 -140.295075454608 -211.594906308842</f>
        <v>-1098.036204476688</v>
      </c>
      <c r="Q1342">
        <f>-585.347465156106 -71.5938005915623 -377.350073558149</f>
        <v>-1034.2913393058172</v>
      </c>
      <c r="R1342" t="s">
        <v>27760</v>
      </c>
      <c r="S1342" t="s">
        <v>27761</v>
      </c>
      <c r="T1342" t="s">
        <v>27762</v>
      </c>
      <c r="U1342" t="s">
        <v>27763</v>
      </c>
      <c r="V1342">
        <f>-723.724000996827 -23.6140615068612 -66.9890777765203</f>
        <v>-814.32714028020848</v>
      </c>
      <c r="W1342" t="s">
        <v>27764</v>
      </c>
      <c r="X1342" t="s">
        <v>27765</v>
      </c>
      <c r="Y1342" t="s">
        <v>27766</v>
      </c>
    </row>
    <row r="1343" spans="1:25" x14ac:dyDescent="0.3">
      <c r="A1343">
        <v>67100</v>
      </c>
      <c r="B1343" t="s">
        <v>27767</v>
      </c>
      <c r="C1343" t="s">
        <v>27768</v>
      </c>
      <c r="D1343" t="s">
        <v>27769</v>
      </c>
      <c r="E1343" t="s">
        <v>27770</v>
      </c>
      <c r="F1343" t="s">
        <v>27771</v>
      </c>
      <c r="G1343" t="s">
        <v>27772</v>
      </c>
      <c r="H1343" t="s">
        <v>27773</v>
      </c>
      <c r="I1343" t="s">
        <v>27774</v>
      </c>
      <c r="J1343" t="s">
        <v>27775</v>
      </c>
      <c r="K1343" t="s">
        <v>27776</v>
      </c>
      <c r="L1343" t="s">
        <v>27777</v>
      </c>
      <c r="M1343" t="s">
        <v>27778</v>
      </c>
      <c r="N1343" t="s">
        <v>27779</v>
      </c>
      <c r="O1343">
        <f>-768.218416604957 -111.338956720525 -503.487298367936</f>
        <v>-1383.044671693418</v>
      </c>
      <c r="P1343">
        <f>-746.25495505888 -140.306096423263 -211.477575950898</f>
        <v>-1098.038627433041</v>
      </c>
      <c r="Q1343">
        <f>-585.533054360313 -72.5812547936862 -377.708385306861</f>
        <v>-1035.8226944608602</v>
      </c>
      <c r="R1343" t="s">
        <v>27780</v>
      </c>
      <c r="S1343" t="s">
        <v>27781</v>
      </c>
      <c r="T1343" t="s">
        <v>27782</v>
      </c>
      <c r="U1343" t="s">
        <v>27783</v>
      </c>
      <c r="V1343">
        <f>-723.79194780691 -23.4998229131925 -66.9527769242984</f>
        <v>-814.24454764440088</v>
      </c>
      <c r="W1343" t="s">
        <v>27784</v>
      </c>
      <c r="X1343" t="s">
        <v>27785</v>
      </c>
      <c r="Y1343" t="s">
        <v>27786</v>
      </c>
    </row>
    <row r="1344" spans="1:25" x14ac:dyDescent="0.3">
      <c r="A1344">
        <v>67150</v>
      </c>
      <c r="B1344" t="s">
        <v>27787</v>
      </c>
      <c r="C1344" t="s">
        <v>27788</v>
      </c>
      <c r="D1344" t="s">
        <v>27789</v>
      </c>
      <c r="E1344" t="s">
        <v>27790</v>
      </c>
      <c r="F1344" t="s">
        <v>27791</v>
      </c>
      <c r="G1344" t="s">
        <v>27792</v>
      </c>
      <c r="H1344" t="s">
        <v>27793</v>
      </c>
      <c r="I1344" t="s">
        <v>27794</v>
      </c>
      <c r="J1344" t="s">
        <v>27795</v>
      </c>
      <c r="K1344" t="s">
        <v>27796</v>
      </c>
      <c r="L1344" t="s">
        <v>27797</v>
      </c>
      <c r="M1344" t="s">
        <v>27798</v>
      </c>
      <c r="N1344" t="s">
        <v>27799</v>
      </c>
      <c r="O1344">
        <f>-768.506543110532 -111.51101971174 -503.448349483169</f>
        <v>-1383.465912305441</v>
      </c>
      <c r="P1344">
        <f>-746.346184927203 -140.460178342502 -211.451566413252</f>
        <v>-1098.257929682957</v>
      </c>
      <c r="Q1344">
        <f>-585.730080131845 -72.9906494166021 -377.888340360261</f>
        <v>-1036.6090699087081</v>
      </c>
      <c r="R1344" t="s">
        <v>27800</v>
      </c>
      <c r="S1344" t="s">
        <v>27801</v>
      </c>
      <c r="T1344" t="s">
        <v>27802</v>
      </c>
      <c r="U1344" t="s">
        <v>27803</v>
      </c>
      <c r="V1344">
        <f>-723.909929861513 -23.3939650555681 -66.9234423490598</f>
        <v>-814.22733726614081</v>
      </c>
      <c r="W1344" t="s">
        <v>27804</v>
      </c>
      <c r="X1344" t="s">
        <v>27805</v>
      </c>
      <c r="Y1344" t="s">
        <v>27806</v>
      </c>
    </row>
    <row r="1345" spans="1:25" x14ac:dyDescent="0.3">
      <c r="A1345">
        <v>67200</v>
      </c>
      <c r="B1345" t="s">
        <v>27807</v>
      </c>
      <c r="C1345" t="s">
        <v>27808</v>
      </c>
      <c r="D1345" t="s">
        <v>27809</v>
      </c>
      <c r="E1345" t="s">
        <v>27810</v>
      </c>
      <c r="F1345" t="s">
        <v>27811</v>
      </c>
      <c r="G1345" t="s">
        <v>27812</v>
      </c>
      <c r="H1345" t="s">
        <v>27813</v>
      </c>
      <c r="I1345" t="s">
        <v>27814</v>
      </c>
      <c r="J1345" t="s">
        <v>27815</v>
      </c>
      <c r="K1345" t="s">
        <v>27816</v>
      </c>
      <c r="L1345" t="s">
        <v>27817</v>
      </c>
      <c r="M1345" t="s">
        <v>27818</v>
      </c>
      <c r="N1345" t="s">
        <v>27819</v>
      </c>
      <c r="O1345">
        <f>-769.604883151155 -111.972674090871 -503.370965637546</f>
        <v>-1384.948522879572</v>
      </c>
      <c r="P1345">
        <f>-747.216604188706 -140.74469457994 -211.374008538484</f>
        <v>-1099.3353073071301</v>
      </c>
      <c r="Q1345">
        <f>-586.42566372141 -73.8138553919175 -377.859700043815</f>
        <v>-1038.0992191571427</v>
      </c>
      <c r="R1345" t="s">
        <v>27820</v>
      </c>
      <c r="S1345" t="s">
        <v>27821</v>
      </c>
      <c r="T1345" t="s">
        <v>27822</v>
      </c>
      <c r="U1345" t="s">
        <v>27823</v>
      </c>
      <c r="V1345">
        <f>-724.165889245366 -23.2900327178563 -66.8887507733529</f>
        <v>-814.34467273657515</v>
      </c>
      <c r="W1345" t="s">
        <v>27824</v>
      </c>
      <c r="X1345" t="s">
        <v>27825</v>
      </c>
      <c r="Y1345" t="s">
        <v>27826</v>
      </c>
    </row>
    <row r="1346" spans="1:25" x14ac:dyDescent="0.3">
      <c r="A1346">
        <v>67250</v>
      </c>
      <c r="B1346" t="s">
        <v>27827</v>
      </c>
      <c r="C1346" t="s">
        <v>27828</v>
      </c>
      <c r="D1346" t="s">
        <v>27829</v>
      </c>
      <c r="E1346" t="s">
        <v>27830</v>
      </c>
      <c r="F1346" t="s">
        <v>27831</v>
      </c>
      <c r="G1346" t="s">
        <v>27832</v>
      </c>
      <c r="H1346" t="s">
        <v>27833</v>
      </c>
      <c r="I1346" t="s">
        <v>27834</v>
      </c>
      <c r="J1346" t="s">
        <v>27835</v>
      </c>
      <c r="K1346" t="s">
        <v>27836</v>
      </c>
      <c r="L1346" t="s">
        <v>27837</v>
      </c>
      <c r="M1346" t="s">
        <v>27838</v>
      </c>
      <c r="N1346" t="s">
        <v>27839</v>
      </c>
      <c r="O1346">
        <f>-770.297987364 -112.204823311916 -503.357207498343</f>
        <v>-1385.860018174259</v>
      </c>
      <c r="P1346">
        <f>-747.959080104551 -140.928170270555 -211.351893863681</f>
        <v>-1100.239144238787</v>
      </c>
      <c r="Q1346">
        <f>-586.779312978818 -73.7393764658345 -377.356770787071</f>
        <v>-1037.8754602317235</v>
      </c>
      <c r="R1346" t="s">
        <v>27840</v>
      </c>
      <c r="S1346" t="s">
        <v>27841</v>
      </c>
      <c r="T1346" t="s">
        <v>27842</v>
      </c>
      <c r="U1346" t="s">
        <v>27843</v>
      </c>
      <c r="V1346">
        <f>-724.313324618447 -23.1666484821212 -66.8677341083356</f>
        <v>-814.3477072089039</v>
      </c>
      <c r="W1346" t="s">
        <v>27844</v>
      </c>
      <c r="X1346" t="s">
        <v>27845</v>
      </c>
      <c r="Y1346" t="s">
        <v>27846</v>
      </c>
    </row>
    <row r="1347" spans="1:25" x14ac:dyDescent="0.3">
      <c r="A1347">
        <v>67300</v>
      </c>
      <c r="B1347" t="s">
        <v>27847</v>
      </c>
      <c r="C1347" t="s">
        <v>27848</v>
      </c>
      <c r="D1347" t="s">
        <v>27849</v>
      </c>
      <c r="E1347" t="s">
        <v>27850</v>
      </c>
      <c r="F1347" t="s">
        <v>27851</v>
      </c>
      <c r="G1347" t="s">
        <v>27852</v>
      </c>
      <c r="H1347" t="s">
        <v>27853</v>
      </c>
      <c r="I1347" t="s">
        <v>27854</v>
      </c>
      <c r="J1347" t="s">
        <v>27855</v>
      </c>
      <c r="K1347" t="s">
        <v>27856</v>
      </c>
      <c r="L1347" t="s">
        <v>27857</v>
      </c>
      <c r="M1347" t="s">
        <v>27858</v>
      </c>
      <c r="N1347" t="s">
        <v>27859</v>
      </c>
      <c r="O1347">
        <f>-771.93284092329 -112.778594586149 -503.317841745315</f>
        <v>-1388.0292772547539</v>
      </c>
      <c r="P1347">
        <f>-750.097081247918 -141.5655908208 -211.280808409298</f>
        <v>-1102.943480478016</v>
      </c>
      <c r="Q1347">
        <f>-587.492554977956 -75.654527107388 -376.406246220185</f>
        <v>-1039.553328305529</v>
      </c>
      <c r="R1347" t="s">
        <v>27860</v>
      </c>
      <c r="S1347" t="s">
        <v>27861</v>
      </c>
      <c r="T1347" t="s">
        <v>27862</v>
      </c>
      <c r="U1347" t="s">
        <v>27863</v>
      </c>
      <c r="V1347">
        <f>-724.68456299187 -23.0803938237254 -66.8324926451602</f>
        <v>-814.59744946075568</v>
      </c>
      <c r="W1347" t="s">
        <v>27864</v>
      </c>
      <c r="X1347" t="s">
        <v>27865</v>
      </c>
      <c r="Y1347" t="s">
        <v>27866</v>
      </c>
    </row>
    <row r="1348" spans="1:25" x14ac:dyDescent="0.3">
      <c r="A1348">
        <v>67350</v>
      </c>
      <c r="B1348" t="s">
        <v>27867</v>
      </c>
      <c r="C1348" t="s">
        <v>27868</v>
      </c>
      <c r="D1348" t="s">
        <v>27869</v>
      </c>
      <c r="E1348" t="s">
        <v>27870</v>
      </c>
      <c r="F1348" t="s">
        <v>27871</v>
      </c>
      <c r="G1348" t="s">
        <v>27872</v>
      </c>
      <c r="H1348" t="s">
        <v>27873</v>
      </c>
      <c r="I1348" t="s">
        <v>27874</v>
      </c>
      <c r="J1348" t="s">
        <v>27875</v>
      </c>
      <c r="K1348" t="s">
        <v>27876</v>
      </c>
      <c r="L1348" t="s">
        <v>27877</v>
      </c>
      <c r="M1348" t="s">
        <v>27878</v>
      </c>
      <c r="N1348" t="s">
        <v>27879</v>
      </c>
      <c r="O1348">
        <f>-772.808513611699 -112.922364170641 -503.26345176774</f>
        <v>-1388.99432955008</v>
      </c>
      <c r="P1348">
        <f>-751.449055562848 -141.740304788681 -211.19411375112</f>
        <v>-1104.383474102649</v>
      </c>
      <c r="Q1348">
        <f>-588.327505028324 -76.3706754036316 -376.024323138726</f>
        <v>-1040.7225035706815</v>
      </c>
      <c r="R1348" t="s">
        <v>27880</v>
      </c>
      <c r="S1348" t="s">
        <v>27881</v>
      </c>
      <c r="T1348" t="s">
        <v>27882</v>
      </c>
      <c r="U1348" t="s">
        <v>27883</v>
      </c>
      <c r="V1348">
        <f>-724.940973995688 -22.8462823501818 -66.7956483679715</f>
        <v>-814.58290471384123</v>
      </c>
      <c r="W1348" t="s">
        <v>27884</v>
      </c>
      <c r="X1348" t="s">
        <v>27885</v>
      </c>
      <c r="Y1348" t="s">
        <v>27886</v>
      </c>
    </row>
    <row r="1349" spans="1:25" x14ac:dyDescent="0.3">
      <c r="A1349">
        <v>67400</v>
      </c>
      <c r="B1349" t="s">
        <v>27887</v>
      </c>
      <c r="C1349" t="s">
        <v>27888</v>
      </c>
      <c r="D1349" t="s">
        <v>27889</v>
      </c>
      <c r="E1349" t="s">
        <v>27890</v>
      </c>
      <c r="F1349" t="s">
        <v>27891</v>
      </c>
      <c r="G1349" t="s">
        <v>27892</v>
      </c>
      <c r="H1349" t="s">
        <v>27893</v>
      </c>
      <c r="I1349" t="s">
        <v>27894</v>
      </c>
      <c r="J1349" t="s">
        <v>27895</v>
      </c>
      <c r="K1349" t="s">
        <v>27896</v>
      </c>
      <c r="L1349" t="s">
        <v>27897</v>
      </c>
      <c r="M1349" t="s">
        <v>27898</v>
      </c>
      <c r="N1349" t="s">
        <v>27899</v>
      </c>
      <c r="O1349">
        <f>-774.691030288611 -113.129796150471 -503.206658933565</f>
        <v>-1391.0274853726469</v>
      </c>
      <c r="P1349">
        <f>-754.22446791148 -142.043909066034 -211.082880174569</f>
        <v>-1107.351257152083</v>
      </c>
      <c r="Q1349">
        <f>-590.360005716829 -76.926861078357 -375.275303669734</f>
        <v>-1042.56217046492</v>
      </c>
      <c r="R1349" t="s">
        <v>27900</v>
      </c>
      <c r="S1349" t="s">
        <v>27901</v>
      </c>
      <c r="T1349" t="s">
        <v>27902</v>
      </c>
      <c r="U1349" t="s">
        <v>27903</v>
      </c>
      <c r="V1349">
        <f>-725.497248193389 -22.5293590752444 -66.7261558771834</f>
        <v>-814.75276314581686</v>
      </c>
      <c r="W1349" t="s">
        <v>27904</v>
      </c>
      <c r="X1349" t="s">
        <v>27905</v>
      </c>
      <c r="Y1349" t="s">
        <v>27906</v>
      </c>
    </row>
    <row r="1350" spans="1:25" x14ac:dyDescent="0.3">
      <c r="A1350">
        <v>67450</v>
      </c>
      <c r="B1350" t="s">
        <v>27907</v>
      </c>
      <c r="C1350" t="s">
        <v>27908</v>
      </c>
      <c r="D1350" t="s">
        <v>27909</v>
      </c>
      <c r="E1350" t="s">
        <v>27910</v>
      </c>
      <c r="F1350" t="s">
        <v>27911</v>
      </c>
      <c r="G1350" t="s">
        <v>27912</v>
      </c>
      <c r="H1350" t="s">
        <v>27913</v>
      </c>
      <c r="I1350" t="s">
        <v>27914</v>
      </c>
      <c r="J1350" t="s">
        <v>27915</v>
      </c>
      <c r="K1350" t="s">
        <v>27916</v>
      </c>
      <c r="L1350" t="s">
        <v>27917</v>
      </c>
      <c r="M1350" t="s">
        <v>27918</v>
      </c>
      <c r="N1350" t="s">
        <v>27919</v>
      </c>
      <c r="O1350">
        <f>-775.709704721784 -113.143208829218 -503.155952572379</f>
        <v>-1392.008866123381</v>
      </c>
      <c r="P1350">
        <f>-755.332082420274 -142.376023696356 -211.057573613908</f>
        <v>-1108.7656797305381</v>
      </c>
      <c r="Q1350">
        <f>-591.599042346835 -76.2473460842077 -374.976377497581</f>
        <v>-1042.8227659286235</v>
      </c>
      <c r="R1350" t="s">
        <v>27920</v>
      </c>
      <c r="S1350" t="s">
        <v>27921</v>
      </c>
      <c r="T1350" t="s">
        <v>27922</v>
      </c>
      <c r="U1350" t="s">
        <v>27923</v>
      </c>
      <c r="V1350">
        <f>-725.8217136139 -22.3490639005413 -66.6996706689057</f>
        <v>-814.87044818334698</v>
      </c>
      <c r="W1350" t="s">
        <v>27924</v>
      </c>
      <c r="X1350" t="s">
        <v>27925</v>
      </c>
      <c r="Y1350" t="s">
        <v>27926</v>
      </c>
    </row>
    <row r="1351" spans="1:25" x14ac:dyDescent="0.3">
      <c r="A1351">
        <v>67500</v>
      </c>
      <c r="B1351" t="s">
        <v>27927</v>
      </c>
      <c r="C1351" t="s">
        <v>27928</v>
      </c>
      <c r="D1351" t="s">
        <v>27929</v>
      </c>
      <c r="E1351" t="s">
        <v>27930</v>
      </c>
      <c r="F1351" t="s">
        <v>27931</v>
      </c>
      <c r="G1351" t="s">
        <v>27932</v>
      </c>
      <c r="H1351" t="s">
        <v>27933</v>
      </c>
      <c r="I1351" t="s">
        <v>27934</v>
      </c>
      <c r="J1351" t="s">
        <v>27935</v>
      </c>
      <c r="K1351" t="s">
        <v>27936</v>
      </c>
      <c r="L1351" t="s">
        <v>27937</v>
      </c>
      <c r="M1351" t="s">
        <v>27938</v>
      </c>
      <c r="N1351" t="s">
        <v>27939</v>
      </c>
      <c r="O1351">
        <f>-777.950159629018 -112.688381519124 -503.01692634416</f>
        <v>-1393.655467492302</v>
      </c>
      <c r="P1351">
        <f>-757.408791707017 -141.719565260283 -210.909886700378</f>
        <v>-1110.038243667678</v>
      </c>
      <c r="Q1351">
        <f>-593.866443508364 -74.0236422909875 -374.378526941718</f>
        <v>-1042.2686127410695</v>
      </c>
      <c r="R1351" t="s">
        <v>27940</v>
      </c>
      <c r="S1351" t="s">
        <v>27941</v>
      </c>
      <c r="T1351" t="s">
        <v>27942</v>
      </c>
      <c r="U1351" t="s">
        <v>27943</v>
      </c>
      <c r="V1351">
        <f>-726.666137060725 -21.5949652279955 -66.6406786185895</f>
        <v>-814.90178090731001</v>
      </c>
      <c r="W1351" t="s">
        <v>27944</v>
      </c>
      <c r="X1351" t="s">
        <v>27945</v>
      </c>
      <c r="Y1351" t="s">
        <v>27946</v>
      </c>
    </row>
    <row r="1352" spans="1:25" x14ac:dyDescent="0.3">
      <c r="A1352">
        <v>67550</v>
      </c>
      <c r="B1352" t="s">
        <v>27947</v>
      </c>
      <c r="C1352" t="s">
        <v>27948</v>
      </c>
      <c r="D1352" t="s">
        <v>27949</v>
      </c>
      <c r="E1352" t="s">
        <v>27950</v>
      </c>
      <c r="F1352" t="s">
        <v>27951</v>
      </c>
      <c r="G1352" t="s">
        <v>27952</v>
      </c>
      <c r="H1352" t="s">
        <v>27953</v>
      </c>
      <c r="I1352" t="s">
        <v>27954</v>
      </c>
      <c r="J1352" t="s">
        <v>27955</v>
      </c>
      <c r="K1352" t="s">
        <v>27956</v>
      </c>
      <c r="L1352" t="s">
        <v>27957</v>
      </c>
      <c r="M1352" t="s">
        <v>27958</v>
      </c>
      <c r="N1352" t="s">
        <v>27959</v>
      </c>
      <c r="O1352">
        <f>-778.905257272917 -112.316405919044 -502.90991696648</f>
        <v>-1394.131580158441</v>
      </c>
      <c r="P1352">
        <f>-758.335243949836 -141.042367018894 -210.774797254904</f>
        <v>-1110.152408223634</v>
      </c>
      <c r="Q1352">
        <f>-594.788006898781 -73.1332684632919 -374.150334396713</f>
        <v>-1042.0716097587858</v>
      </c>
      <c r="R1352" t="s">
        <v>27960</v>
      </c>
      <c r="S1352" t="s">
        <v>27961</v>
      </c>
      <c r="T1352" t="s">
        <v>27962</v>
      </c>
      <c r="U1352" t="s">
        <v>27963</v>
      </c>
      <c r="V1352">
        <f>-727.090913842245 -21.2031695723135 -66.6107198671554</f>
        <v>-814.90480328171384</v>
      </c>
      <c r="W1352" t="s">
        <v>27964</v>
      </c>
      <c r="X1352" t="s">
        <v>27965</v>
      </c>
      <c r="Y1352" t="s">
        <v>27966</v>
      </c>
    </row>
    <row r="1353" spans="1:25" x14ac:dyDescent="0.3">
      <c r="A1353">
        <v>67600</v>
      </c>
      <c r="B1353" t="s">
        <v>27967</v>
      </c>
      <c r="C1353" t="s">
        <v>27968</v>
      </c>
      <c r="D1353" t="s">
        <v>27969</v>
      </c>
      <c r="E1353" t="s">
        <v>27970</v>
      </c>
      <c r="F1353" t="s">
        <v>27971</v>
      </c>
      <c r="G1353" t="s">
        <v>27972</v>
      </c>
      <c r="H1353" t="s">
        <v>27973</v>
      </c>
      <c r="I1353" t="s">
        <v>27974</v>
      </c>
      <c r="J1353" t="s">
        <v>27975</v>
      </c>
      <c r="K1353" t="s">
        <v>27976</v>
      </c>
      <c r="L1353" t="s">
        <v>27977</v>
      </c>
      <c r="M1353" t="s">
        <v>27978</v>
      </c>
      <c r="N1353" t="s">
        <v>27979</v>
      </c>
      <c r="O1353">
        <f>-780.33839208081 -111.30990187865 -502.780923227078</f>
        <v>-1394.4292171865379</v>
      </c>
      <c r="P1353">
        <f>-759.479038461854 -139.822576164264 -210.64548139505</f>
        <v>-1109.9470960211679</v>
      </c>
      <c r="Q1353">
        <f>-595.956378366352 -71.6033085340648 -373.916058088696</f>
        <v>-1041.4757449891129</v>
      </c>
      <c r="R1353" t="s">
        <v>27980</v>
      </c>
      <c r="S1353" t="s">
        <v>27981</v>
      </c>
      <c r="T1353" t="s">
        <v>27982</v>
      </c>
      <c r="U1353" t="s">
        <v>27983</v>
      </c>
      <c r="V1353">
        <f>-727.801656387707 -20.0223889878248 -66.5572850742379</f>
        <v>-814.38133044976973</v>
      </c>
      <c r="W1353" t="s">
        <v>27984</v>
      </c>
      <c r="X1353" t="s">
        <v>27985</v>
      </c>
      <c r="Y1353" t="s">
        <v>27986</v>
      </c>
    </row>
    <row r="1354" spans="1:25" x14ac:dyDescent="0.3">
      <c r="A1354">
        <v>67650</v>
      </c>
      <c r="B1354" t="s">
        <v>27987</v>
      </c>
      <c r="C1354" t="s">
        <v>27988</v>
      </c>
      <c r="D1354" t="s">
        <v>27989</v>
      </c>
      <c r="E1354" t="s">
        <v>27990</v>
      </c>
      <c r="F1354" t="s">
        <v>27991</v>
      </c>
      <c r="G1354" t="s">
        <v>27992</v>
      </c>
      <c r="H1354" t="s">
        <v>27993</v>
      </c>
      <c r="I1354" t="s">
        <v>27994</v>
      </c>
      <c r="J1354" t="s">
        <v>27995</v>
      </c>
      <c r="K1354" t="s">
        <v>27996</v>
      </c>
      <c r="L1354" t="s">
        <v>27997</v>
      </c>
      <c r="M1354" t="s">
        <v>27998</v>
      </c>
      <c r="N1354" t="s">
        <v>27999</v>
      </c>
      <c r="O1354">
        <f>-780.977033828836 -110.642294422397 -502.749002866399</f>
        <v>-1394.3683311176319</v>
      </c>
      <c r="P1354">
        <f>-759.832964666288 -139.053442329269 -210.624155466001</f>
        <v>-1109.510562461558</v>
      </c>
      <c r="Q1354">
        <f>-596.122813569701 -70.9406110746381 -373.751212554268</f>
        <v>-1040.8146371986072</v>
      </c>
      <c r="R1354" t="s">
        <v>28000</v>
      </c>
      <c r="S1354" t="s">
        <v>28001</v>
      </c>
      <c r="T1354" t="s">
        <v>28002</v>
      </c>
      <c r="U1354" t="s">
        <v>28003</v>
      </c>
      <c r="V1354">
        <f>-728.163492039488 -19.3563435870597 -66.5159386101869</f>
        <v>-814.0357742367346</v>
      </c>
      <c r="W1354" t="s">
        <v>28004</v>
      </c>
      <c r="X1354" t="s">
        <v>28005</v>
      </c>
      <c r="Y1354" t="s">
        <v>28006</v>
      </c>
    </row>
    <row r="1355" spans="1:25" x14ac:dyDescent="0.3">
      <c r="A1355">
        <v>67700</v>
      </c>
      <c r="B1355" t="s">
        <v>28007</v>
      </c>
      <c r="C1355" t="s">
        <v>28008</v>
      </c>
      <c r="D1355" t="s">
        <v>28009</v>
      </c>
      <c r="E1355" t="s">
        <v>28010</v>
      </c>
      <c r="F1355" t="s">
        <v>28011</v>
      </c>
      <c r="G1355" t="s">
        <v>28012</v>
      </c>
      <c r="H1355" t="s">
        <v>28013</v>
      </c>
      <c r="I1355" t="s">
        <v>28014</v>
      </c>
      <c r="J1355" t="s">
        <v>28015</v>
      </c>
      <c r="K1355" t="s">
        <v>28016</v>
      </c>
      <c r="L1355" t="s">
        <v>28017</v>
      </c>
      <c r="M1355" t="s">
        <v>28018</v>
      </c>
      <c r="N1355" t="s">
        <v>28019</v>
      </c>
      <c r="O1355">
        <f>-781.730696773169 -109.109311112822 -502.679696315414</f>
        <v>-1393.5197042014049</v>
      </c>
      <c r="P1355">
        <f>-760.30369679663 -137.765505507225 -210.599439419483</f>
        <v>-1108.6686417233379</v>
      </c>
      <c r="Q1355">
        <f>-596.79891069384 -69.1410579957335 -373.718125936943</f>
        <v>-1039.6580946265165</v>
      </c>
      <c r="R1355" t="s">
        <v>28020</v>
      </c>
      <c r="S1355" t="s">
        <v>28021</v>
      </c>
      <c r="T1355" t="s">
        <v>28022</v>
      </c>
      <c r="U1355" t="s">
        <v>28023</v>
      </c>
      <c r="V1355">
        <f>-728.701079365752 -17.9604470482377 -66.4209623929022</f>
        <v>-813.08248880689189</v>
      </c>
      <c r="W1355" t="s">
        <v>28024</v>
      </c>
      <c r="X1355" t="s">
        <v>28025</v>
      </c>
      <c r="Y1355" t="s">
        <v>28026</v>
      </c>
    </row>
    <row r="1356" spans="1:25" x14ac:dyDescent="0.3">
      <c r="A1356">
        <v>67750</v>
      </c>
      <c r="B1356" t="s">
        <v>28027</v>
      </c>
      <c r="C1356" t="s">
        <v>28028</v>
      </c>
      <c r="D1356" t="s">
        <v>28029</v>
      </c>
      <c r="E1356" t="s">
        <v>28030</v>
      </c>
      <c r="F1356" t="s">
        <v>28031</v>
      </c>
      <c r="G1356" t="s">
        <v>28032</v>
      </c>
      <c r="H1356" t="s">
        <v>28033</v>
      </c>
      <c r="I1356" t="s">
        <v>28034</v>
      </c>
      <c r="J1356" t="s">
        <v>28035</v>
      </c>
      <c r="K1356" t="s">
        <v>28036</v>
      </c>
      <c r="L1356" t="s">
        <v>28037</v>
      </c>
      <c r="M1356" t="s">
        <v>28038</v>
      </c>
      <c r="N1356" t="s">
        <v>28039</v>
      </c>
      <c r="O1356">
        <f>-782.134444277584 -108.213634110557 -502.653487465277</f>
        <v>-1393.001565853418</v>
      </c>
      <c r="P1356">
        <f>-760.499762456449 -136.798172836112 -210.581381492125</f>
        <v>-1107.8793167846861</v>
      </c>
      <c r="Q1356">
        <f>-596.996427675535 -67.8084327546997 -373.547411401528</f>
        <v>-1038.3522718317627</v>
      </c>
      <c r="R1356" t="s">
        <v>28040</v>
      </c>
      <c r="S1356" t="s">
        <v>28041</v>
      </c>
      <c r="T1356" t="s">
        <v>28042</v>
      </c>
      <c r="U1356" t="s">
        <v>28043</v>
      </c>
      <c r="V1356">
        <f>-728.980209859666 -17.0552505985811 -66.3775310236088</f>
        <v>-812.4129914818559</v>
      </c>
      <c r="W1356" t="s">
        <v>28044</v>
      </c>
      <c r="X1356" t="s">
        <v>28045</v>
      </c>
      <c r="Y1356" t="s">
        <v>28046</v>
      </c>
    </row>
    <row r="1357" spans="1:25" x14ac:dyDescent="0.3">
      <c r="A1357">
        <v>67800</v>
      </c>
      <c r="B1357" t="s">
        <v>28047</v>
      </c>
      <c r="C1357" t="s">
        <v>28048</v>
      </c>
      <c r="D1357" t="s">
        <v>28049</v>
      </c>
      <c r="E1357" t="s">
        <v>28050</v>
      </c>
      <c r="F1357" t="s">
        <v>28051</v>
      </c>
      <c r="G1357" t="s">
        <v>28052</v>
      </c>
      <c r="H1357" t="s">
        <v>28053</v>
      </c>
      <c r="I1357" t="s">
        <v>28054</v>
      </c>
      <c r="J1357" t="s">
        <v>28055</v>
      </c>
      <c r="K1357" t="s">
        <v>28056</v>
      </c>
      <c r="L1357" t="s">
        <v>28057</v>
      </c>
      <c r="M1357" t="s">
        <v>28058</v>
      </c>
      <c r="N1357" t="s">
        <v>28059</v>
      </c>
      <c r="O1357">
        <f>-782.884664020854 -106.568245235046 -502.453012564557</f>
        <v>-1391.905921820457</v>
      </c>
      <c r="P1357">
        <f>-760.852035349439 -134.534511557157 -210.350891732477</f>
        <v>-1105.7374386390729</v>
      </c>
      <c r="Q1357">
        <f>-597.142604943771 -65.6904271021592 -373.171750707024</f>
        <v>-1036.0047827529543</v>
      </c>
      <c r="R1357" t="s">
        <v>28060</v>
      </c>
      <c r="S1357" t="s">
        <v>28061</v>
      </c>
      <c r="T1357" t="s">
        <v>28062</v>
      </c>
      <c r="U1357" t="s">
        <v>28063</v>
      </c>
      <c r="V1357">
        <f>-729.550915294113 -15.4525378331191 -66.2970150878042</f>
        <v>-811.30046821503629</v>
      </c>
      <c r="W1357" t="s">
        <v>28064</v>
      </c>
      <c r="X1357" t="s">
        <v>28065</v>
      </c>
      <c r="Y1357" t="s">
        <v>28066</v>
      </c>
    </row>
    <row r="1358" spans="1:25" x14ac:dyDescent="0.3">
      <c r="A1358">
        <v>67850</v>
      </c>
      <c r="B1358" t="s">
        <v>28067</v>
      </c>
      <c r="C1358" t="s">
        <v>28068</v>
      </c>
      <c r="D1358" t="s">
        <v>28069</v>
      </c>
      <c r="E1358" t="s">
        <v>28070</v>
      </c>
      <c r="F1358" t="s">
        <v>28071</v>
      </c>
      <c r="G1358" t="s">
        <v>28072</v>
      </c>
      <c r="H1358" t="s">
        <v>28073</v>
      </c>
      <c r="I1358" t="s">
        <v>28074</v>
      </c>
      <c r="J1358" t="s">
        <v>28075</v>
      </c>
      <c r="K1358" t="s">
        <v>28076</v>
      </c>
      <c r="L1358" t="s">
        <v>28077</v>
      </c>
      <c r="M1358" t="s">
        <v>28078</v>
      </c>
      <c r="N1358" t="s">
        <v>28079</v>
      </c>
      <c r="O1358">
        <f>-783.182897601431 -105.745046250131 -502.341728298955</f>
        <v>-1391.2696721505172</v>
      </c>
      <c r="P1358">
        <f>-761.036570395879 -133.252074524821 -210.204574931972</f>
        <v>-1104.4932198526722</v>
      </c>
      <c r="Q1358">
        <f>-596.970241752597 -64.685481874963 -372.783102875719</f>
        <v>-1034.438826503279</v>
      </c>
      <c r="R1358" t="s">
        <v>28080</v>
      </c>
      <c r="S1358" t="s">
        <v>28081</v>
      </c>
      <c r="T1358" t="s">
        <v>28082</v>
      </c>
      <c r="U1358" t="s">
        <v>28083</v>
      </c>
      <c r="V1358">
        <f>-729.770384369992 -14.5945289126767 -66.2557993868033</f>
        <v>-810.62071266947203</v>
      </c>
      <c r="W1358" t="s">
        <v>28084</v>
      </c>
      <c r="X1358" t="s">
        <v>28085</v>
      </c>
      <c r="Y1358" t="s">
        <v>28086</v>
      </c>
    </row>
    <row r="1359" spans="1:25" x14ac:dyDescent="0.3">
      <c r="A1359">
        <v>67900</v>
      </c>
      <c r="B1359" t="s">
        <v>28087</v>
      </c>
      <c r="C1359" t="s">
        <v>28088</v>
      </c>
      <c r="D1359" t="s">
        <v>28089</v>
      </c>
      <c r="E1359" t="s">
        <v>28090</v>
      </c>
      <c r="F1359" t="s">
        <v>28091</v>
      </c>
      <c r="G1359" t="s">
        <v>28092</v>
      </c>
      <c r="H1359" t="s">
        <v>28093</v>
      </c>
      <c r="I1359" t="s">
        <v>28094</v>
      </c>
      <c r="J1359" t="s">
        <v>28095</v>
      </c>
      <c r="K1359" t="s">
        <v>28096</v>
      </c>
      <c r="L1359" t="s">
        <v>28097</v>
      </c>
      <c r="M1359" t="s">
        <v>28098</v>
      </c>
      <c r="N1359" t="s">
        <v>28099</v>
      </c>
      <c r="O1359">
        <f>-783.567306685305 -104.132304924374 -502.183173114053</f>
        <v>-1389.8827847237319</v>
      </c>
      <c r="P1359">
        <f>-761.337933237075 -131.232868701106 -210.014248159824</f>
        <v>-1102.585050098005</v>
      </c>
      <c r="Q1359">
        <f>-596.441410156297 -62.6654287418119 -371.750165450479</f>
        <v>-1030.8570043485879</v>
      </c>
      <c r="R1359" t="s">
        <v>28100</v>
      </c>
      <c r="S1359" t="s">
        <v>28101</v>
      </c>
      <c r="T1359" t="s">
        <v>28102</v>
      </c>
      <c r="U1359" t="s">
        <v>28103</v>
      </c>
      <c r="V1359">
        <f>-730.136240165673 -13.2641536471601 -66.1329685499054</f>
        <v>-809.53336236273856</v>
      </c>
      <c r="W1359" t="s">
        <v>28104</v>
      </c>
      <c r="X1359" t="s">
        <v>28105</v>
      </c>
      <c r="Y1359" t="s">
        <v>28106</v>
      </c>
    </row>
    <row r="1360" spans="1:25" x14ac:dyDescent="0.3">
      <c r="A1360">
        <v>67950</v>
      </c>
      <c r="B1360" t="s">
        <v>28107</v>
      </c>
      <c r="C1360" t="s">
        <v>28108</v>
      </c>
      <c r="D1360" t="s">
        <v>28109</v>
      </c>
      <c r="E1360" t="s">
        <v>28110</v>
      </c>
      <c r="F1360" t="s">
        <v>28111</v>
      </c>
      <c r="G1360" t="s">
        <v>28112</v>
      </c>
      <c r="H1360" t="s">
        <v>28113</v>
      </c>
      <c r="I1360" t="s">
        <v>28114</v>
      </c>
      <c r="J1360" t="s">
        <v>28115</v>
      </c>
      <c r="K1360" t="s">
        <v>28116</v>
      </c>
      <c r="L1360" t="s">
        <v>28117</v>
      </c>
      <c r="M1360" t="s">
        <v>28118</v>
      </c>
      <c r="N1360" t="s">
        <v>28119</v>
      </c>
      <c r="O1360">
        <f>-783.823079260951 -103.213539150867 -502.116025319544</f>
        <v>-1389.1526437313619</v>
      </c>
      <c r="P1360">
        <f>-761.535060887722 -130.303310198959 -209.9507570313</f>
        <v>-1101.7891281179809</v>
      </c>
      <c r="Q1360">
        <f>-596.237753509537 -61.5782391173018 -371.209937509849</f>
        <v>-1029.0259301366877</v>
      </c>
      <c r="R1360" t="s">
        <v>28120</v>
      </c>
      <c r="S1360" t="s">
        <v>28121</v>
      </c>
      <c r="T1360" t="s">
        <v>28122</v>
      </c>
      <c r="U1360" t="s">
        <v>28123</v>
      </c>
      <c r="V1360">
        <f>-730.28607332022 -12.4055695000434 -66.0620054076546</f>
        <v>-808.75364822791801</v>
      </c>
      <c r="W1360" t="s">
        <v>28124</v>
      </c>
      <c r="X1360" t="s">
        <v>28125</v>
      </c>
      <c r="Y1360" t="s">
        <v>28126</v>
      </c>
    </row>
    <row r="1361" spans="1:25" x14ac:dyDescent="0.3">
      <c r="A1361">
        <v>68000</v>
      </c>
      <c r="B1361" t="s">
        <v>28127</v>
      </c>
      <c r="C1361" t="s">
        <v>28128</v>
      </c>
      <c r="D1361" t="s">
        <v>28129</v>
      </c>
      <c r="E1361" t="s">
        <v>28130</v>
      </c>
      <c r="F1361" t="s">
        <v>28131</v>
      </c>
      <c r="G1361" t="s">
        <v>28132</v>
      </c>
      <c r="H1361" t="s">
        <v>28133</v>
      </c>
      <c r="I1361" t="s">
        <v>28134</v>
      </c>
      <c r="J1361" t="s">
        <v>28135</v>
      </c>
      <c r="K1361" t="s">
        <v>28136</v>
      </c>
      <c r="L1361" t="s">
        <v>28137</v>
      </c>
      <c r="M1361" t="s">
        <v>28138</v>
      </c>
      <c r="N1361" t="s">
        <v>28139</v>
      </c>
      <c r="O1361">
        <f>-783.981436965259 -101.230064586641 -502.159279438755</f>
        <v>-1387.370780990655</v>
      </c>
      <c r="P1361">
        <f>-761.509375296921 -128.655383263421 -210.039168186892</f>
        <v>-1100.2039267472339</v>
      </c>
      <c r="Q1361">
        <f>-595.834318497517 -59.4163914962892 -370.689851706636</f>
        <v>-1025.9405617004422</v>
      </c>
      <c r="R1361" t="s">
        <v>28140</v>
      </c>
      <c r="S1361" t="s">
        <v>28141</v>
      </c>
      <c r="T1361" t="s">
        <v>28142</v>
      </c>
      <c r="U1361" t="s">
        <v>28143</v>
      </c>
      <c r="V1361">
        <f>-730.53797632713 -11.0515302684985 -65.8969386691549</f>
        <v>-807.48644526478336</v>
      </c>
      <c r="W1361" t="s">
        <v>28144</v>
      </c>
      <c r="X1361" t="s">
        <v>28145</v>
      </c>
      <c r="Y1361" t="s">
        <v>28146</v>
      </c>
    </row>
    <row r="1362" spans="1:25" x14ac:dyDescent="0.3">
      <c r="A1362">
        <v>68050</v>
      </c>
      <c r="B1362" t="s">
        <v>28147</v>
      </c>
      <c r="C1362" t="s">
        <v>28148</v>
      </c>
      <c r="D1362" t="s">
        <v>28149</v>
      </c>
      <c r="E1362" t="s">
        <v>28150</v>
      </c>
      <c r="F1362" t="s">
        <v>28151</v>
      </c>
      <c r="G1362" t="s">
        <v>28152</v>
      </c>
      <c r="H1362" t="s">
        <v>28153</v>
      </c>
      <c r="I1362" t="s">
        <v>28154</v>
      </c>
      <c r="J1362" t="s">
        <v>28155</v>
      </c>
      <c r="K1362" t="s">
        <v>28156</v>
      </c>
      <c r="L1362" t="s">
        <v>28157</v>
      </c>
      <c r="M1362" t="s">
        <v>28158</v>
      </c>
      <c r="N1362" t="s">
        <v>28159</v>
      </c>
      <c r="O1362">
        <f>-784.167291079477 -100.304390348381 -502.265674860664</f>
        <v>-1386.7373562885221</v>
      </c>
      <c r="P1362">
        <f>-761.407402192064 -128.015135225927 -210.195081962452</f>
        <v>-1099.6176193804429</v>
      </c>
      <c r="Q1362">
        <f>-595.559350031203 -58.3757800929893 -370.493818832516</f>
        <v>-1024.4289489567084</v>
      </c>
      <c r="R1362" t="s">
        <v>28160</v>
      </c>
      <c r="S1362" t="s">
        <v>28161</v>
      </c>
      <c r="T1362" t="s">
        <v>28162</v>
      </c>
      <c r="U1362" t="s">
        <v>28163</v>
      </c>
      <c r="V1362">
        <f>-730.660207022469 -10.3643211411031 -65.8142647926703</f>
        <v>-806.8387929562424</v>
      </c>
      <c r="W1362" t="s">
        <v>28164</v>
      </c>
      <c r="X1362" t="s">
        <v>28165</v>
      </c>
      <c r="Y1362" t="s">
        <v>28166</v>
      </c>
    </row>
    <row r="1363" spans="1:25" x14ac:dyDescent="0.3">
      <c r="A1363">
        <v>68100</v>
      </c>
      <c r="B1363" t="s">
        <v>28167</v>
      </c>
      <c r="C1363" t="s">
        <v>28168</v>
      </c>
      <c r="D1363" t="s">
        <v>28169</v>
      </c>
      <c r="E1363" t="s">
        <v>28170</v>
      </c>
      <c r="F1363" t="s">
        <v>28171</v>
      </c>
      <c r="G1363" t="s">
        <v>28172</v>
      </c>
      <c r="H1363" t="s">
        <v>28173</v>
      </c>
      <c r="I1363" t="s">
        <v>28174</v>
      </c>
      <c r="J1363" t="s">
        <v>28175</v>
      </c>
      <c r="K1363" t="s">
        <v>28176</v>
      </c>
      <c r="L1363" t="s">
        <v>28177</v>
      </c>
      <c r="M1363" t="s">
        <v>28178</v>
      </c>
      <c r="N1363" t="s">
        <v>28179</v>
      </c>
      <c r="O1363">
        <f>-784.690090607932 -98.8594055906203 -502.391179082347</f>
        <v>-1385.9406752808993</v>
      </c>
      <c r="P1363">
        <f>-761.1729235616 -126.876188627185 -210.409708277931</f>
        <v>-1098.4588204667159</v>
      </c>
      <c r="Q1363">
        <f>-595.224333585229 -56.8784879145419 -370.447875665893</f>
        <v>-1022.5506971656639</v>
      </c>
      <c r="R1363" t="s">
        <v>28180</v>
      </c>
      <c r="S1363" t="s">
        <v>28181</v>
      </c>
      <c r="T1363" t="s">
        <v>28182</v>
      </c>
      <c r="U1363" t="s">
        <v>28183</v>
      </c>
      <c r="V1363">
        <f>-730.734664318566 -9.20367969014205 -65.6763352240862</f>
        <v>-805.61467923279429</v>
      </c>
      <c r="W1363" t="s">
        <v>28184</v>
      </c>
      <c r="X1363" t="s">
        <v>28185</v>
      </c>
      <c r="Y1363" t="s">
        <v>28186</v>
      </c>
    </row>
    <row r="1364" spans="1:25" x14ac:dyDescent="0.3">
      <c r="A1364">
        <v>68150</v>
      </c>
      <c r="B1364" t="s">
        <v>28187</v>
      </c>
      <c r="C1364" t="s">
        <v>28188</v>
      </c>
      <c r="D1364" t="s">
        <v>28189</v>
      </c>
      <c r="E1364" t="s">
        <v>28190</v>
      </c>
      <c r="F1364" t="s">
        <v>28191</v>
      </c>
      <c r="G1364" t="s">
        <v>28192</v>
      </c>
      <c r="H1364" t="s">
        <v>28193</v>
      </c>
      <c r="I1364" t="s">
        <v>28194</v>
      </c>
      <c r="J1364" t="s">
        <v>28195</v>
      </c>
      <c r="K1364" t="s">
        <v>28196</v>
      </c>
      <c r="L1364" t="s">
        <v>28197</v>
      </c>
      <c r="M1364" t="s">
        <v>28198</v>
      </c>
      <c r="N1364" t="s">
        <v>28199</v>
      </c>
      <c r="O1364">
        <f>-784.841972165548 -98.2306829347435 -502.429566499277</f>
        <v>-1385.5022215995684</v>
      </c>
      <c r="P1364">
        <f>-760.997912198407 -126.344942629974 -210.484018378076</f>
        <v>-1097.8268732064569</v>
      </c>
      <c r="Q1364">
        <f>-595.025008951484 -56.6000191664941 -370.607400720864</f>
        <v>-1022.2324288388421</v>
      </c>
      <c r="R1364" t="s">
        <v>28200</v>
      </c>
      <c r="S1364" t="s">
        <v>28201</v>
      </c>
      <c r="T1364" t="s">
        <v>28202</v>
      </c>
      <c r="U1364" t="s">
        <v>28203</v>
      </c>
      <c r="V1364">
        <f>-730.801205093438 -8.63263221026546 -65.5971089606418</f>
        <v>-805.03094626434529</v>
      </c>
      <c r="W1364" t="s">
        <v>28204</v>
      </c>
      <c r="X1364" t="s">
        <v>28205</v>
      </c>
      <c r="Y1364" t="s">
        <v>28206</v>
      </c>
    </row>
    <row r="1365" spans="1:25" x14ac:dyDescent="0.3">
      <c r="A1365">
        <v>68200</v>
      </c>
      <c r="B1365" t="s">
        <v>28207</v>
      </c>
      <c r="C1365" t="s">
        <v>28208</v>
      </c>
      <c r="D1365" t="s">
        <v>28209</v>
      </c>
      <c r="E1365" t="s">
        <v>28210</v>
      </c>
      <c r="F1365" t="s">
        <v>28211</v>
      </c>
      <c r="G1365" t="s">
        <v>28212</v>
      </c>
      <c r="H1365" t="s">
        <v>28213</v>
      </c>
      <c r="I1365" t="s">
        <v>28214</v>
      </c>
      <c r="J1365" t="s">
        <v>28215</v>
      </c>
      <c r="K1365" t="s">
        <v>28216</v>
      </c>
      <c r="L1365" t="s">
        <v>28217</v>
      </c>
      <c r="M1365" t="s">
        <v>28218</v>
      </c>
      <c r="N1365" t="s">
        <v>28219</v>
      </c>
      <c r="O1365">
        <f>-785.399911380836 -96.8797203410093 -502.486791550762</f>
        <v>-1384.7664232726072</v>
      </c>
      <c r="P1365">
        <f>-760.850022705718 -125.296983213783 -210.629008386165</f>
        <v>-1096.776014305666</v>
      </c>
      <c r="Q1365">
        <f>-594.48318749571 -56.1978823531581 -370.623565691245</f>
        <v>-1021.3046355401132</v>
      </c>
      <c r="R1365" t="s">
        <v>28220</v>
      </c>
      <c r="S1365" t="s">
        <v>28221</v>
      </c>
      <c r="T1365" t="s">
        <v>28222</v>
      </c>
      <c r="U1365" t="s">
        <v>28223</v>
      </c>
      <c r="V1365">
        <f>-731.02967388932 -7.48098120264967 -65.4647579482788</f>
        <v>-803.97541304024844</v>
      </c>
      <c r="W1365" t="s">
        <v>28224</v>
      </c>
      <c r="X1365" t="s">
        <v>28225</v>
      </c>
      <c r="Y1365" t="s">
        <v>28226</v>
      </c>
    </row>
    <row r="1366" spans="1:25" x14ac:dyDescent="0.3">
      <c r="A1366">
        <v>68250</v>
      </c>
      <c r="B1366" t="s">
        <v>28227</v>
      </c>
      <c r="C1366" t="s">
        <v>28228</v>
      </c>
      <c r="D1366" t="s">
        <v>28229</v>
      </c>
      <c r="E1366" t="s">
        <v>28230</v>
      </c>
      <c r="F1366" t="s">
        <v>28231</v>
      </c>
      <c r="G1366" t="s">
        <v>28232</v>
      </c>
      <c r="H1366" t="s">
        <v>28233</v>
      </c>
      <c r="I1366" t="s">
        <v>28234</v>
      </c>
      <c r="J1366" t="s">
        <v>28235</v>
      </c>
      <c r="K1366" t="s">
        <v>28236</v>
      </c>
      <c r="L1366" t="s">
        <v>28237</v>
      </c>
      <c r="M1366" t="s">
        <v>28238</v>
      </c>
      <c r="N1366" t="s">
        <v>28239</v>
      </c>
      <c r="O1366">
        <f>-785.66168697587 -96.1304626105812 -502.499723111736</f>
        <v>-1384.291872698187</v>
      </c>
      <c r="P1366">
        <f>-760.84420555772 -124.872027112805 -210.696277824597</f>
        <v>-1096.412510495122</v>
      </c>
      <c r="Q1366">
        <f>-594.297974657065 -55.690711992245 -370.468799206192</f>
        <v>-1020.457485855502</v>
      </c>
      <c r="R1366" t="s">
        <v>28240</v>
      </c>
      <c r="S1366" t="s">
        <v>28241</v>
      </c>
      <c r="T1366" t="s">
        <v>28242</v>
      </c>
      <c r="U1366" t="s">
        <v>28243</v>
      </c>
      <c r="V1366">
        <f>-731.171380243921 -6.85332288550171 -65.3907628100419</f>
        <v>-803.41546593946464</v>
      </c>
      <c r="W1366" t="s">
        <v>28244</v>
      </c>
      <c r="X1366" t="s">
        <v>28245</v>
      </c>
      <c r="Y1366" t="s">
        <v>28246</v>
      </c>
    </row>
    <row r="1367" spans="1:25" x14ac:dyDescent="0.3">
      <c r="A1367">
        <v>68300</v>
      </c>
      <c r="B1367" t="s">
        <v>28247</v>
      </c>
      <c r="C1367" t="s">
        <v>28248</v>
      </c>
      <c r="D1367" t="s">
        <v>28249</v>
      </c>
      <c r="E1367" t="s">
        <v>28250</v>
      </c>
      <c r="F1367" t="s">
        <v>28251</v>
      </c>
      <c r="G1367" t="s">
        <v>28252</v>
      </c>
      <c r="H1367" t="s">
        <v>28253</v>
      </c>
      <c r="I1367" t="s">
        <v>28254</v>
      </c>
      <c r="J1367" t="s">
        <v>28255</v>
      </c>
      <c r="K1367" t="s">
        <v>28256</v>
      </c>
      <c r="L1367" t="s">
        <v>28257</v>
      </c>
      <c r="M1367" t="s">
        <v>28258</v>
      </c>
      <c r="N1367" t="s">
        <v>28259</v>
      </c>
      <c r="O1367">
        <f>-786.403806546072 -94.7384520704275 -502.481138168724</f>
        <v>-1383.6233967852236</v>
      </c>
      <c r="P1367">
        <f>-761.517654357596 -123.392855471417 -210.675133695781</f>
        <v>-1095.585643524794</v>
      </c>
      <c r="Q1367">
        <f>-594.112722672784 -54.0782461891476 -369.489291928188</f>
        <v>-1017.6802607901196</v>
      </c>
      <c r="R1367" t="s">
        <v>28260</v>
      </c>
      <c r="S1367" t="s">
        <v>28261</v>
      </c>
      <c r="T1367" t="s">
        <v>28262</v>
      </c>
      <c r="U1367" t="s">
        <v>28263</v>
      </c>
      <c r="V1367">
        <f>-731.641197132361 -5.69055705976643 -65.2484782079227</f>
        <v>-802.58023240005014</v>
      </c>
      <c r="W1367" t="s">
        <v>28264</v>
      </c>
      <c r="X1367" t="s">
        <v>28265</v>
      </c>
      <c r="Y1367" t="s">
        <v>28266</v>
      </c>
    </row>
    <row r="1368" spans="1:25" x14ac:dyDescent="0.3">
      <c r="A1368">
        <v>68350</v>
      </c>
      <c r="B1368" t="s">
        <v>28267</v>
      </c>
      <c r="C1368" t="s">
        <v>28268</v>
      </c>
      <c r="D1368" t="s">
        <v>28269</v>
      </c>
      <c r="E1368" t="s">
        <v>28270</v>
      </c>
      <c r="F1368" t="s">
        <v>28271</v>
      </c>
      <c r="G1368" t="s">
        <v>28272</v>
      </c>
      <c r="H1368" t="s">
        <v>28273</v>
      </c>
      <c r="I1368" t="s">
        <v>28274</v>
      </c>
      <c r="J1368" t="s">
        <v>28275</v>
      </c>
      <c r="K1368" t="s">
        <v>28276</v>
      </c>
      <c r="L1368" t="s">
        <v>28277</v>
      </c>
      <c r="M1368" t="s">
        <v>28278</v>
      </c>
      <c r="N1368" t="s">
        <v>28279</v>
      </c>
      <c r="O1368">
        <f>-786.665093517179 -94.1059425610836 -502.445663149731</f>
        <v>-1383.2166992279936</v>
      </c>
      <c r="P1368">
        <f>-761.985044985729 -122.664744740059 -210.612675951295</f>
        <v>-1095.2624656770829</v>
      </c>
      <c r="Q1368">
        <f>-594.142706951948 -53.4910300697165 -369.026072923233</f>
        <v>-1016.6598099448975</v>
      </c>
      <c r="R1368" t="s">
        <v>28280</v>
      </c>
      <c r="S1368" t="s">
        <v>28281</v>
      </c>
      <c r="T1368" t="s">
        <v>28282</v>
      </c>
      <c r="U1368" t="s">
        <v>28283</v>
      </c>
      <c r="V1368">
        <f>-731.826510212788 -5.12769225848206 -65.1882385900628</f>
        <v>-802.14244106133287</v>
      </c>
      <c r="W1368" t="s">
        <v>28284</v>
      </c>
      <c r="X1368" t="s">
        <v>28285</v>
      </c>
      <c r="Y1368" t="s">
        <v>28286</v>
      </c>
    </row>
    <row r="1369" spans="1:25" x14ac:dyDescent="0.3">
      <c r="A1369">
        <v>68400</v>
      </c>
      <c r="B1369" t="s">
        <v>28287</v>
      </c>
      <c r="C1369" t="s">
        <v>28288</v>
      </c>
      <c r="D1369" t="s">
        <v>28289</v>
      </c>
      <c r="E1369" t="s">
        <v>28290</v>
      </c>
      <c r="F1369" t="s">
        <v>28291</v>
      </c>
      <c r="G1369" t="s">
        <v>28292</v>
      </c>
      <c r="H1369" t="s">
        <v>28293</v>
      </c>
      <c r="I1369" t="s">
        <v>28294</v>
      </c>
      <c r="J1369" t="s">
        <v>28295</v>
      </c>
      <c r="K1369" t="s">
        <v>28296</v>
      </c>
      <c r="L1369" t="s">
        <v>28297</v>
      </c>
      <c r="M1369" t="s">
        <v>28298</v>
      </c>
      <c r="N1369" t="s">
        <v>28299</v>
      </c>
      <c r="O1369">
        <f>-787.191753890535 -92.7996391179158 -502.400503121943</f>
        <v>-1382.3918961303939</v>
      </c>
      <c r="P1369">
        <f>-762.994992264697 -121.597241948515 -210.550541546137</f>
        <v>-1095.142775759349</v>
      </c>
      <c r="Q1369">
        <f>-594.303383426116 -52.7782457193989 -368.21472465869</f>
        <v>-1015.296353804205</v>
      </c>
      <c r="R1369" t="s">
        <v>28300</v>
      </c>
      <c r="S1369" t="s">
        <v>28301</v>
      </c>
      <c r="T1369" t="s">
        <v>28302</v>
      </c>
      <c r="U1369" t="s">
        <v>28303</v>
      </c>
      <c r="V1369">
        <f>-732.327150916401 -4.02268113058426 -65.0656428883582</f>
        <v>-801.41547493534347</v>
      </c>
      <c r="W1369" t="s">
        <v>28304</v>
      </c>
      <c r="X1369" t="s">
        <v>28305</v>
      </c>
      <c r="Y1369" t="s">
        <v>28306</v>
      </c>
    </row>
    <row r="1370" spans="1:25" x14ac:dyDescent="0.3">
      <c r="A1370">
        <v>68450</v>
      </c>
      <c r="B1370" t="s">
        <v>28307</v>
      </c>
      <c r="C1370" t="s">
        <v>28308</v>
      </c>
      <c r="D1370" t="s">
        <v>28309</v>
      </c>
      <c r="E1370" t="s">
        <v>28310</v>
      </c>
      <c r="F1370" t="s">
        <v>28311</v>
      </c>
      <c r="G1370" t="s">
        <v>28312</v>
      </c>
      <c r="H1370" t="s">
        <v>28313</v>
      </c>
      <c r="I1370" t="s">
        <v>28314</v>
      </c>
      <c r="J1370" t="s">
        <v>28315</v>
      </c>
      <c r="K1370" t="s">
        <v>28316</v>
      </c>
      <c r="L1370" t="s">
        <v>28317</v>
      </c>
      <c r="M1370" t="s">
        <v>28318</v>
      </c>
      <c r="N1370" t="s">
        <v>28319</v>
      </c>
      <c r="O1370">
        <f>-787.477303413925 -92.162434808806 -502.370648339952</f>
        <v>-1382.0103865626829</v>
      </c>
      <c r="P1370">
        <f>-763.549932972441 -121.053929004728 -210.507637480959</f>
        <v>-1095.111499458128</v>
      </c>
      <c r="Q1370">
        <f>-594.393339769642 -52.6474812148376 -367.852750837123</f>
        <v>-1014.8935718216026</v>
      </c>
      <c r="R1370" t="s">
        <v>28320</v>
      </c>
      <c r="S1370" t="s">
        <v>28321</v>
      </c>
      <c r="T1370" t="s">
        <v>28322</v>
      </c>
      <c r="U1370" t="s">
        <v>28323</v>
      </c>
      <c r="V1370">
        <f>-732.590133570863 -3.51246699006788 -64.9904076802102</f>
        <v>-801.09300824114109</v>
      </c>
      <c r="W1370" t="s">
        <v>28324</v>
      </c>
      <c r="X1370" t="s">
        <v>28325</v>
      </c>
      <c r="Y1370" t="s">
        <v>28326</v>
      </c>
    </row>
    <row r="1371" spans="1:25" x14ac:dyDescent="0.3">
      <c r="A1371">
        <v>68500</v>
      </c>
      <c r="B1371" t="s">
        <v>28327</v>
      </c>
      <c r="C1371" t="s">
        <v>28328</v>
      </c>
      <c r="D1371" t="s">
        <v>28329</v>
      </c>
      <c r="E1371" t="s">
        <v>28330</v>
      </c>
      <c r="F1371" t="s">
        <v>28331</v>
      </c>
      <c r="G1371" t="s">
        <v>28332</v>
      </c>
      <c r="H1371" t="s">
        <v>28333</v>
      </c>
      <c r="I1371" t="s">
        <v>28334</v>
      </c>
      <c r="J1371" t="s">
        <v>28335</v>
      </c>
      <c r="K1371" t="s">
        <v>28336</v>
      </c>
      <c r="L1371" t="s">
        <v>28337</v>
      </c>
      <c r="M1371" t="s">
        <v>28338</v>
      </c>
      <c r="N1371" t="s">
        <v>28339</v>
      </c>
      <c r="O1371">
        <f>-788.137048374702 -90.871919961759 -502.263027427907</f>
        <v>-1381.2719957643681</v>
      </c>
      <c r="P1371">
        <f>-764.684730512482 -119.654367187293 -210.350890958255</f>
        <v>-1094.68998865803</v>
      </c>
      <c r="Q1371">
        <f>-594.738272929221 -52.4441881803573 -367.359746380173</f>
        <v>-1014.5422074897513</v>
      </c>
      <c r="R1371" t="s">
        <v>28340</v>
      </c>
      <c r="S1371" t="s">
        <v>28341</v>
      </c>
      <c r="T1371" t="s">
        <v>28342</v>
      </c>
      <c r="U1371" t="s">
        <v>28343</v>
      </c>
      <c r="V1371">
        <f>-733.054475203512 -2.34256602257847 -64.8412798932516</f>
        <v>-800.238321119342</v>
      </c>
      <c r="W1371" t="s">
        <v>28344</v>
      </c>
      <c r="X1371" t="s">
        <v>28345</v>
      </c>
      <c r="Y1371" t="s">
        <v>28346</v>
      </c>
    </row>
    <row r="1372" spans="1:25" x14ac:dyDescent="0.3">
      <c r="A1372">
        <v>68550</v>
      </c>
      <c r="B1372" t="s">
        <v>28347</v>
      </c>
      <c r="C1372" t="s">
        <v>28348</v>
      </c>
      <c r="D1372" t="s">
        <v>28349</v>
      </c>
      <c r="E1372" t="s">
        <v>28350</v>
      </c>
      <c r="F1372" t="s">
        <v>28351</v>
      </c>
      <c r="G1372" t="s">
        <v>28352</v>
      </c>
      <c r="H1372" t="s">
        <v>28353</v>
      </c>
      <c r="I1372" t="s">
        <v>28354</v>
      </c>
      <c r="J1372" t="s">
        <v>28355</v>
      </c>
      <c r="K1372" t="s">
        <v>28356</v>
      </c>
      <c r="L1372" t="s">
        <v>28357</v>
      </c>
      <c r="M1372" t="s">
        <v>28358</v>
      </c>
      <c r="N1372" t="s">
        <v>28359</v>
      </c>
      <c r="O1372">
        <f>-788.394477831718 -90.2013144627406 -502.203081344876</f>
        <v>-1380.7988736393345</v>
      </c>
      <c r="P1372">
        <f>-765.044950374871 -118.990568467987 -210.283154977113</f>
        <v>-1094.3186738199711</v>
      </c>
      <c r="Q1372">
        <f>-594.854862442381 -52.2958024149548 -367.248110022785</f>
        <v>-1014.3987748801208</v>
      </c>
      <c r="R1372" t="s">
        <v>28360</v>
      </c>
      <c r="S1372" t="s">
        <v>28361</v>
      </c>
      <c r="T1372" t="s">
        <v>28362</v>
      </c>
      <c r="U1372" t="s">
        <v>28363</v>
      </c>
      <c r="V1372">
        <f>-733.202196486042 -1.69360758985431 -64.7684498294184</f>
        <v>-799.66425390531469</v>
      </c>
      <c r="W1372" t="s">
        <v>28364</v>
      </c>
      <c r="X1372" t="s">
        <v>28365</v>
      </c>
      <c r="Y1372" t="s">
        <v>28366</v>
      </c>
    </row>
    <row r="1373" spans="1:25" x14ac:dyDescent="0.3">
      <c r="A1373">
        <v>68600</v>
      </c>
      <c r="B1373" t="s">
        <v>28367</v>
      </c>
      <c r="C1373" t="s">
        <v>28368</v>
      </c>
      <c r="D1373" t="s">
        <v>28369</v>
      </c>
      <c r="E1373" t="s">
        <v>28370</v>
      </c>
      <c r="F1373" t="s">
        <v>28371</v>
      </c>
      <c r="G1373" t="s">
        <v>28372</v>
      </c>
      <c r="H1373" t="s">
        <v>28373</v>
      </c>
      <c r="I1373" t="s">
        <v>28374</v>
      </c>
      <c r="J1373" t="s">
        <v>28375</v>
      </c>
      <c r="K1373" t="s">
        <v>28376</v>
      </c>
      <c r="L1373" t="s">
        <v>28377</v>
      </c>
      <c r="M1373" t="s">
        <v>28378</v>
      </c>
      <c r="N1373" t="s">
        <v>28379</v>
      </c>
      <c r="O1373">
        <f>-788.857440221595 -88.5494616899796 -502.104071051304</f>
        <v>-1379.5109729628784</v>
      </c>
      <c r="P1373">
        <f>-765.750710034343 -117.502390535905 -210.181073031141</f>
        <v>-1093.4341736013889</v>
      </c>
      <c r="Q1373">
        <f>-595.276897973404 -51.4296784454427 -367.101047515599</f>
        <v>-1013.8076239344457</v>
      </c>
      <c r="R1373" t="s">
        <v>28380</v>
      </c>
      <c r="S1373" t="s">
        <v>28381</v>
      </c>
      <c r="T1373" t="s">
        <v>28382</v>
      </c>
      <c r="U1373" t="s">
        <v>28383</v>
      </c>
      <c r="V1373">
        <f>-733.544286675158 -0.250538032325494 -64.5773580163046</f>
        <v>-798.37218272378811</v>
      </c>
      <c r="W1373" t="s">
        <v>28384</v>
      </c>
      <c r="X1373" t="s">
        <v>28385</v>
      </c>
      <c r="Y1373" t="s">
        <v>28386</v>
      </c>
    </row>
    <row r="1374" spans="1:25" x14ac:dyDescent="0.3">
      <c r="A1374">
        <v>68650</v>
      </c>
      <c r="B1374" t="s">
        <v>28387</v>
      </c>
      <c r="C1374" t="s">
        <v>28388</v>
      </c>
      <c r="D1374" t="s">
        <v>28389</v>
      </c>
      <c r="E1374" t="s">
        <v>28390</v>
      </c>
      <c r="F1374" t="s">
        <v>28391</v>
      </c>
      <c r="G1374" t="s">
        <v>28392</v>
      </c>
      <c r="H1374" t="s">
        <v>28393</v>
      </c>
      <c r="I1374" t="s">
        <v>28394</v>
      </c>
      <c r="J1374" t="s">
        <v>28395</v>
      </c>
      <c r="K1374" t="s">
        <v>28396</v>
      </c>
      <c r="L1374" t="s">
        <v>28397</v>
      </c>
      <c r="M1374" t="s">
        <v>28398</v>
      </c>
      <c r="N1374" t="s">
        <v>28399</v>
      </c>
      <c r="O1374">
        <f>-789.143204761308 -87.5703923247961 -502.079744269026</f>
        <v>-1378.79334135513</v>
      </c>
      <c r="P1374">
        <f>-766.089819360584 -116.787654339249 -210.178974584323</f>
        <v>-1093.056448284156</v>
      </c>
      <c r="Q1374">
        <f>-595.599773138286 -50.670995514294 -367.06283518914</f>
        <v>-1013.3336038417199</v>
      </c>
      <c r="R1374" t="s">
        <v>28400</v>
      </c>
      <c r="S1374" t="s">
        <v>28401</v>
      </c>
      <c r="T1374" t="s">
        <v>28402</v>
      </c>
      <c r="U1374" t="s">
        <v>28403</v>
      </c>
      <c r="V1374" t="s">
        <v>28404</v>
      </c>
      <c r="W1374" t="s">
        <v>28405</v>
      </c>
      <c r="X1374" t="s">
        <v>28406</v>
      </c>
      <c r="Y1374" t="s">
        <v>28407</v>
      </c>
    </row>
    <row r="1375" spans="1:25" x14ac:dyDescent="0.3">
      <c r="A1375">
        <v>68700</v>
      </c>
      <c r="B1375" t="s">
        <v>28408</v>
      </c>
      <c r="C1375" t="s">
        <v>28409</v>
      </c>
      <c r="D1375" t="s">
        <v>28410</v>
      </c>
      <c r="E1375" t="s">
        <v>28411</v>
      </c>
      <c r="F1375" t="s">
        <v>28412</v>
      </c>
      <c r="G1375" t="s">
        <v>28413</v>
      </c>
      <c r="H1375" t="s">
        <v>28414</v>
      </c>
      <c r="I1375" t="s">
        <v>28415</v>
      </c>
      <c r="J1375" t="s">
        <v>28416</v>
      </c>
      <c r="K1375" t="s">
        <v>28417</v>
      </c>
      <c r="L1375" t="s">
        <v>28418</v>
      </c>
      <c r="M1375" t="s">
        <v>28419</v>
      </c>
      <c r="N1375" t="s">
        <v>28420</v>
      </c>
      <c r="O1375">
        <f>-789.360998030707 -85.7341503924276 -501.936621355242</f>
        <v>-1377.0317697783767</v>
      </c>
      <c r="P1375">
        <f>-766.485121503073 -115.242180912411 -210.051018980719</f>
        <v>-1091.778321396203</v>
      </c>
      <c r="Q1375">
        <f>-595.924812787267 -49.4521189587813 -366.996194875501</f>
        <v>-1012.3731266215493</v>
      </c>
      <c r="R1375" t="s">
        <v>28421</v>
      </c>
      <c r="S1375" t="s">
        <v>28422</v>
      </c>
      <c r="T1375" t="s">
        <v>28423</v>
      </c>
      <c r="U1375" t="s">
        <v>28424</v>
      </c>
      <c r="V1375" t="s">
        <v>28425</v>
      </c>
      <c r="W1375" t="s">
        <v>28426</v>
      </c>
      <c r="X1375" t="s">
        <v>28427</v>
      </c>
      <c r="Y1375" t="s">
        <v>28428</v>
      </c>
    </row>
    <row r="1376" spans="1:25" x14ac:dyDescent="0.3">
      <c r="A1376">
        <v>68750</v>
      </c>
      <c r="B1376" t="s">
        <v>28429</v>
      </c>
      <c r="C1376" t="s">
        <v>28430</v>
      </c>
      <c r="D1376" t="s">
        <v>28431</v>
      </c>
      <c r="E1376" t="s">
        <v>28432</v>
      </c>
      <c r="F1376" t="s">
        <v>28433</v>
      </c>
      <c r="G1376" t="s">
        <v>28434</v>
      </c>
      <c r="H1376" t="s">
        <v>28435</v>
      </c>
      <c r="I1376" t="s">
        <v>28436</v>
      </c>
      <c r="J1376" t="s">
        <v>28437</v>
      </c>
      <c r="K1376" t="s">
        <v>28438</v>
      </c>
      <c r="L1376" t="s">
        <v>28439</v>
      </c>
      <c r="M1376" t="s">
        <v>28440</v>
      </c>
      <c r="N1376" t="s">
        <v>28441</v>
      </c>
      <c r="O1376">
        <f>-789.317720264693 -84.8600189355263 -501.798804839254</f>
        <v>-1375.9765440394733</v>
      </c>
      <c r="P1376">
        <f>-766.522249309461 -114.464262901099 -209.91671897487</f>
        <v>-1090.9032311854301</v>
      </c>
      <c r="Q1376">
        <f>-595.944606789851 -48.7865322248715 -366.890303591337</f>
        <v>-1011.6214426060595</v>
      </c>
      <c r="R1376" t="s">
        <v>28442</v>
      </c>
      <c r="S1376" t="s">
        <v>28443</v>
      </c>
      <c r="T1376" t="s">
        <v>28444</v>
      </c>
      <c r="U1376" t="s">
        <v>28445</v>
      </c>
      <c r="V1376" t="s">
        <v>28446</v>
      </c>
      <c r="W1376" t="s">
        <v>28447</v>
      </c>
      <c r="X1376" t="s">
        <v>28448</v>
      </c>
      <c r="Y1376" t="s">
        <v>28449</v>
      </c>
    </row>
    <row r="1377" spans="1:25" x14ac:dyDescent="0.3">
      <c r="A1377">
        <v>68800</v>
      </c>
      <c r="B1377" t="s">
        <v>28450</v>
      </c>
      <c r="C1377" t="s">
        <v>28451</v>
      </c>
      <c r="D1377" t="s">
        <v>28452</v>
      </c>
      <c r="E1377" t="s">
        <v>28453</v>
      </c>
      <c r="F1377" t="s">
        <v>28454</v>
      </c>
      <c r="G1377" t="s">
        <v>28455</v>
      </c>
      <c r="H1377" t="s">
        <v>28456</v>
      </c>
      <c r="I1377" t="s">
        <v>28457</v>
      </c>
      <c r="J1377" t="s">
        <v>28458</v>
      </c>
      <c r="K1377" t="s">
        <v>28459</v>
      </c>
      <c r="L1377" t="s">
        <v>28460</v>
      </c>
      <c r="M1377" t="s">
        <v>28461</v>
      </c>
      <c r="N1377" t="s">
        <v>28462</v>
      </c>
      <c r="O1377">
        <f>-789.528212337359 -82.5986878494261 -501.571990555918</f>
        <v>-1373.698890742703</v>
      </c>
      <c r="P1377">
        <f>-766.806132498631 -112.45725114877 -209.710088663285</f>
        <v>-1088.973472310686</v>
      </c>
      <c r="Q1377">
        <f>-595.984752862715 -47.1387010022534 -366.568204837002</f>
        <v>-1009.6916587019704</v>
      </c>
      <c r="R1377" t="s">
        <v>28463</v>
      </c>
      <c r="S1377" t="s">
        <v>28464</v>
      </c>
      <c r="T1377" t="s">
        <v>28465</v>
      </c>
      <c r="U1377" t="s">
        <v>28466</v>
      </c>
      <c r="V1377" t="s">
        <v>28467</v>
      </c>
      <c r="W1377" t="s">
        <v>28468</v>
      </c>
      <c r="X1377" t="s">
        <v>28469</v>
      </c>
      <c r="Y1377" t="s">
        <v>28470</v>
      </c>
    </row>
    <row r="1378" spans="1:25" x14ac:dyDescent="0.3">
      <c r="A1378">
        <v>68850</v>
      </c>
      <c r="B1378" t="s">
        <v>28471</v>
      </c>
      <c r="C1378" t="s">
        <v>28472</v>
      </c>
      <c r="D1378" t="s">
        <v>28473</v>
      </c>
      <c r="E1378" t="s">
        <v>28474</v>
      </c>
      <c r="F1378" t="s">
        <v>28475</v>
      </c>
      <c r="G1378" t="s">
        <v>28476</v>
      </c>
      <c r="H1378" t="s">
        <v>28477</v>
      </c>
      <c r="I1378" t="s">
        <v>28478</v>
      </c>
      <c r="J1378" t="s">
        <v>28479</v>
      </c>
      <c r="K1378" t="s">
        <v>28480</v>
      </c>
      <c r="L1378" t="s">
        <v>28481</v>
      </c>
      <c r="M1378" t="s">
        <v>28482</v>
      </c>
      <c r="N1378" t="s">
        <v>28483</v>
      </c>
      <c r="O1378">
        <f>-789.800535630247 -81.3083479682518 -501.46214147577</f>
        <v>-1372.5710250742688</v>
      </c>
      <c r="P1378">
        <f>-766.988165165992 -111.47719336934 -209.639194202617</f>
        <v>-1088.104552737949</v>
      </c>
      <c r="Q1378">
        <f>-596.078367994512 -46.1491160132905 -366.396778499131</f>
        <v>-1008.6242625069335</v>
      </c>
      <c r="R1378" t="s">
        <v>28484</v>
      </c>
      <c r="S1378" t="s">
        <v>28485</v>
      </c>
      <c r="T1378" t="s">
        <v>28486</v>
      </c>
      <c r="U1378" t="s">
        <v>28487</v>
      </c>
      <c r="V1378" t="s">
        <v>28488</v>
      </c>
      <c r="W1378" t="s">
        <v>28489</v>
      </c>
      <c r="X1378" t="s">
        <v>28490</v>
      </c>
      <c r="Y1378" t="s">
        <v>28491</v>
      </c>
    </row>
    <row r="1379" spans="1:25" x14ac:dyDescent="0.3">
      <c r="A1379">
        <v>68900</v>
      </c>
      <c r="B1379" t="s">
        <v>28492</v>
      </c>
      <c r="C1379" t="s">
        <v>28493</v>
      </c>
      <c r="D1379" t="s">
        <v>28494</v>
      </c>
      <c r="E1379" t="s">
        <v>28495</v>
      </c>
      <c r="F1379" t="s">
        <v>28496</v>
      </c>
      <c r="G1379" t="s">
        <v>28497</v>
      </c>
      <c r="H1379" t="s">
        <v>28498</v>
      </c>
      <c r="I1379" t="s">
        <v>28499</v>
      </c>
      <c r="J1379" t="s">
        <v>28500</v>
      </c>
      <c r="K1379" t="s">
        <v>28501</v>
      </c>
      <c r="L1379" t="s">
        <v>28502</v>
      </c>
      <c r="M1379" t="s">
        <v>28503</v>
      </c>
      <c r="N1379" t="s">
        <v>28504</v>
      </c>
      <c r="O1379">
        <f>-790.229769973392 -78.5139140178451 -501.353226859066</f>
        <v>-1370.0969108503032</v>
      </c>
      <c r="P1379">
        <f>-767.392615583864 -109.165608160062 -209.582525854729</f>
        <v>-1086.140749598655</v>
      </c>
      <c r="Q1379">
        <f>-596.234309439561 -43.9005400131175 -366.095195745752</f>
        <v>-1006.2300451984305</v>
      </c>
      <c r="R1379" t="s">
        <v>28505</v>
      </c>
      <c r="S1379" t="s">
        <v>28506</v>
      </c>
      <c r="T1379" t="s">
        <v>28507</v>
      </c>
      <c r="U1379" t="s">
        <v>28508</v>
      </c>
      <c r="V1379" t="s">
        <v>28509</v>
      </c>
      <c r="W1379" t="s">
        <v>28510</v>
      </c>
      <c r="X1379" t="s">
        <v>28511</v>
      </c>
      <c r="Y1379" t="s">
        <v>28512</v>
      </c>
    </row>
    <row r="1380" spans="1:25" x14ac:dyDescent="0.3">
      <c r="A1380">
        <v>68950</v>
      </c>
      <c r="B1380" t="s">
        <v>28513</v>
      </c>
      <c r="C1380" t="s">
        <v>28514</v>
      </c>
      <c r="D1380" t="s">
        <v>28515</v>
      </c>
      <c r="E1380" t="s">
        <v>28516</v>
      </c>
      <c r="F1380" t="s">
        <v>28517</v>
      </c>
      <c r="G1380" t="s">
        <v>28518</v>
      </c>
      <c r="H1380" t="s">
        <v>28519</v>
      </c>
      <c r="I1380" t="s">
        <v>28520</v>
      </c>
      <c r="J1380" t="s">
        <v>28521</v>
      </c>
      <c r="K1380" t="s">
        <v>28522</v>
      </c>
      <c r="L1380" t="s">
        <v>28523</v>
      </c>
      <c r="M1380" t="s">
        <v>28524</v>
      </c>
      <c r="N1380" t="s">
        <v>28525</v>
      </c>
      <c r="O1380">
        <f>-790.452716541027 -77.1534265587939 -501.298864754702</f>
        <v>-1368.9050078545229</v>
      </c>
      <c r="P1380">
        <f>-767.543319379186 -107.940680986392 -209.548149563416</f>
        <v>-1085.0321499289939</v>
      </c>
      <c r="Q1380">
        <f>-596.135387289574 -42.8258290157501 -365.85010296864</f>
        <v>-1004.811319273964</v>
      </c>
      <c r="R1380" t="s">
        <v>28526</v>
      </c>
      <c r="S1380" t="s">
        <v>28527</v>
      </c>
      <c r="T1380" t="s">
        <v>28528</v>
      </c>
      <c r="U1380" t="s">
        <v>28529</v>
      </c>
      <c r="V1380" t="s">
        <v>28530</v>
      </c>
      <c r="W1380" t="s">
        <v>28531</v>
      </c>
      <c r="X1380" t="s">
        <v>28532</v>
      </c>
      <c r="Y1380" t="s">
        <v>28533</v>
      </c>
    </row>
    <row r="1381" spans="1:25" x14ac:dyDescent="0.3">
      <c r="A1381">
        <v>69000</v>
      </c>
      <c r="B1381" t="s">
        <v>28534</v>
      </c>
      <c r="C1381" t="s">
        <v>28535</v>
      </c>
      <c r="D1381" t="s">
        <v>28536</v>
      </c>
      <c r="E1381" t="s">
        <v>28537</v>
      </c>
      <c r="F1381" t="s">
        <v>28538</v>
      </c>
      <c r="G1381" t="s">
        <v>28539</v>
      </c>
      <c r="H1381" t="s">
        <v>28540</v>
      </c>
      <c r="I1381" t="s">
        <v>28541</v>
      </c>
      <c r="J1381" t="s">
        <v>28542</v>
      </c>
      <c r="K1381" t="s">
        <v>28543</v>
      </c>
      <c r="L1381" t="s">
        <v>28544</v>
      </c>
      <c r="M1381" t="s">
        <v>28545</v>
      </c>
      <c r="N1381" t="s">
        <v>28546</v>
      </c>
      <c r="O1381">
        <f>-790.696354966821 -74.5690013751027 -501.225030542021</f>
        <v>-1366.4903868839447</v>
      </c>
      <c r="P1381">
        <f>-767.54703551647 -106.105984331628 -209.573381897561</f>
        <v>-1083.2264017456589</v>
      </c>
      <c r="Q1381">
        <f>-595.77733555288 -40.7245570989994 -365.366050545767</f>
        <v>-1001.8679431976464</v>
      </c>
      <c r="R1381" t="s">
        <v>28547</v>
      </c>
      <c r="S1381" t="s">
        <v>28548</v>
      </c>
      <c r="T1381" t="s">
        <v>28549</v>
      </c>
      <c r="U1381" t="s">
        <v>28550</v>
      </c>
      <c r="V1381" t="s">
        <v>28551</v>
      </c>
      <c r="W1381" t="s">
        <v>28552</v>
      </c>
      <c r="X1381" t="s">
        <v>28553</v>
      </c>
      <c r="Y1381" t="s">
        <v>28554</v>
      </c>
    </row>
    <row r="1382" spans="1:25" x14ac:dyDescent="0.3">
      <c r="A1382">
        <v>69050</v>
      </c>
      <c r="B1382" t="s">
        <v>28555</v>
      </c>
      <c r="C1382" t="s">
        <v>28556</v>
      </c>
      <c r="D1382" t="s">
        <v>28557</v>
      </c>
      <c r="E1382" t="s">
        <v>28558</v>
      </c>
      <c r="F1382" t="s">
        <v>28559</v>
      </c>
      <c r="G1382" t="s">
        <v>28560</v>
      </c>
      <c r="H1382" t="s">
        <v>28561</v>
      </c>
      <c r="I1382" t="s">
        <v>28562</v>
      </c>
      <c r="J1382" t="s">
        <v>28563</v>
      </c>
      <c r="K1382" t="s">
        <v>28564</v>
      </c>
      <c r="L1382" t="s">
        <v>28565</v>
      </c>
      <c r="M1382" t="s">
        <v>28566</v>
      </c>
      <c r="N1382" t="s">
        <v>28567</v>
      </c>
      <c r="O1382">
        <f>-790.769143337348 -73.2295414197843 -501.199105154115</f>
        <v>-1365.1977899112474</v>
      </c>
      <c r="P1382">
        <f>-767.571335219059 -105.077918355646 -209.585167684131</f>
        <v>-1082.2344212588362</v>
      </c>
      <c r="Q1382">
        <f>-595.673943212219 -39.6856629084241 -365.232279723722</f>
        <v>-1000.5918858443652</v>
      </c>
      <c r="R1382" t="s">
        <v>28568</v>
      </c>
      <c r="S1382" t="s">
        <v>28569</v>
      </c>
      <c r="T1382" t="s">
        <v>28570</v>
      </c>
      <c r="U1382" t="s">
        <v>28571</v>
      </c>
      <c r="V1382" t="s">
        <v>28572</v>
      </c>
      <c r="W1382" t="s">
        <v>28573</v>
      </c>
      <c r="X1382" t="s">
        <v>28574</v>
      </c>
      <c r="Y1382" t="s">
        <v>28575</v>
      </c>
    </row>
    <row r="1383" spans="1:25" x14ac:dyDescent="0.3">
      <c r="A1383">
        <v>69100</v>
      </c>
      <c r="B1383" t="s">
        <v>28576</v>
      </c>
      <c r="C1383" t="s">
        <v>28577</v>
      </c>
      <c r="D1383" t="s">
        <v>28578</v>
      </c>
      <c r="E1383" t="s">
        <v>28579</v>
      </c>
      <c r="F1383" t="s">
        <v>28580</v>
      </c>
      <c r="G1383" t="s">
        <v>28581</v>
      </c>
      <c r="H1383" t="s">
        <v>28582</v>
      </c>
      <c r="I1383" t="s">
        <v>28583</v>
      </c>
      <c r="J1383" t="s">
        <v>28584</v>
      </c>
      <c r="K1383" t="s">
        <v>28585</v>
      </c>
      <c r="L1383" t="s">
        <v>28586</v>
      </c>
      <c r="M1383" t="s">
        <v>28587</v>
      </c>
      <c r="N1383" t="s">
        <v>28588</v>
      </c>
      <c r="O1383">
        <f>-791.66870191263 -70.7718014518912 -501.061382642098</f>
        <v>-1363.5018860066193</v>
      </c>
      <c r="P1383">
        <f>-768.130810851592 -102.789048543624 -209.492959997876</f>
        <v>-1080.4128193930919</v>
      </c>
      <c r="Q1383">
        <f>-595.664180664259 -38.0382275084507 -364.778249049452</f>
        <v>-998.48065722216165</v>
      </c>
      <c r="R1383" t="s">
        <v>28589</v>
      </c>
      <c r="S1383" t="s">
        <v>28590</v>
      </c>
      <c r="T1383" t="s">
        <v>28591</v>
      </c>
      <c r="U1383" t="s">
        <v>28592</v>
      </c>
      <c r="V1383" t="s">
        <v>28593</v>
      </c>
      <c r="W1383" t="s">
        <v>28594</v>
      </c>
      <c r="X1383" t="s">
        <v>28595</v>
      </c>
      <c r="Y1383" t="s">
        <v>28596</v>
      </c>
    </row>
    <row r="1384" spans="1:25" x14ac:dyDescent="0.3">
      <c r="A1384">
        <v>69150</v>
      </c>
      <c r="B1384" t="s">
        <v>28597</v>
      </c>
      <c r="C1384" t="s">
        <v>28598</v>
      </c>
      <c r="D1384" t="s">
        <v>28599</v>
      </c>
      <c r="E1384" t="s">
        <v>28600</v>
      </c>
      <c r="F1384" t="s">
        <v>28601</v>
      </c>
      <c r="G1384" t="s">
        <v>28602</v>
      </c>
      <c r="H1384" t="s">
        <v>28603</v>
      </c>
      <c r="I1384" t="s">
        <v>28604</v>
      </c>
      <c r="J1384" t="s">
        <v>28605</v>
      </c>
      <c r="K1384" t="s">
        <v>28606</v>
      </c>
      <c r="L1384" t="s">
        <v>28607</v>
      </c>
      <c r="M1384" t="s">
        <v>28608</v>
      </c>
      <c r="N1384" t="s">
        <v>28609</v>
      </c>
      <c r="O1384">
        <f>-792.267284499135 -69.637635488084 -500.948783182745</f>
        <v>-1362.8537031699641</v>
      </c>
      <c r="P1384">
        <f>-768.546239752296 -101.780661287556 -209.409103527522</f>
        <v>-1079.736004567374</v>
      </c>
      <c r="Q1384">
        <f>-595.747639303976 -37.4203373665905 -364.487163221743</f>
        <v>-997.65513989230953</v>
      </c>
      <c r="R1384" t="s">
        <v>28610</v>
      </c>
      <c r="S1384" t="s">
        <v>28611</v>
      </c>
      <c r="T1384" t="s">
        <v>28612</v>
      </c>
      <c r="U1384" t="s">
        <v>28613</v>
      </c>
      <c r="V1384" t="s">
        <v>28614</v>
      </c>
      <c r="W1384" t="s">
        <v>28615</v>
      </c>
      <c r="X1384" t="s">
        <v>28616</v>
      </c>
      <c r="Y1384" t="s">
        <v>28617</v>
      </c>
    </row>
    <row r="1385" spans="1:25" x14ac:dyDescent="0.3">
      <c r="A1385">
        <v>69200</v>
      </c>
      <c r="B1385" t="s">
        <v>28618</v>
      </c>
      <c r="C1385" t="s">
        <v>28619</v>
      </c>
      <c r="D1385" t="s">
        <v>28620</v>
      </c>
      <c r="E1385" t="s">
        <v>28621</v>
      </c>
      <c r="F1385" t="s">
        <v>28622</v>
      </c>
      <c r="G1385" t="s">
        <v>28623</v>
      </c>
      <c r="H1385" t="s">
        <v>28624</v>
      </c>
      <c r="I1385" t="s">
        <v>28625</v>
      </c>
      <c r="J1385" t="s">
        <v>28626</v>
      </c>
      <c r="K1385" t="s">
        <v>28627</v>
      </c>
      <c r="L1385" t="s">
        <v>28628</v>
      </c>
      <c r="M1385" t="s">
        <v>28629</v>
      </c>
      <c r="N1385" t="s">
        <v>28630</v>
      </c>
      <c r="O1385">
        <f>-793.400392484529 -67.6125541556132 -500.717929399088</f>
        <v>-1361.7308760392302</v>
      </c>
      <c r="P1385">
        <f>-769.603147555398 -99.8452870508388 -209.194483788536</f>
        <v>-1078.6429183947728</v>
      </c>
      <c r="Q1385">
        <f>-596.124111116542 -36.3297609161582 -363.861013372177</f>
        <v>-996.31488540487726</v>
      </c>
      <c r="R1385" t="s">
        <v>28631</v>
      </c>
      <c r="S1385" t="s">
        <v>28632</v>
      </c>
      <c r="T1385" t="s">
        <v>28633</v>
      </c>
      <c r="U1385" t="s">
        <v>28634</v>
      </c>
      <c r="V1385" t="s">
        <v>28635</v>
      </c>
      <c r="W1385" t="s">
        <v>28636</v>
      </c>
      <c r="X1385" t="s">
        <v>28637</v>
      </c>
      <c r="Y1385" t="s">
        <v>28638</v>
      </c>
    </row>
    <row r="1386" spans="1:25" x14ac:dyDescent="0.3">
      <c r="A1386">
        <v>69250</v>
      </c>
      <c r="B1386" t="s">
        <v>28639</v>
      </c>
      <c r="C1386" t="s">
        <v>28640</v>
      </c>
      <c r="D1386" t="s">
        <v>28641</v>
      </c>
      <c r="E1386" t="s">
        <v>28642</v>
      </c>
      <c r="F1386" t="s">
        <v>28643</v>
      </c>
      <c r="G1386" t="s">
        <v>28644</v>
      </c>
      <c r="H1386" t="s">
        <v>28645</v>
      </c>
      <c r="I1386" t="s">
        <v>28646</v>
      </c>
      <c r="J1386" t="s">
        <v>28647</v>
      </c>
      <c r="K1386" t="s">
        <v>28648</v>
      </c>
      <c r="L1386" t="s">
        <v>28649</v>
      </c>
      <c r="M1386" t="s">
        <v>28650</v>
      </c>
      <c r="N1386" t="s">
        <v>28651</v>
      </c>
      <c r="O1386">
        <f>-794.148865459689 -66.6400114087121 -500.582340348344</f>
        <v>-1361.3712172167452</v>
      </c>
      <c r="P1386">
        <f>-770.299378059023 -98.9431536856432 -209.070852943359</f>
        <v>-1078.3133846880251</v>
      </c>
      <c r="Q1386">
        <f>-596.48508937454 -35.8560304807097 -363.535695906072</f>
        <v>-995.87681576132172</v>
      </c>
      <c r="R1386" t="s">
        <v>28652</v>
      </c>
      <c r="S1386" t="s">
        <v>28653</v>
      </c>
      <c r="T1386" t="s">
        <v>28654</v>
      </c>
      <c r="U1386" t="s">
        <v>28655</v>
      </c>
      <c r="V1386" t="s">
        <v>28656</v>
      </c>
      <c r="W1386" t="s">
        <v>28657</v>
      </c>
      <c r="X1386" t="s">
        <v>28658</v>
      </c>
      <c r="Y1386" t="s">
        <v>28659</v>
      </c>
    </row>
    <row r="1387" spans="1:25" x14ac:dyDescent="0.3">
      <c r="A1387">
        <v>69300</v>
      </c>
      <c r="B1387" t="s">
        <v>28660</v>
      </c>
      <c r="C1387" t="s">
        <v>28661</v>
      </c>
      <c r="D1387" t="s">
        <v>28662</v>
      </c>
      <c r="E1387" t="s">
        <v>28663</v>
      </c>
      <c r="F1387" t="s">
        <v>28664</v>
      </c>
      <c r="G1387" t="s">
        <v>28665</v>
      </c>
      <c r="H1387" t="s">
        <v>28666</v>
      </c>
      <c r="I1387" t="s">
        <v>28667</v>
      </c>
      <c r="J1387" t="s">
        <v>28668</v>
      </c>
      <c r="K1387" t="s">
        <v>28669</v>
      </c>
      <c r="L1387" t="s">
        <v>28670</v>
      </c>
      <c r="M1387" t="s">
        <v>28671</v>
      </c>
      <c r="N1387" t="s">
        <v>28672</v>
      </c>
      <c r="O1387">
        <f>-795.616965541138 -64.7703553261042 -500.264755222493</f>
        <v>-1360.6520760897351</v>
      </c>
      <c r="P1387">
        <f>-771.624798816601 -97.1405283485865 -208.772500568904</f>
        <v>-1077.5378277340915</v>
      </c>
      <c r="Q1387">
        <f>-597.142837623491 -35.0240464121339 -362.877765562727</f>
        <v>-995.04464959835195</v>
      </c>
      <c r="R1387" t="s">
        <v>28673</v>
      </c>
      <c r="S1387" t="s">
        <v>28674</v>
      </c>
      <c r="T1387" t="s">
        <v>28675</v>
      </c>
      <c r="U1387" t="s">
        <v>28676</v>
      </c>
      <c r="V1387" t="s">
        <v>28677</v>
      </c>
      <c r="W1387" t="s">
        <v>28678</v>
      </c>
      <c r="X1387" t="s">
        <v>28679</v>
      </c>
      <c r="Y1387" t="s">
        <v>28680</v>
      </c>
    </row>
    <row r="1388" spans="1:25" x14ac:dyDescent="0.3">
      <c r="A1388">
        <v>69350</v>
      </c>
      <c r="B1388" t="s">
        <v>28681</v>
      </c>
      <c r="C1388" t="s">
        <v>28682</v>
      </c>
      <c r="D1388" t="s">
        <v>28683</v>
      </c>
      <c r="E1388" t="s">
        <v>28684</v>
      </c>
      <c r="F1388" t="s">
        <v>28685</v>
      </c>
      <c r="G1388" t="s">
        <v>28686</v>
      </c>
      <c r="H1388" t="s">
        <v>28687</v>
      </c>
      <c r="I1388" t="s">
        <v>28688</v>
      </c>
      <c r="J1388" t="s">
        <v>28689</v>
      </c>
      <c r="K1388" t="s">
        <v>28690</v>
      </c>
      <c r="L1388" t="s">
        <v>28691</v>
      </c>
      <c r="M1388" t="s">
        <v>28692</v>
      </c>
      <c r="N1388" t="s">
        <v>28693</v>
      </c>
      <c r="O1388">
        <f>-796.395669650144 -63.9482756935968 -500.091692134181</f>
        <v>-1360.4356374779218</v>
      </c>
      <c r="P1388">
        <f>-772.343188108142 -96.2273207134106 -208.594239534727</f>
        <v>-1077.1647483562797</v>
      </c>
      <c r="Q1388">
        <f>-597.578975238382 -34.7413340605599 -362.632396017522</f>
        <v>-994.95270531646383</v>
      </c>
      <c r="R1388" t="s">
        <v>28694</v>
      </c>
      <c r="S1388" t="s">
        <v>28695</v>
      </c>
      <c r="T1388" t="s">
        <v>28696</v>
      </c>
      <c r="U1388" t="s">
        <v>28697</v>
      </c>
      <c r="V1388" t="s">
        <v>28698</v>
      </c>
      <c r="W1388" t="s">
        <v>28699</v>
      </c>
      <c r="X1388" t="s">
        <v>28700</v>
      </c>
      <c r="Y1388" t="s">
        <v>28701</v>
      </c>
    </row>
    <row r="1389" spans="1:25" x14ac:dyDescent="0.3">
      <c r="A1389">
        <v>69400</v>
      </c>
      <c r="B1389" t="s">
        <v>28702</v>
      </c>
      <c r="C1389" t="s">
        <v>28703</v>
      </c>
      <c r="D1389" t="s">
        <v>28704</v>
      </c>
      <c r="E1389" t="s">
        <v>28705</v>
      </c>
      <c r="F1389" t="s">
        <v>28706</v>
      </c>
      <c r="G1389" t="s">
        <v>28707</v>
      </c>
      <c r="H1389" t="s">
        <v>28708</v>
      </c>
      <c r="I1389" t="s">
        <v>28709</v>
      </c>
      <c r="J1389" t="s">
        <v>28710</v>
      </c>
      <c r="K1389" t="s">
        <v>28711</v>
      </c>
      <c r="L1389" t="s">
        <v>28712</v>
      </c>
      <c r="M1389" t="s">
        <v>28713</v>
      </c>
      <c r="N1389" t="s">
        <v>28714</v>
      </c>
      <c r="O1389">
        <f>-797.937731122109 -62.4957287584468 -499.803370379119</f>
        <v>-1360.2368302596747</v>
      </c>
      <c r="P1389">
        <f>-773.73128044596 -94.839135520901 -208.325854543558</f>
        <v>-1076.8962705104191</v>
      </c>
      <c r="Q1389">
        <f>-598.580970066176 -34.3337974750784 -362.313853558964</f>
        <v>-995.22862110021833</v>
      </c>
      <c r="R1389" t="s">
        <v>28715</v>
      </c>
      <c r="S1389" t="s">
        <v>28716</v>
      </c>
      <c r="T1389" t="s">
        <v>28717</v>
      </c>
      <c r="U1389" t="s">
        <v>28718</v>
      </c>
      <c r="V1389" t="s">
        <v>28719</v>
      </c>
      <c r="W1389" t="s">
        <v>28720</v>
      </c>
      <c r="X1389" t="s">
        <v>28721</v>
      </c>
      <c r="Y1389" t="s">
        <v>28722</v>
      </c>
    </row>
    <row r="1390" spans="1:25" x14ac:dyDescent="0.3">
      <c r="A1390">
        <v>69450</v>
      </c>
      <c r="B1390" t="s">
        <v>28723</v>
      </c>
      <c r="C1390" t="s">
        <v>28724</v>
      </c>
      <c r="D1390" t="s">
        <v>28725</v>
      </c>
      <c r="E1390" t="s">
        <v>28726</v>
      </c>
      <c r="F1390" t="s">
        <v>28727</v>
      </c>
      <c r="G1390" t="s">
        <v>28728</v>
      </c>
      <c r="H1390" t="s">
        <v>28729</v>
      </c>
      <c r="I1390" t="s">
        <v>28730</v>
      </c>
      <c r="J1390" t="s">
        <v>28731</v>
      </c>
      <c r="K1390" t="s">
        <v>28732</v>
      </c>
      <c r="L1390" t="s">
        <v>28733</v>
      </c>
      <c r="M1390" t="s">
        <v>28734</v>
      </c>
      <c r="N1390" t="s">
        <v>28735</v>
      </c>
      <c r="O1390">
        <f>-798.702316623958 -61.8257110880477 -499.673517302627</f>
        <v>-1360.2015450146328</v>
      </c>
      <c r="P1390">
        <f>-774.443260690835 -94.2383371204023 -208.208001402508</f>
        <v>-1076.8895992137454</v>
      </c>
      <c r="Q1390">
        <f>-599.158592023984 -34.0438487143279 -362.165127218975</f>
        <v>-995.36756795728684</v>
      </c>
      <c r="R1390" t="s">
        <v>28736</v>
      </c>
      <c r="S1390" t="s">
        <v>28737</v>
      </c>
      <c r="T1390" t="s">
        <v>28738</v>
      </c>
      <c r="U1390" t="s">
        <v>28739</v>
      </c>
      <c r="V1390" t="s">
        <v>28740</v>
      </c>
      <c r="W1390" t="s">
        <v>28741</v>
      </c>
      <c r="X1390" t="s">
        <v>28742</v>
      </c>
      <c r="Y1390" t="s">
        <v>28743</v>
      </c>
    </row>
    <row r="1391" spans="1:25" x14ac:dyDescent="0.3">
      <c r="A1391">
        <v>69500</v>
      </c>
      <c r="B1391" t="s">
        <v>28744</v>
      </c>
      <c r="C1391" t="s">
        <v>28745</v>
      </c>
      <c r="D1391" t="s">
        <v>28746</v>
      </c>
      <c r="E1391" t="s">
        <v>28747</v>
      </c>
      <c r="F1391" t="s">
        <v>28748</v>
      </c>
      <c r="G1391" t="s">
        <v>28749</v>
      </c>
      <c r="H1391" t="s">
        <v>28750</v>
      </c>
      <c r="I1391" t="s">
        <v>28751</v>
      </c>
      <c r="J1391" t="s">
        <v>28752</v>
      </c>
      <c r="K1391" t="s">
        <v>28753</v>
      </c>
      <c r="L1391" t="s">
        <v>28754</v>
      </c>
      <c r="M1391" t="s">
        <v>28755</v>
      </c>
      <c r="N1391" t="s">
        <v>28756</v>
      </c>
      <c r="O1391">
        <f>-800.069941166845 -60.7920063298136 -499.432626394239</f>
        <v>-1360.2945738908975</v>
      </c>
      <c r="P1391">
        <f>-775.672450813721 -93.3151815079539 -207.990997233613</f>
        <v>-1076.9786295552879</v>
      </c>
      <c r="Q1391">
        <f>-600.171016788845 -33.8727709857385 -361.993418641649</f>
        <v>-996.03720641623249</v>
      </c>
      <c r="R1391" t="s">
        <v>28757</v>
      </c>
      <c r="S1391" t="s">
        <v>28758</v>
      </c>
      <c r="T1391" t="s">
        <v>28759</v>
      </c>
      <c r="U1391" t="s">
        <v>28760</v>
      </c>
      <c r="V1391" t="s">
        <v>28761</v>
      </c>
      <c r="W1391" t="s">
        <v>28762</v>
      </c>
      <c r="X1391" t="s">
        <v>28763</v>
      </c>
      <c r="Y1391" t="s">
        <v>28764</v>
      </c>
    </row>
    <row r="1392" spans="1:25" x14ac:dyDescent="0.3">
      <c r="A1392">
        <v>69550</v>
      </c>
      <c r="B1392" t="s">
        <v>28765</v>
      </c>
      <c r="C1392" t="s">
        <v>28766</v>
      </c>
      <c r="D1392" t="s">
        <v>28767</v>
      </c>
      <c r="E1392" t="s">
        <v>28768</v>
      </c>
      <c r="F1392" t="s">
        <v>28769</v>
      </c>
      <c r="G1392" t="s">
        <v>28770</v>
      </c>
      <c r="H1392" t="s">
        <v>28771</v>
      </c>
      <c r="I1392" t="s">
        <v>28772</v>
      </c>
      <c r="J1392" t="s">
        <v>28773</v>
      </c>
      <c r="K1392" t="s">
        <v>28774</v>
      </c>
      <c r="L1392" t="s">
        <v>28775</v>
      </c>
      <c r="M1392" t="s">
        <v>28776</v>
      </c>
      <c r="N1392" t="s">
        <v>28777</v>
      </c>
      <c r="O1392">
        <f>-800.784566775408 -60.3740359262877 -499.288469336937</f>
        <v>-1360.4470720386328</v>
      </c>
      <c r="P1392">
        <f>-776.259326650863 -92.9474724979918 -207.863272643514</f>
        <v>-1077.0700717923689</v>
      </c>
      <c r="Q1392">
        <f>-600.649763234409 -33.8930675815136 -361.891523027232</f>
        <v>-996.43435384315455</v>
      </c>
      <c r="R1392" t="s">
        <v>28778</v>
      </c>
      <c r="S1392" t="s">
        <v>28779</v>
      </c>
      <c r="T1392" t="s">
        <v>28780</v>
      </c>
      <c r="U1392" t="s">
        <v>28781</v>
      </c>
      <c r="V1392" t="s">
        <v>28782</v>
      </c>
      <c r="W1392" t="s">
        <v>28783</v>
      </c>
      <c r="X1392" t="s">
        <v>28784</v>
      </c>
      <c r="Y1392" t="s">
        <v>28785</v>
      </c>
    </row>
    <row r="1393" spans="1:25" x14ac:dyDescent="0.3">
      <c r="A1393">
        <v>69600</v>
      </c>
      <c r="B1393" t="s">
        <v>28786</v>
      </c>
      <c r="C1393" t="s">
        <v>28787</v>
      </c>
      <c r="D1393" t="s">
        <v>28788</v>
      </c>
      <c r="E1393" t="s">
        <v>28789</v>
      </c>
      <c r="F1393" t="s">
        <v>28790</v>
      </c>
      <c r="G1393" t="s">
        <v>28791</v>
      </c>
      <c r="H1393" t="s">
        <v>28792</v>
      </c>
      <c r="I1393" t="s">
        <v>28793</v>
      </c>
      <c r="J1393" t="s">
        <v>28794</v>
      </c>
      <c r="K1393" t="s">
        <v>28795</v>
      </c>
      <c r="L1393" t="s">
        <v>28796</v>
      </c>
      <c r="M1393" t="s">
        <v>28797</v>
      </c>
      <c r="N1393" t="s">
        <v>28798</v>
      </c>
      <c r="O1393">
        <f>-802.511990878512 -59.6407032920317 -498.939580779484</f>
        <v>-1361.0922749500278</v>
      </c>
      <c r="P1393">
        <f>-777.638220370638 -92.3074857094982 -207.554340388191</f>
        <v>-1077.5000464683271</v>
      </c>
      <c r="Q1393">
        <f>-601.783920035548 -34.0645479721711 -361.612263471777</f>
        <v>-997.46073147949619</v>
      </c>
      <c r="R1393" t="s">
        <v>28799</v>
      </c>
      <c r="S1393" t="s">
        <v>28800</v>
      </c>
      <c r="T1393" t="s">
        <v>28801</v>
      </c>
      <c r="U1393" t="s">
        <v>28802</v>
      </c>
      <c r="V1393" t="s">
        <v>28803</v>
      </c>
      <c r="W1393" t="s">
        <v>28804</v>
      </c>
      <c r="X1393" t="s">
        <v>28805</v>
      </c>
      <c r="Y1393" t="s">
        <v>28806</v>
      </c>
    </row>
    <row r="1394" spans="1:25" x14ac:dyDescent="0.3">
      <c r="A1394">
        <v>69650</v>
      </c>
      <c r="B1394" t="s">
        <v>28807</v>
      </c>
      <c r="C1394" t="s">
        <v>28808</v>
      </c>
      <c r="D1394" t="s">
        <v>28809</v>
      </c>
      <c r="E1394" t="s">
        <v>28810</v>
      </c>
      <c r="F1394" t="s">
        <v>28811</v>
      </c>
      <c r="G1394" t="s">
        <v>28812</v>
      </c>
      <c r="H1394" t="s">
        <v>28813</v>
      </c>
      <c r="I1394" t="s">
        <v>28814</v>
      </c>
      <c r="J1394" t="s">
        <v>28815</v>
      </c>
      <c r="K1394" t="s">
        <v>28816</v>
      </c>
      <c r="L1394" t="s">
        <v>28817</v>
      </c>
      <c r="M1394" t="s">
        <v>28818</v>
      </c>
      <c r="N1394" t="s">
        <v>28819</v>
      </c>
      <c r="O1394">
        <f>-803.510393106664 -59.2349058925063 -498.780812172611</f>
        <v>-1361.5261111717812</v>
      </c>
      <c r="P1394">
        <f>-778.446244706587 -91.9261813480034 -207.414577330228</f>
        <v>-1077.7870033848185</v>
      </c>
      <c r="Q1394">
        <f>-602.393387905498 -34.1189441341157 -361.409666377464</f>
        <v>-997.9219984170777</v>
      </c>
      <c r="R1394" t="s">
        <v>28820</v>
      </c>
      <c r="S1394" t="s">
        <v>28821</v>
      </c>
      <c r="T1394" t="s">
        <v>28822</v>
      </c>
      <c r="U1394" t="s">
        <v>28823</v>
      </c>
      <c r="V1394" t="s">
        <v>28824</v>
      </c>
      <c r="W1394" t="s">
        <v>28825</v>
      </c>
      <c r="X1394" t="s">
        <v>28826</v>
      </c>
      <c r="Y1394" t="s">
        <v>28827</v>
      </c>
    </row>
    <row r="1395" spans="1:25" x14ac:dyDescent="0.3">
      <c r="A1395">
        <v>69700</v>
      </c>
      <c r="B1395" t="s">
        <v>28828</v>
      </c>
      <c r="C1395" t="s">
        <v>28829</v>
      </c>
      <c r="D1395" t="s">
        <v>28830</v>
      </c>
      <c r="E1395" t="s">
        <v>28831</v>
      </c>
      <c r="F1395" t="s">
        <v>28832</v>
      </c>
      <c r="G1395" t="s">
        <v>28833</v>
      </c>
      <c r="H1395" t="s">
        <v>28834</v>
      </c>
      <c r="I1395" t="s">
        <v>28835</v>
      </c>
      <c r="J1395" t="s">
        <v>28836</v>
      </c>
      <c r="K1395" t="s">
        <v>28837</v>
      </c>
      <c r="L1395" t="s">
        <v>28838</v>
      </c>
      <c r="M1395" t="s">
        <v>28839</v>
      </c>
      <c r="N1395" t="s">
        <v>28840</v>
      </c>
      <c r="O1395">
        <f>-805.144444798996 -58.6975236824071 -498.628580536472</f>
        <v>-1362.4705490178751</v>
      </c>
      <c r="P1395">
        <f>-779.661006977058 -91.6764628961639 -207.331186959252</f>
        <v>-1078.668656832474</v>
      </c>
      <c r="Q1395">
        <f>-603.026469904581 -34.2866204751126 -360.815797910848</f>
        <v>-998.12888829054157</v>
      </c>
      <c r="R1395" t="s">
        <v>28841</v>
      </c>
      <c r="S1395" t="s">
        <v>28842</v>
      </c>
      <c r="T1395" t="s">
        <v>28843</v>
      </c>
      <c r="U1395" t="s">
        <v>28844</v>
      </c>
      <c r="V1395" t="s">
        <v>28845</v>
      </c>
      <c r="W1395" t="s">
        <v>28846</v>
      </c>
      <c r="X1395" t="s">
        <v>28847</v>
      </c>
      <c r="Y1395" t="s">
        <v>28848</v>
      </c>
    </row>
    <row r="1396" spans="1:25" x14ac:dyDescent="0.3">
      <c r="A1396">
        <v>69750</v>
      </c>
      <c r="B1396" t="s">
        <v>28849</v>
      </c>
      <c r="C1396" t="s">
        <v>28850</v>
      </c>
      <c r="D1396" t="s">
        <v>28851</v>
      </c>
      <c r="E1396" t="s">
        <v>28852</v>
      </c>
      <c r="F1396" t="s">
        <v>28853</v>
      </c>
      <c r="G1396" t="s">
        <v>28854</v>
      </c>
      <c r="H1396" t="s">
        <v>28855</v>
      </c>
      <c r="I1396" t="s">
        <v>28856</v>
      </c>
      <c r="J1396" t="s">
        <v>28857</v>
      </c>
      <c r="K1396" t="s">
        <v>28858</v>
      </c>
      <c r="L1396" t="s">
        <v>28859</v>
      </c>
      <c r="M1396" t="s">
        <v>28860</v>
      </c>
      <c r="N1396" t="s">
        <v>28861</v>
      </c>
      <c r="O1396">
        <f>-805.860357403202 -58.5638432250064 -498.716791254463</f>
        <v>-1363.1409918826714</v>
      </c>
      <c r="P1396">
        <f>-780.128823943405 -91.8263724828778 -207.473437231294</f>
        <v>-1079.4286336575767</v>
      </c>
      <c r="Q1396">
        <f>-603.001153467126 -34.4794062337819 -360.404746401864</f>
        <v>-997.88530610277189</v>
      </c>
      <c r="R1396" t="s">
        <v>28862</v>
      </c>
      <c r="S1396" t="s">
        <v>28863</v>
      </c>
      <c r="T1396" t="s">
        <v>28864</v>
      </c>
      <c r="U1396" t="s">
        <v>28865</v>
      </c>
      <c r="V1396" t="s">
        <v>28866</v>
      </c>
      <c r="W1396" t="s">
        <v>28867</v>
      </c>
      <c r="X1396" t="s">
        <v>28868</v>
      </c>
      <c r="Y1396" t="s">
        <v>28869</v>
      </c>
    </row>
    <row r="1397" spans="1:25" x14ac:dyDescent="0.3">
      <c r="A1397">
        <v>69800</v>
      </c>
      <c r="B1397" t="s">
        <v>28870</v>
      </c>
      <c r="C1397" t="s">
        <v>28871</v>
      </c>
      <c r="D1397" t="s">
        <v>28872</v>
      </c>
      <c r="E1397" t="s">
        <v>28873</v>
      </c>
      <c r="F1397" t="s">
        <v>28874</v>
      </c>
      <c r="G1397" t="s">
        <v>28875</v>
      </c>
      <c r="H1397" t="s">
        <v>28876</v>
      </c>
      <c r="I1397" t="s">
        <v>28877</v>
      </c>
      <c r="J1397" t="s">
        <v>28878</v>
      </c>
      <c r="K1397" t="s">
        <v>28879</v>
      </c>
      <c r="L1397" t="s">
        <v>28880</v>
      </c>
      <c r="M1397" t="s">
        <v>28881</v>
      </c>
      <c r="N1397" t="s">
        <v>28882</v>
      </c>
      <c r="O1397">
        <f>-807.05241192472 -58.6593234956783 -499.103739980484</f>
        <v>-1364.8154754008824</v>
      </c>
      <c r="P1397">
        <f>-780.784400829775 -92.8168312567655 -208.011842582747</f>
        <v>-1081.6130746692875</v>
      </c>
      <c r="Q1397">
        <f>-602.487313914391 -35.0612724824027 -359.422739000673</f>
        <v>-996.97132539746679</v>
      </c>
      <c r="R1397" t="s">
        <v>28883</v>
      </c>
      <c r="S1397" t="s">
        <v>28884</v>
      </c>
      <c r="T1397" t="s">
        <v>28885</v>
      </c>
      <c r="U1397" t="s">
        <v>28886</v>
      </c>
      <c r="V1397" t="s">
        <v>28887</v>
      </c>
      <c r="W1397" t="s">
        <v>28888</v>
      </c>
      <c r="X1397" t="s">
        <v>28889</v>
      </c>
      <c r="Y1397" t="s">
        <v>28890</v>
      </c>
    </row>
    <row r="1398" spans="1:25" x14ac:dyDescent="0.3">
      <c r="A1398">
        <v>69850</v>
      </c>
      <c r="B1398" t="s">
        <v>28891</v>
      </c>
      <c r="C1398" t="s">
        <v>28892</v>
      </c>
      <c r="D1398" t="s">
        <v>28893</v>
      </c>
      <c r="E1398" t="s">
        <v>28894</v>
      </c>
      <c r="F1398" t="s">
        <v>28895</v>
      </c>
      <c r="G1398" t="s">
        <v>28896</v>
      </c>
      <c r="H1398" t="s">
        <v>28897</v>
      </c>
      <c r="I1398" t="s">
        <v>28898</v>
      </c>
      <c r="J1398" t="s">
        <v>28899</v>
      </c>
      <c r="K1398" t="s">
        <v>28900</v>
      </c>
      <c r="L1398" t="s">
        <v>28901</v>
      </c>
      <c r="M1398" t="s">
        <v>28902</v>
      </c>
      <c r="N1398" t="s">
        <v>28903</v>
      </c>
      <c r="O1398">
        <f>-807.655316768373 -58.6590237179989 -499.323865917835</f>
        <v>-1365.638206404207</v>
      </c>
      <c r="P1398">
        <f>-781.173280040052 -93.2517158588128 -208.30274289705</f>
        <v>-1082.7277387959148</v>
      </c>
      <c r="Q1398">
        <f>-602.327830567254 -35.086991719138 -358.908291773998</f>
        <v>-996.32311406039003</v>
      </c>
      <c r="R1398" t="s">
        <v>28904</v>
      </c>
      <c r="S1398" t="s">
        <v>28905</v>
      </c>
      <c r="T1398" t="s">
        <v>28906</v>
      </c>
      <c r="U1398" t="s">
        <v>28907</v>
      </c>
      <c r="V1398" t="s">
        <v>28908</v>
      </c>
      <c r="W1398" t="s">
        <v>28909</v>
      </c>
      <c r="X1398" t="s">
        <v>28910</v>
      </c>
      <c r="Y1398" t="s">
        <v>28911</v>
      </c>
    </row>
    <row r="1399" spans="1:25" x14ac:dyDescent="0.3">
      <c r="A1399">
        <v>69900</v>
      </c>
      <c r="B1399" t="s">
        <v>28912</v>
      </c>
      <c r="C1399" t="s">
        <v>28913</v>
      </c>
      <c r="D1399" t="s">
        <v>28914</v>
      </c>
      <c r="E1399" t="s">
        <v>28915</v>
      </c>
      <c r="F1399" t="s">
        <v>28916</v>
      </c>
      <c r="G1399" t="s">
        <v>28917</v>
      </c>
      <c r="H1399" t="s">
        <v>28918</v>
      </c>
      <c r="I1399" t="s">
        <v>28919</v>
      </c>
      <c r="J1399" t="s">
        <v>28920</v>
      </c>
      <c r="K1399" t="s">
        <v>28921</v>
      </c>
      <c r="L1399" t="s">
        <v>28922</v>
      </c>
      <c r="M1399" t="s">
        <v>28923</v>
      </c>
      <c r="N1399" t="s">
        <v>28924</v>
      </c>
      <c r="O1399">
        <f>-809.146856312473 -58.8409257293479 -499.694941258882</f>
        <v>-1367.6827233007029</v>
      </c>
      <c r="P1399">
        <f>-782.172484470543 -93.7118325998451 -208.752284717175</f>
        <v>-1084.6366017875632</v>
      </c>
      <c r="Q1399">
        <f>-602.121859881514 -34.7801957780048 -357.613685166057</f>
        <v>-994.51574082557568</v>
      </c>
      <c r="R1399" t="s">
        <v>28925</v>
      </c>
      <c r="S1399" t="s">
        <v>28926</v>
      </c>
      <c r="T1399" t="s">
        <v>28927</v>
      </c>
      <c r="U1399" t="s">
        <v>28928</v>
      </c>
      <c r="V1399" t="s">
        <v>28929</v>
      </c>
      <c r="W1399" t="s">
        <v>28930</v>
      </c>
      <c r="X1399" t="s">
        <v>28931</v>
      </c>
      <c r="Y1399" t="s">
        <v>28932</v>
      </c>
    </row>
    <row r="1400" spans="1:25" x14ac:dyDescent="0.3">
      <c r="A1400">
        <v>69950</v>
      </c>
      <c r="B1400" t="s">
        <v>28933</v>
      </c>
      <c r="C1400" t="s">
        <v>28934</v>
      </c>
      <c r="D1400" t="s">
        <v>28935</v>
      </c>
      <c r="E1400" t="s">
        <v>28936</v>
      </c>
      <c r="F1400" t="s">
        <v>28937</v>
      </c>
      <c r="G1400" t="s">
        <v>28938</v>
      </c>
      <c r="H1400" t="s">
        <v>28939</v>
      </c>
      <c r="I1400" t="s">
        <v>28940</v>
      </c>
      <c r="J1400" t="s">
        <v>28941</v>
      </c>
      <c r="K1400" t="s">
        <v>28942</v>
      </c>
      <c r="L1400" t="s">
        <v>28943</v>
      </c>
      <c r="M1400" t="s">
        <v>28944</v>
      </c>
      <c r="N1400" t="s">
        <v>28945</v>
      </c>
      <c r="O1400">
        <f>-810.053069772615 -58.9204798744627 -499.817970069642</f>
        <v>-1368.7915197167197</v>
      </c>
      <c r="P1400">
        <f>-783.016441565914 -93.7929136995315 -208.881117077967</f>
        <v>-1085.6904723434125</v>
      </c>
      <c r="Q1400">
        <f>-602.373989025018 -34.5448821502673 -356.897570430118</f>
        <v>-993.81644160540327</v>
      </c>
      <c r="R1400" t="s">
        <v>28946</v>
      </c>
      <c r="S1400" t="s">
        <v>28947</v>
      </c>
      <c r="T1400" t="s">
        <v>28948</v>
      </c>
      <c r="U1400" t="s">
        <v>28949</v>
      </c>
      <c r="V1400" t="s">
        <v>28950</v>
      </c>
      <c r="W1400" t="s">
        <v>28951</v>
      </c>
      <c r="X1400" t="s">
        <v>28952</v>
      </c>
      <c r="Y1400" t="s">
        <v>28953</v>
      </c>
    </row>
    <row r="1401" spans="1:25" x14ac:dyDescent="0.3">
      <c r="A1401">
        <v>70000</v>
      </c>
      <c r="B1401" t="s">
        <v>28954</v>
      </c>
      <c r="C1401" t="s">
        <v>28955</v>
      </c>
      <c r="D1401" t="s">
        <v>28956</v>
      </c>
      <c r="E1401" t="s">
        <v>28957</v>
      </c>
      <c r="F1401" t="s">
        <v>28958</v>
      </c>
      <c r="G1401" t="s">
        <v>28959</v>
      </c>
      <c r="H1401" t="s">
        <v>28960</v>
      </c>
      <c r="I1401" t="s">
        <v>28961</v>
      </c>
      <c r="J1401" t="s">
        <v>28962</v>
      </c>
      <c r="K1401" t="s">
        <v>28963</v>
      </c>
      <c r="L1401" t="s">
        <v>28964</v>
      </c>
      <c r="M1401" t="s">
        <v>28965</v>
      </c>
      <c r="N1401" t="s">
        <v>28966</v>
      </c>
      <c r="O1401">
        <f>-811.871740405546 -59.5081846049995 -499.877894392322</f>
        <v>-1371.2578194028674</v>
      </c>
      <c r="P1401">
        <f>-785.956423760225 -94.0211170999487 -208.796519014716</f>
        <v>-1088.7740598748896</v>
      </c>
      <c r="Q1401">
        <f>-604.46543290251 -36.6545879333169 -356.515674111471</f>
        <v>-997.63569494729791</v>
      </c>
      <c r="R1401" t="s">
        <v>28967</v>
      </c>
      <c r="S1401" t="s">
        <v>28968</v>
      </c>
      <c r="T1401" t="s">
        <v>28969</v>
      </c>
      <c r="U1401" t="s">
        <v>28970</v>
      </c>
      <c r="V1401" t="s">
        <v>28971</v>
      </c>
      <c r="W1401" t="s">
        <v>28972</v>
      </c>
      <c r="X1401" t="s">
        <v>28973</v>
      </c>
      <c r="Y1401" t="s">
        <v>28974</v>
      </c>
    </row>
    <row r="1402" spans="1:25" x14ac:dyDescent="0.3">
      <c r="A1402">
        <v>70050</v>
      </c>
      <c r="B1402" t="s">
        <v>28975</v>
      </c>
      <c r="C1402" t="s">
        <v>28976</v>
      </c>
      <c r="D1402" t="s">
        <v>28977</v>
      </c>
      <c r="E1402" t="s">
        <v>28978</v>
      </c>
      <c r="F1402" t="s">
        <v>28979</v>
      </c>
      <c r="G1402" t="s">
        <v>28980</v>
      </c>
      <c r="H1402" t="s">
        <v>28981</v>
      </c>
      <c r="I1402" t="s">
        <v>28982</v>
      </c>
      <c r="J1402" t="s">
        <v>28983</v>
      </c>
      <c r="K1402" t="s">
        <v>28984</v>
      </c>
      <c r="L1402" t="s">
        <v>28985</v>
      </c>
      <c r="M1402" t="s">
        <v>28986</v>
      </c>
      <c r="N1402" t="s">
        <v>28987</v>
      </c>
      <c r="O1402">
        <f>-812.892980570487 -59.775334468465 -499.852793376616</f>
        <v>-1372.5211084155681</v>
      </c>
      <c r="P1402">
        <f>-787.658492673398 -93.6988183529318 -208.642158179127</f>
        <v>-1089.9994692054568</v>
      </c>
      <c r="Q1402">
        <f>-605.442939610778 -38.7143193039562 -356.375398233317</f>
        <v>-1000.5326571480513</v>
      </c>
      <c r="R1402" t="s">
        <v>28988</v>
      </c>
      <c r="S1402" t="s">
        <v>28989</v>
      </c>
      <c r="T1402" t="s">
        <v>28990</v>
      </c>
      <c r="U1402" t="s">
        <v>28991</v>
      </c>
      <c r="V1402" t="s">
        <v>28992</v>
      </c>
      <c r="W1402" t="s">
        <v>28993</v>
      </c>
      <c r="X1402" t="s">
        <v>28994</v>
      </c>
      <c r="Y1402" t="s">
        <v>28995</v>
      </c>
    </row>
    <row r="1403" spans="1:25" x14ac:dyDescent="0.3">
      <c r="A1403">
        <v>70100</v>
      </c>
      <c r="B1403" t="s">
        <v>28996</v>
      </c>
      <c r="C1403" t="s">
        <v>28997</v>
      </c>
      <c r="D1403" t="s">
        <v>28998</v>
      </c>
      <c r="E1403" t="s">
        <v>28999</v>
      </c>
      <c r="F1403" t="s">
        <v>29000</v>
      </c>
      <c r="G1403" t="s">
        <v>29001</v>
      </c>
      <c r="H1403" t="s">
        <v>29002</v>
      </c>
      <c r="I1403" t="s">
        <v>29003</v>
      </c>
      <c r="J1403" t="s">
        <v>29004</v>
      </c>
      <c r="K1403" t="s">
        <v>29005</v>
      </c>
      <c r="L1403" t="s">
        <v>29006</v>
      </c>
      <c r="M1403" t="s">
        <v>29007</v>
      </c>
      <c r="N1403" t="s">
        <v>29008</v>
      </c>
      <c r="O1403">
        <f>-815.088501071924 -60.4770104328295 -499.768232763223</f>
        <v>-1375.3337442679765</v>
      </c>
      <c r="P1403">
        <f>-790.778685503028 -93.5086745939368 -208.376615792748</f>
        <v>-1092.6639758897127</v>
      </c>
      <c r="Q1403">
        <f>-606.602704358562 -42.4657777754301 -355.08977948852</f>
        <v>-1004.1582616225121</v>
      </c>
      <c r="R1403" t="s">
        <v>29009</v>
      </c>
      <c r="S1403" t="s">
        <v>29010</v>
      </c>
      <c r="T1403" t="s">
        <v>29011</v>
      </c>
      <c r="U1403" t="s">
        <v>29012</v>
      </c>
      <c r="V1403" t="s">
        <v>29013</v>
      </c>
      <c r="W1403" t="s">
        <v>29014</v>
      </c>
      <c r="X1403" t="s">
        <v>29015</v>
      </c>
      <c r="Y1403" t="s">
        <v>29016</v>
      </c>
    </row>
    <row r="1404" spans="1:25" x14ac:dyDescent="0.3">
      <c r="A1404">
        <v>70150</v>
      </c>
      <c r="B1404" t="s">
        <v>29017</v>
      </c>
      <c r="C1404" t="s">
        <v>29018</v>
      </c>
      <c r="D1404" t="s">
        <v>29019</v>
      </c>
      <c r="E1404" t="s">
        <v>29020</v>
      </c>
      <c r="F1404" t="s">
        <v>29021</v>
      </c>
      <c r="G1404" t="s">
        <v>29022</v>
      </c>
      <c r="H1404" t="s">
        <v>29023</v>
      </c>
      <c r="I1404" t="s">
        <v>29024</v>
      </c>
      <c r="J1404" t="s">
        <v>29025</v>
      </c>
      <c r="K1404" t="s">
        <v>29026</v>
      </c>
      <c r="L1404" t="s">
        <v>29027</v>
      </c>
      <c r="M1404" t="s">
        <v>29028</v>
      </c>
      <c r="N1404" t="s">
        <v>29029</v>
      </c>
      <c r="O1404">
        <f>-816.156622257808 -61.095469982391 -499.715078915511</f>
        <v>-1376.96717115571</v>
      </c>
      <c r="P1404">
        <f>-791.697148767313 -93.7179916869929 -208.289684787995</f>
        <v>-1093.704825242301</v>
      </c>
      <c r="Q1404">
        <f>-606.538744984536 -43.8705574264407 -354.175083927636</f>
        <v>-1004.5843863386127</v>
      </c>
      <c r="R1404" t="s">
        <v>29030</v>
      </c>
      <c r="S1404" t="s">
        <v>29031</v>
      </c>
      <c r="T1404" t="s">
        <v>29032</v>
      </c>
      <c r="U1404" t="s">
        <v>29033</v>
      </c>
      <c r="V1404" t="s">
        <v>29034</v>
      </c>
      <c r="W1404" t="s">
        <v>29035</v>
      </c>
      <c r="X1404" t="s">
        <v>29036</v>
      </c>
      <c r="Y1404" t="s">
        <v>29037</v>
      </c>
    </row>
    <row r="1405" spans="1:25" x14ac:dyDescent="0.3">
      <c r="A1405">
        <v>70200</v>
      </c>
      <c r="B1405" t="s">
        <v>29038</v>
      </c>
      <c r="C1405" t="s">
        <v>29039</v>
      </c>
      <c r="D1405" t="s">
        <v>29040</v>
      </c>
      <c r="E1405" t="s">
        <v>29041</v>
      </c>
      <c r="F1405" t="s">
        <v>29042</v>
      </c>
      <c r="G1405" t="s">
        <v>29043</v>
      </c>
      <c r="H1405" t="s">
        <v>29044</v>
      </c>
      <c r="I1405" t="s">
        <v>29045</v>
      </c>
      <c r="J1405" t="s">
        <v>29046</v>
      </c>
      <c r="K1405" t="s">
        <v>29047</v>
      </c>
      <c r="L1405" t="s">
        <v>29048</v>
      </c>
      <c r="M1405" t="s">
        <v>29049</v>
      </c>
      <c r="N1405" t="s">
        <v>29050</v>
      </c>
      <c r="O1405">
        <f>-818.355624718376 -62.8731217475895 -499.609016939191</f>
        <v>-1380.8377634051565</v>
      </c>
      <c r="P1405">
        <f>-793.108841919479 -94.5114354637892 -208.142302354681</f>
        <v>-1095.7625797379492</v>
      </c>
      <c r="Q1405">
        <f>-605.793086720735 -46.8715617092857 -351.996671989701</f>
        <v>-1004.6613204197217</v>
      </c>
      <c r="R1405" t="s">
        <v>29051</v>
      </c>
      <c r="S1405" t="s">
        <v>29052</v>
      </c>
      <c r="T1405" t="s">
        <v>29053</v>
      </c>
      <c r="U1405" t="s">
        <v>29054</v>
      </c>
      <c r="V1405" t="s">
        <v>29055</v>
      </c>
      <c r="W1405" t="s">
        <v>29056</v>
      </c>
      <c r="X1405" t="s">
        <v>29057</v>
      </c>
      <c r="Y1405" t="s">
        <v>29058</v>
      </c>
    </row>
    <row r="1406" spans="1:25" x14ac:dyDescent="0.3">
      <c r="A1406">
        <v>70250</v>
      </c>
      <c r="B1406" t="s">
        <v>29059</v>
      </c>
      <c r="C1406" t="s">
        <v>29060</v>
      </c>
      <c r="D1406" t="s">
        <v>29061</v>
      </c>
      <c r="E1406" t="s">
        <v>29062</v>
      </c>
      <c r="F1406" t="s">
        <v>29063</v>
      </c>
      <c r="G1406" t="s">
        <v>29064</v>
      </c>
      <c r="H1406" t="s">
        <v>29065</v>
      </c>
      <c r="I1406" t="s">
        <v>29066</v>
      </c>
      <c r="J1406" t="s">
        <v>29067</v>
      </c>
      <c r="K1406" t="s">
        <v>29068</v>
      </c>
      <c r="L1406" t="s">
        <v>29069</v>
      </c>
      <c r="M1406" t="s">
        <v>29070</v>
      </c>
      <c r="N1406" t="s">
        <v>29071</v>
      </c>
      <c r="O1406">
        <f>-819.203774641638 -63.8127900123984 -499.51392206314</f>
        <v>-1382.5304867171765</v>
      </c>
      <c r="P1406">
        <f>-793.521104539381 -94.9094994583736 -208.027032113492</f>
        <v>-1096.4576361112465</v>
      </c>
      <c r="Q1406">
        <f>-605.289144646334 -48.5942877163714 -351.116102054289</f>
        <v>-1004.9995344169943</v>
      </c>
      <c r="R1406" t="s">
        <v>29072</v>
      </c>
      <c r="S1406" t="s">
        <v>29073</v>
      </c>
      <c r="T1406" t="s">
        <v>29074</v>
      </c>
      <c r="U1406" t="s">
        <v>29075</v>
      </c>
      <c r="V1406" t="s">
        <v>29076</v>
      </c>
      <c r="W1406" t="s">
        <v>29077</v>
      </c>
      <c r="X1406" t="s">
        <v>29078</v>
      </c>
      <c r="Y1406" t="s">
        <v>29079</v>
      </c>
    </row>
    <row r="1407" spans="1:25" x14ac:dyDescent="0.3">
      <c r="A1407">
        <v>70300</v>
      </c>
      <c r="B1407" t="s">
        <v>29080</v>
      </c>
      <c r="C1407" t="s">
        <v>29081</v>
      </c>
      <c r="D1407" t="s">
        <v>29082</v>
      </c>
      <c r="E1407" t="s">
        <v>29083</v>
      </c>
      <c r="F1407" t="s">
        <v>29084</v>
      </c>
      <c r="G1407" t="s">
        <v>29085</v>
      </c>
      <c r="H1407" t="s">
        <v>29086</v>
      </c>
      <c r="I1407" t="s">
        <v>29087</v>
      </c>
      <c r="J1407" t="s">
        <v>29088</v>
      </c>
      <c r="K1407" t="s">
        <v>29089</v>
      </c>
      <c r="L1407" t="s">
        <v>29090</v>
      </c>
      <c r="M1407" t="s">
        <v>29091</v>
      </c>
      <c r="N1407" t="s">
        <v>29092</v>
      </c>
      <c r="O1407">
        <f>-819.877143131822 -65.3756345137872 -499.236712856682</f>
        <v>-1384.4894905022911</v>
      </c>
      <c r="P1407">
        <f>-793.930133044566 -94.8722319300102 -207.607030529983</f>
        <v>-1096.4093955045591</v>
      </c>
      <c r="Q1407">
        <f>-604.992699930457 -51.2956093712144 -350.626650055637</f>
        <v>-1006.9149593573084</v>
      </c>
      <c r="R1407" t="s">
        <v>29093</v>
      </c>
      <c r="S1407" t="s">
        <v>29094</v>
      </c>
      <c r="T1407" t="s">
        <v>29095</v>
      </c>
      <c r="U1407" t="s">
        <v>29096</v>
      </c>
      <c r="V1407" t="s">
        <v>29097</v>
      </c>
      <c r="W1407" t="s">
        <v>29098</v>
      </c>
      <c r="X1407" t="s">
        <v>29099</v>
      </c>
      <c r="Y1407" t="s">
        <v>29100</v>
      </c>
    </row>
    <row r="1408" spans="1:25" x14ac:dyDescent="0.3">
      <c r="A1408">
        <v>70350</v>
      </c>
      <c r="B1408" t="s">
        <v>29101</v>
      </c>
      <c r="C1408" t="s">
        <v>29102</v>
      </c>
      <c r="D1408" t="s">
        <v>29103</v>
      </c>
      <c r="E1408" t="s">
        <v>29104</v>
      </c>
      <c r="F1408" t="s">
        <v>29105</v>
      </c>
      <c r="G1408" t="s">
        <v>29106</v>
      </c>
      <c r="H1408" t="s">
        <v>29107</v>
      </c>
      <c r="I1408" t="s">
        <v>29108</v>
      </c>
      <c r="J1408" t="s">
        <v>29109</v>
      </c>
      <c r="K1408" t="s">
        <v>29110</v>
      </c>
      <c r="L1408" t="s">
        <v>29111</v>
      </c>
      <c r="M1408" t="s">
        <v>29112</v>
      </c>
      <c r="N1408" t="s">
        <v>29113</v>
      </c>
      <c r="O1408">
        <f>-820.054464462115 -66.2492810797035 -499.044122426075</f>
        <v>-1385.3478679678933</v>
      </c>
      <c r="P1408">
        <f>-793.852519411124 -94.9076864013671 -207.353518398629</f>
        <v>-1096.1137242111201</v>
      </c>
      <c r="Q1408">
        <f>-604.953659170095 -52.6822860447569 -350.828505865157</f>
        <v>-1008.4644510800089</v>
      </c>
      <c r="R1408" t="s">
        <v>29114</v>
      </c>
      <c r="S1408" t="s">
        <v>29115</v>
      </c>
      <c r="T1408" t="s">
        <v>29116</v>
      </c>
      <c r="U1408" t="s">
        <v>29117</v>
      </c>
      <c r="V1408" t="s">
        <v>29118</v>
      </c>
      <c r="W1408" t="s">
        <v>29119</v>
      </c>
      <c r="X1408" t="s">
        <v>29120</v>
      </c>
      <c r="Y1408" t="s">
        <v>29121</v>
      </c>
    </row>
    <row r="1409" spans="1:25" x14ac:dyDescent="0.3">
      <c r="A1409">
        <v>70400</v>
      </c>
      <c r="B1409" t="s">
        <v>29122</v>
      </c>
      <c r="C1409" t="s">
        <v>29123</v>
      </c>
      <c r="D1409" t="s">
        <v>29124</v>
      </c>
      <c r="E1409" t="s">
        <v>29125</v>
      </c>
      <c r="F1409" t="s">
        <v>29126</v>
      </c>
      <c r="G1409" t="s">
        <v>29127</v>
      </c>
      <c r="H1409" t="s">
        <v>29128</v>
      </c>
      <c r="I1409" t="s">
        <v>29129</v>
      </c>
      <c r="J1409" t="s">
        <v>29130</v>
      </c>
      <c r="K1409" t="s">
        <v>29131</v>
      </c>
      <c r="L1409" t="s">
        <v>29132</v>
      </c>
      <c r="M1409" t="s">
        <v>29133</v>
      </c>
      <c r="N1409" t="s">
        <v>29134</v>
      </c>
      <c r="O1409">
        <f>-819.956447484939 -67.8576724877664 -498.692444706664</f>
        <v>-1386.5065646793694</v>
      </c>
      <c r="P1409">
        <f>-792.795316176212 -95.0835480474323 -206.952423413688</f>
        <v>-1094.8312876373323</v>
      </c>
      <c r="Q1409">
        <f>-604.352664959947 -56.3338035649572 -351.999770176153</f>
        <v>-1012.6862387010572</v>
      </c>
      <c r="R1409" t="s">
        <v>29135</v>
      </c>
      <c r="S1409" t="s">
        <v>29136</v>
      </c>
      <c r="T1409" t="s">
        <v>29137</v>
      </c>
      <c r="U1409" t="s">
        <v>29138</v>
      </c>
      <c r="V1409" t="s">
        <v>29139</v>
      </c>
      <c r="W1409" t="s">
        <v>29140</v>
      </c>
      <c r="X1409" t="s">
        <v>29141</v>
      </c>
      <c r="Y1409" t="s">
        <v>29142</v>
      </c>
    </row>
    <row r="1410" spans="1:25" x14ac:dyDescent="0.3">
      <c r="A1410">
        <v>70450</v>
      </c>
      <c r="B1410" t="s">
        <v>29143</v>
      </c>
      <c r="C1410" t="s">
        <v>29144</v>
      </c>
      <c r="D1410" t="s">
        <v>29145</v>
      </c>
      <c r="E1410" t="s">
        <v>29146</v>
      </c>
      <c r="F1410" t="s">
        <v>29147</v>
      </c>
      <c r="G1410" t="s">
        <v>29148</v>
      </c>
      <c r="H1410" t="s">
        <v>29149</v>
      </c>
      <c r="I1410" t="s">
        <v>29150</v>
      </c>
      <c r="J1410" t="s">
        <v>29151</v>
      </c>
      <c r="K1410" t="s">
        <v>29152</v>
      </c>
      <c r="L1410" t="s">
        <v>29153</v>
      </c>
      <c r="M1410" t="s">
        <v>29154</v>
      </c>
      <c r="N1410" t="s">
        <v>29155</v>
      </c>
      <c r="O1410">
        <f>-819.767946417241 -68.6156829414774 -498.64130654285</f>
        <v>-1387.0249359015684</v>
      </c>
      <c r="P1410">
        <f>-791.8104929854 -95.4020077452142 -206.935931323049</f>
        <v>-1094.1484320536631</v>
      </c>
      <c r="Q1410">
        <f>-603.737739900747 -58.3654672180335 -352.908178375985</f>
        <v>-1015.0113854947655</v>
      </c>
      <c r="R1410" t="s">
        <v>29156</v>
      </c>
      <c r="S1410" t="s">
        <v>29157</v>
      </c>
      <c r="T1410" t="s">
        <v>29158</v>
      </c>
      <c r="U1410" t="s">
        <v>29159</v>
      </c>
      <c r="V1410" t="s">
        <v>29160</v>
      </c>
      <c r="W1410" t="s">
        <v>29161</v>
      </c>
      <c r="X1410" t="s">
        <v>29162</v>
      </c>
      <c r="Y1410" t="s">
        <v>29163</v>
      </c>
    </row>
    <row r="1411" spans="1:25" x14ac:dyDescent="0.3">
      <c r="A1411">
        <v>70500</v>
      </c>
      <c r="B1411" t="s">
        <v>29164</v>
      </c>
      <c r="C1411" t="s">
        <v>29165</v>
      </c>
      <c r="D1411" t="s">
        <v>29166</v>
      </c>
      <c r="E1411" t="s">
        <v>29167</v>
      </c>
      <c r="F1411" t="s">
        <v>29168</v>
      </c>
      <c r="G1411" t="s">
        <v>29169</v>
      </c>
      <c r="H1411" t="s">
        <v>29170</v>
      </c>
      <c r="I1411" t="s">
        <v>29171</v>
      </c>
      <c r="J1411" t="s">
        <v>29172</v>
      </c>
      <c r="K1411" t="s">
        <v>29173</v>
      </c>
      <c r="L1411" t="s">
        <v>29174</v>
      </c>
      <c r="M1411" t="s">
        <v>29175</v>
      </c>
      <c r="N1411" t="s">
        <v>29176</v>
      </c>
      <c r="O1411">
        <f>-819.199079928644 -69.8300709291145 -498.893372483015</f>
        <v>-1387.9225233407735</v>
      </c>
      <c r="P1411">
        <f>-789.649343148732 -96.0970687551903 -207.297610735368</f>
        <v>-1093.0440226392902</v>
      </c>
      <c r="Q1411">
        <f>-601.724200600145 -62.6144254843493 -354.314348404053</f>
        <v>-1018.6529744885473</v>
      </c>
      <c r="R1411" t="s">
        <v>29177</v>
      </c>
      <c r="S1411" t="s">
        <v>29178</v>
      </c>
      <c r="T1411" t="s">
        <v>29179</v>
      </c>
      <c r="U1411" t="s">
        <v>29180</v>
      </c>
      <c r="V1411" t="s">
        <v>29181</v>
      </c>
      <c r="W1411" t="s">
        <v>29182</v>
      </c>
      <c r="X1411" t="s">
        <v>29183</v>
      </c>
      <c r="Y1411" t="s">
        <v>29184</v>
      </c>
    </row>
    <row r="1412" spans="1:25" x14ac:dyDescent="0.3">
      <c r="A1412">
        <v>70550</v>
      </c>
      <c r="B1412" t="s">
        <v>29185</v>
      </c>
      <c r="C1412" t="s">
        <v>29186</v>
      </c>
      <c r="D1412" t="s">
        <v>29187</v>
      </c>
      <c r="E1412" t="s">
        <v>29188</v>
      </c>
      <c r="F1412" t="s">
        <v>29189</v>
      </c>
      <c r="G1412" t="s">
        <v>29190</v>
      </c>
      <c r="H1412" t="s">
        <v>29191</v>
      </c>
      <c r="I1412" t="s">
        <v>29192</v>
      </c>
      <c r="J1412" t="s">
        <v>29193</v>
      </c>
      <c r="K1412" t="s">
        <v>29194</v>
      </c>
      <c r="L1412" t="s">
        <v>29195</v>
      </c>
      <c r="M1412" t="s">
        <v>29196</v>
      </c>
      <c r="N1412" t="s">
        <v>29197</v>
      </c>
      <c r="O1412">
        <f>-818.919009672389 -70.4824890806804 -499.052665155509</f>
        <v>-1388.4541639085783</v>
      </c>
      <c r="P1412">
        <f>-788.617842895052 -96.6579028472706 -207.525837965599</f>
        <v>-1092.8015837079217</v>
      </c>
      <c r="Q1412">
        <f>-600.474819837364 -64.7576379156255 -354.615902285472</f>
        <v>-1019.8483600384615</v>
      </c>
      <c r="R1412" t="s">
        <v>29198</v>
      </c>
      <c r="S1412" t="s">
        <v>29199</v>
      </c>
      <c r="T1412" t="s">
        <v>29200</v>
      </c>
      <c r="U1412" t="s">
        <v>29201</v>
      </c>
      <c r="V1412" t="s">
        <v>29202</v>
      </c>
      <c r="W1412" t="s">
        <v>29203</v>
      </c>
      <c r="X1412" t="s">
        <v>29204</v>
      </c>
      <c r="Y1412" t="s">
        <v>29205</v>
      </c>
    </row>
    <row r="1413" spans="1:25" x14ac:dyDescent="0.3">
      <c r="A1413">
        <v>70600</v>
      </c>
      <c r="B1413" t="s">
        <v>29206</v>
      </c>
      <c r="C1413" t="s">
        <v>29207</v>
      </c>
      <c r="D1413" t="s">
        <v>29208</v>
      </c>
      <c r="E1413" t="s">
        <v>29209</v>
      </c>
      <c r="F1413" t="s">
        <v>29210</v>
      </c>
      <c r="G1413" t="s">
        <v>29211</v>
      </c>
      <c r="H1413" t="s">
        <v>29212</v>
      </c>
      <c r="I1413" t="s">
        <v>29213</v>
      </c>
      <c r="J1413" t="s">
        <v>29214</v>
      </c>
      <c r="K1413" t="s">
        <v>29215</v>
      </c>
      <c r="L1413" t="s">
        <v>29216</v>
      </c>
      <c r="M1413" t="s">
        <v>29217</v>
      </c>
      <c r="N1413" t="s">
        <v>29218</v>
      </c>
      <c r="O1413">
        <f>-817.93368436267 -72.3532249069754 -499.024565077431</f>
        <v>-1389.3114743470765</v>
      </c>
      <c r="P1413">
        <f>-786.899735920622 -98.2456328868409 -207.549434330969</f>
        <v>-1092.6948031384318</v>
      </c>
      <c r="Q1413">
        <f>-598.300339496544 -68.5042902218379 -354.507317930246</f>
        <v>-1021.3119476486279</v>
      </c>
      <c r="R1413" t="s">
        <v>29219</v>
      </c>
      <c r="S1413" t="s">
        <v>29220</v>
      </c>
      <c r="T1413" t="s">
        <v>29221</v>
      </c>
      <c r="U1413" t="s">
        <v>29222</v>
      </c>
      <c r="V1413" t="s">
        <v>29223</v>
      </c>
      <c r="W1413" t="s">
        <v>29224</v>
      </c>
      <c r="X1413" t="s">
        <v>29225</v>
      </c>
      <c r="Y1413" t="s">
        <v>29226</v>
      </c>
    </row>
    <row r="1414" spans="1:25" x14ac:dyDescent="0.3">
      <c r="A1414">
        <v>70650</v>
      </c>
      <c r="B1414" t="s">
        <v>29227</v>
      </c>
      <c r="C1414" t="s">
        <v>29228</v>
      </c>
      <c r="D1414" t="s">
        <v>29229</v>
      </c>
      <c r="E1414" t="s">
        <v>29230</v>
      </c>
      <c r="F1414" t="s">
        <v>29231</v>
      </c>
      <c r="G1414" t="s">
        <v>29232</v>
      </c>
      <c r="H1414" t="s">
        <v>29233</v>
      </c>
      <c r="I1414" t="s">
        <v>29234</v>
      </c>
      <c r="J1414" t="s">
        <v>29235</v>
      </c>
      <c r="K1414" t="s">
        <v>29236</v>
      </c>
      <c r="L1414" t="s">
        <v>29237</v>
      </c>
      <c r="M1414" t="s">
        <v>29238</v>
      </c>
      <c r="N1414" t="s">
        <v>29239</v>
      </c>
      <c r="O1414">
        <f>-817.597304105237 -73.0870826561102 -498.885837394133</f>
        <v>-1389.57022415548</v>
      </c>
      <c r="P1414">
        <f>-786.653336941064 -98.6080411483495 -207.368613184242</f>
        <v>-1092.6299912736554</v>
      </c>
      <c r="Q1414">
        <f>-597.793569257975 -69.7685715703592 -354.171847945882</f>
        <v>-1021.7339887742162</v>
      </c>
      <c r="R1414" t="s">
        <v>29240</v>
      </c>
      <c r="S1414" t="s">
        <v>29241</v>
      </c>
      <c r="T1414" t="s">
        <v>29242</v>
      </c>
      <c r="U1414" t="s">
        <v>29243</v>
      </c>
      <c r="V1414" t="s">
        <v>29244</v>
      </c>
      <c r="W1414" t="s">
        <v>29245</v>
      </c>
      <c r="X1414" t="s">
        <v>29246</v>
      </c>
      <c r="Y1414" t="s">
        <v>29247</v>
      </c>
    </row>
    <row r="1415" spans="1:25" x14ac:dyDescent="0.3">
      <c r="A1415">
        <v>70700</v>
      </c>
      <c r="B1415" t="s">
        <v>29248</v>
      </c>
      <c r="C1415" t="s">
        <v>29249</v>
      </c>
      <c r="D1415" t="s">
        <v>29250</v>
      </c>
      <c r="E1415" t="s">
        <v>29251</v>
      </c>
      <c r="F1415" t="s">
        <v>29252</v>
      </c>
      <c r="G1415" t="s">
        <v>29253</v>
      </c>
      <c r="H1415" t="s">
        <v>29254</v>
      </c>
      <c r="I1415" t="s">
        <v>29255</v>
      </c>
      <c r="J1415" t="s">
        <v>29256</v>
      </c>
      <c r="K1415" t="s">
        <v>29257</v>
      </c>
      <c r="L1415" t="s">
        <v>29258</v>
      </c>
      <c r="M1415" t="s">
        <v>29259</v>
      </c>
      <c r="N1415" t="s">
        <v>29260</v>
      </c>
      <c r="O1415">
        <f>-817.13625014136 -73.872945924275 -498.656483600701</f>
        <v>-1389.665679666336</v>
      </c>
      <c r="P1415">
        <f>-786.681165598314 -98.3649206078503 -206.999457181684</f>
        <v>-1092.0455433878483</v>
      </c>
      <c r="Q1415">
        <f>-597.084898862591 -70.9487740448872 -353.124127841437</f>
        <v>-1021.1578007489152</v>
      </c>
      <c r="R1415" t="s">
        <v>29261</v>
      </c>
      <c r="S1415" t="s">
        <v>29262</v>
      </c>
      <c r="T1415" t="s">
        <v>29263</v>
      </c>
      <c r="U1415" t="s">
        <v>29264</v>
      </c>
      <c r="V1415" t="s">
        <v>29265</v>
      </c>
      <c r="W1415" t="s">
        <v>29266</v>
      </c>
      <c r="X1415" t="s">
        <v>29267</v>
      </c>
      <c r="Y1415" t="s">
        <v>29268</v>
      </c>
    </row>
    <row r="1416" spans="1:25" x14ac:dyDescent="0.3">
      <c r="A1416">
        <v>70750</v>
      </c>
      <c r="B1416" t="s">
        <v>29269</v>
      </c>
      <c r="C1416" t="s">
        <v>29270</v>
      </c>
      <c r="D1416" t="s">
        <v>29271</v>
      </c>
      <c r="E1416" t="s">
        <v>29272</v>
      </c>
      <c r="F1416" t="s">
        <v>29273</v>
      </c>
      <c r="G1416" t="s">
        <v>29274</v>
      </c>
      <c r="H1416" t="s">
        <v>29275</v>
      </c>
      <c r="I1416" t="s">
        <v>29276</v>
      </c>
      <c r="J1416" t="s">
        <v>29277</v>
      </c>
      <c r="K1416" t="s">
        <v>29278</v>
      </c>
      <c r="L1416" t="s">
        <v>29279</v>
      </c>
      <c r="M1416" t="s">
        <v>29280</v>
      </c>
      <c r="N1416" t="s">
        <v>29281</v>
      </c>
      <c r="O1416">
        <f>-816.982717056095 -73.9947837375437 -498.573958191958</f>
        <v>-1389.5514589855966</v>
      </c>
      <c r="P1416">
        <f>-786.801987624095 -98.1594117699324 -206.860965763381</f>
        <v>-1091.8223651574083</v>
      </c>
      <c r="Q1416">
        <f>-596.787852660123 -71.0198378013049 -352.494131630877</f>
        <v>-1020.301822092305</v>
      </c>
      <c r="R1416" t="s">
        <v>29282</v>
      </c>
      <c r="S1416" t="s">
        <v>29283</v>
      </c>
      <c r="T1416" t="s">
        <v>29284</v>
      </c>
      <c r="U1416" t="s">
        <v>29285</v>
      </c>
      <c r="V1416" t="s">
        <v>29286</v>
      </c>
      <c r="W1416" t="s">
        <v>29287</v>
      </c>
      <c r="X1416" t="s">
        <v>29288</v>
      </c>
      <c r="Y1416" t="s">
        <v>29289</v>
      </c>
    </row>
    <row r="1417" spans="1:25" x14ac:dyDescent="0.3">
      <c r="A1417">
        <v>70800</v>
      </c>
      <c r="B1417" t="s">
        <v>29290</v>
      </c>
      <c r="C1417" t="s">
        <v>29291</v>
      </c>
      <c r="D1417" t="s">
        <v>29292</v>
      </c>
      <c r="E1417" t="s">
        <v>29293</v>
      </c>
      <c r="F1417" t="s">
        <v>29294</v>
      </c>
      <c r="G1417" t="s">
        <v>29295</v>
      </c>
      <c r="H1417" t="s">
        <v>29296</v>
      </c>
      <c r="I1417" t="s">
        <v>29297</v>
      </c>
      <c r="J1417" t="s">
        <v>29298</v>
      </c>
      <c r="K1417" t="s">
        <v>29299</v>
      </c>
      <c r="L1417" t="s">
        <v>29300</v>
      </c>
      <c r="M1417" t="s">
        <v>29301</v>
      </c>
      <c r="N1417" t="s">
        <v>29302</v>
      </c>
      <c r="O1417">
        <f>-816.490513280473 -73.9379381152087 -498.53634140488</f>
        <v>-1388.9647928005616</v>
      </c>
      <c r="P1417">
        <f>-786.671842662014 -98.0661675461226 -206.783240285778</f>
        <v>-1091.5212504939145</v>
      </c>
      <c r="Q1417">
        <f>-596.222066912218 -70.796361253598 -351.821702723989</f>
        <v>-1018.840130889805</v>
      </c>
      <c r="R1417" t="s">
        <v>29303</v>
      </c>
      <c r="S1417" t="s">
        <v>29304</v>
      </c>
      <c r="T1417" t="s">
        <v>29305</v>
      </c>
      <c r="U1417" t="s">
        <v>29306</v>
      </c>
      <c r="V1417" t="s">
        <v>29307</v>
      </c>
      <c r="W1417" t="s">
        <v>29308</v>
      </c>
      <c r="X1417" t="s">
        <v>29309</v>
      </c>
      <c r="Y1417" t="s">
        <v>29310</v>
      </c>
    </row>
    <row r="1418" spans="1:25" x14ac:dyDescent="0.3">
      <c r="A1418">
        <v>70850</v>
      </c>
      <c r="B1418" t="s">
        <v>29311</v>
      </c>
      <c r="C1418" t="s">
        <v>29312</v>
      </c>
      <c r="D1418" t="s">
        <v>29313</v>
      </c>
      <c r="E1418" t="s">
        <v>29314</v>
      </c>
      <c r="F1418" t="s">
        <v>29315</v>
      </c>
      <c r="G1418" t="s">
        <v>29316</v>
      </c>
      <c r="H1418" t="s">
        <v>29317</v>
      </c>
      <c r="I1418" t="s">
        <v>29318</v>
      </c>
      <c r="J1418" t="s">
        <v>29319</v>
      </c>
      <c r="K1418" t="s">
        <v>29320</v>
      </c>
      <c r="L1418" t="s">
        <v>29321</v>
      </c>
      <c r="M1418" t="s">
        <v>29322</v>
      </c>
      <c r="N1418" t="s">
        <v>29323</v>
      </c>
      <c r="O1418">
        <f>-814.957204470062 -73.6293308099548 -498.318635392544</f>
        <v>-1386.9051706725609</v>
      </c>
      <c r="P1418">
        <f>-786.084008227114 -97.7506919311975 -206.469863611757</f>
        <v>-1090.3045637700686</v>
      </c>
      <c r="Q1418">
        <f>-594.784021876838 -70.475762340337 -350.384036358067</f>
        <v>-1015.643820575242</v>
      </c>
      <c r="R1418" t="s">
        <v>29324</v>
      </c>
      <c r="S1418" t="s">
        <v>29325</v>
      </c>
      <c r="T1418" t="s">
        <v>29326</v>
      </c>
      <c r="U1418" t="s">
        <v>29327</v>
      </c>
      <c r="V1418" t="s">
        <v>29328</v>
      </c>
      <c r="W1418" t="s">
        <v>29329</v>
      </c>
      <c r="X1418" t="s">
        <v>29330</v>
      </c>
      <c r="Y1418" t="s">
        <v>29331</v>
      </c>
    </row>
    <row r="1419" spans="1:25" x14ac:dyDescent="0.3">
      <c r="A1419">
        <v>70900</v>
      </c>
      <c r="B1419" t="s">
        <v>29332</v>
      </c>
      <c r="C1419" t="s">
        <v>29333</v>
      </c>
      <c r="D1419" t="s">
        <v>29334</v>
      </c>
      <c r="E1419" t="s">
        <v>29335</v>
      </c>
      <c r="F1419" t="s">
        <v>29336</v>
      </c>
      <c r="G1419" t="s">
        <v>29337</v>
      </c>
      <c r="H1419" t="s">
        <v>29338</v>
      </c>
      <c r="I1419" t="s">
        <v>29339</v>
      </c>
      <c r="J1419" t="s">
        <v>29340</v>
      </c>
      <c r="K1419" t="s">
        <v>29341</v>
      </c>
      <c r="L1419" t="s">
        <v>29342</v>
      </c>
      <c r="M1419" t="s">
        <v>29343</v>
      </c>
      <c r="N1419" t="s">
        <v>29344</v>
      </c>
      <c r="O1419">
        <f>-814.437722328999 -72.8264720071377 -497.940360092212</f>
        <v>-1385.2045544283487</v>
      </c>
      <c r="P1419">
        <f>-786.151963910346 -96.4217914927567 -205.991045933852</f>
        <v>-1088.5648013369548</v>
      </c>
      <c r="Q1419">
        <f>-593.899934550402 -70.2954363391859 -348.845637387293</f>
        <v>-1013.0410082768809</v>
      </c>
      <c r="R1419" t="s">
        <v>29345</v>
      </c>
      <c r="S1419" t="s">
        <v>29346</v>
      </c>
      <c r="T1419" t="s">
        <v>29347</v>
      </c>
      <c r="U1419" t="s">
        <v>29348</v>
      </c>
      <c r="V1419" t="s">
        <v>29349</v>
      </c>
      <c r="W1419" t="s">
        <v>29350</v>
      </c>
      <c r="X1419" t="s">
        <v>29351</v>
      </c>
      <c r="Y1419" t="s">
        <v>29352</v>
      </c>
    </row>
    <row r="1420" spans="1:25" x14ac:dyDescent="0.3">
      <c r="A1420">
        <v>70950</v>
      </c>
      <c r="B1420" t="s">
        <v>29353</v>
      </c>
      <c r="C1420" t="s">
        <v>29354</v>
      </c>
      <c r="D1420" t="s">
        <v>29355</v>
      </c>
      <c r="E1420" t="s">
        <v>29356</v>
      </c>
      <c r="F1420" t="s">
        <v>29357</v>
      </c>
      <c r="G1420" t="s">
        <v>29358</v>
      </c>
      <c r="H1420" t="s">
        <v>29359</v>
      </c>
      <c r="I1420" t="s">
        <v>29360</v>
      </c>
      <c r="J1420" t="s">
        <v>29361</v>
      </c>
      <c r="K1420" t="s">
        <v>29362</v>
      </c>
      <c r="L1420" t="s">
        <v>29363</v>
      </c>
      <c r="M1420" t="s">
        <v>29364</v>
      </c>
      <c r="N1420" t="s">
        <v>29365</v>
      </c>
      <c r="O1420">
        <f>-814.538572984931 -72.3273875912034 -497.861415980236</f>
        <v>-1384.7273765563705</v>
      </c>
      <c r="P1420">
        <f>-786.318507360458 -95.8278412235907 -205.898071404238</f>
        <v>-1088.0444199882868</v>
      </c>
      <c r="Q1420">
        <f>-593.601952021173 -69.5615595957693 -348.099580998624</f>
        <v>-1011.2630926155663</v>
      </c>
      <c r="R1420" t="s">
        <v>29366</v>
      </c>
      <c r="S1420" t="s">
        <v>29367</v>
      </c>
      <c r="T1420" t="s">
        <v>29368</v>
      </c>
      <c r="U1420" t="s">
        <v>29369</v>
      </c>
      <c r="V1420" t="s">
        <v>29370</v>
      </c>
      <c r="W1420" t="s">
        <v>29371</v>
      </c>
      <c r="X1420" t="s">
        <v>29372</v>
      </c>
      <c r="Y1420" t="s">
        <v>29373</v>
      </c>
    </row>
    <row r="1421" spans="1:25" x14ac:dyDescent="0.3">
      <c r="A1421">
        <v>71000</v>
      </c>
      <c r="B1421" t="s">
        <v>29374</v>
      </c>
      <c r="C1421" t="s">
        <v>29375</v>
      </c>
      <c r="D1421" t="s">
        <v>29376</v>
      </c>
      <c r="E1421" t="s">
        <v>29377</v>
      </c>
      <c r="F1421" t="s">
        <v>29378</v>
      </c>
      <c r="G1421" t="s">
        <v>29379</v>
      </c>
      <c r="H1421" t="s">
        <v>29380</v>
      </c>
      <c r="I1421" t="s">
        <v>29381</v>
      </c>
      <c r="J1421" t="s">
        <v>29382</v>
      </c>
      <c r="K1421" t="s">
        <v>29383</v>
      </c>
      <c r="L1421" t="s">
        <v>29384</v>
      </c>
      <c r="M1421" t="s">
        <v>29385</v>
      </c>
      <c r="N1421" t="s">
        <v>29386</v>
      </c>
      <c r="O1421">
        <f>-813.869488840315 -71.106997414146 -497.861927772296</f>
        <v>-1382.8384140267569</v>
      </c>
      <c r="P1421">
        <f>-785.462932137923 -95.3793827071331 -205.97984587087</f>
        <v>-1086.8221607159262</v>
      </c>
      <c r="Q1421">
        <f>-592.869570250469 -65.01280378658 -347.530254651344</f>
        <v>-1005.4126286883929</v>
      </c>
      <c r="R1421" t="s">
        <v>29387</v>
      </c>
      <c r="S1421" t="s">
        <v>29388</v>
      </c>
      <c r="T1421" t="s">
        <v>29389</v>
      </c>
      <c r="U1421" t="s">
        <v>29390</v>
      </c>
      <c r="V1421" t="s">
        <v>29391</v>
      </c>
      <c r="W1421" t="s">
        <v>29392</v>
      </c>
      <c r="X1421" t="s">
        <v>29393</v>
      </c>
      <c r="Y1421" t="s">
        <v>29394</v>
      </c>
    </row>
    <row r="1422" spans="1:25" x14ac:dyDescent="0.3">
      <c r="A1422">
        <v>71050</v>
      </c>
      <c r="B1422" t="s">
        <v>29395</v>
      </c>
      <c r="C1422" t="s">
        <v>29396</v>
      </c>
      <c r="D1422" t="s">
        <v>29397</v>
      </c>
      <c r="E1422" t="s">
        <v>29398</v>
      </c>
      <c r="F1422" t="s">
        <v>29399</v>
      </c>
      <c r="G1422" t="s">
        <v>29400</v>
      </c>
      <c r="H1422" t="s">
        <v>29401</v>
      </c>
      <c r="I1422" t="s">
        <v>29402</v>
      </c>
      <c r="J1422" t="s">
        <v>29403</v>
      </c>
      <c r="K1422" t="s">
        <v>29404</v>
      </c>
      <c r="L1422" t="s">
        <v>29405</v>
      </c>
      <c r="M1422" t="s">
        <v>29406</v>
      </c>
      <c r="N1422" t="s">
        <v>29407</v>
      </c>
      <c r="O1422">
        <f>-813.172272973293 -70.4092215394896 -497.916275671672</f>
        <v>-1381.4977701844546</v>
      </c>
      <c r="P1422">
        <f>-784.261355664996 -94.7315838829218 -206.087862582603</f>
        <v>-1085.0808021305209</v>
      </c>
      <c r="Q1422">
        <f>-591.963481042273 -63.6338040025378 -347.881483988881</f>
        <v>-1003.4787690336917</v>
      </c>
      <c r="R1422" t="s">
        <v>29408</v>
      </c>
      <c r="S1422" t="s">
        <v>29409</v>
      </c>
      <c r="T1422" t="s">
        <v>29410</v>
      </c>
      <c r="U1422" t="s">
        <v>29411</v>
      </c>
      <c r="V1422" t="s">
        <v>29412</v>
      </c>
      <c r="W1422" t="s">
        <v>29413</v>
      </c>
      <c r="X1422" t="s">
        <v>29414</v>
      </c>
      <c r="Y1422" t="s">
        <v>29415</v>
      </c>
    </row>
    <row r="1423" spans="1:25" x14ac:dyDescent="0.3">
      <c r="A1423">
        <v>71100</v>
      </c>
      <c r="B1423" t="s">
        <v>29416</v>
      </c>
      <c r="C1423" t="s">
        <v>29417</v>
      </c>
      <c r="D1423" t="s">
        <v>29418</v>
      </c>
      <c r="E1423" t="s">
        <v>29419</v>
      </c>
      <c r="F1423" t="s">
        <v>29420</v>
      </c>
      <c r="G1423" t="s">
        <v>29421</v>
      </c>
      <c r="H1423" t="s">
        <v>29422</v>
      </c>
      <c r="I1423" t="s">
        <v>29423</v>
      </c>
      <c r="J1423" t="s">
        <v>29424</v>
      </c>
      <c r="K1423" t="s">
        <v>29425</v>
      </c>
      <c r="L1423" t="s">
        <v>29426</v>
      </c>
      <c r="M1423" t="s">
        <v>29427</v>
      </c>
      <c r="N1423" t="s">
        <v>29428</v>
      </c>
      <c r="O1423">
        <f>-812.138732623707 -69.2334405490451 -498.137363239464</f>
        <v>-1379.5095364122162</v>
      </c>
      <c r="P1423">
        <f>-782.069033753109 -93.8313952541391 -206.449255001992</f>
        <v>-1082.34968400924</v>
      </c>
      <c r="Q1423">
        <f>-589.115450071631 -62.9949866336779 -347.40621682558</f>
        <v>-999.51665353088879</v>
      </c>
      <c r="R1423" t="s">
        <v>29429</v>
      </c>
      <c r="S1423" t="s">
        <v>29430</v>
      </c>
      <c r="T1423" t="s">
        <v>29431</v>
      </c>
      <c r="U1423" t="s">
        <v>29432</v>
      </c>
      <c r="V1423" t="s">
        <v>29433</v>
      </c>
      <c r="W1423" t="s">
        <v>29434</v>
      </c>
      <c r="X1423" t="s">
        <v>29435</v>
      </c>
      <c r="Y1423" t="s">
        <v>29436</v>
      </c>
    </row>
    <row r="1424" spans="1:25" x14ac:dyDescent="0.3">
      <c r="A1424">
        <v>71150</v>
      </c>
      <c r="B1424" t="s">
        <v>29437</v>
      </c>
      <c r="C1424" t="s">
        <v>29438</v>
      </c>
      <c r="D1424" t="s">
        <v>29439</v>
      </c>
      <c r="E1424" t="s">
        <v>29440</v>
      </c>
      <c r="F1424" t="s">
        <v>29441</v>
      </c>
      <c r="G1424" t="s">
        <v>29442</v>
      </c>
      <c r="H1424" t="s">
        <v>29443</v>
      </c>
      <c r="I1424" t="s">
        <v>29444</v>
      </c>
      <c r="J1424" t="s">
        <v>29445</v>
      </c>
      <c r="K1424" t="s">
        <v>29446</v>
      </c>
      <c r="L1424" t="s">
        <v>29447</v>
      </c>
      <c r="M1424" t="s">
        <v>29448</v>
      </c>
      <c r="N1424" t="s">
        <v>29449</v>
      </c>
      <c r="O1424">
        <f>-811.715020488703 -68.500174312775 -498.30178072542</f>
        <v>-1378.516975526898</v>
      </c>
      <c r="P1424">
        <f>-781.287691703026 -93.9106241014583 -206.720329188367</f>
        <v>-1081.9186449928513</v>
      </c>
      <c r="Q1424">
        <f>-587.669590184763 -62.429343276292 -346.619433399439</f>
        <v>-996.71836686049403</v>
      </c>
      <c r="R1424" t="s">
        <v>29450</v>
      </c>
      <c r="S1424" t="s">
        <v>29451</v>
      </c>
      <c r="T1424" t="s">
        <v>29452</v>
      </c>
      <c r="U1424" t="s">
        <v>29453</v>
      </c>
      <c r="V1424" t="s">
        <v>29454</v>
      </c>
      <c r="W1424" t="s">
        <v>29455</v>
      </c>
      <c r="X1424" t="s">
        <v>29456</v>
      </c>
      <c r="Y1424" t="s">
        <v>29457</v>
      </c>
    </row>
    <row r="1425" spans="1:25" x14ac:dyDescent="0.3">
      <c r="A1425">
        <v>71200</v>
      </c>
      <c r="B1425" t="s">
        <v>29458</v>
      </c>
      <c r="C1425" t="s">
        <v>29459</v>
      </c>
      <c r="D1425" t="s">
        <v>29460</v>
      </c>
      <c r="E1425" t="s">
        <v>29461</v>
      </c>
      <c r="F1425" t="s">
        <v>29462</v>
      </c>
      <c r="G1425" t="s">
        <v>29463</v>
      </c>
      <c r="H1425" t="s">
        <v>29464</v>
      </c>
      <c r="I1425" t="s">
        <v>29465</v>
      </c>
      <c r="J1425" t="s">
        <v>29466</v>
      </c>
      <c r="K1425" t="s">
        <v>29467</v>
      </c>
      <c r="L1425" t="s">
        <v>29468</v>
      </c>
      <c r="M1425" t="s">
        <v>29469</v>
      </c>
      <c r="N1425" t="s">
        <v>29470</v>
      </c>
      <c r="O1425">
        <f>-811.020014286933 -66.8629614830179 -498.647417146599</f>
        <v>-1376.53039291655</v>
      </c>
      <c r="P1425">
        <f>-780.891431957458 -93.1135373282584 -207.109425665291</f>
        <v>-1081.1143949510074</v>
      </c>
      <c r="Q1425">
        <f>-586.32888217623 -61.3536005368026 -345.629077502298</f>
        <v>-993.31156021533047</v>
      </c>
      <c r="R1425" t="s">
        <v>29471</v>
      </c>
      <c r="S1425" t="s">
        <v>29472</v>
      </c>
      <c r="T1425" t="s">
        <v>29473</v>
      </c>
      <c r="U1425" t="s">
        <v>29474</v>
      </c>
      <c r="V1425" t="s">
        <v>29475</v>
      </c>
      <c r="W1425" t="s">
        <v>29476</v>
      </c>
      <c r="X1425" t="s">
        <v>29477</v>
      </c>
      <c r="Y1425" t="s">
        <v>29478</v>
      </c>
    </row>
    <row r="1426" spans="1:25" x14ac:dyDescent="0.3">
      <c r="A1426">
        <v>71250</v>
      </c>
      <c r="B1426" t="s">
        <v>29479</v>
      </c>
      <c r="C1426" t="s">
        <v>29480</v>
      </c>
      <c r="D1426" t="s">
        <v>29481</v>
      </c>
      <c r="E1426" t="s">
        <v>29482</v>
      </c>
      <c r="F1426" t="s">
        <v>29483</v>
      </c>
      <c r="G1426" t="s">
        <v>29484</v>
      </c>
      <c r="H1426" t="s">
        <v>29485</v>
      </c>
      <c r="I1426" t="s">
        <v>29486</v>
      </c>
      <c r="J1426" t="s">
        <v>29487</v>
      </c>
      <c r="K1426" t="s">
        <v>29488</v>
      </c>
      <c r="L1426" t="s">
        <v>29489</v>
      </c>
      <c r="M1426" t="s">
        <v>29490</v>
      </c>
      <c r="N1426" t="s">
        <v>29491</v>
      </c>
      <c r="O1426">
        <f>-810.872067078442 -66.0254329773538 -498.839932168553</f>
        <v>-1375.7374322243488</v>
      </c>
      <c r="P1426">
        <f>-780.999820026259 -92.5312315762781 -207.298604720152</f>
        <v>-1080.8296563226891</v>
      </c>
      <c r="Q1426">
        <f>-586.005659483523 -60.4093256496544 -345.125704254757</f>
        <v>-991.54068938793444</v>
      </c>
      <c r="R1426" t="s">
        <v>29492</v>
      </c>
      <c r="S1426" t="s">
        <v>29493</v>
      </c>
      <c r="T1426" t="s">
        <v>29494</v>
      </c>
      <c r="U1426" t="s">
        <v>29495</v>
      </c>
      <c r="V1426" t="s">
        <v>29496</v>
      </c>
      <c r="W1426" t="s">
        <v>29497</v>
      </c>
      <c r="X1426" t="s">
        <v>29498</v>
      </c>
      <c r="Y1426" t="s">
        <v>29499</v>
      </c>
    </row>
    <row r="1427" spans="1:25" x14ac:dyDescent="0.3">
      <c r="A1427">
        <v>71300</v>
      </c>
      <c r="B1427" t="s">
        <v>29500</v>
      </c>
      <c r="C1427" t="s">
        <v>29501</v>
      </c>
      <c r="D1427" t="s">
        <v>29502</v>
      </c>
      <c r="E1427" t="s">
        <v>29503</v>
      </c>
      <c r="F1427" t="s">
        <v>29504</v>
      </c>
      <c r="G1427" t="s">
        <v>29505</v>
      </c>
      <c r="H1427" t="s">
        <v>29506</v>
      </c>
      <c r="I1427" t="s">
        <v>29507</v>
      </c>
      <c r="J1427" t="s">
        <v>29508</v>
      </c>
      <c r="K1427" t="s">
        <v>29509</v>
      </c>
      <c r="L1427" t="s">
        <v>29510</v>
      </c>
      <c r="M1427" t="s">
        <v>29511</v>
      </c>
      <c r="N1427" t="s">
        <v>29512</v>
      </c>
      <c r="O1427">
        <f>-810.59474833415 -64.500853922591 -499.168712641292</f>
        <v>-1374.264314898033</v>
      </c>
      <c r="P1427">
        <f>-781.074317484268 -91.6542207121745 -207.651210288965</f>
        <v>-1080.3797484854076</v>
      </c>
      <c r="Q1427">
        <f>-584.513486949674 -59.203461650909 -343.156227142456</f>
        <v>-986.87317574303893</v>
      </c>
      <c r="R1427" t="s">
        <v>29513</v>
      </c>
      <c r="S1427" t="s">
        <v>29514</v>
      </c>
      <c r="T1427" t="s">
        <v>29515</v>
      </c>
      <c r="U1427" t="s">
        <v>29516</v>
      </c>
      <c r="V1427" t="s">
        <v>29517</v>
      </c>
      <c r="W1427" t="s">
        <v>29518</v>
      </c>
      <c r="X1427" t="s">
        <v>29519</v>
      </c>
      <c r="Y1427" t="s">
        <v>29520</v>
      </c>
    </row>
    <row r="1428" spans="1:25" x14ac:dyDescent="0.3">
      <c r="A1428">
        <v>71350</v>
      </c>
      <c r="B1428" t="s">
        <v>29521</v>
      </c>
      <c r="C1428" t="s">
        <v>29522</v>
      </c>
      <c r="D1428" t="s">
        <v>29523</v>
      </c>
      <c r="E1428" t="s">
        <v>29524</v>
      </c>
      <c r="F1428" t="s">
        <v>29525</v>
      </c>
      <c r="G1428" t="s">
        <v>29526</v>
      </c>
      <c r="H1428" t="s">
        <v>29527</v>
      </c>
      <c r="I1428" t="s">
        <v>29528</v>
      </c>
      <c r="J1428" t="s">
        <v>29529</v>
      </c>
      <c r="K1428" t="s">
        <v>29530</v>
      </c>
      <c r="L1428" t="s">
        <v>29531</v>
      </c>
      <c r="M1428" t="s">
        <v>29532</v>
      </c>
      <c r="N1428" t="s">
        <v>29533</v>
      </c>
      <c r="O1428">
        <f>-810.526444764845 -63.7917754343262 -499.325496766382</f>
        <v>-1373.6437169655533</v>
      </c>
      <c r="P1428">
        <f>-781.01541590597 -91.6555727350544 -207.874016804328</f>
        <v>-1080.5450054453524</v>
      </c>
      <c r="Q1428">
        <f>-583.245243682047 -58.9233111983276 -341.539486793168</f>
        <v>-983.70804167354254</v>
      </c>
      <c r="R1428" t="s">
        <v>29534</v>
      </c>
      <c r="S1428" t="s">
        <v>29535</v>
      </c>
      <c r="T1428" t="s">
        <v>29536</v>
      </c>
      <c r="U1428" t="s">
        <v>29537</v>
      </c>
      <c r="V1428" t="s">
        <v>29538</v>
      </c>
      <c r="W1428" t="s">
        <v>29539</v>
      </c>
      <c r="X1428" t="s">
        <v>29540</v>
      </c>
      <c r="Y1428" t="s">
        <v>29541</v>
      </c>
    </row>
    <row r="1429" spans="1:25" x14ac:dyDescent="0.3">
      <c r="A1429">
        <v>71400</v>
      </c>
      <c r="B1429" t="s">
        <v>29542</v>
      </c>
      <c r="C1429" t="s">
        <v>29543</v>
      </c>
      <c r="D1429" t="s">
        <v>29544</v>
      </c>
      <c r="E1429" t="s">
        <v>29545</v>
      </c>
      <c r="F1429" t="s">
        <v>29546</v>
      </c>
      <c r="G1429" t="s">
        <v>29547</v>
      </c>
      <c r="H1429" t="s">
        <v>29548</v>
      </c>
      <c r="I1429" t="s">
        <v>29549</v>
      </c>
      <c r="J1429" t="s">
        <v>29550</v>
      </c>
      <c r="K1429" t="s">
        <v>29551</v>
      </c>
      <c r="L1429" t="s">
        <v>29552</v>
      </c>
      <c r="M1429" t="s">
        <v>29553</v>
      </c>
      <c r="N1429" t="s">
        <v>29554</v>
      </c>
      <c r="O1429">
        <f>-810.738955717802 -62.4215950816244 -499.674567214123</f>
        <v>-1372.8351180135494</v>
      </c>
      <c r="P1429">
        <f>-781.019810865058 -92.2158641081908 -208.435292001203</f>
        <v>-1081.6709669744519</v>
      </c>
      <c r="Q1429">
        <f>-580.072861078617 -58.3899870183132 -336.992982518019</f>
        <v>-975.45583061494926</v>
      </c>
      <c r="R1429" t="s">
        <v>29555</v>
      </c>
      <c r="S1429" t="s">
        <v>29556</v>
      </c>
      <c r="T1429" t="s">
        <v>29557</v>
      </c>
      <c r="U1429" t="s">
        <v>29558</v>
      </c>
      <c r="V1429" t="s">
        <v>29559</v>
      </c>
      <c r="W1429" t="s">
        <v>29560</v>
      </c>
      <c r="X1429" t="s">
        <v>29561</v>
      </c>
      <c r="Y1429" t="s">
        <v>29562</v>
      </c>
    </row>
    <row r="1430" spans="1:25" x14ac:dyDescent="0.3">
      <c r="A1430">
        <v>71450</v>
      </c>
      <c r="B1430" t="s">
        <v>29563</v>
      </c>
      <c r="C1430" t="s">
        <v>29564</v>
      </c>
      <c r="D1430" t="s">
        <v>29565</v>
      </c>
      <c r="E1430" t="s">
        <v>29566</v>
      </c>
      <c r="F1430" t="s">
        <v>29567</v>
      </c>
      <c r="G1430" t="s">
        <v>29568</v>
      </c>
      <c r="H1430" t="s">
        <v>29569</v>
      </c>
      <c r="I1430" t="s">
        <v>29570</v>
      </c>
      <c r="J1430" t="s">
        <v>29571</v>
      </c>
      <c r="K1430" t="s">
        <v>29572</v>
      </c>
      <c r="L1430" t="s">
        <v>29573</v>
      </c>
      <c r="M1430" t="s">
        <v>29574</v>
      </c>
      <c r="N1430" t="s">
        <v>29575</v>
      </c>
      <c r="O1430">
        <f>-810.759981783531 -61.6079322794571 -499.834204146581</f>
        <v>-1372.2021182095691</v>
      </c>
      <c r="P1430">
        <f>-780.946588598191 -92.863433900184 -208.757673606124</f>
        <v>-1082.567696104499</v>
      </c>
      <c r="Q1430">
        <f>-578.321124570191 -57.7241918201078 -334.293023954238</f>
        <v>-970.33834034453685</v>
      </c>
      <c r="R1430" t="s">
        <v>29576</v>
      </c>
      <c r="S1430" t="s">
        <v>29577</v>
      </c>
      <c r="T1430" t="s">
        <v>29578</v>
      </c>
      <c r="U1430" t="s">
        <v>29579</v>
      </c>
      <c r="V1430" t="s">
        <v>29580</v>
      </c>
      <c r="W1430" t="s">
        <v>29581</v>
      </c>
      <c r="X1430" t="s">
        <v>29582</v>
      </c>
      <c r="Y1430" t="s">
        <v>29583</v>
      </c>
    </row>
    <row r="1431" spans="1:25" x14ac:dyDescent="0.3">
      <c r="A1431">
        <v>71500</v>
      </c>
      <c r="B1431" t="s">
        <v>29584</v>
      </c>
      <c r="C1431" t="s">
        <v>29585</v>
      </c>
      <c r="D1431" t="s">
        <v>29586</v>
      </c>
      <c r="E1431" t="s">
        <v>29587</v>
      </c>
      <c r="F1431" t="s">
        <v>29588</v>
      </c>
      <c r="G1431" t="s">
        <v>29589</v>
      </c>
      <c r="H1431" t="s">
        <v>29590</v>
      </c>
      <c r="I1431" t="s">
        <v>29591</v>
      </c>
      <c r="J1431" t="s">
        <v>29592</v>
      </c>
      <c r="K1431" t="s">
        <v>29593</v>
      </c>
      <c r="L1431" t="s">
        <v>29594</v>
      </c>
      <c r="M1431" t="s">
        <v>29595</v>
      </c>
      <c r="N1431" t="s">
        <v>29596</v>
      </c>
      <c r="O1431">
        <f>-811.031079641137 -59.9298423186258 -500.196319406852</f>
        <v>-1371.1572413666149</v>
      </c>
      <c r="P1431">
        <f>-781.294087931374 -94.0193744677604 -209.430361304953</f>
        <v>-1084.7438237040874</v>
      </c>
      <c r="Q1431">
        <f>-575.26951889558 -56.2999658558801 -328.518411395098</f>
        <v>-960.08789614655802</v>
      </c>
      <c r="R1431" t="s">
        <v>29597</v>
      </c>
      <c r="S1431" t="s">
        <v>29598</v>
      </c>
      <c r="T1431" t="s">
        <v>29599</v>
      </c>
      <c r="U1431" t="s">
        <v>29600</v>
      </c>
      <c r="V1431" t="s">
        <v>29601</v>
      </c>
      <c r="W1431" t="s">
        <v>29602</v>
      </c>
      <c r="X1431" t="s">
        <v>29603</v>
      </c>
      <c r="Y1431" t="s">
        <v>29604</v>
      </c>
    </row>
    <row r="1432" spans="1:25" x14ac:dyDescent="0.3">
      <c r="A1432">
        <v>71550</v>
      </c>
      <c r="B1432" t="s">
        <v>29605</v>
      </c>
      <c r="C1432" t="s">
        <v>29606</v>
      </c>
      <c r="D1432" t="s">
        <v>29607</v>
      </c>
      <c r="E1432" t="s">
        <v>29608</v>
      </c>
      <c r="F1432" t="s">
        <v>29609</v>
      </c>
      <c r="G1432" t="s">
        <v>29610</v>
      </c>
      <c r="H1432" t="s">
        <v>29611</v>
      </c>
      <c r="I1432" t="s">
        <v>29612</v>
      </c>
      <c r="J1432" t="s">
        <v>29613</v>
      </c>
      <c r="K1432" t="s">
        <v>29614</v>
      </c>
      <c r="L1432" t="s">
        <v>29615</v>
      </c>
      <c r="M1432" t="s">
        <v>29616</v>
      </c>
      <c r="N1432" t="s">
        <v>29617</v>
      </c>
      <c r="O1432">
        <f>-811.187164834103 -59.2456884541432 -500.224428107397</f>
        <v>-1370.6572813956432</v>
      </c>
      <c r="P1432">
        <f>-781.959847269798 -93.6910173019173 -209.448835946674</f>
        <v>-1085.0997005183895</v>
      </c>
      <c r="Q1432">
        <f>-574.254945294638 -55.5340482235167 -325.438003215182</f>
        <v>-955.2269967333367</v>
      </c>
      <c r="R1432" t="s">
        <v>29618</v>
      </c>
      <c r="S1432" t="s">
        <v>29619</v>
      </c>
      <c r="T1432" t="s">
        <v>29620</v>
      </c>
      <c r="U1432" t="s">
        <v>29621</v>
      </c>
      <c r="V1432" t="s">
        <v>29622</v>
      </c>
      <c r="W1432" t="s">
        <v>29623</v>
      </c>
      <c r="X1432" t="s">
        <v>29624</v>
      </c>
      <c r="Y1432" t="s">
        <v>29625</v>
      </c>
    </row>
    <row r="1433" spans="1:25" x14ac:dyDescent="0.3">
      <c r="A1433">
        <v>71600</v>
      </c>
      <c r="B1433" t="s">
        <v>29626</v>
      </c>
      <c r="C1433" t="s">
        <v>29627</v>
      </c>
      <c r="D1433" t="s">
        <v>29628</v>
      </c>
      <c r="E1433" t="s">
        <v>29629</v>
      </c>
      <c r="F1433" t="s">
        <v>29630</v>
      </c>
      <c r="G1433" t="s">
        <v>29631</v>
      </c>
      <c r="H1433" t="s">
        <v>29632</v>
      </c>
      <c r="I1433" t="s">
        <v>29633</v>
      </c>
      <c r="J1433" t="s">
        <v>29634</v>
      </c>
      <c r="K1433" t="s">
        <v>29635</v>
      </c>
      <c r="L1433" t="s">
        <v>29636</v>
      </c>
      <c r="M1433" t="s">
        <v>29637</v>
      </c>
      <c r="N1433" t="s">
        <v>29638</v>
      </c>
      <c r="O1433">
        <f>-811.511194716982 -58.107939080129 -499.960963635675</f>
        <v>-1369.580097432786</v>
      </c>
      <c r="P1433">
        <f>-784.00513767212 -92.1669327561865 -208.97203453951</f>
        <v>-1085.1441049678165</v>
      </c>
      <c r="Q1433">
        <f>-573.681904642682 -53.8524966736322 -320.088895337573</f>
        <v>-947.62329665388711</v>
      </c>
      <c r="R1433" t="s">
        <v>29639</v>
      </c>
      <c r="S1433" t="s">
        <v>29640</v>
      </c>
      <c r="T1433" t="s">
        <v>29641</v>
      </c>
      <c r="U1433" t="s">
        <v>29642</v>
      </c>
      <c r="V1433" t="s">
        <v>29643</v>
      </c>
      <c r="W1433" t="s">
        <v>29644</v>
      </c>
      <c r="X1433" t="s">
        <v>29645</v>
      </c>
      <c r="Y1433" t="s">
        <v>29646</v>
      </c>
    </row>
    <row r="1434" spans="1:25" x14ac:dyDescent="0.3">
      <c r="A1434">
        <v>71650</v>
      </c>
      <c r="B1434" t="s">
        <v>29647</v>
      </c>
      <c r="C1434" t="s">
        <v>29648</v>
      </c>
      <c r="D1434" t="s">
        <v>29649</v>
      </c>
      <c r="E1434" t="s">
        <v>29650</v>
      </c>
      <c r="F1434" t="s">
        <v>29651</v>
      </c>
      <c r="G1434" t="s">
        <v>29652</v>
      </c>
      <c r="H1434" t="s">
        <v>29653</v>
      </c>
      <c r="I1434" t="s">
        <v>29654</v>
      </c>
      <c r="J1434" t="s">
        <v>29655</v>
      </c>
      <c r="K1434" t="s">
        <v>29656</v>
      </c>
      <c r="L1434" t="s">
        <v>29657</v>
      </c>
      <c r="M1434" t="s">
        <v>29658</v>
      </c>
      <c r="N1434" t="s">
        <v>29659</v>
      </c>
      <c r="O1434">
        <f>-811.727696549706 -57.6864350925907 -499.826234563015</f>
        <v>-1369.2403662053118</v>
      </c>
      <c r="P1434">
        <f>-785.101232881048 -91.802334738012 -208.762173327485</f>
        <v>-1085.6657409465449</v>
      </c>
      <c r="Q1434">
        <f>-573.839124352845 -53.337861153467 -318.031103493046</f>
        <v>-945.20808899935798</v>
      </c>
      <c r="R1434" t="s">
        <v>29660</v>
      </c>
      <c r="S1434" t="s">
        <v>29661</v>
      </c>
      <c r="T1434" t="s">
        <v>29662</v>
      </c>
      <c r="U1434" t="s">
        <v>29663</v>
      </c>
      <c r="V1434" t="s">
        <v>29664</v>
      </c>
      <c r="W1434" t="s">
        <v>29665</v>
      </c>
      <c r="X1434" t="s">
        <v>29666</v>
      </c>
      <c r="Y1434" t="s">
        <v>29667</v>
      </c>
    </row>
    <row r="1435" spans="1:25" x14ac:dyDescent="0.3">
      <c r="A1435">
        <v>71700</v>
      </c>
      <c r="B1435" t="s">
        <v>29668</v>
      </c>
      <c r="C1435" t="s">
        <v>29669</v>
      </c>
      <c r="D1435" t="s">
        <v>29670</v>
      </c>
      <c r="E1435" t="s">
        <v>29671</v>
      </c>
      <c r="F1435" t="s">
        <v>29672</v>
      </c>
      <c r="G1435" t="s">
        <v>29673</v>
      </c>
      <c r="H1435" t="s">
        <v>29674</v>
      </c>
      <c r="I1435" t="s">
        <v>29675</v>
      </c>
      <c r="J1435" t="s">
        <v>29676</v>
      </c>
      <c r="K1435" t="s">
        <v>29677</v>
      </c>
      <c r="L1435" t="s">
        <v>29678</v>
      </c>
      <c r="M1435" t="s">
        <v>29679</v>
      </c>
      <c r="N1435" t="s">
        <v>29680</v>
      </c>
      <c r="O1435">
        <f>-812.164121244969 -56.6401592045077 -499.681356631995</f>
        <v>-1368.4856370814716</v>
      </c>
      <c r="P1435">
        <f>-786.860058196519 -90.8927710348141 -208.515212099154</f>
        <v>-1086.2680413304872</v>
      </c>
      <c r="Q1435">
        <f>-574.069308791426 -52.5035160895043 -314.803550689464</f>
        <v>-941.3763755703942</v>
      </c>
      <c r="R1435" t="s">
        <v>29681</v>
      </c>
      <c r="S1435" t="s">
        <v>29682</v>
      </c>
      <c r="T1435" t="s">
        <v>29683</v>
      </c>
      <c r="U1435" t="s">
        <v>29684</v>
      </c>
      <c r="V1435" t="s">
        <v>29685</v>
      </c>
      <c r="W1435" t="s">
        <v>29686</v>
      </c>
      <c r="X1435" t="s">
        <v>29687</v>
      </c>
      <c r="Y1435" t="s">
        <v>29688</v>
      </c>
    </row>
    <row r="1436" spans="1:25" x14ac:dyDescent="0.3">
      <c r="A1436">
        <v>71750</v>
      </c>
      <c r="B1436" t="s">
        <v>29689</v>
      </c>
      <c r="C1436" t="s">
        <v>29690</v>
      </c>
      <c r="D1436" t="s">
        <v>29691</v>
      </c>
      <c r="E1436" t="s">
        <v>29692</v>
      </c>
      <c r="F1436" t="s">
        <v>29693</v>
      </c>
      <c r="G1436" t="s">
        <v>29694</v>
      </c>
      <c r="H1436" t="s">
        <v>29695</v>
      </c>
      <c r="I1436" t="s">
        <v>29696</v>
      </c>
      <c r="J1436" t="s">
        <v>29697</v>
      </c>
      <c r="K1436" t="s">
        <v>29698</v>
      </c>
      <c r="L1436" t="s">
        <v>29699</v>
      </c>
      <c r="M1436" t="s">
        <v>29700</v>
      </c>
      <c r="N1436" t="s">
        <v>29701</v>
      </c>
      <c r="O1436">
        <f>-812.377069857895 -56.1854720218341 -499.607064016969</f>
        <v>-1368.1696058966982</v>
      </c>
      <c r="P1436">
        <f>-787.49770152209 -90.3263903109998 -208.391296668669</f>
        <v>-1086.2153885017588</v>
      </c>
      <c r="Q1436">
        <f>-574.095658432759 -52.2068040034187 -313.545176187729</f>
        <v>-939.84763862390673</v>
      </c>
      <c r="R1436" t="s">
        <v>29702</v>
      </c>
      <c r="S1436" t="s">
        <v>29703</v>
      </c>
      <c r="T1436" t="s">
        <v>29704</v>
      </c>
      <c r="U1436" t="s">
        <v>29705</v>
      </c>
      <c r="V1436" t="s">
        <v>29706</v>
      </c>
      <c r="W1436" t="s">
        <v>29707</v>
      </c>
      <c r="X1436" t="s">
        <v>29708</v>
      </c>
      <c r="Y1436" t="s">
        <v>29709</v>
      </c>
    </row>
    <row r="1437" spans="1:25" x14ac:dyDescent="0.3">
      <c r="A1437">
        <v>71800</v>
      </c>
      <c r="B1437" t="s">
        <v>29710</v>
      </c>
      <c r="C1437" t="s">
        <v>29711</v>
      </c>
      <c r="D1437" t="s">
        <v>29712</v>
      </c>
      <c r="E1437" t="s">
        <v>29713</v>
      </c>
      <c r="F1437" t="s">
        <v>29714</v>
      </c>
      <c r="G1437" t="s">
        <v>29715</v>
      </c>
      <c r="H1437" t="s">
        <v>29716</v>
      </c>
      <c r="I1437" t="s">
        <v>29717</v>
      </c>
      <c r="J1437" t="s">
        <v>29718</v>
      </c>
      <c r="K1437" t="s">
        <v>29719</v>
      </c>
      <c r="L1437" t="s">
        <v>29720</v>
      </c>
      <c r="M1437" t="s">
        <v>29721</v>
      </c>
      <c r="N1437" t="s">
        <v>29722</v>
      </c>
      <c r="O1437">
        <f>-813.015707871715 -55.4644997430316 -499.31583412773</f>
        <v>-1367.7960417424765</v>
      </c>
      <c r="P1437">
        <f>-788.966411153836 -88.9498408407471 -207.954377366751</f>
        <v>-1085.8706293613341</v>
      </c>
      <c r="Q1437">
        <f>-574.150877007668 -52.2339046104594 -310.701628821038</f>
        <v>-937.08641043916532</v>
      </c>
      <c r="R1437" t="s">
        <v>29723</v>
      </c>
      <c r="S1437" t="s">
        <v>29724</v>
      </c>
      <c r="T1437" t="s">
        <v>29725</v>
      </c>
      <c r="U1437" t="s">
        <v>29726</v>
      </c>
      <c r="V1437" t="s">
        <v>29727</v>
      </c>
      <c r="W1437" t="s">
        <v>29728</v>
      </c>
      <c r="X1437" t="s">
        <v>29729</v>
      </c>
      <c r="Y1437" t="s">
        <v>29730</v>
      </c>
    </row>
    <row r="1438" spans="1:25" x14ac:dyDescent="0.3">
      <c r="A1438">
        <v>71850</v>
      </c>
      <c r="B1438" t="s">
        <v>29731</v>
      </c>
      <c r="C1438" t="s">
        <v>29732</v>
      </c>
      <c r="D1438" t="s">
        <v>29733</v>
      </c>
      <c r="E1438" t="s">
        <v>29734</v>
      </c>
      <c r="F1438" t="s">
        <v>29735</v>
      </c>
      <c r="G1438" t="s">
        <v>29736</v>
      </c>
      <c r="H1438" t="s">
        <v>29737</v>
      </c>
      <c r="I1438" t="s">
        <v>29738</v>
      </c>
      <c r="J1438" t="s">
        <v>29739</v>
      </c>
      <c r="K1438" t="s">
        <v>29740</v>
      </c>
      <c r="L1438" t="s">
        <v>29741</v>
      </c>
      <c r="M1438" t="s">
        <v>29742</v>
      </c>
      <c r="N1438" t="s">
        <v>29743</v>
      </c>
      <c r="O1438">
        <f>-813.35010081347 -55.2292334111737 -499.117702016823</f>
        <v>-1367.6970362414668</v>
      </c>
      <c r="P1438">
        <f>-789.84592278984 -88.1010269351698 -207.641723739445</f>
        <v>-1085.5886734644548</v>
      </c>
      <c r="Q1438">
        <f>-574.169929464615 -52.5230329829737 -308.977503899521</f>
        <v>-935.67046634710982</v>
      </c>
      <c r="R1438" t="s">
        <v>29744</v>
      </c>
      <c r="S1438" t="s">
        <v>29745</v>
      </c>
      <c r="T1438" t="s">
        <v>29746</v>
      </c>
      <c r="U1438" t="s">
        <v>29747</v>
      </c>
      <c r="V1438" t="s">
        <v>29748</v>
      </c>
      <c r="W1438" t="s">
        <v>29749</v>
      </c>
      <c r="X1438" t="s">
        <v>29750</v>
      </c>
      <c r="Y1438" t="s">
        <v>29751</v>
      </c>
    </row>
    <row r="1439" spans="1:25" x14ac:dyDescent="0.3">
      <c r="A1439">
        <v>71900</v>
      </c>
      <c r="B1439" t="s">
        <v>29752</v>
      </c>
      <c r="C1439" t="s">
        <v>29753</v>
      </c>
      <c r="D1439" t="s">
        <v>29754</v>
      </c>
      <c r="E1439" t="s">
        <v>29755</v>
      </c>
      <c r="F1439" t="s">
        <v>29756</v>
      </c>
      <c r="G1439" t="s">
        <v>29757</v>
      </c>
      <c r="H1439" t="s">
        <v>29758</v>
      </c>
      <c r="I1439" t="s">
        <v>29759</v>
      </c>
      <c r="J1439" t="s">
        <v>29760</v>
      </c>
      <c r="K1439" t="s">
        <v>29761</v>
      </c>
      <c r="L1439" t="s">
        <v>29762</v>
      </c>
      <c r="M1439" t="s">
        <v>29763</v>
      </c>
      <c r="N1439" t="s">
        <v>29764</v>
      </c>
      <c r="O1439">
        <f>-813.6779853017 -55.0221250328843 -498.836882009732</f>
        <v>-1367.5369923443163</v>
      </c>
      <c r="P1439">
        <f>-791.534823084935 -86.9516439319732 -207.149778839804</f>
        <v>-1085.6362458567123</v>
      </c>
      <c r="Q1439">
        <f>-574.387778941216 -53.3433788132827 -305.985261609059</f>
        <v>-933.71641936355763</v>
      </c>
      <c r="R1439" t="s">
        <v>29765</v>
      </c>
      <c r="S1439" t="s">
        <v>29766</v>
      </c>
      <c r="T1439" t="s">
        <v>29767</v>
      </c>
      <c r="U1439" t="s">
        <v>29768</v>
      </c>
      <c r="V1439" t="s">
        <v>29769</v>
      </c>
      <c r="W1439" t="s">
        <v>29770</v>
      </c>
      <c r="X1439" t="s">
        <v>29771</v>
      </c>
      <c r="Y1439" t="s">
        <v>29772</v>
      </c>
    </row>
    <row r="1440" spans="1:25" x14ac:dyDescent="0.3">
      <c r="A1440">
        <v>71950</v>
      </c>
      <c r="B1440" t="s">
        <v>29773</v>
      </c>
      <c r="C1440" t="s">
        <v>29774</v>
      </c>
      <c r="D1440" t="s">
        <v>29775</v>
      </c>
      <c r="E1440" t="s">
        <v>29776</v>
      </c>
      <c r="F1440" t="s">
        <v>29777</v>
      </c>
      <c r="G1440" t="s">
        <v>29778</v>
      </c>
      <c r="H1440" t="s">
        <v>29779</v>
      </c>
      <c r="I1440" t="s">
        <v>29780</v>
      </c>
      <c r="J1440" t="s">
        <v>29781</v>
      </c>
      <c r="K1440" t="s">
        <v>29782</v>
      </c>
      <c r="L1440" t="s">
        <v>29783</v>
      </c>
      <c r="M1440" t="s">
        <v>29784</v>
      </c>
      <c r="N1440" t="s">
        <v>29785</v>
      </c>
      <c r="O1440">
        <f>-813.726647263725 -54.9746833363931 -498.742504666574</f>
        <v>-1367.4438352666921</v>
      </c>
      <c r="P1440">
        <f>-792.324399684822 -86.322983686835 -206.936914597006</f>
        <v>-1085.5842979686629</v>
      </c>
      <c r="Q1440">
        <f>-574.631478140358 -53.700834873581 -304.898323818659</f>
        <v>-933.23063683259807</v>
      </c>
      <c r="R1440" t="s">
        <v>29786</v>
      </c>
      <c r="S1440" t="s">
        <v>29787</v>
      </c>
      <c r="T1440" t="s">
        <v>29788</v>
      </c>
      <c r="U1440" t="s">
        <v>29789</v>
      </c>
      <c r="V1440" t="s">
        <v>29790</v>
      </c>
      <c r="W1440" t="s">
        <v>29791</v>
      </c>
      <c r="X1440" t="s">
        <v>29792</v>
      </c>
      <c r="Y1440" t="s">
        <v>29793</v>
      </c>
    </row>
    <row r="1441" spans="1:25" x14ac:dyDescent="0.3">
      <c r="A1441">
        <v>72000</v>
      </c>
      <c r="B1441" t="s">
        <v>29794</v>
      </c>
      <c r="C1441" t="s">
        <v>29795</v>
      </c>
      <c r="D1441" t="s">
        <v>29796</v>
      </c>
      <c r="E1441" t="s">
        <v>29797</v>
      </c>
      <c r="F1441" t="s">
        <v>29798</v>
      </c>
      <c r="G1441" t="s">
        <v>29799</v>
      </c>
      <c r="H1441" t="s">
        <v>29800</v>
      </c>
      <c r="I1441" t="s">
        <v>29801</v>
      </c>
      <c r="J1441" t="s">
        <v>29802</v>
      </c>
      <c r="K1441" t="s">
        <v>29803</v>
      </c>
      <c r="L1441" t="s">
        <v>29804</v>
      </c>
      <c r="M1441" t="s">
        <v>29805</v>
      </c>
      <c r="N1441" t="s">
        <v>29806</v>
      </c>
      <c r="O1441">
        <f>-813.604555510369 -55.2042556393847 -498.564248170778</f>
        <v>-1367.3730593205316</v>
      </c>
      <c r="P1441">
        <f>-793.460507577939 -85.5227534912892 -206.560471296679</f>
        <v>-1085.5437323659071</v>
      </c>
      <c r="Q1441">
        <f>-575.065839238556 -54.7050727259855 -303.53944053351</f>
        <v>-933.31035249805154</v>
      </c>
      <c r="R1441" t="s">
        <v>29807</v>
      </c>
      <c r="S1441" t="s">
        <v>29808</v>
      </c>
      <c r="T1441" t="s">
        <v>29809</v>
      </c>
      <c r="U1441" t="s">
        <v>29810</v>
      </c>
      <c r="V1441" t="s">
        <v>29811</v>
      </c>
      <c r="W1441" t="s">
        <v>29812</v>
      </c>
      <c r="X1441" t="s">
        <v>29813</v>
      </c>
      <c r="Y1441" t="s">
        <v>29814</v>
      </c>
    </row>
    <row r="1442" spans="1:25" x14ac:dyDescent="0.3">
      <c r="A1442">
        <v>72050</v>
      </c>
      <c r="B1442" t="s">
        <v>29815</v>
      </c>
      <c r="C1442" t="s">
        <v>29816</v>
      </c>
      <c r="D1442" t="s">
        <v>29817</v>
      </c>
      <c r="E1442" t="s">
        <v>29818</v>
      </c>
      <c r="F1442" t="s">
        <v>29819</v>
      </c>
      <c r="G1442" t="s">
        <v>29820</v>
      </c>
      <c r="H1442" t="s">
        <v>29821</v>
      </c>
      <c r="I1442" t="s">
        <v>29822</v>
      </c>
      <c r="J1442" t="s">
        <v>29823</v>
      </c>
      <c r="K1442" t="s">
        <v>29824</v>
      </c>
      <c r="L1442" t="s">
        <v>29825</v>
      </c>
      <c r="M1442" t="s">
        <v>29826</v>
      </c>
      <c r="N1442" t="s">
        <v>29827</v>
      </c>
      <c r="O1442">
        <f>-813.43096313624 -55.5157377597575 -498.408150787129</f>
        <v>-1367.3548516831265</v>
      </c>
      <c r="P1442">
        <f>-793.63204853882 -85.6558758517181 -206.362090986338</f>
        <v>-1085.6500153768761</v>
      </c>
      <c r="Q1442">
        <f>-575.074536497845 -55.5243622926996 -303.18949119871</f>
        <v>-933.7883899892546</v>
      </c>
      <c r="R1442" t="s">
        <v>29828</v>
      </c>
      <c r="S1442" t="s">
        <v>29829</v>
      </c>
      <c r="T1442" t="s">
        <v>29830</v>
      </c>
      <c r="U1442" t="s">
        <v>29831</v>
      </c>
      <c r="V1442" t="s">
        <v>29832</v>
      </c>
      <c r="W1442" t="s">
        <v>29833</v>
      </c>
      <c r="X1442" t="s">
        <v>29834</v>
      </c>
      <c r="Y1442" t="s">
        <v>29835</v>
      </c>
    </row>
    <row r="1443" spans="1:25" x14ac:dyDescent="0.3">
      <c r="A1443">
        <v>72100</v>
      </c>
      <c r="B1443" t="s">
        <v>29836</v>
      </c>
      <c r="C1443" t="s">
        <v>29837</v>
      </c>
      <c r="D1443" t="s">
        <v>29838</v>
      </c>
      <c r="E1443" t="s">
        <v>29839</v>
      </c>
      <c r="F1443" t="s">
        <v>29840</v>
      </c>
      <c r="G1443" t="s">
        <v>29841</v>
      </c>
      <c r="H1443" t="s">
        <v>29842</v>
      </c>
      <c r="I1443" t="s">
        <v>29843</v>
      </c>
      <c r="J1443" t="s">
        <v>29844</v>
      </c>
      <c r="K1443" t="s">
        <v>29845</v>
      </c>
      <c r="L1443" t="s">
        <v>29846</v>
      </c>
      <c r="M1443" t="s">
        <v>29847</v>
      </c>
      <c r="N1443" t="s">
        <v>29848</v>
      </c>
      <c r="O1443">
        <f>-813.591091197103 -55.7583977493071 -498.119280420064</f>
        <v>-1367.4687693664741</v>
      </c>
      <c r="P1443">
        <f>-793.968806291589 -85.5699712428586 -206.027785617912</f>
        <v>-1085.5665631523595</v>
      </c>
      <c r="Q1443">
        <f>-575.283267280832 -56.7345552904808 -302.961074092307</f>
        <v>-934.97889666361971</v>
      </c>
      <c r="R1443" t="s">
        <v>29849</v>
      </c>
      <c r="S1443" t="s">
        <v>29850</v>
      </c>
      <c r="T1443" t="s">
        <v>29851</v>
      </c>
      <c r="U1443" t="s">
        <v>29852</v>
      </c>
      <c r="V1443" t="s">
        <v>29853</v>
      </c>
      <c r="W1443" t="s">
        <v>29854</v>
      </c>
      <c r="X1443" t="s">
        <v>29855</v>
      </c>
      <c r="Y1443" t="s">
        <v>29856</v>
      </c>
    </row>
    <row r="1444" spans="1:25" x14ac:dyDescent="0.3">
      <c r="A1444">
        <v>72150</v>
      </c>
      <c r="B1444" t="s">
        <v>29857</v>
      </c>
      <c r="C1444" t="s">
        <v>29858</v>
      </c>
      <c r="D1444" t="s">
        <v>29859</v>
      </c>
      <c r="E1444" t="s">
        <v>29860</v>
      </c>
      <c r="F1444" t="s">
        <v>29861</v>
      </c>
      <c r="G1444" t="s">
        <v>29862</v>
      </c>
      <c r="H1444" t="s">
        <v>29863</v>
      </c>
      <c r="I1444" t="s">
        <v>29864</v>
      </c>
      <c r="J1444" t="s">
        <v>29865</v>
      </c>
      <c r="K1444" t="s">
        <v>29866</v>
      </c>
      <c r="L1444" t="s">
        <v>29867</v>
      </c>
      <c r="M1444" t="s">
        <v>29868</v>
      </c>
      <c r="N1444" t="s">
        <v>29869</v>
      </c>
      <c r="O1444">
        <f>-813.983254004377 -55.6472216549973 -498.003704261689</f>
        <v>-1367.6341799210634</v>
      </c>
      <c r="P1444">
        <f>-794.321080598482 -85.3829517239365 -205.907024267749</f>
        <v>-1085.6110565901674</v>
      </c>
      <c r="Q1444">
        <f>-575.662686022016 -57.1530439317755 -303.079207994701</f>
        <v>-935.8949379484925</v>
      </c>
      <c r="R1444" t="s">
        <v>29870</v>
      </c>
      <c r="S1444" t="s">
        <v>29871</v>
      </c>
      <c r="T1444" t="s">
        <v>29872</v>
      </c>
      <c r="U1444" t="s">
        <v>29873</v>
      </c>
      <c r="V1444" t="s">
        <v>29874</v>
      </c>
      <c r="W1444" t="s">
        <v>29875</v>
      </c>
      <c r="X1444" t="s">
        <v>29876</v>
      </c>
      <c r="Y1444" t="s">
        <v>29877</v>
      </c>
    </row>
    <row r="1445" spans="1:25" x14ac:dyDescent="0.3">
      <c r="A1445">
        <v>72200</v>
      </c>
      <c r="B1445" t="s">
        <v>29878</v>
      </c>
      <c r="C1445" t="s">
        <v>29879</v>
      </c>
      <c r="D1445" t="s">
        <v>29880</v>
      </c>
      <c r="E1445" t="s">
        <v>29881</v>
      </c>
      <c r="F1445" t="s">
        <v>29882</v>
      </c>
      <c r="G1445" t="s">
        <v>29883</v>
      </c>
      <c r="H1445" t="s">
        <v>29884</v>
      </c>
      <c r="I1445" t="s">
        <v>29885</v>
      </c>
      <c r="J1445" t="s">
        <v>29886</v>
      </c>
      <c r="K1445" t="s">
        <v>29887</v>
      </c>
      <c r="L1445" t="s">
        <v>29888</v>
      </c>
      <c r="M1445" t="s">
        <v>29889</v>
      </c>
      <c r="N1445" t="s">
        <v>29890</v>
      </c>
      <c r="O1445">
        <f>-815.203228960462 -55.1832763217089 -497.922184786818</f>
        <v>-1368.3086900689889</v>
      </c>
      <c r="P1445">
        <f>-795.670522789175 -84.734394909203 -205.798241261766</f>
        <v>-1086.203158960144</v>
      </c>
      <c r="Q1445">
        <f>-576.906049739951 -57.9255598775737 -303.134074701006</f>
        <v>-937.96568431853075</v>
      </c>
      <c r="R1445" t="s">
        <v>29891</v>
      </c>
      <c r="S1445" t="s">
        <v>29892</v>
      </c>
      <c r="T1445" t="s">
        <v>29893</v>
      </c>
      <c r="U1445" t="s">
        <v>29894</v>
      </c>
      <c r="V1445" t="s">
        <v>29895</v>
      </c>
      <c r="W1445" t="s">
        <v>29896</v>
      </c>
      <c r="X1445" t="s">
        <v>29897</v>
      </c>
      <c r="Y1445" t="s">
        <v>29898</v>
      </c>
    </row>
    <row r="1446" spans="1:25" x14ac:dyDescent="0.3">
      <c r="A1446">
        <v>72250</v>
      </c>
      <c r="B1446" t="s">
        <v>29899</v>
      </c>
      <c r="C1446" t="s">
        <v>29900</v>
      </c>
      <c r="D1446" t="s">
        <v>29901</v>
      </c>
      <c r="E1446" t="s">
        <v>29902</v>
      </c>
      <c r="F1446" t="s">
        <v>29903</v>
      </c>
      <c r="G1446" t="s">
        <v>29904</v>
      </c>
      <c r="H1446" t="s">
        <v>29905</v>
      </c>
      <c r="I1446" t="s">
        <v>29906</v>
      </c>
      <c r="J1446" t="s">
        <v>29907</v>
      </c>
      <c r="K1446" t="s">
        <v>29908</v>
      </c>
      <c r="L1446" t="s">
        <v>29909</v>
      </c>
      <c r="M1446" t="s">
        <v>29910</v>
      </c>
      <c r="N1446" t="s">
        <v>29911</v>
      </c>
      <c r="O1446">
        <f>-815.793709924792 -54.9385191910965 -497.943570422276</f>
        <v>-1368.6757995381645</v>
      </c>
      <c r="P1446">
        <f>-796.475521199862 -84.5581865395818 -205.81229041733</f>
        <v>-1086.8459981567737</v>
      </c>
      <c r="Q1446">
        <f>-577.563760597168 -58.3382092254014 -302.976882916909</f>
        <v>-938.87885273947836</v>
      </c>
      <c r="R1446" t="s">
        <v>29912</v>
      </c>
      <c r="S1446" t="s">
        <v>29913</v>
      </c>
      <c r="T1446" t="s">
        <v>29914</v>
      </c>
      <c r="U1446" t="s">
        <v>29915</v>
      </c>
      <c r="V1446" t="s">
        <v>29916</v>
      </c>
      <c r="W1446" t="s">
        <v>29917</v>
      </c>
      <c r="X1446" t="s">
        <v>29918</v>
      </c>
      <c r="Y1446" t="s">
        <v>29919</v>
      </c>
    </row>
    <row r="1447" spans="1:25" x14ac:dyDescent="0.3">
      <c r="A1447">
        <v>72300</v>
      </c>
      <c r="B1447" t="s">
        <v>29920</v>
      </c>
      <c r="C1447" t="s">
        <v>29921</v>
      </c>
      <c r="D1447" t="s">
        <v>29922</v>
      </c>
      <c r="E1447" t="s">
        <v>29923</v>
      </c>
      <c r="F1447" t="s">
        <v>29924</v>
      </c>
      <c r="G1447" t="s">
        <v>29925</v>
      </c>
      <c r="H1447" t="s">
        <v>29926</v>
      </c>
      <c r="I1447" t="s">
        <v>29927</v>
      </c>
      <c r="J1447" t="s">
        <v>29928</v>
      </c>
      <c r="K1447" t="s">
        <v>29929</v>
      </c>
      <c r="L1447" t="s">
        <v>29930</v>
      </c>
      <c r="M1447" t="s">
        <v>29931</v>
      </c>
      <c r="N1447" t="s">
        <v>29932</v>
      </c>
      <c r="O1447">
        <f>-816.718982668361 -54.2956740153222 -498.059498925921</f>
        <v>-1369.0741556096043</v>
      </c>
      <c r="P1447">
        <f>-798.213350827019 -84.1132045551326 -205.895851162271</f>
        <v>-1088.2224065444225</v>
      </c>
      <c r="Q1447">
        <f>-578.612845851231 -59.1109902822352 -301.819530299408</f>
        <v>-939.54336643287411</v>
      </c>
      <c r="R1447" t="s">
        <v>29933</v>
      </c>
      <c r="S1447" t="s">
        <v>29934</v>
      </c>
      <c r="T1447" t="s">
        <v>29935</v>
      </c>
      <c r="U1447" t="s">
        <v>29936</v>
      </c>
      <c r="V1447" t="s">
        <v>29937</v>
      </c>
      <c r="W1447" t="s">
        <v>29938</v>
      </c>
      <c r="X1447" t="s">
        <v>29939</v>
      </c>
      <c r="Y1447" t="s">
        <v>29940</v>
      </c>
    </row>
    <row r="1448" spans="1:25" x14ac:dyDescent="0.3">
      <c r="A1448">
        <v>72350</v>
      </c>
      <c r="B1448" t="s">
        <v>29941</v>
      </c>
      <c r="C1448" t="s">
        <v>29942</v>
      </c>
      <c r="D1448" t="s">
        <v>29943</v>
      </c>
      <c r="E1448" t="s">
        <v>29944</v>
      </c>
      <c r="F1448" t="s">
        <v>29945</v>
      </c>
      <c r="G1448" t="s">
        <v>29946</v>
      </c>
      <c r="H1448" t="s">
        <v>29947</v>
      </c>
      <c r="I1448" t="s">
        <v>29948</v>
      </c>
      <c r="J1448" t="s">
        <v>29949</v>
      </c>
      <c r="K1448" t="s">
        <v>29950</v>
      </c>
      <c r="L1448" t="s">
        <v>29951</v>
      </c>
      <c r="M1448" t="s">
        <v>29952</v>
      </c>
      <c r="N1448" t="s">
        <v>29953</v>
      </c>
      <c r="O1448">
        <f>-817.089401762605 -54.0070170512579 -498.098809346823</f>
        <v>-1369.1952281606859</v>
      </c>
      <c r="P1448">
        <f>-799.095391170521 -83.7921584671844 -205.89986996669</f>
        <v>-1088.7874196043954</v>
      </c>
      <c r="Q1448">
        <f>-579.12669703789 -59.4763221761921 -301.154015591642</f>
        <v>-939.75703480572406</v>
      </c>
      <c r="R1448" t="s">
        <v>29954</v>
      </c>
      <c r="S1448" t="s">
        <v>29955</v>
      </c>
      <c r="T1448" t="s">
        <v>29956</v>
      </c>
      <c r="U1448" t="s">
        <v>29957</v>
      </c>
      <c r="V1448" t="s">
        <v>29958</v>
      </c>
      <c r="W1448" t="s">
        <v>29959</v>
      </c>
      <c r="X1448" t="s">
        <v>29960</v>
      </c>
      <c r="Y1448" t="s">
        <v>29961</v>
      </c>
    </row>
    <row r="1449" spans="1:25" x14ac:dyDescent="0.3">
      <c r="A1449">
        <v>72400</v>
      </c>
      <c r="B1449" t="s">
        <v>29962</v>
      </c>
      <c r="C1449" t="s">
        <v>29963</v>
      </c>
      <c r="D1449" t="s">
        <v>29964</v>
      </c>
      <c r="E1449" t="s">
        <v>29965</v>
      </c>
      <c r="F1449" t="s">
        <v>29966</v>
      </c>
      <c r="G1449" t="s">
        <v>29967</v>
      </c>
      <c r="H1449" t="s">
        <v>29968</v>
      </c>
      <c r="I1449" t="s">
        <v>29969</v>
      </c>
      <c r="J1449" t="s">
        <v>29970</v>
      </c>
      <c r="K1449" t="s">
        <v>29971</v>
      </c>
      <c r="L1449" t="s">
        <v>29972</v>
      </c>
      <c r="M1449" t="s">
        <v>29973</v>
      </c>
      <c r="N1449" t="s">
        <v>29974</v>
      </c>
      <c r="O1449">
        <f>-817.730941544495 -53.6095291398599 -498.082674841406</f>
        <v>-1369.4231455257609</v>
      </c>
      <c r="P1449">
        <f>-800.812191420548 -82.9817666225958 -205.777680607107</f>
        <v>-1089.5716386502509</v>
      </c>
      <c r="Q1449">
        <f>-580.18331694567 -59.8680168382389 -299.796406528339</f>
        <v>-939.84774031224788</v>
      </c>
      <c r="R1449" t="s">
        <v>29975</v>
      </c>
      <c r="S1449" t="s">
        <v>29976</v>
      </c>
      <c r="T1449" t="s">
        <v>29977</v>
      </c>
      <c r="U1449" t="s">
        <v>29978</v>
      </c>
      <c r="V1449" t="s">
        <v>29979</v>
      </c>
      <c r="W1449" t="s">
        <v>29980</v>
      </c>
      <c r="X1449" t="s">
        <v>29981</v>
      </c>
      <c r="Y1449" t="s">
        <v>29982</v>
      </c>
    </row>
    <row r="1450" spans="1:25" x14ac:dyDescent="0.3">
      <c r="A1450">
        <v>72450</v>
      </c>
      <c r="B1450" t="s">
        <v>29983</v>
      </c>
      <c r="C1450" t="s">
        <v>29984</v>
      </c>
      <c r="D1450" t="s">
        <v>29985</v>
      </c>
      <c r="E1450" t="s">
        <v>29986</v>
      </c>
      <c r="F1450" t="s">
        <v>29987</v>
      </c>
      <c r="G1450" t="s">
        <v>29988</v>
      </c>
      <c r="H1450" t="s">
        <v>29989</v>
      </c>
      <c r="I1450" t="s">
        <v>29990</v>
      </c>
      <c r="J1450" t="s">
        <v>29991</v>
      </c>
      <c r="K1450" t="s">
        <v>29992</v>
      </c>
      <c r="L1450" t="s">
        <v>29993</v>
      </c>
      <c r="M1450" t="s">
        <v>29994</v>
      </c>
      <c r="N1450" t="s">
        <v>29995</v>
      </c>
      <c r="O1450">
        <f>-817.969389850991 -53.5418168201197 -498.043862229134</f>
        <v>-1369.5550689002448</v>
      </c>
      <c r="P1450">
        <f>-801.485509690413 -82.8301564934297 -205.705560800399</f>
        <v>-1090.0212269842418</v>
      </c>
      <c r="Q1450">
        <f>-580.577710813313 -60.1456806061676 -299.17227212</f>
        <v>-939.89566353948067</v>
      </c>
      <c r="R1450" t="s">
        <v>29996</v>
      </c>
      <c r="S1450" t="s">
        <v>29997</v>
      </c>
      <c r="T1450" t="s">
        <v>29998</v>
      </c>
      <c r="U1450" t="s">
        <v>29999</v>
      </c>
      <c r="V1450" t="s">
        <v>30000</v>
      </c>
      <c r="W1450" t="s">
        <v>30001</v>
      </c>
      <c r="X1450" t="s">
        <v>30002</v>
      </c>
      <c r="Y1450" t="s">
        <v>30003</v>
      </c>
    </row>
    <row r="1451" spans="1:25" x14ac:dyDescent="0.3">
      <c r="A1451">
        <v>72500</v>
      </c>
      <c r="B1451" t="s">
        <v>30004</v>
      </c>
      <c r="C1451" t="s">
        <v>30005</v>
      </c>
      <c r="D1451" t="s">
        <v>30006</v>
      </c>
      <c r="E1451" t="s">
        <v>30007</v>
      </c>
      <c r="F1451" t="s">
        <v>30008</v>
      </c>
      <c r="G1451" t="s">
        <v>30009</v>
      </c>
      <c r="H1451" t="s">
        <v>30010</v>
      </c>
      <c r="I1451" t="s">
        <v>30011</v>
      </c>
      <c r="J1451" t="s">
        <v>30012</v>
      </c>
      <c r="K1451" t="s">
        <v>30013</v>
      </c>
      <c r="L1451" t="s">
        <v>30014</v>
      </c>
      <c r="M1451" t="s">
        <v>30015</v>
      </c>
      <c r="N1451" t="s">
        <v>30016</v>
      </c>
      <c r="O1451">
        <f>-818.296029551364 -53.5524991245238 -497.925157155115</f>
        <v>-1369.7736858310027</v>
      </c>
      <c r="P1451">
        <f>-802.444642583176 -82.6696449463341 -205.534723342351</f>
        <v>-1090.649010871861</v>
      </c>
      <c r="Q1451">
        <f>-581.266308540468 -60.4962738562176 -298.482928326535</f>
        <v>-940.2455107232206</v>
      </c>
      <c r="R1451" t="s">
        <v>30017</v>
      </c>
      <c r="S1451" t="s">
        <v>30018</v>
      </c>
      <c r="T1451" t="s">
        <v>30019</v>
      </c>
      <c r="U1451" t="s">
        <v>30020</v>
      </c>
      <c r="V1451" t="s">
        <v>30021</v>
      </c>
      <c r="W1451" t="s">
        <v>30022</v>
      </c>
      <c r="X1451" t="s">
        <v>30023</v>
      </c>
      <c r="Y1451" t="s">
        <v>30024</v>
      </c>
    </row>
    <row r="1452" spans="1:25" x14ac:dyDescent="0.3">
      <c r="A1452">
        <v>72550</v>
      </c>
      <c r="B1452" t="s">
        <v>30025</v>
      </c>
      <c r="C1452" t="s">
        <v>30026</v>
      </c>
      <c r="D1452" t="s">
        <v>30027</v>
      </c>
      <c r="E1452" t="s">
        <v>30028</v>
      </c>
      <c r="F1452" t="s">
        <v>30029</v>
      </c>
      <c r="G1452" t="s">
        <v>30030</v>
      </c>
      <c r="H1452" t="s">
        <v>30031</v>
      </c>
      <c r="I1452" t="s">
        <v>30032</v>
      </c>
      <c r="J1452" t="s">
        <v>30033</v>
      </c>
      <c r="K1452" t="s">
        <v>30034</v>
      </c>
      <c r="L1452" t="s">
        <v>30035</v>
      </c>
      <c r="M1452" t="s">
        <v>30036</v>
      </c>
      <c r="N1452" t="s">
        <v>30037</v>
      </c>
      <c r="O1452">
        <f>-818.539175087928 -53.5340313374431 -497.864696170019</f>
        <v>-1369.9379025953901</v>
      </c>
      <c r="P1452">
        <f>-802.873997934228 -82.5149358408071 -205.450799603614</f>
        <v>-1090.839733378649</v>
      </c>
      <c r="Q1452">
        <f>-581.630460914843 -60.6511514583572 -298.316995479564</f>
        <v>-940.59860785276419</v>
      </c>
      <c r="R1452" t="s">
        <v>30038</v>
      </c>
      <c r="S1452" t="s">
        <v>30039</v>
      </c>
      <c r="T1452" t="s">
        <v>30040</v>
      </c>
      <c r="U1452" t="s">
        <v>30041</v>
      </c>
      <c r="V1452" t="s">
        <v>30042</v>
      </c>
      <c r="W1452" t="s">
        <v>30043</v>
      </c>
      <c r="X1452" t="s">
        <v>30044</v>
      </c>
      <c r="Y1452" t="s">
        <v>30045</v>
      </c>
    </row>
    <row r="1453" spans="1:25" x14ac:dyDescent="0.3">
      <c r="A1453">
        <v>72600</v>
      </c>
      <c r="B1453" t="s">
        <v>30046</v>
      </c>
      <c r="C1453" t="s">
        <v>30047</v>
      </c>
      <c r="D1453" t="s">
        <v>30048</v>
      </c>
      <c r="E1453" t="s">
        <v>30049</v>
      </c>
      <c r="F1453" t="s">
        <v>30050</v>
      </c>
      <c r="G1453" t="s">
        <v>30051</v>
      </c>
      <c r="H1453" t="s">
        <v>30052</v>
      </c>
      <c r="I1453" t="s">
        <v>30053</v>
      </c>
      <c r="J1453" t="s">
        <v>30054</v>
      </c>
      <c r="K1453" t="s">
        <v>30055</v>
      </c>
      <c r="L1453" t="s">
        <v>30056</v>
      </c>
      <c r="M1453" t="s">
        <v>30057</v>
      </c>
      <c r="N1453" t="s">
        <v>30058</v>
      </c>
      <c r="O1453">
        <f>-819.159443213418 -53.3874068410616 -497.814223885377</f>
        <v>-1370.3610739398566</v>
      </c>
      <c r="P1453">
        <f>-803.594527233098 -82.3638874649023 -205.394488318703</f>
        <v>-1091.3529030167033</v>
      </c>
      <c r="Q1453">
        <f>-582.254663447081 -61.2097164908585 -298.195532957429</f>
        <v>-941.65991289536851</v>
      </c>
      <c r="R1453" t="s">
        <v>30059</v>
      </c>
      <c r="S1453" t="s">
        <v>30060</v>
      </c>
      <c r="T1453" t="s">
        <v>30061</v>
      </c>
      <c r="U1453" t="s">
        <v>30062</v>
      </c>
      <c r="V1453" t="s">
        <v>30063</v>
      </c>
      <c r="W1453" t="s">
        <v>30064</v>
      </c>
      <c r="X1453" t="s">
        <v>30065</v>
      </c>
      <c r="Y1453" t="s">
        <v>30066</v>
      </c>
    </row>
    <row r="1454" spans="1:25" x14ac:dyDescent="0.3">
      <c r="A1454">
        <v>72650</v>
      </c>
      <c r="B1454" t="s">
        <v>30067</v>
      </c>
      <c r="C1454" t="s">
        <v>30068</v>
      </c>
      <c r="D1454" t="s">
        <v>30069</v>
      </c>
      <c r="E1454" t="s">
        <v>30070</v>
      </c>
      <c r="F1454" t="s">
        <v>30071</v>
      </c>
      <c r="G1454" t="s">
        <v>30072</v>
      </c>
      <c r="H1454" t="s">
        <v>30073</v>
      </c>
      <c r="I1454" t="s">
        <v>30074</v>
      </c>
      <c r="J1454" t="s">
        <v>30075</v>
      </c>
      <c r="K1454" t="s">
        <v>30076</v>
      </c>
      <c r="L1454" t="s">
        <v>30077</v>
      </c>
      <c r="M1454" t="s">
        <v>30078</v>
      </c>
      <c r="N1454" t="s">
        <v>30079</v>
      </c>
      <c r="O1454">
        <f>-819.599517862138 -53.115585624596 -497.815134653715</f>
        <v>-1370.530238140449</v>
      </c>
      <c r="P1454">
        <f>-804.057386156182 -82.1349352098166 -205.398443668576</f>
        <v>-1091.5907650345746</v>
      </c>
      <c r="Q1454">
        <f>-582.689863914844 -61.3305290016615 -298.212809211515</f>
        <v>-942.23320212802037</v>
      </c>
      <c r="R1454" t="s">
        <v>30080</v>
      </c>
      <c r="S1454" t="s">
        <v>30081</v>
      </c>
      <c r="T1454" t="s">
        <v>30082</v>
      </c>
      <c r="U1454" t="s">
        <v>30083</v>
      </c>
      <c r="V1454" t="s">
        <v>30084</v>
      </c>
      <c r="W1454" t="s">
        <v>30085</v>
      </c>
      <c r="X1454" t="s">
        <v>30086</v>
      </c>
      <c r="Y1454" t="s">
        <v>30087</v>
      </c>
    </row>
    <row r="1455" spans="1:25" x14ac:dyDescent="0.3">
      <c r="A1455">
        <v>72700</v>
      </c>
      <c r="B1455" t="s">
        <v>30088</v>
      </c>
      <c r="C1455" t="s">
        <v>30089</v>
      </c>
      <c r="D1455" t="s">
        <v>30090</v>
      </c>
      <c r="E1455" t="s">
        <v>30091</v>
      </c>
      <c r="F1455" t="s">
        <v>30092</v>
      </c>
      <c r="G1455" t="s">
        <v>30093</v>
      </c>
      <c r="H1455" t="s">
        <v>30094</v>
      </c>
      <c r="I1455" t="s">
        <v>30095</v>
      </c>
      <c r="J1455" t="s">
        <v>30096</v>
      </c>
      <c r="K1455" t="s">
        <v>30097</v>
      </c>
      <c r="L1455" t="s">
        <v>30098</v>
      </c>
      <c r="M1455" t="s">
        <v>30099</v>
      </c>
      <c r="N1455" t="s">
        <v>30100</v>
      </c>
      <c r="O1455">
        <f>-820.994997497177 -52.7750155530634 -497.679508082071</f>
        <v>-1371.4495211323115</v>
      </c>
      <c r="P1455">
        <f>-805.543515679771 -81.8990743895852 -205.268456229443</f>
        <v>-1092.7110462987991</v>
      </c>
      <c r="Q1455">
        <f>-584.248727064946 -61.7090051009582 -298.390651387182</f>
        <v>-944.34838355308625</v>
      </c>
      <c r="R1455" t="s">
        <v>30101</v>
      </c>
      <c r="S1455" t="s">
        <v>30102</v>
      </c>
      <c r="T1455" t="s">
        <v>30103</v>
      </c>
      <c r="U1455" t="s">
        <v>30104</v>
      </c>
      <c r="V1455" t="s">
        <v>30105</v>
      </c>
      <c r="W1455" t="s">
        <v>30106</v>
      </c>
      <c r="X1455" t="s">
        <v>30107</v>
      </c>
      <c r="Y1455" t="s">
        <v>30108</v>
      </c>
    </row>
    <row r="1456" spans="1:25" x14ac:dyDescent="0.3">
      <c r="A1456">
        <v>72750</v>
      </c>
      <c r="B1456" t="s">
        <v>30109</v>
      </c>
      <c r="C1456" t="s">
        <v>30110</v>
      </c>
      <c r="D1456" t="s">
        <v>30111</v>
      </c>
      <c r="E1456" t="s">
        <v>30112</v>
      </c>
      <c r="F1456" t="s">
        <v>30113</v>
      </c>
      <c r="G1456" t="s">
        <v>30114</v>
      </c>
      <c r="H1456" t="s">
        <v>30115</v>
      </c>
      <c r="I1456" t="s">
        <v>30116</v>
      </c>
      <c r="J1456" t="s">
        <v>30117</v>
      </c>
      <c r="K1456" t="s">
        <v>30118</v>
      </c>
      <c r="L1456" t="s">
        <v>30119</v>
      </c>
      <c r="M1456" t="s">
        <v>30120</v>
      </c>
      <c r="N1456" t="s">
        <v>30121</v>
      </c>
      <c r="O1456">
        <f>-822.076482082811 -53.0844535273495 -497.558045406825</f>
        <v>-1372.7189810169855</v>
      </c>
      <c r="P1456">
        <f>-806.650918945606 -82.1841241978236 -205.143140006592</f>
        <v>-1093.9781831500216</v>
      </c>
      <c r="Q1456">
        <f>-585.408640858387 -62.2019584679692 -298.434976706941</f>
        <v>-946.04557603329727</v>
      </c>
      <c r="R1456" t="s">
        <v>30122</v>
      </c>
      <c r="S1456" t="s">
        <v>30123</v>
      </c>
      <c r="T1456" t="s">
        <v>30124</v>
      </c>
      <c r="U1456" t="s">
        <v>30125</v>
      </c>
      <c r="V1456" t="s">
        <v>30126</v>
      </c>
      <c r="W1456" t="s">
        <v>30127</v>
      </c>
      <c r="X1456" t="s">
        <v>30128</v>
      </c>
      <c r="Y1456" t="s">
        <v>30129</v>
      </c>
    </row>
    <row r="1457" spans="1:25" x14ac:dyDescent="0.3">
      <c r="A1457">
        <v>72800</v>
      </c>
      <c r="B1457" t="s">
        <v>30130</v>
      </c>
      <c r="C1457" t="s">
        <v>30131</v>
      </c>
      <c r="D1457" t="s">
        <v>30132</v>
      </c>
      <c r="E1457" t="s">
        <v>30133</v>
      </c>
      <c r="F1457" t="s">
        <v>30134</v>
      </c>
      <c r="G1457" t="s">
        <v>30135</v>
      </c>
      <c r="H1457" t="s">
        <v>30136</v>
      </c>
      <c r="I1457" t="s">
        <v>30137</v>
      </c>
      <c r="J1457" t="s">
        <v>30138</v>
      </c>
      <c r="K1457" t="s">
        <v>30139</v>
      </c>
      <c r="L1457" t="s">
        <v>30140</v>
      </c>
      <c r="M1457" t="s">
        <v>30141</v>
      </c>
      <c r="N1457" t="s">
        <v>30142</v>
      </c>
      <c r="O1457">
        <f>-823.268439022046 -54.0476361624508 -497.58378484998</f>
        <v>-1374.8998600344767</v>
      </c>
      <c r="P1457">
        <f>-807.977337788375 -83.0464188006763 -205.151737815642</f>
        <v>-1096.1754944046934</v>
      </c>
      <c r="Q1457">
        <f>-586.644489778465 -63.2484470727345 -298.267890158044</f>
        <v>-948.16082700924346</v>
      </c>
      <c r="R1457" t="s">
        <v>30143</v>
      </c>
      <c r="S1457" t="s">
        <v>30144</v>
      </c>
      <c r="T1457" t="s">
        <v>30145</v>
      </c>
      <c r="U1457" t="s">
        <v>30146</v>
      </c>
      <c r="V1457" t="s">
        <v>30147</v>
      </c>
      <c r="W1457" t="s">
        <v>30148</v>
      </c>
      <c r="X1457" t="s">
        <v>30149</v>
      </c>
      <c r="Y1457" t="s">
        <v>30150</v>
      </c>
    </row>
    <row r="1458" spans="1:25" x14ac:dyDescent="0.3">
      <c r="A1458">
        <v>72850</v>
      </c>
      <c r="B1458" t="s">
        <v>30151</v>
      </c>
      <c r="C1458" t="s">
        <v>30152</v>
      </c>
      <c r="D1458" t="s">
        <v>30153</v>
      </c>
      <c r="E1458" t="s">
        <v>30154</v>
      </c>
      <c r="F1458" t="s">
        <v>30155</v>
      </c>
      <c r="G1458" t="s">
        <v>30156</v>
      </c>
      <c r="H1458" t="s">
        <v>30157</v>
      </c>
      <c r="I1458" t="s">
        <v>30158</v>
      </c>
      <c r="J1458" t="s">
        <v>30159</v>
      </c>
      <c r="K1458" t="s">
        <v>30160</v>
      </c>
      <c r="L1458" t="s">
        <v>30161</v>
      </c>
      <c r="M1458" t="s">
        <v>30162</v>
      </c>
      <c r="N1458" t="s">
        <v>30163</v>
      </c>
      <c r="O1458">
        <f>-823.471204808438 -54.3032681993561 -497.872002269898</f>
        <v>-1375.6464752776922</v>
      </c>
      <c r="P1458">
        <f>-808.243449313644 -83.7466785113679 -205.481135871519</f>
        <v>-1097.471263696531</v>
      </c>
      <c r="Q1458">
        <f>-586.815310792106 -63.5041978363711 -298.275348975423</f>
        <v>-948.59485760389998</v>
      </c>
      <c r="R1458" t="s">
        <v>30164</v>
      </c>
      <c r="S1458" t="s">
        <v>30165</v>
      </c>
      <c r="T1458" t="s">
        <v>30166</v>
      </c>
      <c r="U1458" t="s">
        <v>30167</v>
      </c>
      <c r="V1458" t="s">
        <v>30168</v>
      </c>
      <c r="W1458" t="s">
        <v>30169</v>
      </c>
      <c r="X1458" t="s">
        <v>30170</v>
      </c>
      <c r="Y1458" t="s">
        <v>30171</v>
      </c>
    </row>
    <row r="1459" spans="1:25" x14ac:dyDescent="0.3">
      <c r="A1459">
        <v>72900</v>
      </c>
      <c r="B1459" t="s">
        <v>30172</v>
      </c>
      <c r="C1459" t="s">
        <v>30173</v>
      </c>
      <c r="D1459" t="s">
        <v>30174</v>
      </c>
      <c r="E1459" t="s">
        <v>30175</v>
      </c>
      <c r="F1459" t="s">
        <v>30176</v>
      </c>
      <c r="G1459" t="s">
        <v>30177</v>
      </c>
      <c r="H1459" t="s">
        <v>30178</v>
      </c>
      <c r="I1459" t="s">
        <v>30179</v>
      </c>
      <c r="J1459" t="s">
        <v>30180</v>
      </c>
      <c r="K1459" t="s">
        <v>30181</v>
      </c>
      <c r="L1459" t="s">
        <v>30182</v>
      </c>
      <c r="M1459" t="s">
        <v>30183</v>
      </c>
      <c r="N1459" t="s">
        <v>30184</v>
      </c>
      <c r="O1459">
        <f>-824.065033559454 -54.4654669062161 -498.492531494783</f>
        <v>-1377.0230319604532</v>
      </c>
      <c r="P1459">
        <f>-808.541068975436 -85.3457975443102 -206.265584692582</f>
        <v>-1100.1524512123283</v>
      </c>
      <c r="Q1459">
        <f>-587.148494742516 -63.6192639777551 -298.808024914443</f>
        <v>-949.57578363471407</v>
      </c>
      <c r="R1459" t="s">
        <v>30185</v>
      </c>
      <c r="S1459" t="s">
        <v>30186</v>
      </c>
      <c r="T1459" t="s">
        <v>30187</v>
      </c>
      <c r="U1459" t="s">
        <v>30188</v>
      </c>
      <c r="V1459" t="s">
        <v>30189</v>
      </c>
      <c r="W1459" t="s">
        <v>30190</v>
      </c>
      <c r="X1459" t="s">
        <v>30191</v>
      </c>
      <c r="Y1459" t="s">
        <v>30192</v>
      </c>
    </row>
    <row r="1460" spans="1:25" x14ac:dyDescent="0.3">
      <c r="A1460">
        <v>72950</v>
      </c>
      <c r="B1460" t="s">
        <v>30193</v>
      </c>
      <c r="C1460" t="s">
        <v>30194</v>
      </c>
      <c r="D1460" t="s">
        <v>30195</v>
      </c>
      <c r="E1460" t="s">
        <v>30196</v>
      </c>
      <c r="F1460" t="s">
        <v>30197</v>
      </c>
      <c r="G1460" t="s">
        <v>30198</v>
      </c>
      <c r="H1460" t="s">
        <v>30199</v>
      </c>
      <c r="I1460" t="s">
        <v>30200</v>
      </c>
      <c r="J1460" t="s">
        <v>30201</v>
      </c>
      <c r="K1460" t="s">
        <v>30202</v>
      </c>
      <c r="L1460" t="s">
        <v>30203</v>
      </c>
      <c r="M1460" t="s">
        <v>30204</v>
      </c>
      <c r="N1460" t="s">
        <v>30205</v>
      </c>
      <c r="O1460">
        <f>-824.679080360974 -54.6917375107323 -498.670082674405</f>
        <v>-1378.0409005461113</v>
      </c>
      <c r="P1460">
        <f>-808.86699435012 -85.8748926890414 -206.490651419322</f>
        <v>-1101.2325384584833</v>
      </c>
      <c r="Q1460">
        <f>-587.631438074603 -63.8613810415566 -299.340430253142</f>
        <v>-950.8332493693016</v>
      </c>
      <c r="R1460" t="s">
        <v>30206</v>
      </c>
      <c r="S1460" t="s">
        <v>30207</v>
      </c>
      <c r="T1460" t="s">
        <v>30208</v>
      </c>
      <c r="U1460" t="s">
        <v>30209</v>
      </c>
      <c r="V1460" t="s">
        <v>30210</v>
      </c>
      <c r="W1460" t="s">
        <v>30211</v>
      </c>
      <c r="X1460" t="s">
        <v>30212</v>
      </c>
      <c r="Y1460" t="s">
        <v>30213</v>
      </c>
    </row>
    <row r="1461" spans="1:25" x14ac:dyDescent="0.3">
      <c r="A1461">
        <v>73000</v>
      </c>
      <c r="B1461" t="s">
        <v>30214</v>
      </c>
      <c r="C1461" t="s">
        <v>30215</v>
      </c>
      <c r="D1461" t="s">
        <v>30216</v>
      </c>
      <c r="E1461" t="s">
        <v>30217</v>
      </c>
      <c r="F1461" t="s">
        <v>30218</v>
      </c>
      <c r="G1461" t="s">
        <v>30219</v>
      </c>
      <c r="H1461" t="s">
        <v>30220</v>
      </c>
      <c r="I1461" t="s">
        <v>30221</v>
      </c>
      <c r="J1461" t="s">
        <v>30222</v>
      </c>
      <c r="K1461" t="s">
        <v>30223</v>
      </c>
      <c r="L1461" t="s">
        <v>30224</v>
      </c>
      <c r="M1461" t="s">
        <v>30225</v>
      </c>
      <c r="N1461" t="s">
        <v>30226</v>
      </c>
      <c r="O1461">
        <f>-826.290715125579 -55.525576288946 -498.893367066394</f>
        <v>-1380.709658480919</v>
      </c>
      <c r="P1461">
        <f>-809.947111409213 -86.7703449244441 -206.74982013466</f>
        <v>-1103.4672764683171</v>
      </c>
      <c r="Q1461">
        <f>-589.116982284793 -64.6891023612457 -300.544130818415</f>
        <v>-954.35021546445364</v>
      </c>
      <c r="R1461" t="s">
        <v>30227</v>
      </c>
      <c r="S1461" t="s">
        <v>30228</v>
      </c>
      <c r="T1461" t="s">
        <v>30229</v>
      </c>
      <c r="U1461" t="s">
        <v>30230</v>
      </c>
      <c r="V1461" t="s">
        <v>30231</v>
      </c>
      <c r="W1461" t="s">
        <v>30232</v>
      </c>
      <c r="X1461" t="s">
        <v>30233</v>
      </c>
      <c r="Y1461" t="s">
        <v>30234</v>
      </c>
    </row>
    <row r="1462" spans="1:25" x14ac:dyDescent="0.3">
      <c r="A1462">
        <v>73050</v>
      </c>
      <c r="B1462" t="s">
        <v>30235</v>
      </c>
      <c r="C1462" t="s">
        <v>30236</v>
      </c>
      <c r="D1462" t="s">
        <v>30237</v>
      </c>
      <c r="E1462" t="s">
        <v>30238</v>
      </c>
      <c r="F1462" t="s">
        <v>30239</v>
      </c>
      <c r="G1462" t="s">
        <v>30240</v>
      </c>
      <c r="H1462" t="s">
        <v>30241</v>
      </c>
      <c r="I1462" t="s">
        <v>30242</v>
      </c>
      <c r="J1462" t="s">
        <v>30243</v>
      </c>
      <c r="K1462" t="s">
        <v>30244</v>
      </c>
      <c r="L1462" t="s">
        <v>30245</v>
      </c>
      <c r="M1462" t="s">
        <v>30246</v>
      </c>
      <c r="N1462" t="s">
        <v>30247</v>
      </c>
      <c r="O1462">
        <f>-826.917603904969 -56.0844522638611 -498.981954682694</f>
        <v>-1381.9840108515241</v>
      </c>
      <c r="P1462">
        <f>-810.15102511951 -87.4666962709273 -206.876955687995</f>
        <v>-1104.4946770784322</v>
      </c>
      <c r="Q1462">
        <f>-589.498281368643 -65.2082795771535 -301.045589086819</f>
        <v>-955.75215003261542</v>
      </c>
      <c r="R1462" t="s">
        <v>30248</v>
      </c>
      <c r="S1462" t="s">
        <v>30249</v>
      </c>
      <c r="T1462" t="s">
        <v>30250</v>
      </c>
      <c r="U1462" t="s">
        <v>30251</v>
      </c>
      <c r="V1462" t="s">
        <v>30252</v>
      </c>
      <c r="W1462" t="s">
        <v>30253</v>
      </c>
      <c r="X1462" t="s">
        <v>30254</v>
      </c>
      <c r="Y1462" t="s">
        <v>30255</v>
      </c>
    </row>
    <row r="1463" spans="1:25" x14ac:dyDescent="0.3">
      <c r="A1463">
        <v>73100</v>
      </c>
      <c r="B1463" t="s">
        <v>30256</v>
      </c>
      <c r="C1463" t="s">
        <v>30257</v>
      </c>
      <c r="D1463" t="s">
        <v>30258</v>
      </c>
      <c r="E1463" t="s">
        <v>30259</v>
      </c>
      <c r="F1463" t="s">
        <v>30260</v>
      </c>
      <c r="G1463" t="s">
        <v>30261</v>
      </c>
      <c r="H1463" t="s">
        <v>30262</v>
      </c>
      <c r="I1463" t="s">
        <v>30263</v>
      </c>
      <c r="J1463" t="s">
        <v>30264</v>
      </c>
      <c r="K1463" t="s">
        <v>30265</v>
      </c>
      <c r="L1463" t="s">
        <v>30266</v>
      </c>
      <c r="M1463" t="s">
        <v>30267</v>
      </c>
      <c r="N1463" t="s">
        <v>30268</v>
      </c>
      <c r="O1463">
        <f>-827.456092006148 -57.2472997574214 -499.135250185914</f>
        <v>-1383.8386419494834</v>
      </c>
      <c r="P1463">
        <f>-809.719234967935 -88.5839117329701 -207.0827410009</f>
        <v>-1105.3858877018051</v>
      </c>
      <c r="Q1463">
        <f>-589.31013312577 -65.8127412490278 -301.699018186256</f>
        <v>-956.8218925610538</v>
      </c>
      <c r="R1463" t="s">
        <v>30269</v>
      </c>
      <c r="S1463" t="s">
        <v>30270</v>
      </c>
      <c r="T1463" t="s">
        <v>30271</v>
      </c>
      <c r="U1463" t="s">
        <v>30272</v>
      </c>
      <c r="V1463" t="s">
        <v>30273</v>
      </c>
      <c r="W1463" t="s">
        <v>30274</v>
      </c>
      <c r="X1463" t="s">
        <v>30275</v>
      </c>
      <c r="Y1463" t="s">
        <v>30276</v>
      </c>
    </row>
    <row r="1464" spans="1:25" x14ac:dyDescent="0.3">
      <c r="A1464">
        <v>73150</v>
      </c>
      <c r="B1464" t="s">
        <v>30277</v>
      </c>
      <c r="C1464" t="s">
        <v>30278</v>
      </c>
      <c r="D1464" t="s">
        <v>30279</v>
      </c>
      <c r="E1464" t="s">
        <v>30280</v>
      </c>
      <c r="F1464" t="s">
        <v>30281</v>
      </c>
      <c r="G1464" t="s">
        <v>30282</v>
      </c>
      <c r="H1464" t="s">
        <v>30283</v>
      </c>
      <c r="I1464" t="s">
        <v>30284</v>
      </c>
      <c r="J1464" t="s">
        <v>30285</v>
      </c>
      <c r="K1464" t="s">
        <v>30286</v>
      </c>
      <c r="L1464" t="s">
        <v>30287</v>
      </c>
      <c r="M1464" t="s">
        <v>30288</v>
      </c>
      <c r="N1464" t="s">
        <v>30289</v>
      </c>
      <c r="O1464">
        <f>-827.643339705062 -57.7904688050605 -499.219545681188</f>
        <v>-1384.6533541913104</v>
      </c>
      <c r="P1464">
        <f>-809.419041030165 -89.0589295318791 -207.189764614776</f>
        <v>-1105.6677351768201</v>
      </c>
      <c r="Q1464">
        <f>-589.159784826693 -65.7740915747695 -302.029239685446</f>
        <v>-956.96311608690849</v>
      </c>
      <c r="R1464" t="s">
        <v>30290</v>
      </c>
      <c r="S1464" t="s">
        <v>30291</v>
      </c>
      <c r="T1464" t="s">
        <v>30292</v>
      </c>
      <c r="U1464" t="s">
        <v>30293</v>
      </c>
      <c r="V1464" t="s">
        <v>30294</v>
      </c>
      <c r="W1464" t="s">
        <v>30295</v>
      </c>
      <c r="X1464" t="s">
        <v>30296</v>
      </c>
      <c r="Y1464" t="s">
        <v>30297</v>
      </c>
    </row>
    <row r="1465" spans="1:25" x14ac:dyDescent="0.3">
      <c r="A1465">
        <v>73200</v>
      </c>
      <c r="B1465" t="s">
        <v>30298</v>
      </c>
      <c r="C1465" t="s">
        <v>30299</v>
      </c>
      <c r="D1465" t="s">
        <v>30300</v>
      </c>
      <c r="E1465" t="s">
        <v>30301</v>
      </c>
      <c r="F1465" t="s">
        <v>30302</v>
      </c>
      <c r="G1465" t="s">
        <v>30303</v>
      </c>
      <c r="H1465" t="s">
        <v>30304</v>
      </c>
      <c r="I1465" t="s">
        <v>30305</v>
      </c>
      <c r="J1465" t="s">
        <v>30306</v>
      </c>
      <c r="K1465" t="s">
        <v>30307</v>
      </c>
      <c r="L1465" t="s">
        <v>30308</v>
      </c>
      <c r="M1465" t="s">
        <v>30309</v>
      </c>
      <c r="N1465" t="s">
        <v>30310</v>
      </c>
      <c r="O1465">
        <f>-828.30868147717 -58.4475869975088 -499.253319621165</f>
        <v>-1386.0095880958438</v>
      </c>
      <c r="P1465">
        <f>-809.154660573471 -89.2823388678348 -207.23704530103</f>
        <v>-1105.6740447423358</v>
      </c>
      <c r="Q1465">
        <f>-589.293076582483 -65.0463236867213 -302.75857451329</f>
        <v>-957.09797478249425</v>
      </c>
      <c r="R1465" t="s">
        <v>30311</v>
      </c>
      <c r="S1465" t="s">
        <v>30312</v>
      </c>
      <c r="T1465" t="s">
        <v>30313</v>
      </c>
      <c r="U1465" t="s">
        <v>30314</v>
      </c>
      <c r="V1465" t="s">
        <v>30315</v>
      </c>
      <c r="W1465" t="s">
        <v>30316</v>
      </c>
      <c r="X1465" t="s">
        <v>30317</v>
      </c>
      <c r="Y1465" t="s">
        <v>30318</v>
      </c>
    </row>
    <row r="1466" spans="1:25" x14ac:dyDescent="0.3">
      <c r="A1466">
        <v>73250</v>
      </c>
      <c r="B1466" t="s">
        <v>30319</v>
      </c>
      <c r="C1466" t="s">
        <v>30320</v>
      </c>
      <c r="D1466" t="s">
        <v>30321</v>
      </c>
      <c r="E1466" t="s">
        <v>30322</v>
      </c>
      <c r="F1466" t="s">
        <v>30323</v>
      </c>
      <c r="G1466" t="s">
        <v>30324</v>
      </c>
      <c r="H1466" t="s">
        <v>30325</v>
      </c>
      <c r="I1466" t="s">
        <v>30326</v>
      </c>
      <c r="J1466" t="s">
        <v>30327</v>
      </c>
      <c r="K1466" t="s">
        <v>30328</v>
      </c>
      <c r="L1466" t="s">
        <v>30329</v>
      </c>
      <c r="M1466" t="s">
        <v>30330</v>
      </c>
      <c r="N1466" t="s">
        <v>30331</v>
      </c>
      <c r="O1466">
        <f>-828.620954733562 -58.9020746202264 -499.090926823824</f>
        <v>-1386.6139561776124</v>
      </c>
      <c r="P1466">
        <f>-809.096092013556 -89.0679588492706 -207.029286480673</f>
        <v>-1105.1933373434995</v>
      </c>
      <c r="Q1466">
        <f>-589.51269507512 -64.5904353040526 -303.127229223513</f>
        <v>-957.23035960268544</v>
      </c>
      <c r="R1466" t="s">
        <v>30332</v>
      </c>
      <c r="S1466" t="s">
        <v>30333</v>
      </c>
      <c r="T1466" t="s">
        <v>30334</v>
      </c>
      <c r="U1466" t="s">
        <v>30335</v>
      </c>
      <c r="V1466" t="s">
        <v>30336</v>
      </c>
      <c r="W1466" t="s">
        <v>30337</v>
      </c>
      <c r="X1466" t="s">
        <v>30338</v>
      </c>
      <c r="Y1466" t="s">
        <v>30339</v>
      </c>
    </row>
    <row r="1467" spans="1:25" x14ac:dyDescent="0.3">
      <c r="A1467">
        <v>73300</v>
      </c>
      <c r="B1467" t="s">
        <v>30340</v>
      </c>
      <c r="C1467" t="s">
        <v>30341</v>
      </c>
      <c r="D1467" t="s">
        <v>30342</v>
      </c>
      <c r="E1467" t="s">
        <v>30343</v>
      </c>
      <c r="F1467" t="s">
        <v>30344</v>
      </c>
      <c r="G1467" t="s">
        <v>30345</v>
      </c>
      <c r="H1467" t="s">
        <v>30346</v>
      </c>
      <c r="I1467" t="s">
        <v>30347</v>
      </c>
      <c r="J1467" t="s">
        <v>30348</v>
      </c>
      <c r="K1467" t="s">
        <v>30349</v>
      </c>
      <c r="L1467" t="s">
        <v>30350</v>
      </c>
      <c r="M1467" t="s">
        <v>30351</v>
      </c>
      <c r="N1467" t="s">
        <v>30352</v>
      </c>
      <c r="O1467">
        <f>-828.798288070387 -59.7035033186453 -498.561412798466</f>
        <v>-1387.0632041874983</v>
      </c>
      <c r="P1467">
        <f>-808.694533078296 -88.3714148456243 -206.388203563739</f>
        <v>-1103.4541514876591</v>
      </c>
      <c r="Q1467">
        <f>-589.604040067273 -63.8341102928789 -303.59017273018</f>
        <v>-957.02832309033192</v>
      </c>
      <c r="R1467" t="s">
        <v>30353</v>
      </c>
      <c r="S1467" t="s">
        <v>30354</v>
      </c>
      <c r="T1467" t="s">
        <v>30355</v>
      </c>
      <c r="U1467" t="s">
        <v>30356</v>
      </c>
      <c r="V1467" t="s">
        <v>30357</v>
      </c>
      <c r="W1467" t="s">
        <v>30358</v>
      </c>
      <c r="X1467" t="s">
        <v>30359</v>
      </c>
      <c r="Y1467" t="s">
        <v>30360</v>
      </c>
    </row>
    <row r="1468" spans="1:25" x14ac:dyDescent="0.3">
      <c r="A1468">
        <v>73350</v>
      </c>
      <c r="B1468" t="s">
        <v>30361</v>
      </c>
      <c r="C1468" t="s">
        <v>30362</v>
      </c>
      <c r="D1468" t="s">
        <v>30363</v>
      </c>
      <c r="E1468" t="s">
        <v>30364</v>
      </c>
      <c r="F1468" t="s">
        <v>30365</v>
      </c>
      <c r="G1468" t="s">
        <v>30366</v>
      </c>
      <c r="H1468" t="s">
        <v>30367</v>
      </c>
      <c r="I1468" t="s">
        <v>30368</v>
      </c>
      <c r="J1468" t="s">
        <v>30369</v>
      </c>
      <c r="K1468" t="s">
        <v>30370</v>
      </c>
      <c r="L1468" t="s">
        <v>30371</v>
      </c>
      <c r="M1468" t="s">
        <v>30372</v>
      </c>
      <c r="N1468" t="s">
        <v>30373</v>
      </c>
      <c r="O1468">
        <f>-828.882902374195 -59.8461958226105 -498.25733942341</f>
        <v>-1386.9864376202156</v>
      </c>
      <c r="P1468">
        <f>-808.595944175756 -87.8817066525351 -206.035471528776</f>
        <v>-1102.513122357067</v>
      </c>
      <c r="Q1468">
        <f>-589.686535907455 -63.2847860717091 -303.629290727456</f>
        <v>-956.60061270662004</v>
      </c>
      <c r="R1468" t="s">
        <v>30374</v>
      </c>
      <c r="S1468" t="s">
        <v>30375</v>
      </c>
      <c r="T1468" t="s">
        <v>30376</v>
      </c>
      <c r="U1468" t="s">
        <v>30377</v>
      </c>
      <c r="V1468" t="s">
        <v>30378</v>
      </c>
      <c r="W1468" t="s">
        <v>30379</v>
      </c>
      <c r="X1468" t="s">
        <v>30380</v>
      </c>
      <c r="Y1468" t="s">
        <v>30381</v>
      </c>
    </row>
    <row r="1469" spans="1:25" x14ac:dyDescent="0.3">
      <c r="A1469">
        <v>73400</v>
      </c>
      <c r="B1469" t="s">
        <v>30382</v>
      </c>
      <c r="C1469" t="s">
        <v>30383</v>
      </c>
      <c r="D1469" t="s">
        <v>30384</v>
      </c>
      <c r="E1469" t="s">
        <v>30385</v>
      </c>
      <c r="F1469" t="s">
        <v>30386</v>
      </c>
      <c r="G1469" t="s">
        <v>30387</v>
      </c>
      <c r="H1469" t="s">
        <v>30388</v>
      </c>
      <c r="I1469" t="s">
        <v>30389</v>
      </c>
      <c r="J1469" t="s">
        <v>30390</v>
      </c>
      <c r="K1469" t="s">
        <v>30391</v>
      </c>
      <c r="L1469" t="s">
        <v>30392</v>
      </c>
      <c r="M1469" t="s">
        <v>30393</v>
      </c>
      <c r="N1469" t="s">
        <v>30394</v>
      </c>
      <c r="O1469">
        <f>-828.602907560776 -60.0079678182071 -497.794364817927</f>
        <v>-1386.4052401969102</v>
      </c>
      <c r="P1469">
        <f>-808.048611602547 -86.9936786044025 -205.492127285856</f>
        <v>-1100.5344174928055</v>
      </c>
      <c r="Q1469">
        <f>-589.385553324563 -62.1512941537901 -303.574865522161</f>
        <v>-955.1117130005141</v>
      </c>
      <c r="R1469" t="s">
        <v>30395</v>
      </c>
      <c r="S1469" t="s">
        <v>30396</v>
      </c>
      <c r="T1469" t="s">
        <v>30397</v>
      </c>
      <c r="U1469" t="s">
        <v>30398</v>
      </c>
      <c r="V1469" t="s">
        <v>30399</v>
      </c>
      <c r="W1469" t="s">
        <v>30400</v>
      </c>
      <c r="X1469" t="s">
        <v>30401</v>
      </c>
      <c r="Y1469" t="s">
        <v>30402</v>
      </c>
    </row>
    <row r="1470" spans="1:25" x14ac:dyDescent="0.3">
      <c r="A1470">
        <v>73450</v>
      </c>
      <c r="B1470" t="s">
        <v>30403</v>
      </c>
      <c r="C1470" t="s">
        <v>30404</v>
      </c>
      <c r="D1470" t="s">
        <v>30405</v>
      </c>
      <c r="E1470" t="s">
        <v>30406</v>
      </c>
      <c r="F1470" t="s">
        <v>30407</v>
      </c>
      <c r="G1470" t="s">
        <v>30408</v>
      </c>
      <c r="H1470" t="s">
        <v>30409</v>
      </c>
      <c r="I1470" t="s">
        <v>30410</v>
      </c>
      <c r="J1470" t="s">
        <v>30411</v>
      </c>
      <c r="K1470" t="s">
        <v>30412</v>
      </c>
      <c r="L1470" t="s">
        <v>30413</v>
      </c>
      <c r="M1470" t="s">
        <v>30414</v>
      </c>
      <c r="N1470" t="s">
        <v>30415</v>
      </c>
      <c r="O1470">
        <f>-828.273909087183 -59.9408708628516 -497.681285686915</f>
        <v>-1385.8960656369495</v>
      </c>
      <c r="P1470">
        <f>-807.774530076368 -86.585180549806 -205.34416634232</f>
        <v>-1099.7038769684939</v>
      </c>
      <c r="Q1470">
        <f>-589.209750808061 -61.6027151460537 -303.610039708663</f>
        <v>-954.42250566277767</v>
      </c>
      <c r="R1470" t="s">
        <v>30416</v>
      </c>
      <c r="S1470" t="s">
        <v>30417</v>
      </c>
      <c r="T1470" t="s">
        <v>30418</v>
      </c>
      <c r="U1470" t="s">
        <v>30419</v>
      </c>
      <c r="V1470" t="s">
        <v>30420</v>
      </c>
      <c r="W1470" t="s">
        <v>30421</v>
      </c>
      <c r="X1470" t="s">
        <v>30422</v>
      </c>
      <c r="Y1470" t="s">
        <v>30423</v>
      </c>
    </row>
    <row r="1471" spans="1:25" x14ac:dyDescent="0.3">
      <c r="A1471">
        <v>73500</v>
      </c>
      <c r="B1471" t="s">
        <v>30424</v>
      </c>
      <c r="C1471" t="s">
        <v>30425</v>
      </c>
      <c r="D1471" t="s">
        <v>30426</v>
      </c>
      <c r="E1471" t="s">
        <v>30427</v>
      </c>
      <c r="F1471" t="s">
        <v>30428</v>
      </c>
      <c r="G1471" t="s">
        <v>30429</v>
      </c>
      <c r="H1471" t="s">
        <v>30430</v>
      </c>
      <c r="I1471" t="s">
        <v>30431</v>
      </c>
      <c r="J1471" t="s">
        <v>30432</v>
      </c>
      <c r="K1471" t="s">
        <v>30433</v>
      </c>
      <c r="L1471" t="s">
        <v>30434</v>
      </c>
      <c r="M1471" t="s">
        <v>30435</v>
      </c>
      <c r="N1471" t="s">
        <v>30436</v>
      </c>
      <c r="O1471">
        <f>-827.55897098457 -59.9727739220962 -497.519895390681</f>
        <v>-1385.0516402973471</v>
      </c>
      <c r="P1471">
        <f>-807.250158941617 -85.9044926560493 -205.105298283342</f>
        <v>-1098.2599498810082</v>
      </c>
      <c r="Q1471">
        <f>-588.893200908227 -60.7448418481708 -303.786950178889</f>
        <v>-953.42499293528681</v>
      </c>
      <c r="R1471" t="s">
        <v>30437</v>
      </c>
      <c r="S1471" t="s">
        <v>30438</v>
      </c>
      <c r="T1471" t="s">
        <v>30439</v>
      </c>
      <c r="U1471" t="s">
        <v>30440</v>
      </c>
      <c r="V1471" t="s">
        <v>30441</v>
      </c>
      <c r="W1471" t="s">
        <v>30442</v>
      </c>
      <c r="X1471" t="s">
        <v>30443</v>
      </c>
      <c r="Y1471" t="s">
        <v>30444</v>
      </c>
    </row>
    <row r="1472" spans="1:25" x14ac:dyDescent="0.3">
      <c r="A1472">
        <v>73550</v>
      </c>
      <c r="B1472" t="s">
        <v>30445</v>
      </c>
      <c r="C1472" t="s">
        <v>30446</v>
      </c>
      <c r="D1472" t="s">
        <v>30447</v>
      </c>
      <c r="E1472" t="s">
        <v>30448</v>
      </c>
      <c r="F1472" t="s">
        <v>30449</v>
      </c>
      <c r="G1472" t="s">
        <v>30450</v>
      </c>
      <c r="H1472" t="s">
        <v>30451</v>
      </c>
      <c r="I1472" t="s">
        <v>30452</v>
      </c>
      <c r="J1472" t="s">
        <v>30453</v>
      </c>
      <c r="K1472" t="s">
        <v>30454</v>
      </c>
      <c r="L1472" t="s">
        <v>30455</v>
      </c>
      <c r="M1472" t="s">
        <v>30456</v>
      </c>
      <c r="N1472" t="s">
        <v>30457</v>
      </c>
      <c r="O1472">
        <f>-827.047426343588 -60.1518601471389 -497.34169589965</f>
        <v>-1384.5409823903769</v>
      </c>
      <c r="P1472">
        <f>-807.061812618404 -85.4793085181466 -204.85187234771</f>
        <v>-1097.3929934842606</v>
      </c>
      <c r="Q1472">
        <f>-589.056416295047 -60.3324744252595 -304.310828114502</f>
        <v>-953.69971883480855</v>
      </c>
      <c r="R1472" t="s">
        <v>30458</v>
      </c>
      <c r="S1472" t="s">
        <v>30459</v>
      </c>
      <c r="T1472" t="s">
        <v>30460</v>
      </c>
      <c r="U1472" t="s">
        <v>30461</v>
      </c>
      <c r="V1472" t="s">
        <v>30462</v>
      </c>
      <c r="W1472" t="s">
        <v>30463</v>
      </c>
      <c r="X1472" t="s">
        <v>30464</v>
      </c>
      <c r="Y1472" t="s">
        <v>30465</v>
      </c>
    </row>
    <row r="1473" spans="1:25" x14ac:dyDescent="0.3">
      <c r="A1473">
        <v>73600</v>
      </c>
      <c r="B1473" t="s">
        <v>30466</v>
      </c>
      <c r="C1473" t="s">
        <v>30467</v>
      </c>
      <c r="D1473" t="s">
        <v>30468</v>
      </c>
      <c r="E1473" t="s">
        <v>30469</v>
      </c>
      <c r="F1473" t="s">
        <v>30470</v>
      </c>
      <c r="G1473" t="s">
        <v>30471</v>
      </c>
      <c r="H1473" t="s">
        <v>30472</v>
      </c>
      <c r="I1473" t="s">
        <v>30473</v>
      </c>
      <c r="J1473" t="s">
        <v>30474</v>
      </c>
      <c r="K1473" t="s">
        <v>30475</v>
      </c>
      <c r="L1473" t="s">
        <v>30476</v>
      </c>
      <c r="M1473" t="s">
        <v>30477</v>
      </c>
      <c r="N1473" t="s">
        <v>30478</v>
      </c>
      <c r="O1473">
        <f>-825.908815112421 -60.6142801128885 -496.736561615512</f>
        <v>-1383.2596568408217</v>
      </c>
      <c r="P1473">
        <f>-807.40786830434 -83.9328808963785 -203.982188479213</f>
        <v>-1095.3229376799316</v>
      </c>
      <c r="Q1473">
        <f>-590.905093615248 -59.184950651156 -306.768572694075</f>
        <v>-956.85861696047891</v>
      </c>
      <c r="R1473" t="s">
        <v>30479</v>
      </c>
      <c r="S1473" t="s">
        <v>30480</v>
      </c>
      <c r="T1473" t="s">
        <v>30481</v>
      </c>
      <c r="U1473" t="s">
        <v>30482</v>
      </c>
      <c r="V1473" t="s">
        <v>30483</v>
      </c>
      <c r="W1473" t="s">
        <v>30484</v>
      </c>
      <c r="X1473" t="s">
        <v>30485</v>
      </c>
      <c r="Y1473" t="s">
        <v>30486</v>
      </c>
    </row>
    <row r="1474" spans="1:25" x14ac:dyDescent="0.3">
      <c r="A1474">
        <v>73650</v>
      </c>
      <c r="B1474" t="s">
        <v>30487</v>
      </c>
      <c r="C1474" t="s">
        <v>30488</v>
      </c>
      <c r="D1474" t="s">
        <v>30489</v>
      </c>
      <c r="E1474" t="s">
        <v>30490</v>
      </c>
      <c r="F1474" t="s">
        <v>30491</v>
      </c>
      <c r="G1474" t="s">
        <v>30492</v>
      </c>
      <c r="H1474" t="s">
        <v>30493</v>
      </c>
      <c r="I1474" t="s">
        <v>30494</v>
      </c>
      <c r="J1474" t="s">
        <v>30495</v>
      </c>
      <c r="K1474" t="s">
        <v>30496</v>
      </c>
      <c r="L1474" t="s">
        <v>30497</v>
      </c>
      <c r="M1474" t="s">
        <v>30498</v>
      </c>
      <c r="N1474" t="s">
        <v>30499</v>
      </c>
      <c r="O1474">
        <f>-825.470814424101 -60.8497075505882 -496.374932780957</f>
        <v>-1382.6954547556461</v>
      </c>
      <c r="P1474">
        <f>-807.745497463827 -83.0854343451138 -203.4883034494</f>
        <v>-1094.3192352583408</v>
      </c>
      <c r="Q1474">
        <f>-592.220550163204 -58.3795873909889 -308.319138113465</f>
        <v>-958.91927566765798</v>
      </c>
      <c r="R1474" t="s">
        <v>30500</v>
      </c>
      <c r="S1474" t="s">
        <v>30501</v>
      </c>
      <c r="T1474" t="s">
        <v>30502</v>
      </c>
      <c r="U1474" t="s">
        <v>30503</v>
      </c>
      <c r="V1474" t="s">
        <v>30504</v>
      </c>
      <c r="W1474" t="s">
        <v>30505</v>
      </c>
      <c r="X1474" t="s">
        <v>30506</v>
      </c>
      <c r="Y1474" t="s">
        <v>30507</v>
      </c>
    </row>
    <row r="1475" spans="1:25" x14ac:dyDescent="0.3">
      <c r="A1475">
        <v>73700</v>
      </c>
      <c r="B1475" t="s">
        <v>30508</v>
      </c>
      <c r="C1475" t="s">
        <v>30509</v>
      </c>
      <c r="D1475" t="s">
        <v>30510</v>
      </c>
      <c r="E1475" t="s">
        <v>30511</v>
      </c>
      <c r="F1475" t="s">
        <v>30512</v>
      </c>
      <c r="G1475" t="s">
        <v>30513</v>
      </c>
      <c r="H1475" t="s">
        <v>30514</v>
      </c>
      <c r="I1475" t="s">
        <v>30515</v>
      </c>
      <c r="J1475" t="s">
        <v>30516</v>
      </c>
      <c r="K1475" t="s">
        <v>30517</v>
      </c>
      <c r="L1475" t="s">
        <v>30518</v>
      </c>
      <c r="M1475" t="s">
        <v>30519</v>
      </c>
      <c r="N1475" t="s">
        <v>30520</v>
      </c>
      <c r="O1475">
        <f>-824.56619785847 -60.610636326963 -496.020054878679</f>
        <v>-1381.1968890641119</v>
      </c>
      <c r="P1475">
        <f>-808.108006838705 -82.0426500041158 -202.999661662001</f>
        <v>-1093.1503185048218</v>
      </c>
      <c r="Q1475">
        <f>-594.035432759032 -56.1769527819706 -310.492870096146</f>
        <v>-960.70525563714864</v>
      </c>
      <c r="R1475" t="s">
        <v>30521</v>
      </c>
      <c r="S1475" t="s">
        <v>30522</v>
      </c>
      <c r="T1475" t="s">
        <v>30523</v>
      </c>
      <c r="U1475" t="s">
        <v>30524</v>
      </c>
      <c r="V1475" t="s">
        <v>30525</v>
      </c>
      <c r="W1475" t="s">
        <v>30526</v>
      </c>
      <c r="X1475" t="s">
        <v>30527</v>
      </c>
      <c r="Y1475" t="s">
        <v>30528</v>
      </c>
    </row>
    <row r="1476" spans="1:25" x14ac:dyDescent="0.3">
      <c r="A1476">
        <v>73750</v>
      </c>
      <c r="B1476" t="s">
        <v>30529</v>
      </c>
      <c r="C1476" t="s">
        <v>30530</v>
      </c>
      <c r="D1476" t="s">
        <v>30531</v>
      </c>
      <c r="E1476" t="s">
        <v>30532</v>
      </c>
      <c r="F1476" t="s">
        <v>30533</v>
      </c>
      <c r="G1476" t="s">
        <v>30534</v>
      </c>
      <c r="H1476" t="s">
        <v>30535</v>
      </c>
      <c r="I1476" t="s">
        <v>30536</v>
      </c>
      <c r="J1476" t="s">
        <v>30537</v>
      </c>
      <c r="K1476" t="s">
        <v>30538</v>
      </c>
      <c r="L1476" t="s">
        <v>30539</v>
      </c>
      <c r="M1476" t="s">
        <v>30540</v>
      </c>
      <c r="N1476" t="s">
        <v>30541</v>
      </c>
      <c r="O1476">
        <f>-823.922090035014 -59.9511176633923 -496.103135847619</f>
        <v>-1379.9763435460254</v>
      </c>
      <c r="P1476">
        <f>-808.28310700589 -81.4266886307032 -203.041080391571</f>
        <v>-1092.7508760281642</v>
      </c>
      <c r="Q1476">
        <f>-594.860520690735 -55.007827259539 -311.685923790379</f>
        <v>-961.55427174065301</v>
      </c>
      <c r="R1476" t="s">
        <v>30542</v>
      </c>
      <c r="S1476" t="s">
        <v>30543</v>
      </c>
      <c r="T1476" t="s">
        <v>30544</v>
      </c>
      <c r="U1476" t="s">
        <v>30545</v>
      </c>
      <c r="V1476" t="s">
        <v>30546</v>
      </c>
      <c r="W1476" t="s">
        <v>30547</v>
      </c>
      <c r="X1476" t="s">
        <v>30548</v>
      </c>
      <c r="Y1476" t="s">
        <v>30549</v>
      </c>
    </row>
    <row r="1477" spans="1:25" x14ac:dyDescent="0.3">
      <c r="A1477">
        <v>73800</v>
      </c>
      <c r="B1477" t="s">
        <v>30550</v>
      </c>
      <c r="C1477" t="s">
        <v>30551</v>
      </c>
      <c r="D1477" t="s">
        <v>30552</v>
      </c>
      <c r="E1477" t="s">
        <v>30553</v>
      </c>
      <c r="F1477" t="s">
        <v>30554</v>
      </c>
      <c r="G1477" t="s">
        <v>30555</v>
      </c>
      <c r="H1477" t="s">
        <v>30556</v>
      </c>
      <c r="I1477" t="s">
        <v>30557</v>
      </c>
      <c r="J1477" t="s">
        <v>30558</v>
      </c>
      <c r="K1477" t="s">
        <v>30559</v>
      </c>
      <c r="L1477" t="s">
        <v>30560</v>
      </c>
      <c r="M1477" t="s">
        <v>30561</v>
      </c>
      <c r="N1477" t="s">
        <v>30562</v>
      </c>
      <c r="O1477">
        <f>-821.954319479754 -58.2413532942671 -496.695394051521</f>
        <v>-1376.8910668255421</v>
      </c>
      <c r="P1477">
        <f>-808.451901048374 -79.9254225025531 -203.542351167996</f>
        <v>-1091.919674718923</v>
      </c>
      <c r="Q1477">
        <f>-595.559941869884 -52.8574286246669 -313.065059508027</f>
        <v>-961.48243000257798</v>
      </c>
      <c r="R1477" t="s">
        <v>30563</v>
      </c>
      <c r="S1477" t="s">
        <v>30564</v>
      </c>
      <c r="T1477" t="s">
        <v>30565</v>
      </c>
      <c r="U1477" t="s">
        <v>30566</v>
      </c>
      <c r="V1477" t="s">
        <v>30567</v>
      </c>
      <c r="W1477" t="s">
        <v>30568</v>
      </c>
      <c r="X1477" t="s">
        <v>30569</v>
      </c>
      <c r="Y1477" t="s">
        <v>30570</v>
      </c>
    </row>
    <row r="1478" spans="1:25" x14ac:dyDescent="0.3">
      <c r="A1478">
        <v>73850</v>
      </c>
      <c r="B1478" t="s">
        <v>30571</v>
      </c>
      <c r="C1478" t="s">
        <v>30572</v>
      </c>
      <c r="D1478" t="s">
        <v>30573</v>
      </c>
      <c r="E1478" t="s">
        <v>30574</v>
      </c>
      <c r="F1478" t="s">
        <v>30575</v>
      </c>
      <c r="G1478" t="s">
        <v>30576</v>
      </c>
      <c r="H1478" t="s">
        <v>30577</v>
      </c>
      <c r="I1478" t="s">
        <v>30578</v>
      </c>
      <c r="J1478" t="s">
        <v>30579</v>
      </c>
      <c r="K1478" t="s">
        <v>30580</v>
      </c>
      <c r="L1478" t="s">
        <v>30581</v>
      </c>
      <c r="M1478" t="s">
        <v>30582</v>
      </c>
      <c r="N1478" t="s">
        <v>30583</v>
      </c>
      <c r="O1478">
        <f>-820.822505738553 -57.5782796596347 -497.12353768849</f>
        <v>-1375.5243230866777</v>
      </c>
      <c r="P1478">
        <f>-807.748738625388 -79.9009852483173 -203.999061825324</f>
        <v>-1091.6487856990293</v>
      </c>
      <c r="Q1478">
        <f>-595.121405927824 -51.8693929463675 -313.792749637082</f>
        <v>-960.78354851127347</v>
      </c>
      <c r="R1478" t="s">
        <v>30584</v>
      </c>
      <c r="S1478" t="s">
        <v>30585</v>
      </c>
      <c r="T1478" t="s">
        <v>30586</v>
      </c>
      <c r="U1478" t="s">
        <v>30587</v>
      </c>
      <c r="V1478" t="s">
        <v>30588</v>
      </c>
      <c r="W1478" t="s">
        <v>30589</v>
      </c>
      <c r="X1478" t="s">
        <v>30590</v>
      </c>
      <c r="Y1478" t="s">
        <v>30591</v>
      </c>
    </row>
    <row r="1479" spans="1:25" x14ac:dyDescent="0.3">
      <c r="A1479">
        <v>73900</v>
      </c>
      <c r="B1479" t="s">
        <v>30592</v>
      </c>
      <c r="C1479" t="s">
        <v>30593</v>
      </c>
      <c r="D1479" t="s">
        <v>30594</v>
      </c>
      <c r="E1479" t="s">
        <v>30595</v>
      </c>
      <c r="F1479" t="s">
        <v>30596</v>
      </c>
      <c r="G1479" t="s">
        <v>30597</v>
      </c>
      <c r="H1479" t="s">
        <v>30598</v>
      </c>
      <c r="I1479" t="s">
        <v>30599</v>
      </c>
      <c r="J1479" t="s">
        <v>30600</v>
      </c>
      <c r="K1479" t="s">
        <v>30601</v>
      </c>
      <c r="L1479" t="s">
        <v>30602</v>
      </c>
      <c r="M1479" t="s">
        <v>30603</v>
      </c>
      <c r="N1479" t="s">
        <v>30604</v>
      </c>
      <c r="O1479">
        <f>-818.830416662117 -56.4574252205932 -497.76665852302</f>
        <v>-1373.0545004057303</v>
      </c>
      <c r="P1479">
        <f>-805.424873675032 -80.0776382736974 -204.758821430296</f>
        <v>-1090.2613333790255</v>
      </c>
      <c r="Q1479">
        <f>-593.278374726555 -50.409214964154 -315.051561986741</f>
        <v>-958.73915167744985</v>
      </c>
      <c r="R1479" t="s">
        <v>30605</v>
      </c>
      <c r="S1479" t="s">
        <v>30606</v>
      </c>
      <c r="T1479" t="s">
        <v>30607</v>
      </c>
      <c r="U1479" t="s">
        <v>30608</v>
      </c>
      <c r="V1479" t="s">
        <v>30609</v>
      </c>
      <c r="W1479" t="s">
        <v>30610</v>
      </c>
      <c r="X1479" t="s">
        <v>30611</v>
      </c>
      <c r="Y1479" t="s">
        <v>30612</v>
      </c>
    </row>
    <row r="1480" spans="1:25" x14ac:dyDescent="0.3">
      <c r="A1480">
        <v>73950</v>
      </c>
      <c r="B1480" t="s">
        <v>30613</v>
      </c>
      <c r="C1480" t="s">
        <v>30614</v>
      </c>
      <c r="D1480" t="s">
        <v>30615</v>
      </c>
      <c r="E1480" t="s">
        <v>30616</v>
      </c>
      <c r="F1480" t="s">
        <v>30617</v>
      </c>
      <c r="G1480" t="s">
        <v>30618</v>
      </c>
      <c r="H1480" t="s">
        <v>30619</v>
      </c>
      <c r="I1480" t="s">
        <v>30620</v>
      </c>
      <c r="J1480" t="s">
        <v>30621</v>
      </c>
      <c r="K1480" t="s">
        <v>30622</v>
      </c>
      <c r="L1480" t="s">
        <v>30623</v>
      </c>
      <c r="M1480" t="s">
        <v>30624</v>
      </c>
      <c r="N1480" t="s">
        <v>30625</v>
      </c>
      <c r="O1480">
        <f>-817.907644533598 -55.8788425165189 -498.000330662629</f>
        <v>-1371.7868177127459</v>
      </c>
      <c r="P1480">
        <f>-804.68558824995 -79.9344910757652 -205.019681729021</f>
        <v>-1089.6397610547363</v>
      </c>
      <c r="Q1480">
        <f>-592.274543860567 -50.0238575043861 -314.736344416773</f>
        <v>-957.03474578172609</v>
      </c>
      <c r="R1480" t="s">
        <v>30626</v>
      </c>
      <c r="S1480" t="s">
        <v>30627</v>
      </c>
      <c r="T1480" t="s">
        <v>30628</v>
      </c>
      <c r="U1480" t="s">
        <v>30629</v>
      </c>
      <c r="V1480" t="s">
        <v>30630</v>
      </c>
      <c r="W1480" t="s">
        <v>30631</v>
      </c>
      <c r="X1480" t="s">
        <v>30632</v>
      </c>
      <c r="Y1480" t="s">
        <v>30633</v>
      </c>
    </row>
    <row r="1481" spans="1:25" x14ac:dyDescent="0.3">
      <c r="A1481">
        <v>74000</v>
      </c>
      <c r="B1481" t="s">
        <v>30634</v>
      </c>
      <c r="C1481" t="s">
        <v>30635</v>
      </c>
      <c r="D1481" t="s">
        <v>30636</v>
      </c>
      <c r="E1481" t="s">
        <v>30637</v>
      </c>
      <c r="F1481" t="s">
        <v>30638</v>
      </c>
      <c r="G1481" t="s">
        <v>30639</v>
      </c>
      <c r="H1481" t="s">
        <v>30640</v>
      </c>
      <c r="I1481" t="s">
        <v>30641</v>
      </c>
      <c r="J1481" t="s">
        <v>30642</v>
      </c>
      <c r="K1481" t="s">
        <v>30643</v>
      </c>
      <c r="L1481" t="s">
        <v>30644</v>
      </c>
      <c r="M1481" t="s">
        <v>30645</v>
      </c>
      <c r="N1481" t="s">
        <v>30646</v>
      </c>
      <c r="O1481">
        <f>-816.231422948044 -54.5984640769007 -498.503986442005</f>
        <v>-1369.3338734669496</v>
      </c>
      <c r="P1481">
        <f>-803.671275439128 -79.907913124378 -205.599845858112</f>
        <v>-1089.1790344216179</v>
      </c>
      <c r="Q1481">
        <f>-589.985071820856 -48.9037095000531 -312.500743619043</f>
        <v>-951.38952493995203</v>
      </c>
      <c r="R1481" t="s">
        <v>30647</v>
      </c>
      <c r="S1481" t="s">
        <v>30648</v>
      </c>
      <c r="T1481" t="s">
        <v>30649</v>
      </c>
      <c r="U1481" t="s">
        <v>30650</v>
      </c>
      <c r="V1481" t="s">
        <v>30651</v>
      </c>
      <c r="W1481" t="s">
        <v>30652</v>
      </c>
      <c r="X1481" t="s">
        <v>30653</v>
      </c>
      <c r="Y1481" t="s">
        <v>30654</v>
      </c>
    </row>
    <row r="1482" spans="1:25" x14ac:dyDescent="0.3">
      <c r="A1482">
        <v>74050</v>
      </c>
      <c r="B1482" t="s">
        <v>30655</v>
      </c>
      <c r="C1482" t="s">
        <v>30656</v>
      </c>
      <c r="D1482" t="s">
        <v>30657</v>
      </c>
      <c r="E1482" t="s">
        <v>30658</v>
      </c>
      <c r="F1482" t="s">
        <v>30659</v>
      </c>
      <c r="G1482" t="s">
        <v>30660</v>
      </c>
      <c r="H1482" t="s">
        <v>30661</v>
      </c>
      <c r="I1482" t="s">
        <v>30662</v>
      </c>
      <c r="J1482" t="s">
        <v>30663</v>
      </c>
      <c r="K1482" t="s">
        <v>30664</v>
      </c>
      <c r="L1482" t="s">
        <v>30665</v>
      </c>
      <c r="M1482" t="s">
        <v>30666</v>
      </c>
      <c r="N1482" t="s">
        <v>30667</v>
      </c>
      <c r="O1482">
        <f>-815.358105014226 -53.7744254038646 -498.731292889974</f>
        <v>-1367.8638233080646</v>
      </c>
      <c r="P1482">
        <f>-803.227448445934 -79.7038622976204 -205.863231746996</f>
        <v>-1088.7945424905504</v>
      </c>
      <c r="Q1482">
        <f>-588.456905866738 -48.2710901498497 -310.440945004642</f>
        <v>-947.16894102122967</v>
      </c>
      <c r="R1482" t="s">
        <v>30668</v>
      </c>
      <c r="S1482" t="s">
        <v>30669</v>
      </c>
      <c r="T1482" t="s">
        <v>30670</v>
      </c>
      <c r="U1482" t="s">
        <v>30671</v>
      </c>
      <c r="V1482" t="s">
        <v>30672</v>
      </c>
      <c r="W1482" t="s">
        <v>30673</v>
      </c>
      <c r="X1482" t="s">
        <v>30674</v>
      </c>
      <c r="Y1482" t="s">
        <v>30675</v>
      </c>
    </row>
    <row r="1483" spans="1:25" x14ac:dyDescent="0.3">
      <c r="A1483">
        <v>74100</v>
      </c>
      <c r="B1483" t="s">
        <v>30676</v>
      </c>
      <c r="C1483" t="s">
        <v>30677</v>
      </c>
      <c r="D1483" t="s">
        <v>30678</v>
      </c>
      <c r="E1483" t="s">
        <v>30679</v>
      </c>
      <c r="F1483" t="s">
        <v>30680</v>
      </c>
      <c r="G1483" t="s">
        <v>30681</v>
      </c>
      <c r="H1483" t="s">
        <v>30682</v>
      </c>
      <c r="I1483" t="s">
        <v>30683</v>
      </c>
      <c r="J1483" t="s">
        <v>30684</v>
      </c>
      <c r="K1483" t="s">
        <v>30685</v>
      </c>
      <c r="L1483" t="s">
        <v>30686</v>
      </c>
      <c r="M1483" t="s">
        <v>30687</v>
      </c>
      <c r="N1483" t="s">
        <v>30688</v>
      </c>
      <c r="O1483">
        <f>-813.468412399567 -52.0275892971843 -498.992205274441</f>
        <v>-1364.4882069711923</v>
      </c>
      <c r="P1483">
        <f>-802.774784615583 -78.6277561250749 -206.128177500005</f>
        <v>-1087.530718240663</v>
      </c>
      <c r="Q1483">
        <f>-585.589078255827 -46.0867046713611 -305.235736219927</f>
        <v>-936.91151914711509</v>
      </c>
      <c r="R1483" t="s">
        <v>30689</v>
      </c>
      <c r="S1483" t="s">
        <v>30690</v>
      </c>
      <c r="T1483" t="s">
        <v>30691</v>
      </c>
      <c r="U1483" t="s">
        <v>30692</v>
      </c>
      <c r="V1483" t="s">
        <v>30693</v>
      </c>
      <c r="W1483" t="s">
        <v>30694</v>
      </c>
      <c r="X1483" t="s">
        <v>30695</v>
      </c>
      <c r="Y1483" t="s">
        <v>30696</v>
      </c>
    </row>
    <row r="1484" spans="1:25" x14ac:dyDescent="0.3">
      <c r="A1484">
        <v>74150</v>
      </c>
      <c r="B1484" t="s">
        <v>30697</v>
      </c>
      <c r="C1484" t="s">
        <v>30698</v>
      </c>
      <c r="D1484" t="s">
        <v>30699</v>
      </c>
      <c r="E1484" t="s">
        <v>30700</v>
      </c>
      <c r="F1484" t="s">
        <v>30701</v>
      </c>
      <c r="G1484" t="s">
        <v>30702</v>
      </c>
      <c r="H1484" t="s">
        <v>30703</v>
      </c>
      <c r="I1484" t="s">
        <v>30704</v>
      </c>
      <c r="J1484" t="s">
        <v>30705</v>
      </c>
      <c r="K1484" t="s">
        <v>30706</v>
      </c>
      <c r="L1484" t="s">
        <v>30707</v>
      </c>
      <c r="M1484" t="s">
        <v>30708</v>
      </c>
      <c r="N1484" t="s">
        <v>30709</v>
      </c>
      <c r="O1484">
        <f>-812.204315326295 -51.1503933616054 -499.119003004249</f>
        <v>-1362.4737116921494</v>
      </c>
      <c r="P1484">
        <f>-802.64953843013 -78.0745013539329 -206.245271181472</f>
        <v>-1086.9693109655348</v>
      </c>
      <c r="Q1484">
        <f>-584.306399585682 -44.9898216107056 -302.591490722485</f>
        <v>-931.88771191887258</v>
      </c>
      <c r="R1484" t="s">
        <v>30710</v>
      </c>
      <c r="S1484" t="s">
        <v>30711</v>
      </c>
      <c r="T1484" t="s">
        <v>30712</v>
      </c>
      <c r="U1484" t="s">
        <v>30713</v>
      </c>
      <c r="V1484" t="s">
        <v>30714</v>
      </c>
      <c r="W1484" t="s">
        <v>30715</v>
      </c>
      <c r="X1484" t="s">
        <v>30716</v>
      </c>
      <c r="Y1484" t="s">
        <v>30717</v>
      </c>
    </row>
    <row r="1485" spans="1:25" x14ac:dyDescent="0.3">
      <c r="A1485">
        <v>74200</v>
      </c>
      <c r="B1485" t="s">
        <v>30718</v>
      </c>
      <c r="C1485" t="s">
        <v>30719</v>
      </c>
      <c r="D1485" t="s">
        <v>30720</v>
      </c>
      <c r="E1485" t="s">
        <v>30721</v>
      </c>
      <c r="F1485" t="s">
        <v>30722</v>
      </c>
      <c r="G1485" t="s">
        <v>30723</v>
      </c>
      <c r="H1485" t="s">
        <v>30724</v>
      </c>
      <c r="I1485" t="s">
        <v>30725</v>
      </c>
      <c r="J1485" t="s">
        <v>30726</v>
      </c>
      <c r="K1485" t="s">
        <v>30727</v>
      </c>
      <c r="L1485" t="s">
        <v>30728</v>
      </c>
      <c r="M1485" t="s">
        <v>30729</v>
      </c>
      <c r="N1485" t="s">
        <v>30730</v>
      </c>
      <c r="O1485">
        <f>-809.330342576821 -49.7005131696142 -499.461185479606</f>
        <v>-1358.4920412260412</v>
      </c>
      <c r="P1485">
        <f>-802.363821877756 -77.0747237281062 -206.556157563764</f>
        <v>-1085.9947031696261</v>
      </c>
      <c r="Q1485">
        <f>-582.078125347246 -42.9232938813161 -297.98247056565</f>
        <v>-922.98388979421202</v>
      </c>
      <c r="R1485" t="s">
        <v>30731</v>
      </c>
      <c r="S1485" t="s">
        <v>30732</v>
      </c>
      <c r="T1485" t="s">
        <v>30733</v>
      </c>
      <c r="U1485" t="s">
        <v>30734</v>
      </c>
      <c r="V1485" t="s">
        <v>30735</v>
      </c>
      <c r="W1485" t="s">
        <v>30736</v>
      </c>
      <c r="X1485" t="s">
        <v>30737</v>
      </c>
      <c r="Y1485" t="s">
        <v>30738</v>
      </c>
    </row>
    <row r="1486" spans="1:25" x14ac:dyDescent="0.3">
      <c r="A1486">
        <v>74250</v>
      </c>
      <c r="B1486" t="s">
        <v>30739</v>
      </c>
      <c r="C1486" t="s">
        <v>30740</v>
      </c>
      <c r="D1486" t="s">
        <v>30741</v>
      </c>
      <c r="E1486" t="s">
        <v>30742</v>
      </c>
      <c r="F1486" t="s">
        <v>30743</v>
      </c>
      <c r="G1486" t="s">
        <v>30744</v>
      </c>
      <c r="H1486" t="s">
        <v>30745</v>
      </c>
      <c r="I1486" t="s">
        <v>30746</v>
      </c>
      <c r="J1486" t="s">
        <v>30747</v>
      </c>
      <c r="K1486" t="s">
        <v>30748</v>
      </c>
      <c r="L1486" t="s">
        <v>30749</v>
      </c>
      <c r="M1486" t="s">
        <v>30750</v>
      </c>
      <c r="N1486" t="s">
        <v>30751</v>
      </c>
      <c r="O1486">
        <f>-807.845276577353 -49.0867220211792 -499.617131423798</f>
        <v>-1356.5491300223302</v>
      </c>
      <c r="P1486">
        <f>-801.783957598287 -76.7359895555651 -206.717866169018</f>
        <v>-1085.2378133228701</v>
      </c>
      <c r="Q1486">
        <f>-580.933588023481 -41.8328830330238 -296.483086953082</f>
        <v>-919.24955800958674</v>
      </c>
      <c r="R1486" t="s">
        <v>30752</v>
      </c>
      <c r="S1486" t="s">
        <v>30753</v>
      </c>
      <c r="T1486" t="s">
        <v>30754</v>
      </c>
      <c r="U1486" t="s">
        <v>30755</v>
      </c>
      <c r="V1486" t="s">
        <v>30756</v>
      </c>
      <c r="W1486" t="s">
        <v>30757</v>
      </c>
      <c r="X1486" t="s">
        <v>30758</v>
      </c>
      <c r="Y1486" t="s">
        <v>30759</v>
      </c>
    </row>
    <row r="1487" spans="1:25" x14ac:dyDescent="0.3">
      <c r="A1487">
        <v>74300</v>
      </c>
      <c r="B1487" t="s">
        <v>30760</v>
      </c>
      <c r="C1487" t="s">
        <v>30761</v>
      </c>
      <c r="D1487" t="s">
        <v>30762</v>
      </c>
      <c r="E1487" t="s">
        <v>30763</v>
      </c>
      <c r="F1487" t="s">
        <v>30764</v>
      </c>
      <c r="G1487" t="s">
        <v>30765</v>
      </c>
      <c r="H1487" t="s">
        <v>30766</v>
      </c>
      <c r="I1487" t="s">
        <v>30767</v>
      </c>
      <c r="J1487" t="s">
        <v>30768</v>
      </c>
      <c r="K1487" t="s">
        <v>30769</v>
      </c>
      <c r="L1487" t="s">
        <v>30770</v>
      </c>
      <c r="M1487" t="s">
        <v>30771</v>
      </c>
      <c r="N1487" t="s">
        <v>30772</v>
      </c>
      <c r="O1487">
        <f>-805.0438556144 -47.7923802003411 -499.848883378138</f>
        <v>-1352.685119192879</v>
      </c>
      <c r="P1487">
        <f>-799.956977530087 -75.8547164908357 -206.970485202561</f>
        <v>-1082.7821792234836</v>
      </c>
      <c r="Q1487">
        <f>-578.62823831995 -39.5772321230268 -294.995285934019</f>
        <v>-913.20075637699574</v>
      </c>
      <c r="R1487" t="s">
        <v>30773</v>
      </c>
      <c r="S1487" t="s">
        <v>30774</v>
      </c>
      <c r="T1487" t="s">
        <v>30775</v>
      </c>
      <c r="U1487" t="s">
        <v>30776</v>
      </c>
      <c r="V1487" t="s">
        <v>30777</v>
      </c>
      <c r="W1487" t="s">
        <v>30778</v>
      </c>
      <c r="X1487" t="s">
        <v>30779</v>
      </c>
      <c r="Y1487" t="s">
        <v>30780</v>
      </c>
    </row>
    <row r="1488" spans="1:25" x14ac:dyDescent="0.3">
      <c r="A1488">
        <v>74350</v>
      </c>
      <c r="B1488" t="s">
        <v>30781</v>
      </c>
      <c r="C1488" t="s">
        <v>30782</v>
      </c>
      <c r="D1488" t="s">
        <v>30783</v>
      </c>
      <c r="E1488" t="s">
        <v>30784</v>
      </c>
      <c r="F1488" t="s">
        <v>30785</v>
      </c>
      <c r="G1488" t="s">
        <v>30786</v>
      </c>
      <c r="H1488" t="s">
        <v>30787</v>
      </c>
      <c r="I1488" t="s">
        <v>30788</v>
      </c>
      <c r="J1488" t="s">
        <v>30789</v>
      </c>
      <c r="K1488" t="s">
        <v>30790</v>
      </c>
      <c r="L1488" t="s">
        <v>30791</v>
      </c>
      <c r="M1488" t="s">
        <v>30792</v>
      </c>
      <c r="N1488" t="s">
        <v>30793</v>
      </c>
      <c r="O1488">
        <f>-803.870757541411 -47.1235635955925 -499.915731748466</f>
        <v>-1350.9100528854694</v>
      </c>
      <c r="P1488">
        <f>-798.908839502624 -75.3466966753433 -207.05042345813</f>
        <v>-1081.3059596360972</v>
      </c>
      <c r="Q1488">
        <f>-577.540161163376 -38.4297660165257 -294.70919212191</f>
        <v>-910.67911930181162</v>
      </c>
      <c r="R1488" t="s">
        <v>30794</v>
      </c>
      <c r="S1488" t="s">
        <v>30795</v>
      </c>
      <c r="T1488" t="s">
        <v>30796</v>
      </c>
      <c r="U1488" t="s">
        <v>30797</v>
      </c>
      <c r="V1488" t="s">
        <v>30798</v>
      </c>
      <c r="W1488" t="s">
        <v>30799</v>
      </c>
      <c r="X1488" t="s">
        <v>30800</v>
      </c>
      <c r="Y1488" t="s">
        <v>30801</v>
      </c>
    </row>
    <row r="1489" spans="1:25" x14ac:dyDescent="0.3">
      <c r="A1489">
        <v>74400</v>
      </c>
      <c r="B1489" t="s">
        <v>30802</v>
      </c>
      <c r="C1489" t="s">
        <v>30803</v>
      </c>
      <c r="D1489" t="s">
        <v>30804</v>
      </c>
      <c r="E1489" t="s">
        <v>30805</v>
      </c>
      <c r="F1489" t="s">
        <v>30806</v>
      </c>
      <c r="G1489" t="s">
        <v>30807</v>
      </c>
      <c r="H1489" t="s">
        <v>30808</v>
      </c>
      <c r="I1489" t="s">
        <v>30809</v>
      </c>
      <c r="J1489" t="s">
        <v>30810</v>
      </c>
      <c r="K1489" t="s">
        <v>30811</v>
      </c>
      <c r="L1489" t="s">
        <v>30812</v>
      </c>
      <c r="M1489" t="s">
        <v>30813</v>
      </c>
      <c r="N1489" t="s">
        <v>30814</v>
      </c>
      <c r="O1489">
        <f>-801.664682948696 -45.8674396494259 -499.926348192055</f>
        <v>-1347.458470790177</v>
      </c>
      <c r="P1489">
        <f>-796.873775631497 -74.5200882509878 -207.10017137019</f>
        <v>-1078.4940352526748</v>
      </c>
      <c r="Q1489">
        <f>-575.369393178411 -36.7925542076998 -294.067488895911</f>
        <v>-906.22943628202188</v>
      </c>
      <c r="R1489" t="s">
        <v>30815</v>
      </c>
      <c r="S1489" t="s">
        <v>30816</v>
      </c>
      <c r="T1489" t="s">
        <v>30817</v>
      </c>
      <c r="U1489" t="s">
        <v>30818</v>
      </c>
      <c r="V1489" t="s">
        <v>30819</v>
      </c>
      <c r="W1489" t="s">
        <v>30820</v>
      </c>
      <c r="X1489" t="s">
        <v>30821</v>
      </c>
      <c r="Y1489" t="s">
        <v>30822</v>
      </c>
    </row>
    <row r="1490" spans="1:25" x14ac:dyDescent="0.3">
      <c r="A1490">
        <v>74450</v>
      </c>
      <c r="B1490" t="s">
        <v>30823</v>
      </c>
      <c r="C1490" t="s">
        <v>30824</v>
      </c>
      <c r="D1490" t="s">
        <v>30825</v>
      </c>
      <c r="E1490" t="s">
        <v>30826</v>
      </c>
      <c r="F1490" t="s">
        <v>30827</v>
      </c>
      <c r="G1490" t="s">
        <v>30828</v>
      </c>
      <c r="H1490" t="s">
        <v>30829</v>
      </c>
      <c r="I1490" t="s">
        <v>30830</v>
      </c>
      <c r="J1490" t="s">
        <v>30831</v>
      </c>
      <c r="K1490" t="s">
        <v>30832</v>
      </c>
      <c r="L1490" t="s">
        <v>30833</v>
      </c>
      <c r="M1490" t="s">
        <v>30834</v>
      </c>
      <c r="N1490" t="s">
        <v>30835</v>
      </c>
      <c r="O1490">
        <f>-800.629381333358 -45.3694343760912 -499.834295449726</f>
        <v>-1345.8331111591751</v>
      </c>
      <c r="P1490">
        <f>-796.053661480786 -74.1463500557193 -207.016626072341</f>
        <v>-1077.2166376088462</v>
      </c>
      <c r="Q1490">
        <f>-574.500158273245 -36.1266654458618 -293.731446539248</f>
        <v>-904.35827025835488</v>
      </c>
      <c r="R1490" t="s">
        <v>30836</v>
      </c>
      <c r="S1490" t="s">
        <v>30837</v>
      </c>
      <c r="T1490" t="s">
        <v>30838</v>
      </c>
      <c r="U1490" t="s">
        <v>30839</v>
      </c>
      <c r="V1490" t="s">
        <v>30840</v>
      </c>
      <c r="W1490" t="s">
        <v>30841</v>
      </c>
      <c r="X1490" t="s">
        <v>30842</v>
      </c>
      <c r="Y1490" t="s">
        <v>30843</v>
      </c>
    </row>
    <row r="1491" spans="1:25" x14ac:dyDescent="0.3">
      <c r="A1491">
        <v>74500</v>
      </c>
      <c r="B1491" t="s">
        <v>30844</v>
      </c>
      <c r="C1491" t="s">
        <v>30845</v>
      </c>
      <c r="D1491" t="s">
        <v>30846</v>
      </c>
      <c r="E1491" t="s">
        <v>30847</v>
      </c>
      <c r="F1491" t="s">
        <v>30848</v>
      </c>
      <c r="G1491" t="s">
        <v>30849</v>
      </c>
      <c r="H1491" t="s">
        <v>30850</v>
      </c>
      <c r="I1491" t="s">
        <v>30851</v>
      </c>
      <c r="J1491" t="s">
        <v>30852</v>
      </c>
      <c r="K1491" t="s">
        <v>30853</v>
      </c>
      <c r="L1491" t="s">
        <v>30854</v>
      </c>
      <c r="M1491" t="s">
        <v>30855</v>
      </c>
      <c r="N1491" t="s">
        <v>30856</v>
      </c>
      <c r="O1491">
        <f>-798.925613750403 -44.471744326579 -499.577912997627</f>
        <v>-1342.9752710746091</v>
      </c>
      <c r="P1491">
        <f>-795.041461426076 -73.1449236361482 -206.740199326344</f>
        <v>-1074.9265843885682</v>
      </c>
      <c r="Q1491">
        <f>-573.279295393657 -34.7153844595009 -292.737274590493</f>
        <v>-900.73195444365092</v>
      </c>
      <c r="R1491" t="s">
        <v>30857</v>
      </c>
      <c r="S1491" t="s">
        <v>30858</v>
      </c>
      <c r="T1491" t="s">
        <v>30859</v>
      </c>
      <c r="U1491" t="s">
        <v>30860</v>
      </c>
      <c r="V1491" t="s">
        <v>30861</v>
      </c>
      <c r="W1491" t="s">
        <v>30862</v>
      </c>
      <c r="X1491" t="s">
        <v>30863</v>
      </c>
      <c r="Y1491" t="s">
        <v>30864</v>
      </c>
    </row>
    <row r="1492" spans="1:25" x14ac:dyDescent="0.3">
      <c r="A1492">
        <v>74550</v>
      </c>
      <c r="B1492" t="s">
        <v>30865</v>
      </c>
      <c r="C1492" t="s">
        <v>30866</v>
      </c>
      <c r="D1492" t="s">
        <v>30867</v>
      </c>
      <c r="E1492" t="s">
        <v>30868</v>
      </c>
      <c r="F1492" t="s">
        <v>30869</v>
      </c>
      <c r="G1492" t="s">
        <v>30870</v>
      </c>
      <c r="H1492" t="s">
        <v>30871</v>
      </c>
      <c r="I1492" t="s">
        <v>30872</v>
      </c>
      <c r="J1492" t="s">
        <v>30873</v>
      </c>
      <c r="K1492" t="s">
        <v>30874</v>
      </c>
      <c r="L1492" t="s">
        <v>30875</v>
      </c>
      <c r="M1492" t="s">
        <v>30876</v>
      </c>
      <c r="N1492" t="s">
        <v>30877</v>
      </c>
      <c r="O1492">
        <f>-798.162307156626 -44.1317245349064 -499.439388207612</f>
        <v>-1341.7334198991443</v>
      </c>
      <c r="P1492">
        <f>-794.658515249131 -72.5474479243319 -206.571698809858</f>
        <v>-1073.777661983321</v>
      </c>
      <c r="Q1492">
        <f>-572.684699211539 -34.0016000051337 -291.968836294534</f>
        <v>-898.65513551120671</v>
      </c>
      <c r="R1492" t="s">
        <v>30878</v>
      </c>
      <c r="S1492" t="s">
        <v>30879</v>
      </c>
      <c r="T1492" t="s">
        <v>30880</v>
      </c>
      <c r="U1492" t="s">
        <v>30881</v>
      </c>
      <c r="V1492" t="s">
        <v>30882</v>
      </c>
      <c r="W1492" t="s">
        <v>30883</v>
      </c>
      <c r="X1492" t="s">
        <v>30884</v>
      </c>
      <c r="Y1492" t="s">
        <v>30885</v>
      </c>
    </row>
    <row r="1493" spans="1:25" x14ac:dyDescent="0.3">
      <c r="A1493">
        <v>74600</v>
      </c>
      <c r="B1493" t="s">
        <v>30886</v>
      </c>
      <c r="C1493" t="s">
        <v>30887</v>
      </c>
      <c r="D1493" t="s">
        <v>30888</v>
      </c>
      <c r="E1493" t="s">
        <v>30889</v>
      </c>
      <c r="F1493" t="s">
        <v>30890</v>
      </c>
      <c r="G1493" t="s">
        <v>30891</v>
      </c>
      <c r="H1493" t="s">
        <v>30892</v>
      </c>
      <c r="I1493" t="s">
        <v>30893</v>
      </c>
      <c r="J1493" t="s">
        <v>30894</v>
      </c>
      <c r="K1493" t="s">
        <v>30895</v>
      </c>
      <c r="L1493" t="s">
        <v>30896</v>
      </c>
      <c r="M1493" t="s">
        <v>30897</v>
      </c>
      <c r="N1493" t="s">
        <v>30898</v>
      </c>
      <c r="O1493">
        <f>-796.788983034055 -43.3737505574868 -499.185764733271</f>
        <v>-1339.3484983248129</v>
      </c>
      <c r="P1493">
        <f>-794.130086046061 -71.5794051973382 -206.288915790286</f>
        <v>-1071.9984070336852</v>
      </c>
      <c r="Q1493">
        <f>-571.69061909715 -32.8914684826591 -290.400898194561</f>
        <v>-894.98298577437015</v>
      </c>
      <c r="R1493" t="s">
        <v>30899</v>
      </c>
      <c r="S1493" t="s">
        <v>30900</v>
      </c>
      <c r="T1493" t="s">
        <v>30901</v>
      </c>
      <c r="U1493" t="s">
        <v>30902</v>
      </c>
      <c r="V1493" t="s">
        <v>30903</v>
      </c>
      <c r="W1493" t="s">
        <v>30904</v>
      </c>
      <c r="X1493" t="s">
        <v>30905</v>
      </c>
      <c r="Y1493" t="s">
        <v>30906</v>
      </c>
    </row>
    <row r="1494" spans="1:25" x14ac:dyDescent="0.3">
      <c r="A1494">
        <v>74650</v>
      </c>
      <c r="B1494" t="s">
        <v>30907</v>
      </c>
      <c r="C1494" t="s">
        <v>30908</v>
      </c>
      <c r="D1494" t="s">
        <v>30909</v>
      </c>
      <c r="E1494" t="s">
        <v>30910</v>
      </c>
      <c r="F1494" t="s">
        <v>30911</v>
      </c>
      <c r="G1494" t="s">
        <v>30912</v>
      </c>
      <c r="H1494" t="s">
        <v>30913</v>
      </c>
      <c r="I1494" t="s">
        <v>30914</v>
      </c>
      <c r="J1494" t="s">
        <v>30915</v>
      </c>
      <c r="K1494" t="s">
        <v>30916</v>
      </c>
      <c r="L1494" t="s">
        <v>30917</v>
      </c>
      <c r="M1494" t="s">
        <v>30918</v>
      </c>
      <c r="N1494" t="s">
        <v>30919</v>
      </c>
      <c r="O1494">
        <f>-796.251684175594 -42.902918878762 -499.038259739115</f>
        <v>-1338.192862793471</v>
      </c>
      <c r="P1494">
        <f>-793.976200265211 -71.0281739837153 -206.130464848005</f>
        <v>-1071.1348390969313</v>
      </c>
      <c r="Q1494">
        <f>-571.289589444986 -32.463663283133 -289.642784508921</f>
        <v>-893.39603723703999</v>
      </c>
      <c r="R1494" t="s">
        <v>30920</v>
      </c>
      <c r="S1494" t="s">
        <v>30921</v>
      </c>
      <c r="T1494" t="s">
        <v>30922</v>
      </c>
      <c r="U1494" t="s">
        <v>30923</v>
      </c>
      <c r="V1494" t="s">
        <v>30924</v>
      </c>
      <c r="W1494" t="s">
        <v>30925</v>
      </c>
      <c r="X1494" t="s">
        <v>30926</v>
      </c>
      <c r="Y1494" t="s">
        <v>30927</v>
      </c>
    </row>
    <row r="1495" spans="1:25" x14ac:dyDescent="0.3">
      <c r="A1495">
        <v>74700</v>
      </c>
      <c r="B1495" t="s">
        <v>30928</v>
      </c>
      <c r="C1495" t="s">
        <v>30929</v>
      </c>
      <c r="D1495" t="s">
        <v>30930</v>
      </c>
      <c r="E1495" t="s">
        <v>30931</v>
      </c>
      <c r="F1495" t="s">
        <v>30932</v>
      </c>
      <c r="G1495" t="s">
        <v>30933</v>
      </c>
      <c r="H1495" t="s">
        <v>30934</v>
      </c>
      <c r="I1495" t="s">
        <v>30935</v>
      </c>
      <c r="J1495" t="s">
        <v>30936</v>
      </c>
      <c r="K1495" t="s">
        <v>30937</v>
      </c>
      <c r="L1495" t="s">
        <v>30938</v>
      </c>
      <c r="M1495" t="s">
        <v>30939</v>
      </c>
      <c r="N1495" t="s">
        <v>30940</v>
      </c>
      <c r="O1495">
        <f>-795.378415884702 -41.7162890439408 -498.808539342949</f>
        <v>-1335.9032442715918</v>
      </c>
      <c r="P1495">
        <f>-793.778781591718 -69.7407509460595 -205.886553502473</f>
        <v>-1069.4060860402506</v>
      </c>
      <c r="Q1495">
        <f>-570.845370335077 -31.6493353561282 -288.956828602302</f>
        <v>-891.45153429350717</v>
      </c>
      <c r="R1495" t="s">
        <v>30941</v>
      </c>
      <c r="S1495" t="s">
        <v>30942</v>
      </c>
      <c r="T1495" t="s">
        <v>30943</v>
      </c>
      <c r="U1495" t="s">
        <v>30944</v>
      </c>
      <c r="V1495" t="s">
        <v>30945</v>
      </c>
      <c r="W1495" t="s">
        <v>30946</v>
      </c>
      <c r="X1495" t="s">
        <v>30947</v>
      </c>
      <c r="Y1495" t="s">
        <v>30948</v>
      </c>
    </row>
    <row r="1496" spans="1:25" x14ac:dyDescent="0.3">
      <c r="A1496">
        <v>74750</v>
      </c>
      <c r="B1496" t="s">
        <v>30949</v>
      </c>
      <c r="C1496" t="s">
        <v>30950</v>
      </c>
      <c r="D1496" t="s">
        <v>30951</v>
      </c>
      <c r="E1496" t="s">
        <v>30952</v>
      </c>
      <c r="F1496" t="s">
        <v>30953</v>
      </c>
      <c r="G1496" t="s">
        <v>30954</v>
      </c>
      <c r="H1496" t="s">
        <v>30955</v>
      </c>
      <c r="I1496" t="s">
        <v>30956</v>
      </c>
      <c r="J1496" t="s">
        <v>30957</v>
      </c>
      <c r="K1496" t="s">
        <v>30958</v>
      </c>
      <c r="L1496" t="s">
        <v>30959</v>
      </c>
      <c r="M1496" t="s">
        <v>30960</v>
      </c>
      <c r="N1496" t="s">
        <v>30961</v>
      </c>
      <c r="O1496">
        <f>-795.031598162695 -41.1142510321392 -498.723314965376</f>
        <v>-1334.8691641602102</v>
      </c>
      <c r="P1496">
        <f>-793.693783696929 -69.1738907981282 -205.803417657157</f>
        <v>-1068.6710921522142</v>
      </c>
      <c r="Q1496">
        <f>-570.679830733062 -31.4770553731523 -288.836940128222</f>
        <v>-890.99382623443626</v>
      </c>
      <c r="R1496" t="s">
        <v>30962</v>
      </c>
      <c r="S1496" t="s">
        <v>30963</v>
      </c>
      <c r="T1496" t="s">
        <v>30964</v>
      </c>
      <c r="U1496" t="s">
        <v>30965</v>
      </c>
      <c r="V1496" t="s">
        <v>30966</v>
      </c>
      <c r="W1496" t="s">
        <v>30967</v>
      </c>
      <c r="X1496" t="s">
        <v>30968</v>
      </c>
      <c r="Y1496" t="s">
        <v>30969</v>
      </c>
    </row>
    <row r="1497" spans="1:25" x14ac:dyDescent="0.3">
      <c r="A1497">
        <v>74800</v>
      </c>
      <c r="B1497" t="s">
        <v>30970</v>
      </c>
      <c r="C1497" t="s">
        <v>30971</v>
      </c>
      <c r="D1497" t="s">
        <v>30972</v>
      </c>
      <c r="E1497" t="s">
        <v>30973</v>
      </c>
      <c r="F1497" t="s">
        <v>30974</v>
      </c>
      <c r="G1497" t="s">
        <v>30975</v>
      </c>
      <c r="H1497" t="s">
        <v>30976</v>
      </c>
      <c r="I1497" t="s">
        <v>30977</v>
      </c>
      <c r="J1497" t="s">
        <v>30978</v>
      </c>
      <c r="K1497" t="s">
        <v>30979</v>
      </c>
      <c r="L1497" t="s">
        <v>30980</v>
      </c>
      <c r="M1497" t="s">
        <v>30981</v>
      </c>
      <c r="N1497" t="s">
        <v>30982</v>
      </c>
      <c r="O1497">
        <f>-794.452555980183 -40.2386390915547 -498.60120099806</f>
        <v>-1333.2923960697976</v>
      </c>
      <c r="P1497">
        <f>-793.366518686096 -68.7727403870203 -205.726168058928</f>
        <v>-1067.8654271320443</v>
      </c>
      <c r="Q1497">
        <f>-570.23953114532 -31.6152524271129 -288.69903530971</f>
        <v>-890.55381888214288</v>
      </c>
      <c r="R1497" t="s">
        <v>30983</v>
      </c>
      <c r="S1497" t="s">
        <v>30984</v>
      </c>
      <c r="T1497" t="s">
        <v>30985</v>
      </c>
      <c r="U1497" t="s">
        <v>30986</v>
      </c>
      <c r="V1497" t="s">
        <v>30987</v>
      </c>
      <c r="W1497" t="s">
        <v>30988</v>
      </c>
      <c r="X1497" t="s">
        <v>30989</v>
      </c>
      <c r="Y1497" t="s">
        <v>30990</v>
      </c>
    </row>
    <row r="1498" spans="1:25" x14ac:dyDescent="0.3">
      <c r="A1498">
        <v>74850</v>
      </c>
      <c r="B1498" t="s">
        <v>30991</v>
      </c>
      <c r="C1498" t="s">
        <v>30992</v>
      </c>
      <c r="D1498" t="s">
        <v>30993</v>
      </c>
      <c r="E1498" t="s">
        <v>30994</v>
      </c>
      <c r="F1498" t="s">
        <v>30995</v>
      </c>
      <c r="G1498" t="s">
        <v>30996</v>
      </c>
      <c r="H1498" t="s">
        <v>30997</v>
      </c>
      <c r="I1498" t="s">
        <v>30998</v>
      </c>
      <c r="J1498" t="s">
        <v>30999</v>
      </c>
      <c r="K1498" t="s">
        <v>31000</v>
      </c>
      <c r="L1498" t="s">
        <v>31001</v>
      </c>
      <c r="M1498" t="s">
        <v>31002</v>
      </c>
      <c r="N1498" t="s">
        <v>31003</v>
      </c>
      <c r="O1498">
        <f>-794.28604322825 -39.8347949410384 -498.561285664629</f>
        <v>-1332.6821238339173</v>
      </c>
      <c r="P1498">
        <f>-793.266766220625 -68.5955699620743 -205.70807637206</f>
        <v>-1067.5704125547593</v>
      </c>
      <c r="Q1498">
        <f>-570.056138690134 -31.7477597405741 -288.594078375099</f>
        <v>-890.39797680580716</v>
      </c>
      <c r="R1498" t="s">
        <v>31004</v>
      </c>
      <c r="S1498" t="s">
        <v>31005</v>
      </c>
      <c r="T1498" t="s">
        <v>31006</v>
      </c>
      <c r="U1498" t="s">
        <v>31007</v>
      </c>
      <c r="V1498" t="s">
        <v>31008</v>
      </c>
      <c r="W1498" t="s">
        <v>31009</v>
      </c>
      <c r="X1498" t="s">
        <v>31010</v>
      </c>
      <c r="Y1498" t="s">
        <v>31011</v>
      </c>
    </row>
    <row r="1499" spans="1:25" x14ac:dyDescent="0.3">
      <c r="A1499">
        <v>74900</v>
      </c>
      <c r="B1499" t="s">
        <v>31012</v>
      </c>
      <c r="C1499" t="s">
        <v>31013</v>
      </c>
      <c r="D1499" t="s">
        <v>31014</v>
      </c>
      <c r="E1499" t="s">
        <v>31015</v>
      </c>
      <c r="F1499" t="s">
        <v>31016</v>
      </c>
      <c r="G1499" t="s">
        <v>31017</v>
      </c>
      <c r="H1499" t="s">
        <v>31018</v>
      </c>
      <c r="I1499" t="s">
        <v>31019</v>
      </c>
      <c r="J1499" t="s">
        <v>31020</v>
      </c>
      <c r="K1499" t="s">
        <v>31021</v>
      </c>
      <c r="L1499" t="s">
        <v>31022</v>
      </c>
      <c r="M1499" t="s">
        <v>31023</v>
      </c>
      <c r="N1499" t="s">
        <v>31024</v>
      </c>
      <c r="O1499">
        <f>-794.196357142024 -39.1928885723896 -498.53390538993</f>
        <v>-1331.9231511043436</v>
      </c>
      <c r="P1499">
        <f>-793.4389125003 -68.229667745127 -205.707206018376</f>
        <v>-1067.3757862638031</v>
      </c>
      <c r="Q1499">
        <f>-570.048058156592 -31.9330917899374 -288.350972199414</f>
        <v>-890.33212214594346</v>
      </c>
      <c r="R1499" t="s">
        <v>31025</v>
      </c>
      <c r="S1499" t="s">
        <v>31026</v>
      </c>
      <c r="T1499" t="s">
        <v>31027</v>
      </c>
      <c r="U1499" t="s">
        <v>31028</v>
      </c>
      <c r="V1499" t="s">
        <v>31029</v>
      </c>
      <c r="W1499" t="s">
        <v>31030</v>
      </c>
      <c r="X1499" t="s">
        <v>31031</v>
      </c>
      <c r="Y1499" t="s">
        <v>31032</v>
      </c>
    </row>
    <row r="1500" spans="1:25" x14ac:dyDescent="0.3">
      <c r="A1500">
        <v>74950</v>
      </c>
      <c r="B1500" t="s">
        <v>31033</v>
      </c>
      <c r="C1500" t="s">
        <v>31034</v>
      </c>
      <c r="D1500" t="s">
        <v>31035</v>
      </c>
      <c r="E1500" t="s">
        <v>31036</v>
      </c>
      <c r="F1500" t="s">
        <v>31037</v>
      </c>
      <c r="G1500" t="s">
        <v>31038</v>
      </c>
      <c r="H1500" t="s">
        <v>31039</v>
      </c>
      <c r="I1500" t="s">
        <v>31040</v>
      </c>
      <c r="J1500" t="s">
        <v>31041</v>
      </c>
      <c r="K1500" t="s">
        <v>31042</v>
      </c>
      <c r="L1500" t="s">
        <v>31043</v>
      </c>
      <c r="M1500" t="s">
        <v>31044</v>
      </c>
      <c r="N1500" t="s">
        <v>31045</v>
      </c>
      <c r="O1500">
        <f>-794.212211518848 -38.9654059921875 -498.533773141267</f>
        <v>-1331.7113906523025</v>
      </c>
      <c r="P1500">
        <f>-793.636388093341 -68.0854519280301 -205.714944843461</f>
        <v>-1067.4367848648321</v>
      </c>
      <c r="Q1500">
        <f>-570.161281317966 -32.0108655079221 -288.227456817773</f>
        <v>-890.39960364366107</v>
      </c>
      <c r="R1500" t="s">
        <v>31046</v>
      </c>
      <c r="S1500" t="s">
        <v>31047</v>
      </c>
      <c r="T1500" t="s">
        <v>31048</v>
      </c>
      <c r="U1500" t="s">
        <v>31049</v>
      </c>
      <c r="V1500" t="s">
        <v>31050</v>
      </c>
      <c r="W1500" t="s">
        <v>31051</v>
      </c>
      <c r="X1500" t="s">
        <v>31052</v>
      </c>
      <c r="Y1500" t="s">
        <v>31053</v>
      </c>
    </row>
    <row r="1501" spans="1:25" x14ac:dyDescent="0.3">
      <c r="A1501">
        <v>75000</v>
      </c>
      <c r="B1501" t="s">
        <v>31054</v>
      </c>
      <c r="C1501" t="s">
        <v>31055</v>
      </c>
      <c r="D1501" t="s">
        <v>31056</v>
      </c>
      <c r="E1501" t="s">
        <v>31057</v>
      </c>
      <c r="F1501" t="s">
        <v>31058</v>
      </c>
      <c r="G1501" t="s">
        <v>31059</v>
      </c>
      <c r="H1501" t="s">
        <v>31060</v>
      </c>
      <c r="I1501" t="s">
        <v>31061</v>
      </c>
      <c r="J1501" t="s">
        <v>31062</v>
      </c>
      <c r="K1501" t="s">
        <v>31063</v>
      </c>
      <c r="L1501" t="s">
        <v>31064</v>
      </c>
      <c r="M1501" t="s">
        <v>31065</v>
      </c>
      <c r="N1501" t="s">
        <v>31066</v>
      </c>
      <c r="O1501">
        <f>-794.323280419658 -38.6098653268612 -498.630940606247</f>
        <v>-1331.564086352766</v>
      </c>
      <c r="P1501">
        <f>-793.784031061518 -68.1972169543999 -205.858806401185</f>
        <v>-1067.8400544171029</v>
      </c>
      <c r="Q1501">
        <f>-570.209512283063 -32.0811166940534 -288.083548189317</f>
        <v>-890.37417716643336</v>
      </c>
      <c r="R1501" t="s">
        <v>31067</v>
      </c>
      <c r="S1501" t="s">
        <v>31068</v>
      </c>
      <c r="T1501" t="s">
        <v>31069</v>
      </c>
      <c r="U1501" t="s">
        <v>31070</v>
      </c>
      <c r="V1501" t="s">
        <v>31071</v>
      </c>
      <c r="W1501" t="s">
        <v>31072</v>
      </c>
      <c r="X1501" t="s">
        <v>31073</v>
      </c>
      <c r="Y1501" t="s">
        <v>31074</v>
      </c>
    </row>
    <row r="1502" spans="1:25" x14ac:dyDescent="0.3">
      <c r="A1502">
        <v>75050</v>
      </c>
      <c r="B1502" t="s">
        <v>31075</v>
      </c>
      <c r="C1502" t="s">
        <v>31076</v>
      </c>
      <c r="D1502" t="s">
        <v>31077</v>
      </c>
      <c r="E1502" t="s">
        <v>31078</v>
      </c>
      <c r="F1502" t="s">
        <v>31079</v>
      </c>
      <c r="G1502" t="s">
        <v>31080</v>
      </c>
      <c r="H1502" t="s">
        <v>31081</v>
      </c>
      <c r="I1502" t="s">
        <v>31082</v>
      </c>
      <c r="J1502" t="s">
        <v>31083</v>
      </c>
      <c r="K1502" t="s">
        <v>31084</v>
      </c>
      <c r="L1502" t="s">
        <v>31085</v>
      </c>
      <c r="M1502" t="s">
        <v>31086</v>
      </c>
      <c r="N1502" t="s">
        <v>31087</v>
      </c>
      <c r="O1502">
        <f>-794.393981100545 -38.5045119018775 -498.742715637921</f>
        <v>-1331.6412086403436</v>
      </c>
      <c r="P1502">
        <f>-793.767236030569 -68.3982190240681 -206.001836835254</f>
        <v>-1068.1672918898912</v>
      </c>
      <c r="Q1502">
        <f>-570.15945286635 -32.1667462778373 -288.085772786781</f>
        <v>-890.41197193096832</v>
      </c>
      <c r="R1502" t="s">
        <v>31088</v>
      </c>
      <c r="S1502" t="s">
        <v>31089</v>
      </c>
      <c r="T1502" t="s">
        <v>31090</v>
      </c>
      <c r="U1502" t="s">
        <v>31091</v>
      </c>
      <c r="V1502" t="s">
        <v>31092</v>
      </c>
      <c r="W1502" t="s">
        <v>31093</v>
      </c>
      <c r="X1502" t="s">
        <v>31094</v>
      </c>
      <c r="Y1502" t="s">
        <v>31095</v>
      </c>
    </row>
    <row r="1503" spans="1:25" x14ac:dyDescent="0.3">
      <c r="A1503">
        <v>75100</v>
      </c>
      <c r="B1503" t="s">
        <v>31096</v>
      </c>
      <c r="C1503" t="s">
        <v>31097</v>
      </c>
      <c r="D1503" t="s">
        <v>31098</v>
      </c>
      <c r="E1503" t="s">
        <v>31099</v>
      </c>
      <c r="F1503" t="s">
        <v>31100</v>
      </c>
      <c r="G1503" t="s">
        <v>31101</v>
      </c>
      <c r="H1503" t="s">
        <v>31102</v>
      </c>
      <c r="I1503" t="s">
        <v>31103</v>
      </c>
      <c r="J1503" t="s">
        <v>31104</v>
      </c>
      <c r="K1503" t="s">
        <v>31105</v>
      </c>
      <c r="L1503" t="s">
        <v>31106</v>
      </c>
      <c r="M1503" t="s">
        <v>31107</v>
      </c>
      <c r="N1503" t="s">
        <v>31108</v>
      </c>
      <c r="O1503">
        <f>-794.737413879444 -38.0903505614504 -499.008891299875</f>
        <v>-1331.8366557407694</v>
      </c>
      <c r="P1503">
        <f>-793.876187720585 -68.7431261498743 -206.347234102315</f>
        <v>-1068.9665479727744</v>
      </c>
      <c r="Q1503">
        <f>-570.236972893191 -32.1683228188531 -288.192622057746</f>
        <v>-890.59791776979012</v>
      </c>
      <c r="R1503" t="s">
        <v>31109</v>
      </c>
      <c r="S1503" t="s">
        <v>31110</v>
      </c>
      <c r="T1503" t="s">
        <v>31111</v>
      </c>
      <c r="U1503" t="s">
        <v>31112</v>
      </c>
      <c r="V1503" t="s">
        <v>31113</v>
      </c>
      <c r="W1503" t="s">
        <v>31114</v>
      </c>
      <c r="X1503" t="s">
        <v>31115</v>
      </c>
      <c r="Y1503" t="s">
        <v>31116</v>
      </c>
    </row>
    <row r="1504" spans="1:25" x14ac:dyDescent="0.3">
      <c r="A1504">
        <v>75150</v>
      </c>
      <c r="B1504" t="s">
        <v>31117</v>
      </c>
      <c r="C1504" t="s">
        <v>31118</v>
      </c>
      <c r="D1504" t="s">
        <v>31119</v>
      </c>
      <c r="E1504" t="s">
        <v>31120</v>
      </c>
      <c r="F1504" t="s">
        <v>31121</v>
      </c>
      <c r="G1504" t="s">
        <v>31122</v>
      </c>
      <c r="H1504" t="s">
        <v>31123</v>
      </c>
      <c r="I1504" t="s">
        <v>31124</v>
      </c>
      <c r="J1504" t="s">
        <v>31125</v>
      </c>
      <c r="K1504" t="s">
        <v>31126</v>
      </c>
      <c r="L1504" t="s">
        <v>31127</v>
      </c>
      <c r="M1504" t="s">
        <v>31128</v>
      </c>
      <c r="N1504" t="s">
        <v>31129</v>
      </c>
      <c r="O1504">
        <f>-795.273368831341 -37.6201829871318 -499.312959126117</f>
        <v>-1332.2065109445898</v>
      </c>
      <c r="P1504">
        <f>-794.230377514044 -68.9999016642169 -206.728977035122</f>
        <v>-1069.9592562133828</v>
      </c>
      <c r="Q1504">
        <f>-570.562689259313 -32.0759203423536 -288.339033084571</f>
        <v>-890.97764268623746</v>
      </c>
      <c r="R1504" t="s">
        <v>31130</v>
      </c>
      <c r="S1504" t="s">
        <v>31131</v>
      </c>
      <c r="T1504" t="s">
        <v>31132</v>
      </c>
      <c r="U1504" t="s">
        <v>31133</v>
      </c>
      <c r="V1504" t="s">
        <v>31134</v>
      </c>
      <c r="W1504" t="s">
        <v>31135</v>
      </c>
      <c r="X1504" t="s">
        <v>31136</v>
      </c>
      <c r="Y1504" t="s">
        <v>31137</v>
      </c>
    </row>
    <row r="1505" spans="1:25" x14ac:dyDescent="0.3">
      <c r="A1505">
        <v>75200</v>
      </c>
      <c r="B1505" t="s">
        <v>31138</v>
      </c>
      <c r="C1505" t="s">
        <v>31139</v>
      </c>
      <c r="D1505" t="s">
        <v>31140</v>
      </c>
      <c r="E1505" t="s">
        <v>31141</v>
      </c>
      <c r="F1505" t="s">
        <v>31142</v>
      </c>
      <c r="G1505" t="s">
        <v>31143</v>
      </c>
      <c r="H1505" t="s">
        <v>31144</v>
      </c>
      <c r="I1505" t="s">
        <v>31145</v>
      </c>
      <c r="J1505" t="s">
        <v>31146</v>
      </c>
      <c r="K1505" t="s">
        <v>31147</v>
      </c>
      <c r="L1505" t="s">
        <v>31148</v>
      </c>
      <c r="M1505" t="s">
        <v>31149</v>
      </c>
      <c r="N1505" t="s">
        <v>31150</v>
      </c>
      <c r="O1505">
        <f>-795.630917944524 -37.4622054174383 -499.469266619718</f>
        <v>-1332.5623899816803</v>
      </c>
      <c r="P1505">
        <f>-794.556130022712 -69.2283507981676 -206.926934147231</f>
        <v>-1070.7114149681106</v>
      </c>
      <c r="Q1505">
        <f>-570.865434055226 -32.0902470375004 -288.376488424244</f>
        <v>-891.33216951697045</v>
      </c>
      <c r="R1505" t="s">
        <v>31151</v>
      </c>
      <c r="S1505" t="s">
        <v>31152</v>
      </c>
      <c r="T1505" t="s">
        <v>31153</v>
      </c>
      <c r="U1505" t="s">
        <v>31154</v>
      </c>
      <c r="V1505" t="s">
        <v>31155</v>
      </c>
      <c r="W1505" t="s">
        <v>31156</v>
      </c>
      <c r="X1505" t="s">
        <v>31157</v>
      </c>
      <c r="Y1505" t="s">
        <v>31158</v>
      </c>
    </row>
    <row r="1506" spans="1:25" x14ac:dyDescent="0.3">
      <c r="A1506">
        <v>75250</v>
      </c>
      <c r="B1506" t="s">
        <v>31159</v>
      </c>
      <c r="C1506" t="s">
        <v>31160</v>
      </c>
      <c r="D1506" t="s">
        <v>31161</v>
      </c>
      <c r="E1506" t="s">
        <v>31162</v>
      </c>
      <c r="F1506" t="s">
        <v>31163</v>
      </c>
      <c r="G1506" t="s">
        <v>31164</v>
      </c>
      <c r="H1506" t="s">
        <v>31165</v>
      </c>
      <c r="I1506" t="s">
        <v>31166</v>
      </c>
      <c r="J1506" t="s">
        <v>31167</v>
      </c>
      <c r="K1506" t="s">
        <v>31168</v>
      </c>
      <c r="L1506" t="s">
        <v>31169</v>
      </c>
      <c r="M1506" t="s">
        <v>31170</v>
      </c>
      <c r="N1506" t="s">
        <v>31171</v>
      </c>
      <c r="O1506">
        <f>-795.940733192317 -37.2595983235458 -499.638228231742</f>
        <v>-1332.8385597476049</v>
      </c>
      <c r="P1506">
        <f>-794.905572706303 -69.2930930446498 -207.124883201789</f>
        <v>-1071.3235489527419</v>
      </c>
      <c r="Q1506">
        <f>-571.185895604718 -31.9363876369484 -288.39494915674</f>
        <v>-891.51723239840635</v>
      </c>
      <c r="R1506" t="s">
        <v>31172</v>
      </c>
      <c r="S1506" t="s">
        <v>31173</v>
      </c>
      <c r="T1506" t="s">
        <v>31174</v>
      </c>
      <c r="U1506" t="s">
        <v>31175</v>
      </c>
      <c r="V1506" t="s">
        <v>31176</v>
      </c>
      <c r="W1506" t="s">
        <v>31177</v>
      </c>
      <c r="X1506" t="s">
        <v>31178</v>
      </c>
      <c r="Y1506" t="s">
        <v>31179</v>
      </c>
    </row>
    <row r="1507" spans="1:25" x14ac:dyDescent="0.3">
      <c r="A1507">
        <v>75300</v>
      </c>
      <c r="B1507" t="s">
        <v>31180</v>
      </c>
      <c r="C1507" t="s">
        <v>31181</v>
      </c>
      <c r="D1507" t="s">
        <v>31182</v>
      </c>
      <c r="E1507" t="s">
        <v>31183</v>
      </c>
      <c r="F1507" t="s">
        <v>31184</v>
      </c>
      <c r="G1507" t="s">
        <v>31185</v>
      </c>
      <c r="H1507" t="s">
        <v>31186</v>
      </c>
      <c r="I1507" t="s">
        <v>31187</v>
      </c>
      <c r="J1507" t="s">
        <v>31188</v>
      </c>
      <c r="K1507" t="s">
        <v>31189</v>
      </c>
      <c r="L1507" t="s">
        <v>31190</v>
      </c>
      <c r="M1507" t="s">
        <v>31191</v>
      </c>
      <c r="N1507" t="s">
        <v>31192</v>
      </c>
      <c r="O1507">
        <f>-796.981133008834 -37.093656777603 -499.899770771262</f>
        <v>-1333.9745605576991</v>
      </c>
      <c r="P1507">
        <f>-796.541833844744 -69.6773566480315 -207.445763918059</f>
        <v>-1073.6649544108345</v>
      </c>
      <c r="Q1507">
        <f>-572.29336778637 -32.3540735953275 -287.26084164705</f>
        <v>-891.90828302874752</v>
      </c>
      <c r="R1507" t="s">
        <v>31193</v>
      </c>
      <c r="S1507" t="s">
        <v>31194</v>
      </c>
      <c r="T1507" t="s">
        <v>31195</v>
      </c>
      <c r="U1507" t="s">
        <v>31196</v>
      </c>
      <c r="V1507" t="s">
        <v>31197</v>
      </c>
      <c r="W1507" t="s">
        <v>31198</v>
      </c>
      <c r="X1507" t="s">
        <v>31199</v>
      </c>
      <c r="Y1507" t="s">
        <v>31200</v>
      </c>
    </row>
    <row r="1508" spans="1:25" x14ac:dyDescent="0.3">
      <c r="A1508">
        <v>75350</v>
      </c>
      <c r="B1508" t="s">
        <v>31201</v>
      </c>
      <c r="C1508" t="s">
        <v>31202</v>
      </c>
      <c r="D1508" t="s">
        <v>31203</v>
      </c>
      <c r="E1508" t="s">
        <v>31204</v>
      </c>
      <c r="F1508" t="s">
        <v>31205</v>
      </c>
      <c r="G1508" t="s">
        <v>31206</v>
      </c>
      <c r="H1508" t="s">
        <v>31207</v>
      </c>
      <c r="I1508" t="s">
        <v>31208</v>
      </c>
      <c r="J1508" t="s">
        <v>31209</v>
      </c>
      <c r="K1508" t="s">
        <v>31210</v>
      </c>
      <c r="L1508" t="s">
        <v>31211</v>
      </c>
      <c r="M1508" t="s">
        <v>31212</v>
      </c>
      <c r="N1508" t="s">
        <v>31213</v>
      </c>
      <c r="O1508">
        <f>-797.656047873213 -36.9185011972936 -499.979185884382</f>
        <v>-1334.5537349548886</v>
      </c>
      <c r="P1508">
        <f>-797.603174128732 -69.5596652258903 -207.531410883589</f>
        <v>-1074.6942502382112</v>
      </c>
      <c r="Q1508">
        <f>-573.100117270992 -32.303861927267 -286.659137427684</f>
        <v>-892.06311662594294</v>
      </c>
      <c r="R1508" t="s">
        <v>31214</v>
      </c>
      <c r="S1508" t="s">
        <v>31215</v>
      </c>
      <c r="T1508" t="s">
        <v>31216</v>
      </c>
      <c r="U1508" t="s">
        <v>31217</v>
      </c>
      <c r="V1508" t="s">
        <v>31218</v>
      </c>
      <c r="W1508" t="s">
        <v>31219</v>
      </c>
      <c r="X1508" t="s">
        <v>31220</v>
      </c>
      <c r="Y1508" t="s">
        <v>31221</v>
      </c>
    </row>
    <row r="1509" spans="1:25" x14ac:dyDescent="0.3">
      <c r="A1509">
        <v>75400</v>
      </c>
      <c r="B1509" t="s">
        <v>31222</v>
      </c>
      <c r="C1509" t="s">
        <v>31223</v>
      </c>
      <c r="D1509" t="s">
        <v>31224</v>
      </c>
      <c r="E1509" t="s">
        <v>31225</v>
      </c>
      <c r="F1509" t="s">
        <v>31226</v>
      </c>
      <c r="G1509" t="s">
        <v>31227</v>
      </c>
      <c r="H1509" t="s">
        <v>31228</v>
      </c>
      <c r="I1509" t="s">
        <v>31229</v>
      </c>
      <c r="J1509" t="s">
        <v>31230</v>
      </c>
      <c r="K1509" t="s">
        <v>31231</v>
      </c>
      <c r="L1509" t="s">
        <v>31232</v>
      </c>
      <c r="M1509" t="s">
        <v>31233</v>
      </c>
      <c r="N1509" t="s">
        <v>31234</v>
      </c>
      <c r="O1509">
        <f>-799.609354836517 -36.3631961475644 -500.18803348093</f>
        <v>-1336.1605844650114</v>
      </c>
      <c r="P1509">
        <f>-800.597999132204 -69.7869961621557 -207.83015496961</f>
        <v>-1078.2151502639697</v>
      </c>
      <c r="Q1509">
        <f>-575.745288540636 -31.576219287123 -285.496815275543</f>
        <v>-892.81832310330196</v>
      </c>
      <c r="R1509" t="s">
        <v>31235</v>
      </c>
      <c r="S1509" t="s">
        <v>31236</v>
      </c>
      <c r="T1509" t="s">
        <v>31237</v>
      </c>
      <c r="U1509" t="s">
        <v>31238</v>
      </c>
      <c r="V1509" t="s">
        <v>31239</v>
      </c>
      <c r="W1509" t="s">
        <v>31240</v>
      </c>
      <c r="X1509" t="s">
        <v>31241</v>
      </c>
      <c r="Y1509" t="s">
        <v>31242</v>
      </c>
    </row>
    <row r="1510" spans="1:25" x14ac:dyDescent="0.3">
      <c r="A1510">
        <v>75450</v>
      </c>
      <c r="B1510" t="s">
        <v>31243</v>
      </c>
      <c r="C1510" t="s">
        <v>31244</v>
      </c>
      <c r="D1510" t="s">
        <v>31245</v>
      </c>
      <c r="E1510" t="s">
        <v>31246</v>
      </c>
      <c r="F1510" t="s">
        <v>31247</v>
      </c>
      <c r="G1510" t="s">
        <v>31248</v>
      </c>
      <c r="H1510" t="s">
        <v>31249</v>
      </c>
      <c r="I1510" t="s">
        <v>31250</v>
      </c>
      <c r="J1510" t="s">
        <v>31251</v>
      </c>
      <c r="K1510" t="s">
        <v>31252</v>
      </c>
      <c r="L1510" t="s">
        <v>31253</v>
      </c>
      <c r="M1510" t="s">
        <v>31254</v>
      </c>
      <c r="N1510" t="s">
        <v>31255</v>
      </c>
      <c r="O1510">
        <f>-800.890987976103 -35.8433497383794 -500.415209060446</f>
        <v>-1337.1495467749285</v>
      </c>
      <c r="P1510">
        <f>-802.458567440466 -69.9363017877627 -208.137326469812</f>
        <v>-1080.5321956980406</v>
      </c>
      <c r="Q1510">
        <f>-577.523209487519 -30.4602662287671 -284.926046624766</f>
        <v>-892.90952234105202</v>
      </c>
      <c r="R1510" t="s">
        <v>31256</v>
      </c>
      <c r="S1510" t="s">
        <v>31257</v>
      </c>
      <c r="T1510" t="s">
        <v>31258</v>
      </c>
      <c r="U1510" t="s">
        <v>31259</v>
      </c>
      <c r="V1510" t="s">
        <v>31260</v>
      </c>
      <c r="W1510" t="s">
        <v>31261</v>
      </c>
      <c r="X1510" t="s">
        <v>31262</v>
      </c>
      <c r="Y1510" t="s">
        <v>31263</v>
      </c>
    </row>
    <row r="1511" spans="1:25" x14ac:dyDescent="0.3">
      <c r="A1511">
        <v>75500</v>
      </c>
      <c r="B1511" t="s">
        <v>31264</v>
      </c>
      <c r="C1511" t="s">
        <v>31265</v>
      </c>
      <c r="D1511" t="s">
        <v>31266</v>
      </c>
      <c r="E1511" t="s">
        <v>31267</v>
      </c>
      <c r="F1511" t="s">
        <v>31268</v>
      </c>
      <c r="G1511" t="s">
        <v>31269</v>
      </c>
      <c r="H1511" t="s">
        <v>31270</v>
      </c>
      <c r="I1511" t="s">
        <v>31271</v>
      </c>
      <c r="J1511" t="s">
        <v>31272</v>
      </c>
      <c r="K1511" t="s">
        <v>31273</v>
      </c>
      <c r="L1511" t="s">
        <v>31274</v>
      </c>
      <c r="M1511" t="s">
        <v>31275</v>
      </c>
      <c r="N1511" t="s">
        <v>31276</v>
      </c>
      <c r="O1511">
        <f>-803.869747672384 -34.6019912622992 -500.865707468019</f>
        <v>-1339.3374464027022</v>
      </c>
      <c r="P1511">
        <f>-807.937660216722 -70.1745252209569 -208.788239442921</f>
        <v>-1086.9004248805998</v>
      </c>
      <c r="Q1511">
        <f>-582.069377252182 -30.1224048191716 -282.477701329396</f>
        <v>-894.66948340074964</v>
      </c>
      <c r="R1511" t="s">
        <v>31277</v>
      </c>
      <c r="S1511" t="s">
        <v>31278</v>
      </c>
      <c r="T1511" t="s">
        <v>31279</v>
      </c>
      <c r="U1511" t="s">
        <v>31280</v>
      </c>
      <c r="V1511" t="s">
        <v>31281</v>
      </c>
      <c r="W1511" t="s">
        <v>31282</v>
      </c>
      <c r="X1511" t="s">
        <v>31283</v>
      </c>
      <c r="Y1511" t="s">
        <v>31284</v>
      </c>
    </row>
    <row r="1512" spans="1:25" x14ac:dyDescent="0.3">
      <c r="A1512">
        <v>75550</v>
      </c>
      <c r="B1512" t="s">
        <v>31264</v>
      </c>
      <c r="C1512" t="s">
        <v>31265</v>
      </c>
      <c r="D1512" t="s">
        <v>31266</v>
      </c>
      <c r="E1512" t="s">
        <v>31267</v>
      </c>
      <c r="F1512" t="s">
        <v>31268</v>
      </c>
      <c r="G1512" t="s">
        <v>31269</v>
      </c>
      <c r="H1512" t="s">
        <v>31270</v>
      </c>
      <c r="I1512" t="s">
        <v>31271</v>
      </c>
      <c r="J1512" t="s">
        <v>31272</v>
      </c>
      <c r="K1512" t="s">
        <v>31273</v>
      </c>
      <c r="L1512" t="s">
        <v>31274</v>
      </c>
      <c r="M1512" t="s">
        <v>31275</v>
      </c>
      <c r="N1512" t="s">
        <v>31276</v>
      </c>
      <c r="O1512">
        <f>-803.869747672384 -34.6019912622992 -500.865707468019</f>
        <v>-1339.3374464027022</v>
      </c>
      <c r="P1512">
        <f>-807.937660216722 -70.1745252209569 -208.788239442921</f>
        <v>-1086.9004248805998</v>
      </c>
      <c r="Q1512">
        <f>-582.069377252182 -30.1224048191716 -282.477701329396</f>
        <v>-894.66948340074964</v>
      </c>
      <c r="R1512" t="s">
        <v>31277</v>
      </c>
      <c r="S1512" t="s">
        <v>31278</v>
      </c>
      <c r="T1512" t="s">
        <v>31279</v>
      </c>
      <c r="U1512" t="s">
        <v>31280</v>
      </c>
      <c r="V1512" t="s">
        <v>31281</v>
      </c>
      <c r="W1512" t="s">
        <v>31282</v>
      </c>
      <c r="X1512" t="s">
        <v>31283</v>
      </c>
      <c r="Y1512" t="s">
        <v>31284</v>
      </c>
    </row>
    <row r="1513" spans="1:25" x14ac:dyDescent="0.3">
      <c r="A1513">
        <v>75600</v>
      </c>
      <c r="B1513" t="s">
        <v>31285</v>
      </c>
      <c r="C1513" t="s">
        <v>31286</v>
      </c>
      <c r="D1513" t="s">
        <v>31287</v>
      </c>
      <c r="E1513" t="s">
        <v>31288</v>
      </c>
      <c r="F1513" t="s">
        <v>31289</v>
      </c>
      <c r="G1513" t="s">
        <v>31290</v>
      </c>
      <c r="H1513" t="s">
        <v>31291</v>
      </c>
      <c r="I1513" t="s">
        <v>31292</v>
      </c>
      <c r="J1513" t="s">
        <v>31293</v>
      </c>
      <c r="K1513" t="s">
        <v>31294</v>
      </c>
      <c r="L1513" t="s">
        <v>31295</v>
      </c>
      <c r="M1513" t="s">
        <v>31296</v>
      </c>
      <c r="N1513" t="s">
        <v>31297</v>
      </c>
      <c r="O1513">
        <f>-805.513087522538 -33.9618575355785 -501.00474029367</f>
        <v>-1340.4796853517864</v>
      </c>
      <c r="P1513">
        <f>-810.987663317481 -69.9658025029162 -209.003087181952</f>
        <v>-1089.9565530023492</v>
      </c>
      <c r="Q1513">
        <f>-584.354588092299 -30.2467587238139 -280.492942729519</f>
        <v>-895.0942895456318</v>
      </c>
      <c r="R1513" t="s">
        <v>31298</v>
      </c>
      <c r="S1513" t="s">
        <v>31299</v>
      </c>
      <c r="T1513" t="s">
        <v>31300</v>
      </c>
      <c r="U1513" t="s">
        <v>31301</v>
      </c>
      <c r="V1513" t="s">
        <v>31302</v>
      </c>
      <c r="W1513" t="s">
        <v>31303</v>
      </c>
      <c r="X1513" t="s">
        <v>31304</v>
      </c>
      <c r="Y1513" t="s">
        <v>31305</v>
      </c>
    </row>
    <row r="1514" spans="1:25" x14ac:dyDescent="0.3">
      <c r="A1514">
        <v>75650</v>
      </c>
      <c r="B1514" t="s">
        <v>31306</v>
      </c>
      <c r="C1514" t="s">
        <v>31307</v>
      </c>
      <c r="D1514" t="s">
        <v>31308</v>
      </c>
      <c r="E1514" t="s">
        <v>31309</v>
      </c>
      <c r="F1514" t="s">
        <v>31310</v>
      </c>
      <c r="G1514" t="s">
        <v>31311</v>
      </c>
      <c r="H1514" t="s">
        <v>31312</v>
      </c>
      <c r="I1514" t="s">
        <v>31313</v>
      </c>
      <c r="J1514" t="s">
        <v>31314</v>
      </c>
      <c r="K1514" t="s">
        <v>31315</v>
      </c>
      <c r="L1514" t="s">
        <v>31316</v>
      </c>
      <c r="M1514" t="s">
        <v>31317</v>
      </c>
      <c r="N1514" t="s">
        <v>31318</v>
      </c>
      <c r="O1514">
        <f>-810.853865428985 -31.7680556520186 -501.605618046083</f>
        <v>-1344.2275391270866</v>
      </c>
      <c r="P1514">
        <f>-820.736378851938 -68.9926263566047 -209.873190247892</f>
        <v>-1099.6021954564346</v>
      </c>
      <c r="Q1514">
        <f>-593.110463452464 -29.1709883144927 -278.075815489242</f>
        <v>-900.35726725619872</v>
      </c>
      <c r="R1514" t="s">
        <v>31319</v>
      </c>
      <c r="S1514" t="s">
        <v>31320</v>
      </c>
      <c r="T1514" t="s">
        <v>31321</v>
      </c>
      <c r="U1514" t="s">
        <v>31322</v>
      </c>
      <c r="V1514" t="s">
        <v>31323</v>
      </c>
      <c r="W1514" t="s">
        <v>31324</v>
      </c>
      <c r="X1514" t="s">
        <v>31325</v>
      </c>
      <c r="Y1514" t="s">
        <v>31326</v>
      </c>
    </row>
    <row r="1515" spans="1:25" x14ac:dyDescent="0.3">
      <c r="A1515">
        <v>75700</v>
      </c>
      <c r="B1515" t="s">
        <v>31327</v>
      </c>
      <c r="C1515" t="s">
        <v>31328</v>
      </c>
      <c r="D1515" t="s">
        <v>31329</v>
      </c>
      <c r="E1515" t="s">
        <v>31330</v>
      </c>
      <c r="F1515" t="s">
        <v>31331</v>
      </c>
      <c r="G1515" t="s">
        <v>31332</v>
      </c>
      <c r="H1515" t="s">
        <v>31333</v>
      </c>
      <c r="I1515" t="s">
        <v>31334</v>
      </c>
      <c r="J1515" t="s">
        <v>31335</v>
      </c>
      <c r="K1515" t="s">
        <v>31336</v>
      </c>
      <c r="L1515" t="s">
        <v>31337</v>
      </c>
      <c r="M1515" t="s">
        <v>31338</v>
      </c>
      <c r="N1515" t="s">
        <v>31339</v>
      </c>
      <c r="O1515">
        <f>-813.944770620029 -29.9563182378329 -502.211028873909</f>
        <v>-1346.1121177317709</v>
      </c>
      <c r="P1515">
        <f>-827.715549605674 -69.1514924588669 -210.89441597956</f>
        <v>-1107.7614580441009</v>
      </c>
      <c r="Q1515">
        <f>-601.086687871483 -23.8716031098206 -279.011322635388</f>
        <v>-903.96961361669173</v>
      </c>
      <c r="R1515" t="s">
        <v>31340</v>
      </c>
      <c r="S1515" t="s">
        <v>31341</v>
      </c>
      <c r="T1515" t="s">
        <v>31342</v>
      </c>
      <c r="U1515" t="s">
        <v>31343</v>
      </c>
      <c r="V1515" t="s">
        <v>31344</v>
      </c>
      <c r="W1515" t="s">
        <v>31345</v>
      </c>
      <c r="X1515" t="s">
        <v>31346</v>
      </c>
      <c r="Y1515" t="s">
        <v>31347</v>
      </c>
    </row>
    <row r="1516" spans="1:25" x14ac:dyDescent="0.3">
      <c r="A1516">
        <v>75750</v>
      </c>
      <c r="B1516" t="s">
        <v>31348</v>
      </c>
      <c r="C1516" t="s">
        <v>31349</v>
      </c>
      <c r="D1516" t="s">
        <v>31350</v>
      </c>
      <c r="E1516" t="s">
        <v>31351</v>
      </c>
      <c r="F1516" t="s">
        <v>31352</v>
      </c>
      <c r="G1516" t="s">
        <v>31353</v>
      </c>
      <c r="H1516" t="s">
        <v>31354</v>
      </c>
      <c r="I1516" t="s">
        <v>31355</v>
      </c>
      <c r="J1516" t="s">
        <v>31356</v>
      </c>
      <c r="K1516" t="s">
        <v>31357</v>
      </c>
      <c r="L1516" t="s">
        <v>31358</v>
      </c>
      <c r="M1516" t="s">
        <v>31359</v>
      </c>
      <c r="N1516" t="s">
        <v>31360</v>
      </c>
      <c r="O1516">
        <f>-815.230845285525 -29.1877419663774 -502.401357894082</f>
        <v>-1346.8199451459845</v>
      </c>
      <c r="P1516">
        <f>-831.707331619185 -68.5444543411813 -211.24723633615</f>
        <v>-1111.4990222965164</v>
      </c>
      <c r="Q1516">
        <f>-605.789552856242 -20.6659958582686 -279.946927673931</f>
        <v>-906.40247638844164</v>
      </c>
      <c r="R1516" t="s">
        <v>31361</v>
      </c>
      <c r="S1516" t="s">
        <v>31362</v>
      </c>
      <c r="T1516" t="s">
        <v>31363</v>
      </c>
      <c r="U1516" t="s">
        <v>31364</v>
      </c>
      <c r="V1516" t="s">
        <v>31365</v>
      </c>
      <c r="W1516" t="s">
        <v>31366</v>
      </c>
      <c r="X1516" t="s">
        <v>31367</v>
      </c>
      <c r="Y1516" t="s">
        <v>31368</v>
      </c>
    </row>
    <row r="1517" spans="1:25" x14ac:dyDescent="0.3">
      <c r="A1517">
        <v>75800</v>
      </c>
      <c r="B1517" t="s">
        <v>31369</v>
      </c>
      <c r="C1517" t="s">
        <v>31370</v>
      </c>
      <c r="D1517" t="s">
        <v>31371</v>
      </c>
      <c r="E1517" t="s">
        <v>31372</v>
      </c>
      <c r="F1517" t="s">
        <v>31373</v>
      </c>
      <c r="G1517" t="s">
        <v>31374</v>
      </c>
      <c r="H1517" t="s">
        <v>31375</v>
      </c>
      <c r="I1517" t="s">
        <v>31376</v>
      </c>
      <c r="J1517" t="s">
        <v>31377</v>
      </c>
      <c r="K1517" t="s">
        <v>31378</v>
      </c>
      <c r="L1517" t="s">
        <v>31379</v>
      </c>
      <c r="M1517" t="s">
        <v>31380</v>
      </c>
      <c r="N1517" t="s">
        <v>31381</v>
      </c>
      <c r="O1517">
        <f>-818.729646582706 -27.7797876144846 -502.777394240038</f>
        <v>-1349.2868284372285</v>
      </c>
      <c r="P1517">
        <f>-838.270765393036 -66.4740284007407 -211.724061462502</f>
        <v>-1116.4688552562786</v>
      </c>
      <c r="Q1517">
        <f>-613.627989939399 -14.7037583685287 -281.769206828401</f>
        <v>-910.10095513632871</v>
      </c>
      <c r="R1517" t="s">
        <v>31382</v>
      </c>
      <c r="S1517" t="s">
        <v>31383</v>
      </c>
      <c r="T1517" t="s">
        <v>31384</v>
      </c>
      <c r="U1517" t="s">
        <v>31385</v>
      </c>
      <c r="V1517" t="s">
        <v>31386</v>
      </c>
      <c r="W1517" t="s">
        <v>31387</v>
      </c>
      <c r="X1517" t="s">
        <v>31388</v>
      </c>
      <c r="Y1517" t="s">
        <v>31389</v>
      </c>
    </row>
    <row r="1518" spans="1:25" x14ac:dyDescent="0.3">
      <c r="A1518">
        <v>75850</v>
      </c>
      <c r="B1518" t="s">
        <v>31390</v>
      </c>
      <c r="C1518" t="s">
        <v>31391</v>
      </c>
      <c r="D1518" t="s">
        <v>31392</v>
      </c>
      <c r="E1518" t="s">
        <v>31393</v>
      </c>
      <c r="F1518" t="s">
        <v>31394</v>
      </c>
      <c r="G1518" t="s">
        <v>31395</v>
      </c>
      <c r="H1518" t="s">
        <v>31396</v>
      </c>
      <c r="I1518" t="s">
        <v>31397</v>
      </c>
      <c r="J1518" t="s">
        <v>31398</v>
      </c>
      <c r="K1518" t="s">
        <v>31399</v>
      </c>
      <c r="L1518" t="s">
        <v>31400</v>
      </c>
      <c r="M1518" t="s">
        <v>31401</v>
      </c>
      <c r="N1518" t="s">
        <v>31402</v>
      </c>
      <c r="O1518">
        <f>-820.295394507429 -26.8656210181953 -503.023817355594</f>
        <v>-1350.1848328812184</v>
      </c>
      <c r="P1518">
        <f>-840.67080818675 -65.8738485371637 -212.069410408147</f>
        <v>-1118.6140671320607</v>
      </c>
      <c r="Q1518">
        <f>-617.390814546913 -11.4376178805542 -284.412774470863</f>
        <v>-913.24120689833012</v>
      </c>
      <c r="R1518" t="s">
        <v>31403</v>
      </c>
      <c r="S1518" t="s">
        <v>31404</v>
      </c>
      <c r="T1518" t="s">
        <v>31405</v>
      </c>
      <c r="U1518" t="s">
        <v>31406</v>
      </c>
      <c r="V1518" t="s">
        <v>31407</v>
      </c>
      <c r="W1518" t="s">
        <v>31408</v>
      </c>
      <c r="X1518" t="s">
        <v>31409</v>
      </c>
      <c r="Y1518" t="s">
        <v>31410</v>
      </c>
    </row>
    <row r="1519" spans="1:25" x14ac:dyDescent="0.3">
      <c r="A1519">
        <v>75900</v>
      </c>
      <c r="B1519" t="s">
        <v>31411</v>
      </c>
      <c r="C1519" t="s">
        <v>31412</v>
      </c>
      <c r="D1519" t="s">
        <v>31413</v>
      </c>
      <c r="E1519" t="s">
        <v>31414</v>
      </c>
      <c r="F1519" t="s">
        <v>31415</v>
      </c>
      <c r="G1519" t="s">
        <v>31416</v>
      </c>
      <c r="H1519" t="s">
        <v>31417</v>
      </c>
      <c r="I1519" t="s">
        <v>31418</v>
      </c>
      <c r="J1519" t="s">
        <v>31419</v>
      </c>
      <c r="K1519" t="s">
        <v>31420</v>
      </c>
      <c r="L1519" t="s">
        <v>31421</v>
      </c>
      <c r="M1519" t="s">
        <v>31422</v>
      </c>
      <c r="N1519" t="s">
        <v>31423</v>
      </c>
      <c r="O1519">
        <f>-822.45636104029 -24.7988595785632 -504.228271036981</f>
        <v>-1351.4834916558343</v>
      </c>
      <c r="P1519">
        <f>-844.78050169666 -65.3684746321969 -213.63072042299</f>
        <v>-1123.779696751847</v>
      </c>
      <c r="Q1519">
        <f>-622.454350579 -7.31439059701415 -286.09945098849</f>
        <v>-915.86819216450408</v>
      </c>
      <c r="R1519" t="s">
        <v>31424</v>
      </c>
      <c r="S1519" t="s">
        <v>31425</v>
      </c>
      <c r="T1519" t="s">
        <v>31426</v>
      </c>
      <c r="U1519" t="s">
        <v>31427</v>
      </c>
      <c r="V1519" t="s">
        <v>31428</v>
      </c>
      <c r="W1519" t="s">
        <v>31429</v>
      </c>
      <c r="X1519" t="s">
        <v>31430</v>
      </c>
      <c r="Y1519" t="s">
        <v>31431</v>
      </c>
    </row>
    <row r="1520" spans="1:25" x14ac:dyDescent="0.3">
      <c r="A1520">
        <v>75950</v>
      </c>
      <c r="B1520" t="s">
        <v>31432</v>
      </c>
      <c r="C1520" t="s">
        <v>31433</v>
      </c>
      <c r="D1520" t="s">
        <v>31434</v>
      </c>
      <c r="E1520" t="s">
        <v>31435</v>
      </c>
      <c r="F1520" t="s">
        <v>31436</v>
      </c>
      <c r="G1520" t="s">
        <v>31437</v>
      </c>
      <c r="H1520" t="s">
        <v>31438</v>
      </c>
      <c r="I1520" t="s">
        <v>31439</v>
      </c>
      <c r="J1520" t="s">
        <v>31440</v>
      </c>
      <c r="K1520" t="s">
        <v>31441</v>
      </c>
      <c r="L1520" t="s">
        <v>31442</v>
      </c>
      <c r="M1520" t="s">
        <v>31443</v>
      </c>
      <c r="N1520" t="s">
        <v>31444</v>
      </c>
      <c r="O1520">
        <f>-822.833982460863 -23.6727558385619 -504.920672115734</f>
        <v>-1351.4274104151589</v>
      </c>
      <c r="P1520">
        <f>-847.231776645675 -66.0073950585922 -214.741872988665</f>
        <v>-1127.9810446929323</v>
      </c>
      <c r="Q1520">
        <f>-624.938357123227 -6.89934598758236 -286.454940559966</f>
        <v>-918.29264367077531</v>
      </c>
      <c r="R1520" t="s">
        <v>31445</v>
      </c>
      <c r="S1520" t="s">
        <v>31446</v>
      </c>
      <c r="T1520" t="s">
        <v>31447</v>
      </c>
      <c r="U1520" t="s">
        <v>31448</v>
      </c>
      <c r="V1520" t="s">
        <v>31449</v>
      </c>
      <c r="W1520" t="s">
        <v>31450</v>
      </c>
      <c r="X1520" t="s">
        <v>31451</v>
      </c>
      <c r="Y1520" t="s">
        <v>31452</v>
      </c>
    </row>
    <row r="1521" spans="1:25" x14ac:dyDescent="0.3">
      <c r="A1521">
        <v>76000</v>
      </c>
      <c r="B1521" t="s">
        <v>31453</v>
      </c>
      <c r="C1521" t="s">
        <v>31454</v>
      </c>
      <c r="D1521" t="s">
        <v>31455</v>
      </c>
      <c r="E1521" t="s">
        <v>31456</v>
      </c>
      <c r="F1521" t="s">
        <v>31457</v>
      </c>
      <c r="G1521" t="s">
        <v>31458</v>
      </c>
      <c r="H1521" t="s">
        <v>31459</v>
      </c>
      <c r="I1521" t="s">
        <v>31460</v>
      </c>
      <c r="J1521" t="s">
        <v>31461</v>
      </c>
      <c r="K1521" t="s">
        <v>31462</v>
      </c>
      <c r="L1521" t="s">
        <v>31463</v>
      </c>
      <c r="M1521" t="s">
        <v>31464</v>
      </c>
      <c r="N1521" t="s">
        <v>31465</v>
      </c>
      <c r="O1521">
        <f>-823.598985978874 -21.4744283442369 -506.380058924969</f>
        <v>-1351.4534732480799</v>
      </c>
      <c r="P1521">
        <f>-854.128976536269 -66.1151041353655 -217.128798676158</f>
        <v>-1137.3728793477926</v>
      </c>
      <c r="Q1521">
        <f>-631.129487938646 -8.24367781737692 -287.648259773231</f>
        <v>-927.02142552925397</v>
      </c>
      <c r="R1521" t="s">
        <v>31466</v>
      </c>
      <c r="S1521" t="s">
        <v>31467</v>
      </c>
      <c r="T1521" t="s">
        <v>31468</v>
      </c>
      <c r="U1521" t="s">
        <v>31469</v>
      </c>
      <c r="V1521" t="s">
        <v>31470</v>
      </c>
      <c r="W1521" t="s">
        <v>31471</v>
      </c>
      <c r="X1521" t="s">
        <v>31472</v>
      </c>
      <c r="Y1521" t="s">
        <v>31473</v>
      </c>
    </row>
    <row r="1522" spans="1:25" x14ac:dyDescent="0.3">
      <c r="A1522">
        <v>76050</v>
      </c>
      <c r="B1522" t="s">
        <v>31474</v>
      </c>
      <c r="C1522" t="s">
        <v>31475</v>
      </c>
      <c r="D1522" t="s">
        <v>31476</v>
      </c>
      <c r="E1522" t="s">
        <v>31477</v>
      </c>
      <c r="F1522" t="s">
        <v>31478</v>
      </c>
      <c r="G1522" t="s">
        <v>31479</v>
      </c>
      <c r="H1522" t="s">
        <v>31480</v>
      </c>
      <c r="I1522" t="s">
        <v>31481</v>
      </c>
      <c r="J1522" t="s">
        <v>31482</v>
      </c>
      <c r="K1522" t="s">
        <v>31483</v>
      </c>
      <c r="L1522" t="s">
        <v>31484</v>
      </c>
      <c r="M1522" t="s">
        <v>31485</v>
      </c>
      <c r="N1522" t="s">
        <v>31486</v>
      </c>
      <c r="O1522">
        <f>-824.017271026057 -20.7432730052187 -506.840127476042</f>
        <v>-1351.6006715073177</v>
      </c>
      <c r="P1522">
        <f>-857.345777332131 -66.5956111470216 -218.087679245905</f>
        <v>-1142.0290677250575</v>
      </c>
      <c r="Q1522">
        <f>-634.556514987232 -8.27386470832016 -288.900112808085</f>
        <v>-931.73049250363715</v>
      </c>
      <c r="R1522" t="s">
        <v>31487</v>
      </c>
      <c r="S1522" t="s">
        <v>31488</v>
      </c>
      <c r="T1522" t="s">
        <v>31489</v>
      </c>
      <c r="U1522" t="s">
        <v>31490</v>
      </c>
      <c r="V1522" t="s">
        <v>31491</v>
      </c>
      <c r="W1522" t="s">
        <v>31492</v>
      </c>
      <c r="X1522" t="s">
        <v>31493</v>
      </c>
      <c r="Y1522" t="s">
        <v>31494</v>
      </c>
    </row>
    <row r="1523" spans="1:25" x14ac:dyDescent="0.3">
      <c r="A1523">
        <v>76100</v>
      </c>
      <c r="B1523" t="s">
        <v>31495</v>
      </c>
      <c r="C1523" t="s">
        <v>31496</v>
      </c>
      <c r="D1523" t="s">
        <v>31497</v>
      </c>
      <c r="E1523" t="s">
        <v>31498</v>
      </c>
      <c r="F1523" t="s">
        <v>31499</v>
      </c>
      <c r="G1523" t="s">
        <v>31500</v>
      </c>
      <c r="H1523" t="s">
        <v>31501</v>
      </c>
      <c r="I1523" t="s">
        <v>31502</v>
      </c>
      <c r="J1523" t="s">
        <v>31503</v>
      </c>
      <c r="K1523" t="s">
        <v>31504</v>
      </c>
      <c r="L1523" t="s">
        <v>31505</v>
      </c>
      <c r="M1523" t="s">
        <v>31506</v>
      </c>
      <c r="N1523" t="s">
        <v>31507</v>
      </c>
      <c r="O1523">
        <f>-824.140975896883 -20.3170203055843 -507.346542535209</f>
        <v>-1351.8045387376762</v>
      </c>
      <c r="P1523">
        <f>-861.443150492639 -67.841255618225 -219.351437105048</f>
        <v>-1148.635843215912</v>
      </c>
      <c r="Q1523">
        <f>-640.84081607121 -4.4975667867252 -292.65257422014</f>
        <v>-937.99095707807533</v>
      </c>
      <c r="R1523" t="s">
        <v>31508</v>
      </c>
      <c r="S1523" t="s">
        <v>31509</v>
      </c>
      <c r="T1523" t="s">
        <v>31510</v>
      </c>
      <c r="U1523" t="s">
        <v>31511</v>
      </c>
      <c r="V1523" t="s">
        <v>31512</v>
      </c>
      <c r="W1523" t="s">
        <v>31513</v>
      </c>
      <c r="X1523" t="s">
        <v>31514</v>
      </c>
      <c r="Y1523" t="s">
        <v>31515</v>
      </c>
    </row>
    <row r="1524" spans="1:25" x14ac:dyDescent="0.3">
      <c r="A1524">
        <v>76150</v>
      </c>
      <c r="B1524" t="s">
        <v>31516</v>
      </c>
      <c r="C1524" t="s">
        <v>31517</v>
      </c>
      <c r="D1524" t="s">
        <v>31518</v>
      </c>
      <c r="E1524" t="s">
        <v>31519</v>
      </c>
      <c r="F1524" t="s">
        <v>31520</v>
      </c>
      <c r="G1524" t="s">
        <v>31521</v>
      </c>
      <c r="H1524" t="s">
        <v>31522</v>
      </c>
      <c r="I1524" t="s">
        <v>31523</v>
      </c>
      <c r="J1524" t="s">
        <v>31524</v>
      </c>
      <c r="K1524" t="s">
        <v>31525</v>
      </c>
      <c r="L1524" t="s">
        <v>31526</v>
      </c>
      <c r="M1524" t="s">
        <v>31527</v>
      </c>
      <c r="N1524" t="s">
        <v>31528</v>
      </c>
      <c r="O1524">
        <f>-824.216187415382 -20.3550506270381 -507.436699003379</f>
        <v>-1352.0079370457991</v>
      </c>
      <c r="P1524">
        <f>-862.60361324427 -67.6621425709709 -219.548381857619</f>
        <v>-1149.8141376728599</v>
      </c>
      <c r="Q1524">
        <f>-642.539115379408 -3.15817481557451 -293.451629218087</f>
        <v>-939.14891941306951</v>
      </c>
      <c r="R1524" t="s">
        <v>31529</v>
      </c>
      <c r="S1524" t="s">
        <v>31530</v>
      </c>
      <c r="T1524" t="s">
        <v>31531</v>
      </c>
      <c r="U1524" t="s">
        <v>31532</v>
      </c>
      <c r="V1524" t="s">
        <v>31533</v>
      </c>
      <c r="W1524" t="s">
        <v>31534</v>
      </c>
      <c r="X1524" t="s">
        <v>31535</v>
      </c>
      <c r="Y1524" t="s">
        <v>31536</v>
      </c>
    </row>
    <row r="1525" spans="1:25" x14ac:dyDescent="0.3">
      <c r="A1525">
        <v>76200</v>
      </c>
      <c r="B1525" t="s">
        <v>31537</v>
      </c>
      <c r="C1525" t="s">
        <v>31538</v>
      </c>
      <c r="D1525" t="s">
        <v>31539</v>
      </c>
      <c r="E1525" t="s">
        <v>31540</v>
      </c>
      <c r="F1525" t="s">
        <v>31541</v>
      </c>
      <c r="G1525" t="s">
        <v>31542</v>
      </c>
      <c r="H1525" t="s">
        <v>31543</v>
      </c>
      <c r="I1525" t="s">
        <v>31544</v>
      </c>
      <c r="J1525" t="s">
        <v>31545</v>
      </c>
      <c r="K1525" t="s">
        <v>31546</v>
      </c>
      <c r="L1525" t="s">
        <v>31547</v>
      </c>
      <c r="M1525" t="s">
        <v>31548</v>
      </c>
      <c r="N1525" t="s">
        <v>31549</v>
      </c>
      <c r="O1525">
        <f>-823.816926354823 -20.6010975124682 -507.426194271968</f>
        <v>-1351.8442181392591</v>
      </c>
      <c r="P1525">
        <f>-862.923767061764 -67.4893984590919 -219.566214730033</f>
        <v>-1149.9793802508889</v>
      </c>
      <c r="Q1525">
        <f>-644.022577887204 -1.90604935924011 -295.933730271216</f>
        <v>-941.86235751766003</v>
      </c>
      <c r="R1525" t="s">
        <v>31550</v>
      </c>
      <c r="S1525" t="s">
        <v>31551</v>
      </c>
      <c r="T1525" t="s">
        <v>31552</v>
      </c>
      <c r="U1525" t="s">
        <v>31553</v>
      </c>
      <c r="V1525" t="s">
        <v>31554</v>
      </c>
      <c r="W1525" t="s">
        <v>31555</v>
      </c>
      <c r="X1525" t="s">
        <v>31556</v>
      </c>
      <c r="Y1525" t="s">
        <v>31557</v>
      </c>
    </row>
    <row r="1526" spans="1:25" x14ac:dyDescent="0.3">
      <c r="A1526">
        <v>76250</v>
      </c>
      <c r="B1526" t="s">
        <v>31558</v>
      </c>
      <c r="C1526" t="s">
        <v>31559</v>
      </c>
      <c r="D1526" t="s">
        <v>31560</v>
      </c>
      <c r="E1526" t="s">
        <v>31561</v>
      </c>
      <c r="F1526" t="s">
        <v>31562</v>
      </c>
      <c r="G1526" t="s">
        <v>31563</v>
      </c>
      <c r="H1526" t="s">
        <v>31564</v>
      </c>
      <c r="I1526" t="s">
        <v>31565</v>
      </c>
      <c r="J1526" t="s">
        <v>31566</v>
      </c>
      <c r="K1526" t="s">
        <v>31567</v>
      </c>
      <c r="L1526" t="s">
        <v>31568</v>
      </c>
      <c r="M1526" t="s">
        <v>31569</v>
      </c>
      <c r="N1526" t="s">
        <v>31570</v>
      </c>
      <c r="O1526">
        <f>-823.465101162989 -20.7180146239539 -507.428425022843</f>
        <v>-1351.6115408097858</v>
      </c>
      <c r="P1526">
        <f>-862.164537113827 -67.8743721426843 -219.55707709963</f>
        <v>-1149.5959863561413</v>
      </c>
      <c r="Q1526">
        <f>-643.5877622145 -2.62460267901952 -297.12949078187</f>
        <v>-943.34185567538952</v>
      </c>
      <c r="R1526" t="s">
        <v>31571</v>
      </c>
      <c r="S1526" t="s">
        <v>31572</v>
      </c>
      <c r="T1526" t="s">
        <v>31573</v>
      </c>
      <c r="U1526" t="s">
        <v>31574</v>
      </c>
      <c r="V1526" t="s">
        <v>31575</v>
      </c>
      <c r="W1526" t="s">
        <v>31576</v>
      </c>
      <c r="X1526" t="s">
        <v>31577</v>
      </c>
      <c r="Y1526" t="s">
        <v>31578</v>
      </c>
    </row>
    <row r="1527" spans="1:25" x14ac:dyDescent="0.3">
      <c r="A1527">
        <v>76300</v>
      </c>
      <c r="B1527" t="s">
        <v>31579</v>
      </c>
      <c r="C1527" t="s">
        <v>31580</v>
      </c>
      <c r="D1527" t="s">
        <v>31581</v>
      </c>
      <c r="E1527" t="s">
        <v>31582</v>
      </c>
      <c r="F1527" t="s">
        <v>31583</v>
      </c>
      <c r="G1527" t="s">
        <v>31584</v>
      </c>
      <c r="H1527" t="s">
        <v>31585</v>
      </c>
      <c r="I1527" t="s">
        <v>31586</v>
      </c>
      <c r="J1527" t="s">
        <v>31587</v>
      </c>
      <c r="K1527" t="s">
        <v>31588</v>
      </c>
      <c r="L1527" t="s">
        <v>31589</v>
      </c>
      <c r="M1527" t="s">
        <v>31590</v>
      </c>
      <c r="N1527" t="s">
        <v>31591</v>
      </c>
      <c r="O1527">
        <f>-822.411532525003 -20.9903158081956 -507.515406087469</f>
        <v>-1350.9172544206676</v>
      </c>
      <c r="P1527">
        <f>-859.768967778421 -68.7158797068389 -219.560616765837</f>
        <v>-1148.045464251097</v>
      </c>
      <c r="Q1527">
        <f>-641.529832328704 -6.32830826671034 -300.371632920488</f>
        <v>-948.22977351590225</v>
      </c>
      <c r="R1527" t="s">
        <v>31592</v>
      </c>
      <c r="S1527" t="s">
        <v>31593</v>
      </c>
      <c r="T1527" t="s">
        <v>31594</v>
      </c>
      <c r="U1527" t="s">
        <v>31595</v>
      </c>
      <c r="V1527" t="s">
        <v>31596</v>
      </c>
      <c r="W1527" t="s">
        <v>31597</v>
      </c>
      <c r="X1527" t="s">
        <v>31598</v>
      </c>
      <c r="Y1527" t="s">
        <v>31599</v>
      </c>
    </row>
    <row r="1528" spans="1:25" x14ac:dyDescent="0.3">
      <c r="A1528">
        <v>76350</v>
      </c>
      <c r="B1528" t="s">
        <v>31600</v>
      </c>
      <c r="C1528" t="s">
        <v>31601</v>
      </c>
      <c r="D1528" t="s">
        <v>31602</v>
      </c>
      <c r="E1528" t="s">
        <v>31603</v>
      </c>
      <c r="F1528" t="s">
        <v>31604</v>
      </c>
      <c r="G1528" t="s">
        <v>31605</v>
      </c>
      <c r="H1528" t="s">
        <v>31606</v>
      </c>
      <c r="I1528" t="s">
        <v>31607</v>
      </c>
      <c r="J1528" t="s">
        <v>31608</v>
      </c>
      <c r="K1528" t="s">
        <v>31609</v>
      </c>
      <c r="L1528" t="s">
        <v>31610</v>
      </c>
      <c r="M1528" t="s">
        <v>31611</v>
      </c>
      <c r="N1528" t="s">
        <v>31612</v>
      </c>
      <c r="O1528">
        <f>-821.795927958164 -21.2660737008887 -507.645523991887</f>
        <v>-1350.7075256509397</v>
      </c>
      <c r="P1528">
        <f>-857.873450676371 -69.2921377483947 -219.577594925711</f>
        <v>-1146.7431833504768</v>
      </c>
      <c r="Q1528">
        <f>-639.663306795368 -8.98466964551062 -302.028905005602</f>
        <v>-950.67688144648059</v>
      </c>
      <c r="R1528" t="s">
        <v>31613</v>
      </c>
      <c r="S1528" t="s">
        <v>31614</v>
      </c>
      <c r="T1528" t="s">
        <v>31615</v>
      </c>
      <c r="U1528" t="s">
        <v>31616</v>
      </c>
      <c r="V1528" t="s">
        <v>31617</v>
      </c>
      <c r="W1528" t="s">
        <v>31618</v>
      </c>
      <c r="X1528" t="s">
        <v>31619</v>
      </c>
      <c r="Y1528" t="s">
        <v>31620</v>
      </c>
    </row>
    <row r="1529" spans="1:25" x14ac:dyDescent="0.3">
      <c r="A1529">
        <v>76400</v>
      </c>
      <c r="B1529" t="s">
        <v>31621</v>
      </c>
      <c r="C1529" t="s">
        <v>31622</v>
      </c>
      <c r="D1529" t="s">
        <v>31623</v>
      </c>
      <c r="E1529" t="s">
        <v>31624</v>
      </c>
      <c r="F1529" t="s">
        <v>31625</v>
      </c>
      <c r="G1529" t="s">
        <v>31626</v>
      </c>
      <c r="H1529" t="s">
        <v>31627</v>
      </c>
      <c r="I1529" t="s">
        <v>31628</v>
      </c>
      <c r="J1529" t="s">
        <v>31629</v>
      </c>
      <c r="K1529" t="s">
        <v>31630</v>
      </c>
      <c r="L1529" t="s">
        <v>31631</v>
      </c>
      <c r="M1529" t="s">
        <v>31632</v>
      </c>
      <c r="N1529" t="s">
        <v>31633</v>
      </c>
      <c r="O1529">
        <f>-820.570602291586 -22.0886949309379 -507.738512074652</f>
        <v>-1350.3978092971761</v>
      </c>
      <c r="P1529">
        <f>-853.078832665777 -70.7174331698786 -219.346847204302</f>
        <v>-1143.1431130399576</v>
      </c>
      <c r="Q1529">
        <f>-635.002925489579 -14.9465044644726 -305.273379693442</f>
        <v>-955.22280964749348</v>
      </c>
      <c r="R1529" t="s">
        <v>31634</v>
      </c>
      <c r="S1529" t="s">
        <v>31635</v>
      </c>
      <c r="T1529" t="s">
        <v>31636</v>
      </c>
      <c r="U1529" t="s">
        <v>31637</v>
      </c>
      <c r="V1529" t="s">
        <v>31638</v>
      </c>
      <c r="W1529" t="s">
        <v>31639</v>
      </c>
      <c r="X1529" t="s">
        <v>31640</v>
      </c>
      <c r="Y1529" t="s">
        <v>31641</v>
      </c>
    </row>
    <row r="1530" spans="1:25" x14ac:dyDescent="0.3">
      <c r="A1530">
        <v>76450</v>
      </c>
      <c r="B1530" t="s">
        <v>31642</v>
      </c>
      <c r="C1530" t="s">
        <v>31643</v>
      </c>
      <c r="D1530" t="s">
        <v>31644</v>
      </c>
      <c r="E1530" t="s">
        <v>31645</v>
      </c>
      <c r="F1530" t="s">
        <v>31646</v>
      </c>
      <c r="G1530" t="s">
        <v>31647</v>
      </c>
      <c r="H1530" t="s">
        <v>31648</v>
      </c>
      <c r="I1530" t="s">
        <v>31649</v>
      </c>
      <c r="J1530" t="s">
        <v>31650</v>
      </c>
      <c r="K1530" t="s">
        <v>31651</v>
      </c>
      <c r="L1530" t="s">
        <v>31652</v>
      </c>
      <c r="M1530" t="s">
        <v>31653</v>
      </c>
      <c r="N1530" t="s">
        <v>31654</v>
      </c>
      <c r="O1530">
        <f>-820.016892003684 -22.6006628994933 -507.673763657882</f>
        <v>-1350.2913185610591</v>
      </c>
      <c r="P1530">
        <f>-850.349307094195 -71.5556461913768 -219.100546694382</f>
        <v>-1141.0054999799538</v>
      </c>
      <c r="Q1530">
        <f>-632.490032131633 -17.6422870370889 -306.744933686437</f>
        <v>-956.87725285515887</v>
      </c>
      <c r="R1530" t="s">
        <v>31655</v>
      </c>
      <c r="S1530" t="s">
        <v>31656</v>
      </c>
      <c r="T1530" t="s">
        <v>31657</v>
      </c>
      <c r="U1530" t="s">
        <v>31658</v>
      </c>
      <c r="V1530" t="s">
        <v>31659</v>
      </c>
      <c r="W1530" t="s">
        <v>31660</v>
      </c>
      <c r="X1530" t="s">
        <v>31661</v>
      </c>
      <c r="Y1530" t="s">
        <v>31662</v>
      </c>
    </row>
    <row r="1531" spans="1:25" x14ac:dyDescent="0.3">
      <c r="A1531">
        <v>76500</v>
      </c>
      <c r="B1531" t="s">
        <v>31663</v>
      </c>
      <c r="C1531" t="s">
        <v>31664</v>
      </c>
      <c r="D1531" t="s">
        <v>31665</v>
      </c>
      <c r="E1531" t="s">
        <v>31666</v>
      </c>
      <c r="F1531" t="s">
        <v>31667</v>
      </c>
      <c r="G1531" t="s">
        <v>31668</v>
      </c>
      <c r="H1531" t="s">
        <v>31669</v>
      </c>
      <c r="I1531" t="s">
        <v>31670</v>
      </c>
      <c r="J1531" t="s">
        <v>31671</v>
      </c>
      <c r="K1531" t="s">
        <v>31672</v>
      </c>
      <c r="L1531" t="s">
        <v>31673</v>
      </c>
      <c r="M1531" t="s">
        <v>31674</v>
      </c>
      <c r="N1531" t="s">
        <v>31675</v>
      </c>
      <c r="O1531">
        <f>-818.807497978941 -23.6660045028693 -507.285840270182</f>
        <v>-1349.7593427519923</v>
      </c>
      <c r="P1531">
        <f>-845.779849187882 -72.5706348921983 -218.370516336451</f>
        <v>-1136.7210004165313</v>
      </c>
      <c r="Q1531">
        <f>-628.276641797205 -22.4435774337712 -309.092848665299</f>
        <v>-959.81306789627524</v>
      </c>
      <c r="R1531" t="s">
        <v>31676</v>
      </c>
      <c r="S1531" t="s">
        <v>31677</v>
      </c>
      <c r="T1531" t="s">
        <v>31678</v>
      </c>
      <c r="U1531" t="s">
        <v>31679</v>
      </c>
      <c r="V1531" t="s">
        <v>31680</v>
      </c>
      <c r="W1531" t="s">
        <v>31681</v>
      </c>
      <c r="X1531" t="s">
        <v>31682</v>
      </c>
      <c r="Y1531" t="s">
        <v>31683</v>
      </c>
    </row>
    <row r="1532" spans="1:25" x14ac:dyDescent="0.3">
      <c r="A1532">
        <v>76550</v>
      </c>
      <c r="B1532" t="s">
        <v>31684</v>
      </c>
      <c r="C1532" t="s">
        <v>31685</v>
      </c>
      <c r="D1532" t="s">
        <v>31686</v>
      </c>
      <c r="E1532" t="s">
        <v>31687</v>
      </c>
      <c r="F1532" t="s">
        <v>31688</v>
      </c>
      <c r="G1532" t="s">
        <v>31689</v>
      </c>
      <c r="H1532" t="s">
        <v>31690</v>
      </c>
      <c r="I1532" t="s">
        <v>31691</v>
      </c>
      <c r="J1532" t="s">
        <v>31692</v>
      </c>
      <c r="K1532" t="s">
        <v>31693</v>
      </c>
      <c r="L1532" t="s">
        <v>31694</v>
      </c>
      <c r="M1532" t="s">
        <v>31695</v>
      </c>
      <c r="N1532" t="s">
        <v>31696</v>
      </c>
      <c r="O1532">
        <f>-818.229193504373 -24.1685617094504 -507.082405726843</f>
        <v>-1349.4801609406663</v>
      </c>
      <c r="P1532">
        <f>-843.984757067067 -72.6668896419349 -217.987740447473</f>
        <v>-1134.6393871564749</v>
      </c>
      <c r="Q1532">
        <f>-626.460697136295 -24.7864641369351 -309.865671832154</f>
        <v>-961.1128331053842</v>
      </c>
      <c r="R1532" t="s">
        <v>31697</v>
      </c>
      <c r="S1532" t="s">
        <v>31698</v>
      </c>
      <c r="T1532" t="s">
        <v>31699</v>
      </c>
      <c r="U1532" t="s">
        <v>31700</v>
      </c>
      <c r="V1532" t="s">
        <v>31701</v>
      </c>
      <c r="W1532" t="s">
        <v>31702</v>
      </c>
      <c r="X1532" t="s">
        <v>31703</v>
      </c>
      <c r="Y1532" t="s">
        <v>31704</v>
      </c>
    </row>
    <row r="1533" spans="1:25" x14ac:dyDescent="0.3">
      <c r="A1533">
        <v>76600</v>
      </c>
      <c r="B1533" t="s">
        <v>31705</v>
      </c>
      <c r="C1533" t="s">
        <v>31706</v>
      </c>
      <c r="D1533" t="s">
        <v>31707</v>
      </c>
      <c r="E1533" t="s">
        <v>31708</v>
      </c>
      <c r="F1533" t="s">
        <v>31709</v>
      </c>
      <c r="G1533" t="s">
        <v>31710</v>
      </c>
      <c r="H1533" t="s">
        <v>31711</v>
      </c>
      <c r="I1533" t="s">
        <v>31712</v>
      </c>
      <c r="J1533" t="s">
        <v>31713</v>
      </c>
      <c r="K1533" t="s">
        <v>31714</v>
      </c>
      <c r="L1533" t="s">
        <v>31715</v>
      </c>
      <c r="M1533" t="s">
        <v>31716</v>
      </c>
      <c r="N1533" t="s">
        <v>31717</v>
      </c>
      <c r="O1533">
        <f>-817.134425792577 -25.2184054567551 -506.839794181404</f>
        <v>-1349.1926254307361</v>
      </c>
      <c r="P1533">
        <f>-840.638451834549 -73.654630593154 -217.542958607821</f>
        <v>-1131.836041035524</v>
      </c>
      <c r="Q1533">
        <f>-623.758973233254 -28.2623843929059 -312.167096061295</f>
        <v>-964.18845368745497</v>
      </c>
      <c r="R1533" t="s">
        <v>31718</v>
      </c>
      <c r="S1533" t="s">
        <v>31719</v>
      </c>
      <c r="T1533" t="s">
        <v>31720</v>
      </c>
      <c r="U1533" t="s">
        <v>31721</v>
      </c>
      <c r="V1533" t="s">
        <v>31722</v>
      </c>
      <c r="W1533" t="s">
        <v>31723</v>
      </c>
      <c r="X1533" t="s">
        <v>31724</v>
      </c>
      <c r="Y1533" t="s">
        <v>31725</v>
      </c>
    </row>
    <row r="1534" spans="1:25" x14ac:dyDescent="0.3">
      <c r="A1534">
        <v>76650</v>
      </c>
      <c r="B1534" t="s">
        <v>31726</v>
      </c>
      <c r="C1534" t="s">
        <v>31727</v>
      </c>
      <c r="D1534" t="s">
        <v>31728</v>
      </c>
      <c r="E1534" t="s">
        <v>31729</v>
      </c>
      <c r="F1534" t="s">
        <v>31730</v>
      </c>
      <c r="G1534" t="s">
        <v>31731</v>
      </c>
      <c r="H1534" t="s">
        <v>31732</v>
      </c>
      <c r="I1534" t="s">
        <v>31733</v>
      </c>
      <c r="J1534" t="s">
        <v>31734</v>
      </c>
      <c r="K1534" t="s">
        <v>31735</v>
      </c>
      <c r="L1534" t="s">
        <v>31736</v>
      </c>
      <c r="M1534" t="s">
        <v>31737</v>
      </c>
      <c r="N1534" t="s">
        <v>31738</v>
      </c>
      <c r="O1534">
        <f>-816.602066519951 -25.6702845303621 -506.808144616766</f>
        <v>-1349.080495667079</v>
      </c>
      <c r="P1534">
        <f>-838.903550986747 -74.3489680274015 -217.456751461515</f>
        <v>-1130.7092704756635</v>
      </c>
      <c r="Q1534">
        <f>-622.531029311448 -29.6996101600726 -313.58305547114</f>
        <v>-965.81369494266062</v>
      </c>
      <c r="R1534" t="s">
        <v>31739</v>
      </c>
      <c r="S1534" t="s">
        <v>31740</v>
      </c>
      <c r="T1534" t="s">
        <v>31741</v>
      </c>
      <c r="U1534" t="s">
        <v>31742</v>
      </c>
      <c r="V1534" t="s">
        <v>31743</v>
      </c>
      <c r="W1534" t="s">
        <v>31744</v>
      </c>
      <c r="X1534" t="s">
        <v>31745</v>
      </c>
      <c r="Y1534" t="s">
        <v>31746</v>
      </c>
    </row>
    <row r="1535" spans="1:25" x14ac:dyDescent="0.3">
      <c r="A1535">
        <v>76700</v>
      </c>
      <c r="B1535" t="s">
        <v>31747</v>
      </c>
      <c r="C1535" t="s">
        <v>31748</v>
      </c>
      <c r="D1535" t="s">
        <v>31749</v>
      </c>
      <c r="E1535" t="s">
        <v>31750</v>
      </c>
      <c r="F1535" t="s">
        <v>31751</v>
      </c>
      <c r="G1535" t="s">
        <v>31752</v>
      </c>
      <c r="H1535" t="s">
        <v>31753</v>
      </c>
      <c r="I1535" t="s">
        <v>31754</v>
      </c>
      <c r="J1535" t="s">
        <v>31755</v>
      </c>
      <c r="K1535" t="s">
        <v>31756</v>
      </c>
      <c r="L1535" t="s">
        <v>31757</v>
      </c>
      <c r="M1535" t="s">
        <v>31758</v>
      </c>
      <c r="N1535" t="s">
        <v>31759</v>
      </c>
      <c r="O1535">
        <f>-815.247191179334 -26.7176406639614 -506.765040849892</f>
        <v>-1348.7298726931874</v>
      </c>
      <c r="P1535">
        <f>-834.708594947838 -76.1933182004896 -217.343881029187</f>
        <v>-1128.2457941775147</v>
      </c>
      <c r="Q1535">
        <f>-619.697377044992 -32.8083821681257 -317.037513990242</f>
        <v>-969.54327320335972</v>
      </c>
      <c r="R1535" t="s">
        <v>31760</v>
      </c>
      <c r="S1535" t="s">
        <v>31761</v>
      </c>
      <c r="T1535" t="s">
        <v>31762</v>
      </c>
      <c r="U1535" t="s">
        <v>31763</v>
      </c>
      <c r="V1535" t="s">
        <v>31764</v>
      </c>
      <c r="W1535" t="s">
        <v>31765</v>
      </c>
      <c r="X1535" t="s">
        <v>31766</v>
      </c>
      <c r="Y1535" t="s">
        <v>31767</v>
      </c>
    </row>
    <row r="1536" spans="1:25" x14ac:dyDescent="0.3">
      <c r="A1536">
        <v>76750</v>
      </c>
      <c r="B1536" t="s">
        <v>31768</v>
      </c>
      <c r="C1536" t="s">
        <v>31769</v>
      </c>
      <c r="D1536" t="s">
        <v>31770</v>
      </c>
      <c r="E1536" t="s">
        <v>31771</v>
      </c>
      <c r="F1536" t="s">
        <v>31772</v>
      </c>
      <c r="G1536" t="s">
        <v>31773</v>
      </c>
      <c r="H1536" t="s">
        <v>31774</v>
      </c>
      <c r="I1536" t="s">
        <v>31775</v>
      </c>
      <c r="J1536" t="s">
        <v>31776</v>
      </c>
      <c r="K1536" t="s">
        <v>31777</v>
      </c>
      <c r="L1536" t="s">
        <v>31778</v>
      </c>
      <c r="M1536" t="s">
        <v>31779</v>
      </c>
      <c r="N1536" t="s">
        <v>31780</v>
      </c>
      <c r="O1536">
        <f>-814.407228677577 -27.2657888824097 -506.754740764819</f>
        <v>-1348.4277583248056</v>
      </c>
      <c r="P1536">
        <f>-832.380821678847 -77.058357023727 -217.291695022347</f>
        <v>-1126.7308737249211</v>
      </c>
      <c r="Q1536">
        <f>-618.52669861113 -34.0599122646136 -319.606585616343</f>
        <v>-972.1931964920866</v>
      </c>
      <c r="R1536" t="s">
        <v>31781</v>
      </c>
      <c r="S1536" t="s">
        <v>31782</v>
      </c>
      <c r="T1536" t="s">
        <v>31783</v>
      </c>
      <c r="U1536" t="s">
        <v>31784</v>
      </c>
      <c r="V1536" t="s">
        <v>31785</v>
      </c>
      <c r="W1536" t="s">
        <v>31786</v>
      </c>
      <c r="X1536" t="s">
        <v>31787</v>
      </c>
      <c r="Y1536" t="s">
        <v>31788</v>
      </c>
    </row>
    <row r="1537" spans="1:25" x14ac:dyDescent="0.3">
      <c r="A1537">
        <v>76800</v>
      </c>
      <c r="B1537" t="s">
        <v>31789</v>
      </c>
      <c r="C1537" t="s">
        <v>31790</v>
      </c>
      <c r="D1537" t="s">
        <v>31791</v>
      </c>
      <c r="E1537" t="s">
        <v>31792</v>
      </c>
      <c r="F1537" t="s">
        <v>31793</v>
      </c>
      <c r="G1537" t="s">
        <v>31794</v>
      </c>
      <c r="H1537" t="s">
        <v>31795</v>
      </c>
      <c r="I1537" t="s">
        <v>31796</v>
      </c>
      <c r="J1537" t="s">
        <v>31797</v>
      </c>
      <c r="K1537" t="s">
        <v>31798</v>
      </c>
      <c r="L1537" t="s">
        <v>31799</v>
      </c>
      <c r="M1537" t="s">
        <v>31800</v>
      </c>
      <c r="N1537" t="s">
        <v>31801</v>
      </c>
      <c r="O1537">
        <f>-812.745891626268 -28.369012244857 -506.771198143326</f>
        <v>-1347.8861020144509</v>
      </c>
      <c r="P1537">
        <f>-826.761890016062 -79.7293473503021 -217.363449607855</f>
        <v>-1123.854686974219</v>
      </c>
      <c r="Q1537">
        <f>-616.903923170482 -36.1791783424412 -327.426504740692</f>
        <v>-980.50960625361517</v>
      </c>
      <c r="R1537" t="s">
        <v>31802</v>
      </c>
      <c r="S1537" t="s">
        <v>31803</v>
      </c>
      <c r="T1537" t="s">
        <v>31804</v>
      </c>
      <c r="U1537" t="s">
        <v>31805</v>
      </c>
      <c r="V1537" t="s">
        <v>31806</v>
      </c>
      <c r="W1537" t="s">
        <v>31807</v>
      </c>
      <c r="X1537" t="s">
        <v>31808</v>
      </c>
      <c r="Y1537" t="s">
        <v>31809</v>
      </c>
    </row>
    <row r="1538" spans="1:25" x14ac:dyDescent="0.3">
      <c r="A1538">
        <v>76850</v>
      </c>
      <c r="B1538" t="s">
        <v>31810</v>
      </c>
      <c r="C1538" t="s">
        <v>31811</v>
      </c>
      <c r="D1538" t="s">
        <v>31812</v>
      </c>
      <c r="E1538" t="s">
        <v>31813</v>
      </c>
      <c r="F1538" t="s">
        <v>31814</v>
      </c>
      <c r="G1538" t="s">
        <v>31815</v>
      </c>
      <c r="H1538" t="s">
        <v>31816</v>
      </c>
      <c r="I1538" t="s">
        <v>31817</v>
      </c>
      <c r="J1538" t="s">
        <v>31818</v>
      </c>
      <c r="K1538" t="s">
        <v>31819</v>
      </c>
      <c r="L1538" t="s">
        <v>31820</v>
      </c>
      <c r="M1538" t="s">
        <v>31821</v>
      </c>
      <c r="N1538" t="s">
        <v>31822</v>
      </c>
      <c r="O1538">
        <f>-812.000331515933 -28.8005020168507 -506.775597758394</f>
        <v>-1347.5764312911776</v>
      </c>
      <c r="P1538">
        <f>-823.587600936905 -81.1643637320265 -217.440190485956</f>
        <v>-1122.1921551548876</v>
      </c>
      <c r="Q1538">
        <f>-616.5027487451 -36.9658750347751 -332.389325871581</f>
        <v>-985.85794965145601</v>
      </c>
      <c r="R1538" t="s">
        <v>31823</v>
      </c>
      <c r="S1538" t="s">
        <v>31824</v>
      </c>
      <c r="T1538" t="s">
        <v>31825</v>
      </c>
      <c r="U1538" t="s">
        <v>31826</v>
      </c>
      <c r="V1538" t="s">
        <v>31827</v>
      </c>
      <c r="W1538" t="s">
        <v>31828</v>
      </c>
      <c r="X1538" t="s">
        <v>31829</v>
      </c>
      <c r="Y1538" t="s">
        <v>31830</v>
      </c>
    </row>
    <row r="1539" spans="1:25" x14ac:dyDescent="0.3">
      <c r="A1539">
        <v>76900</v>
      </c>
      <c r="B1539" t="s">
        <v>31831</v>
      </c>
      <c r="C1539" t="s">
        <v>31832</v>
      </c>
      <c r="D1539" t="s">
        <v>31833</v>
      </c>
      <c r="E1539" t="s">
        <v>31834</v>
      </c>
      <c r="F1539" t="s">
        <v>31835</v>
      </c>
      <c r="G1539" t="s">
        <v>31836</v>
      </c>
      <c r="H1539" t="s">
        <v>31837</v>
      </c>
      <c r="I1539" t="s">
        <v>31838</v>
      </c>
      <c r="J1539" t="s">
        <v>31839</v>
      </c>
      <c r="K1539" t="s">
        <v>31840</v>
      </c>
      <c r="L1539" t="s">
        <v>31841</v>
      </c>
      <c r="M1539" t="s">
        <v>31842</v>
      </c>
      <c r="N1539" t="s">
        <v>31843</v>
      </c>
      <c r="O1539">
        <f>-810.927966340165 -29.8564171880762 -506.720214180761</f>
        <v>-1347.5045977090022</v>
      </c>
      <c r="P1539">
        <f>-816.766982688355 -84.002842764575 -217.539949534919</f>
        <v>-1118.3097749878491</v>
      </c>
      <c r="Q1539">
        <f>-617.02383455268 -37.6292204615304 -344.043140325092</f>
        <v>-998.69619533930245</v>
      </c>
      <c r="R1539" t="s">
        <v>31844</v>
      </c>
      <c r="S1539" t="s">
        <v>31845</v>
      </c>
      <c r="T1539" t="s">
        <v>31846</v>
      </c>
      <c r="U1539" t="s">
        <v>31847</v>
      </c>
      <c r="V1539" t="s">
        <v>31848</v>
      </c>
      <c r="W1539" t="s">
        <v>31849</v>
      </c>
      <c r="X1539" t="s">
        <v>31850</v>
      </c>
      <c r="Y1539" t="s">
        <v>31851</v>
      </c>
    </row>
    <row r="1540" spans="1:25" x14ac:dyDescent="0.3">
      <c r="A1540">
        <v>76950</v>
      </c>
      <c r="B1540" t="s">
        <v>31852</v>
      </c>
      <c r="C1540" t="s">
        <v>31853</v>
      </c>
      <c r="D1540" t="s">
        <v>31854</v>
      </c>
      <c r="E1540" t="s">
        <v>31855</v>
      </c>
      <c r="F1540" t="s">
        <v>31856</v>
      </c>
      <c r="G1540" t="s">
        <v>31857</v>
      </c>
      <c r="H1540" t="s">
        <v>31858</v>
      </c>
      <c r="I1540" t="s">
        <v>31859</v>
      </c>
      <c r="J1540" t="s">
        <v>31860</v>
      </c>
      <c r="K1540" t="s">
        <v>31861</v>
      </c>
      <c r="L1540" t="s">
        <v>31862</v>
      </c>
      <c r="M1540" t="s">
        <v>31863</v>
      </c>
      <c r="N1540" t="s">
        <v>31864</v>
      </c>
      <c r="O1540">
        <f>-810.64824911341 -30.3108032357463 -506.674666048979</f>
        <v>-1347.6337183981354</v>
      </c>
      <c r="P1540">
        <f>-813.368610139315 -85.2105249406191 -217.590239115751</f>
        <v>-1116.1693741956851</v>
      </c>
      <c r="Q1540">
        <f>-617.833131260667 -37.7972426276438 -350.137411735294</f>
        <v>-1005.7677856236047</v>
      </c>
      <c r="R1540" t="s">
        <v>31865</v>
      </c>
      <c r="S1540" t="s">
        <v>31866</v>
      </c>
      <c r="T1540" t="s">
        <v>31867</v>
      </c>
      <c r="U1540" t="s">
        <v>31868</v>
      </c>
      <c r="V1540" t="s">
        <v>31869</v>
      </c>
      <c r="W1540" t="s">
        <v>31870</v>
      </c>
      <c r="X1540" t="s">
        <v>31871</v>
      </c>
      <c r="Y1540" t="s">
        <v>31872</v>
      </c>
    </row>
    <row r="1541" spans="1:25" x14ac:dyDescent="0.3">
      <c r="A1541">
        <v>77000</v>
      </c>
      <c r="B1541" t="s">
        <v>31873</v>
      </c>
      <c r="C1541" t="s">
        <v>31874</v>
      </c>
      <c r="D1541" t="s">
        <v>31875</v>
      </c>
      <c r="E1541" t="s">
        <v>31876</v>
      </c>
      <c r="F1541" t="s">
        <v>31877</v>
      </c>
      <c r="G1541" t="s">
        <v>31878</v>
      </c>
      <c r="H1541" t="s">
        <v>31879</v>
      </c>
      <c r="I1541" t="s">
        <v>31880</v>
      </c>
      <c r="J1541" t="s">
        <v>31881</v>
      </c>
      <c r="K1541" t="s">
        <v>31882</v>
      </c>
      <c r="L1541" t="s">
        <v>31883</v>
      </c>
      <c r="M1541" t="s">
        <v>31884</v>
      </c>
      <c r="N1541" t="s">
        <v>31885</v>
      </c>
      <c r="O1541">
        <f>-810.637148744332 -30.9636462720905 -506.649097730798</f>
        <v>-1348.2498927472204</v>
      </c>
      <c r="P1541">
        <f>-807.696579109011 -87.3066387967208 -217.844660408429</f>
        <v>-1112.8478783141609</v>
      </c>
      <c r="Q1541">
        <f>-620.423997088748 -38.2999474910202 -361.295312663302</f>
        <v>-1020.0192572430703</v>
      </c>
      <c r="R1541" t="s">
        <v>31886</v>
      </c>
      <c r="S1541" t="s">
        <v>31887</v>
      </c>
      <c r="T1541" t="s">
        <v>31888</v>
      </c>
      <c r="U1541" t="s">
        <v>31889</v>
      </c>
      <c r="V1541" t="s">
        <v>31890</v>
      </c>
      <c r="W1541" t="s">
        <v>31891</v>
      </c>
      <c r="X1541" t="s">
        <v>31892</v>
      </c>
      <c r="Y1541" t="s">
        <v>31893</v>
      </c>
    </row>
    <row r="1542" spans="1:25" x14ac:dyDescent="0.3">
      <c r="A1542">
        <v>77050</v>
      </c>
      <c r="B1542" t="s">
        <v>31894</v>
      </c>
      <c r="C1542" t="s">
        <v>31895</v>
      </c>
      <c r="D1542" t="s">
        <v>31896</v>
      </c>
      <c r="E1542" t="s">
        <v>31897</v>
      </c>
      <c r="F1542" t="s">
        <v>31898</v>
      </c>
      <c r="G1542" t="s">
        <v>31899</v>
      </c>
      <c r="H1542" t="s">
        <v>31900</v>
      </c>
      <c r="I1542" t="s">
        <v>31901</v>
      </c>
      <c r="J1542" t="s">
        <v>31902</v>
      </c>
      <c r="K1542" t="s">
        <v>31903</v>
      </c>
      <c r="L1542" t="s">
        <v>31904</v>
      </c>
      <c r="M1542" t="s">
        <v>31905</v>
      </c>
      <c r="N1542" t="s">
        <v>31906</v>
      </c>
      <c r="O1542">
        <f>-810.9255417682 -31.4897650344205 -506.61224819341</f>
        <v>-1349.0275549960306</v>
      </c>
      <c r="P1542">
        <f>-805.667795158811 -88.2036665397698 -217.913201705805</f>
        <v>-1111.7846634043858</v>
      </c>
      <c r="Q1542">
        <f>-621.932930113843 -38.8613780920241 -365.756914797163</f>
        <v>-1026.5512230030301</v>
      </c>
      <c r="R1542" t="s">
        <v>31907</v>
      </c>
      <c r="S1542" t="s">
        <v>31908</v>
      </c>
      <c r="T1542" t="s">
        <v>31909</v>
      </c>
      <c r="U1542" t="s">
        <v>31910</v>
      </c>
      <c r="V1542" t="s">
        <v>31911</v>
      </c>
      <c r="W1542" t="s">
        <v>31912</v>
      </c>
      <c r="X1542" t="s">
        <v>31913</v>
      </c>
      <c r="Y1542" t="s">
        <v>31914</v>
      </c>
    </row>
    <row r="1543" spans="1:25" x14ac:dyDescent="0.3">
      <c r="A1543">
        <v>77100</v>
      </c>
      <c r="B1543" t="s">
        <v>31915</v>
      </c>
      <c r="C1543" t="s">
        <v>31916</v>
      </c>
      <c r="D1543" t="s">
        <v>31917</v>
      </c>
      <c r="E1543" t="s">
        <v>31918</v>
      </c>
      <c r="F1543" t="s">
        <v>31919</v>
      </c>
      <c r="G1543" t="s">
        <v>31920</v>
      </c>
      <c r="H1543" t="s">
        <v>31921</v>
      </c>
      <c r="I1543" t="s">
        <v>31922</v>
      </c>
      <c r="J1543" t="s">
        <v>31923</v>
      </c>
      <c r="K1543" t="s">
        <v>31924</v>
      </c>
      <c r="L1543" t="s">
        <v>31925</v>
      </c>
      <c r="M1543" t="s">
        <v>31926</v>
      </c>
      <c r="N1543" t="s">
        <v>31927</v>
      </c>
      <c r="O1543">
        <f>-812.22180972816 -33.1115905073743 -506.120009061547</f>
        <v>-1351.4534092970814</v>
      </c>
      <c r="P1543">
        <f>-803.313349132059 -89.2153225336613 -217.391269892298</f>
        <v>-1109.9199415580183</v>
      </c>
      <c r="Q1543">
        <f>-625.150409722083 -40.5825747868537 -372.128776488908</f>
        <v>-1037.8617609978446</v>
      </c>
      <c r="R1543" t="s">
        <v>31928</v>
      </c>
      <c r="S1543" t="s">
        <v>31929</v>
      </c>
      <c r="T1543" t="s">
        <v>31930</v>
      </c>
      <c r="U1543" t="s">
        <v>31931</v>
      </c>
      <c r="V1543" t="s">
        <v>31932</v>
      </c>
      <c r="W1543" t="s">
        <v>31933</v>
      </c>
      <c r="X1543" t="s">
        <v>31934</v>
      </c>
      <c r="Y1543" t="s">
        <v>31935</v>
      </c>
    </row>
    <row r="1544" spans="1:25" x14ac:dyDescent="0.3">
      <c r="A1544">
        <v>77150</v>
      </c>
      <c r="B1544" t="s">
        <v>31936</v>
      </c>
      <c r="C1544" t="s">
        <v>31937</v>
      </c>
      <c r="D1544" t="s">
        <v>31938</v>
      </c>
      <c r="E1544" t="s">
        <v>31939</v>
      </c>
      <c r="F1544" t="s">
        <v>31940</v>
      </c>
      <c r="G1544" t="s">
        <v>31941</v>
      </c>
      <c r="H1544" t="s">
        <v>31942</v>
      </c>
      <c r="I1544" t="s">
        <v>31943</v>
      </c>
      <c r="J1544" t="s">
        <v>31944</v>
      </c>
      <c r="K1544" t="s">
        <v>31945</v>
      </c>
      <c r="L1544" t="s">
        <v>31946</v>
      </c>
      <c r="M1544" t="s">
        <v>31947</v>
      </c>
      <c r="N1544" t="s">
        <v>31948</v>
      </c>
      <c r="O1544">
        <f>-813.130772484118 -34.1258554313536 -505.680815819161</f>
        <v>-1352.9374437346326</v>
      </c>
      <c r="P1544">
        <f>-802.859858106727 -89.3118410531843 -216.82061164136</f>
        <v>-1108.9923108012713</v>
      </c>
      <c r="Q1544">
        <f>-626.992895879859 -41.7013798908106 -374.475207986478</f>
        <v>-1043.1694837571476</v>
      </c>
      <c r="R1544" t="s">
        <v>31949</v>
      </c>
      <c r="S1544" t="s">
        <v>31950</v>
      </c>
      <c r="T1544" t="s">
        <v>31951</v>
      </c>
      <c r="U1544" t="s">
        <v>31952</v>
      </c>
      <c r="V1544" t="s">
        <v>31953</v>
      </c>
      <c r="W1544" t="s">
        <v>31954</v>
      </c>
      <c r="X1544" t="s">
        <v>31955</v>
      </c>
      <c r="Y1544" t="s">
        <v>31956</v>
      </c>
    </row>
    <row r="1545" spans="1:25" x14ac:dyDescent="0.3">
      <c r="A1545">
        <v>77200</v>
      </c>
      <c r="B1545" t="s">
        <v>31957</v>
      </c>
      <c r="C1545" t="s">
        <v>31958</v>
      </c>
      <c r="D1545" t="s">
        <v>31959</v>
      </c>
      <c r="E1545" t="s">
        <v>31960</v>
      </c>
      <c r="F1545" t="s">
        <v>31961</v>
      </c>
      <c r="G1545" t="s">
        <v>31962</v>
      </c>
      <c r="H1545" t="s">
        <v>31963</v>
      </c>
      <c r="I1545" t="s">
        <v>31964</v>
      </c>
      <c r="J1545" t="s">
        <v>31965</v>
      </c>
      <c r="K1545" t="s">
        <v>31966</v>
      </c>
      <c r="L1545" t="s">
        <v>31967</v>
      </c>
      <c r="M1545" t="s">
        <v>31968</v>
      </c>
      <c r="N1545" t="s">
        <v>31969</v>
      </c>
      <c r="O1545">
        <f>-815.526294008059 -36.1707566122559 -504.487390445716</f>
        <v>-1356.184441066031</v>
      </c>
      <c r="P1545">
        <f>-803.179008671239 -88.6173770613636 -215.198471365387</f>
        <v>-1106.9948570979896</v>
      </c>
      <c r="Q1545">
        <f>-630.929385853208 -43.4499904761155 -377.49709365071</f>
        <v>-1051.8764699800336</v>
      </c>
      <c r="R1545" t="s">
        <v>31970</v>
      </c>
      <c r="S1545" t="s">
        <v>31971</v>
      </c>
      <c r="T1545" t="s">
        <v>31972</v>
      </c>
      <c r="U1545" t="s">
        <v>31973</v>
      </c>
      <c r="V1545" t="s">
        <v>31974</v>
      </c>
      <c r="W1545" t="s">
        <v>31975</v>
      </c>
      <c r="X1545" t="s">
        <v>31976</v>
      </c>
      <c r="Y1545" t="s">
        <v>31977</v>
      </c>
    </row>
    <row r="1546" spans="1:25" x14ac:dyDescent="0.3">
      <c r="A1546">
        <v>77250</v>
      </c>
      <c r="B1546" t="s">
        <v>31978</v>
      </c>
      <c r="C1546" t="s">
        <v>31979</v>
      </c>
      <c r="D1546" t="s">
        <v>31980</v>
      </c>
      <c r="E1546" t="s">
        <v>31981</v>
      </c>
      <c r="F1546" t="s">
        <v>31982</v>
      </c>
      <c r="G1546" t="s">
        <v>31983</v>
      </c>
      <c r="H1546" t="s">
        <v>31984</v>
      </c>
      <c r="I1546" t="s">
        <v>31985</v>
      </c>
      <c r="J1546" t="s">
        <v>31986</v>
      </c>
      <c r="K1546" t="s">
        <v>31987</v>
      </c>
      <c r="L1546" t="s">
        <v>31988</v>
      </c>
      <c r="M1546" t="s">
        <v>31989</v>
      </c>
      <c r="N1546" t="s">
        <v>31990</v>
      </c>
      <c r="O1546">
        <f>-816.761574450893 -37.213340470292 -503.8126341878</f>
        <v>-1357.7875491089849</v>
      </c>
      <c r="P1546">
        <f>-803.900195485098 -88.1658700138205 -214.2791755687</f>
        <v>-1106.3452410676186</v>
      </c>
      <c r="Q1546">
        <f>-632.701164026714 -44.1550784034357 -378.001019072625</f>
        <v>-1054.8572615027747</v>
      </c>
      <c r="R1546" t="s">
        <v>31991</v>
      </c>
      <c r="S1546" t="s">
        <v>31992</v>
      </c>
      <c r="T1546" t="s">
        <v>31993</v>
      </c>
      <c r="U1546" t="s">
        <v>31994</v>
      </c>
      <c r="V1546" t="s">
        <v>31995</v>
      </c>
      <c r="W1546" t="s">
        <v>31996</v>
      </c>
      <c r="X1546" t="s">
        <v>31997</v>
      </c>
      <c r="Y1546" t="s">
        <v>31998</v>
      </c>
    </row>
    <row r="1547" spans="1:25" x14ac:dyDescent="0.3">
      <c r="A1547">
        <v>77300</v>
      </c>
      <c r="B1547" t="s">
        <v>31999</v>
      </c>
      <c r="C1547" t="s">
        <v>32000</v>
      </c>
      <c r="D1547" t="s">
        <v>32001</v>
      </c>
      <c r="E1547" t="s">
        <v>32002</v>
      </c>
      <c r="F1547" t="s">
        <v>32003</v>
      </c>
      <c r="G1547" t="s">
        <v>32004</v>
      </c>
      <c r="H1547" t="s">
        <v>32005</v>
      </c>
      <c r="I1547" t="s">
        <v>32006</v>
      </c>
      <c r="J1547" t="s">
        <v>32007</v>
      </c>
      <c r="K1547" t="s">
        <v>32008</v>
      </c>
      <c r="L1547" t="s">
        <v>32009</v>
      </c>
      <c r="M1547" t="s">
        <v>32010</v>
      </c>
      <c r="N1547" t="s">
        <v>32011</v>
      </c>
      <c r="O1547">
        <f>-819.479336883343 -39.5962375449658 -502.327844615434</f>
        <v>-1361.4034190437428</v>
      </c>
      <c r="P1547">
        <f>-806.089086391359 -87.251360457534 -212.257287928216</f>
        <v>-1105.5977347771091</v>
      </c>
      <c r="Q1547">
        <f>-635.133729906466 -45.6720275175933 -376.866838403295</f>
        <v>-1057.6725958273541</v>
      </c>
      <c r="R1547" t="s">
        <v>32012</v>
      </c>
      <c r="S1547" t="s">
        <v>32013</v>
      </c>
      <c r="T1547" t="s">
        <v>32014</v>
      </c>
      <c r="U1547" t="s">
        <v>32015</v>
      </c>
      <c r="V1547" t="s">
        <v>32016</v>
      </c>
      <c r="W1547" t="s">
        <v>32017</v>
      </c>
      <c r="X1547" t="s">
        <v>32018</v>
      </c>
      <c r="Y1547" t="s">
        <v>32019</v>
      </c>
    </row>
    <row r="1548" spans="1:25" x14ac:dyDescent="0.3">
      <c r="A1548">
        <v>77350</v>
      </c>
      <c r="B1548" t="s">
        <v>32020</v>
      </c>
      <c r="C1548" t="s">
        <v>32021</v>
      </c>
      <c r="D1548" t="s">
        <v>32022</v>
      </c>
      <c r="E1548" t="s">
        <v>32023</v>
      </c>
      <c r="F1548" t="s">
        <v>32024</v>
      </c>
      <c r="G1548" t="s">
        <v>32025</v>
      </c>
      <c r="H1548" t="s">
        <v>32026</v>
      </c>
      <c r="I1548" t="s">
        <v>32027</v>
      </c>
      <c r="J1548" t="s">
        <v>32028</v>
      </c>
      <c r="K1548" t="s">
        <v>32029</v>
      </c>
      <c r="L1548" t="s">
        <v>32030</v>
      </c>
      <c r="M1548" t="s">
        <v>32031</v>
      </c>
      <c r="N1548" t="s">
        <v>32032</v>
      </c>
      <c r="O1548">
        <f>-820.901491148072 -40.9224503772386 -501.449642812725</f>
        <v>-1363.2735843380356</v>
      </c>
      <c r="P1548">
        <f>-807.408840604363 -86.582610127979 -211.063111672108</f>
        <v>-1105.0545624044501</v>
      </c>
      <c r="Q1548">
        <f>-636.103000195644 -46.5088633446842 -375.681876246724</f>
        <v>-1058.2937397870521</v>
      </c>
      <c r="R1548" t="s">
        <v>32033</v>
      </c>
      <c r="S1548" t="s">
        <v>32034</v>
      </c>
      <c r="T1548" t="s">
        <v>32035</v>
      </c>
      <c r="U1548" t="s">
        <v>32036</v>
      </c>
      <c r="V1548" t="s">
        <v>32037</v>
      </c>
      <c r="W1548" t="s">
        <v>32038</v>
      </c>
      <c r="X1548" t="s">
        <v>32039</v>
      </c>
      <c r="Y1548" t="s">
        <v>32040</v>
      </c>
    </row>
    <row r="1549" spans="1:25" x14ac:dyDescent="0.3">
      <c r="A1549">
        <v>77400</v>
      </c>
      <c r="B1549" t="s">
        <v>32041</v>
      </c>
      <c r="C1549" t="s">
        <v>32042</v>
      </c>
      <c r="D1549" t="s">
        <v>32043</v>
      </c>
      <c r="E1549" t="s">
        <v>32044</v>
      </c>
      <c r="F1549" t="s">
        <v>32045</v>
      </c>
      <c r="G1549" t="s">
        <v>32046</v>
      </c>
      <c r="H1549" t="s">
        <v>32047</v>
      </c>
      <c r="I1549" t="s">
        <v>32048</v>
      </c>
      <c r="J1549" t="s">
        <v>32049</v>
      </c>
      <c r="K1549" t="s">
        <v>32050</v>
      </c>
      <c r="L1549" t="s">
        <v>32051</v>
      </c>
      <c r="M1549" t="s">
        <v>32052</v>
      </c>
      <c r="N1549" t="s">
        <v>32053</v>
      </c>
      <c r="O1549">
        <f>-823.497993360936 -43.3845921908683 -499.820171899847</f>
        <v>-1366.7027574516512</v>
      </c>
      <c r="P1549">
        <f>-810.596609887119 -85.0951565366895 -208.813210509397</f>
        <v>-1104.5049769332056</v>
      </c>
      <c r="Q1549">
        <f>-638.347045640583 -48.6626747384837 -373.293098821045</f>
        <v>-1060.3028192001118</v>
      </c>
      <c r="R1549" t="s">
        <v>32054</v>
      </c>
      <c r="S1549" t="s">
        <v>32055</v>
      </c>
      <c r="T1549" t="s">
        <v>32056</v>
      </c>
      <c r="U1549" t="s">
        <v>32057</v>
      </c>
      <c r="V1549" t="s">
        <v>32058</v>
      </c>
      <c r="W1549" t="s">
        <v>32059</v>
      </c>
      <c r="X1549" t="s">
        <v>32060</v>
      </c>
      <c r="Y1549" t="s">
        <v>32061</v>
      </c>
    </row>
    <row r="1550" spans="1:25" x14ac:dyDescent="0.3">
      <c r="A1550">
        <v>77450</v>
      </c>
      <c r="B1550" t="s">
        <v>32062</v>
      </c>
      <c r="C1550" t="s">
        <v>32063</v>
      </c>
      <c r="D1550" t="s">
        <v>32064</v>
      </c>
      <c r="E1550" t="s">
        <v>32065</v>
      </c>
      <c r="F1550" t="s">
        <v>32066</v>
      </c>
      <c r="G1550" t="s">
        <v>32067</v>
      </c>
      <c r="H1550" t="s">
        <v>32068</v>
      </c>
      <c r="I1550" t="s">
        <v>32069</v>
      </c>
      <c r="J1550" t="s">
        <v>32070</v>
      </c>
      <c r="K1550" t="s">
        <v>32071</v>
      </c>
      <c r="L1550" t="s">
        <v>32072</v>
      </c>
      <c r="M1550" t="s">
        <v>32073</v>
      </c>
      <c r="N1550" t="s">
        <v>32074</v>
      </c>
      <c r="O1550">
        <f>-824.602532164305 -44.1509370907252 -499.293448397358</f>
        <v>-1368.0469176523882</v>
      </c>
      <c r="P1550">
        <f>-812.234157341175 -84.2285169968745 -208.034041318084</f>
        <v>-1104.4967156561336</v>
      </c>
      <c r="Q1550">
        <f>-639.546654552394 -49.2095599092199 -372.361791932306</f>
        <v>-1061.11800639392</v>
      </c>
      <c r="R1550" t="s">
        <v>32075</v>
      </c>
      <c r="S1550" t="s">
        <v>32076</v>
      </c>
      <c r="T1550" t="s">
        <v>32077</v>
      </c>
      <c r="U1550" t="s">
        <v>32078</v>
      </c>
      <c r="V1550" t="s">
        <v>32079</v>
      </c>
      <c r="W1550" t="s">
        <v>32080</v>
      </c>
      <c r="X1550" t="s">
        <v>32081</v>
      </c>
      <c r="Y1550" t="s">
        <v>32082</v>
      </c>
    </row>
    <row r="1551" spans="1:25" x14ac:dyDescent="0.3">
      <c r="A1551">
        <v>77500</v>
      </c>
      <c r="B1551" t="s">
        <v>32083</v>
      </c>
      <c r="C1551" t="s">
        <v>32084</v>
      </c>
      <c r="D1551" t="s">
        <v>32085</v>
      </c>
      <c r="E1551" t="s">
        <v>32086</v>
      </c>
      <c r="F1551" t="s">
        <v>32087</v>
      </c>
      <c r="G1551" t="s">
        <v>32088</v>
      </c>
      <c r="H1551" t="s">
        <v>32089</v>
      </c>
      <c r="I1551" t="s">
        <v>32090</v>
      </c>
      <c r="J1551" t="s">
        <v>32091</v>
      </c>
      <c r="K1551" t="s">
        <v>32092</v>
      </c>
      <c r="L1551" t="s">
        <v>32093</v>
      </c>
      <c r="M1551" t="s">
        <v>32094</v>
      </c>
      <c r="N1551" t="s">
        <v>32095</v>
      </c>
      <c r="O1551">
        <f>-826.934795428952 -44.8977633739632 -498.662966711853</f>
        <v>-1370.4955255147684</v>
      </c>
      <c r="P1551">
        <f>-815.289231591722 -83.0043736046791 -207.109358433217</f>
        <v>-1105.4029636296182</v>
      </c>
      <c r="Q1551">
        <f>-641.952378814134 -49.700610383489 -371.109419855188</f>
        <v>-1062.7624090528111</v>
      </c>
      <c r="R1551" t="s">
        <v>32096</v>
      </c>
      <c r="S1551" t="s">
        <v>32097</v>
      </c>
      <c r="T1551" t="s">
        <v>32098</v>
      </c>
      <c r="U1551" t="s">
        <v>32099</v>
      </c>
      <c r="V1551" t="s">
        <v>32100</v>
      </c>
      <c r="W1551" t="s">
        <v>32101</v>
      </c>
      <c r="X1551" t="s">
        <v>32102</v>
      </c>
      <c r="Y1551" t="s">
        <v>32103</v>
      </c>
    </row>
    <row r="1552" spans="1:25" x14ac:dyDescent="0.3">
      <c r="A1552">
        <v>77550</v>
      </c>
      <c r="B1552" t="s">
        <v>32104</v>
      </c>
      <c r="C1552" t="s">
        <v>32105</v>
      </c>
      <c r="D1552" t="s">
        <v>32106</v>
      </c>
      <c r="E1552" t="s">
        <v>32107</v>
      </c>
      <c r="F1552" t="s">
        <v>32108</v>
      </c>
      <c r="G1552" t="s">
        <v>32109</v>
      </c>
      <c r="H1552" t="s">
        <v>32110</v>
      </c>
      <c r="I1552" t="s">
        <v>32111</v>
      </c>
      <c r="J1552" t="s">
        <v>32112</v>
      </c>
      <c r="K1552" t="s">
        <v>32113</v>
      </c>
      <c r="L1552" t="s">
        <v>32114</v>
      </c>
      <c r="M1552" t="s">
        <v>32115</v>
      </c>
      <c r="N1552" t="s">
        <v>32116</v>
      </c>
      <c r="O1552">
        <f>-827.995332506779 -45.0374139073942 -498.508504720832</f>
        <v>-1371.5412511350053</v>
      </c>
      <c r="P1552">
        <f>-816.304682504392 -82.8961992565246 -206.92464565684</f>
        <v>-1106.1255274177565</v>
      </c>
      <c r="Q1552">
        <f>-642.738562309173 -49.8457311341981 -370.733366346319</f>
        <v>-1063.31765978969</v>
      </c>
      <c r="R1552" t="s">
        <v>32117</v>
      </c>
      <c r="S1552" t="s">
        <v>32118</v>
      </c>
      <c r="T1552" t="s">
        <v>32119</v>
      </c>
      <c r="U1552" t="s">
        <v>32120</v>
      </c>
      <c r="V1552" t="s">
        <v>32121</v>
      </c>
      <c r="W1552" t="s">
        <v>32122</v>
      </c>
      <c r="X1552" t="s">
        <v>32123</v>
      </c>
      <c r="Y1552" t="s">
        <v>32124</v>
      </c>
    </row>
    <row r="1553" spans="1:25" x14ac:dyDescent="0.3">
      <c r="A1553">
        <v>77600</v>
      </c>
      <c r="B1553" t="s">
        <v>32125</v>
      </c>
      <c r="C1553" t="s">
        <v>32126</v>
      </c>
      <c r="D1553" t="s">
        <v>32127</v>
      </c>
      <c r="E1553" t="s">
        <v>32128</v>
      </c>
      <c r="F1553" t="s">
        <v>32129</v>
      </c>
      <c r="G1553" t="s">
        <v>32130</v>
      </c>
      <c r="H1553" t="s">
        <v>32131</v>
      </c>
      <c r="I1553" t="s">
        <v>32132</v>
      </c>
      <c r="J1553" t="s">
        <v>32133</v>
      </c>
      <c r="K1553" t="s">
        <v>32134</v>
      </c>
      <c r="L1553" t="s">
        <v>32135</v>
      </c>
      <c r="M1553" t="s">
        <v>32136</v>
      </c>
      <c r="N1553" t="s">
        <v>32137</v>
      </c>
      <c r="O1553">
        <f>-829.683102831851 -45.0321563004472 -498.429498303699</f>
        <v>-1373.1447574359972</v>
      </c>
      <c r="P1553">
        <f>-817.477872331594 -82.9452631637357 -206.873656696777</f>
        <v>-1107.2967921921068</v>
      </c>
      <c r="Q1553">
        <f>-643.955170921737 -49.717525512297 -370.692762998152</f>
        <v>-1064.3654594321861</v>
      </c>
      <c r="R1553" t="s">
        <v>32138</v>
      </c>
      <c r="S1553" t="s">
        <v>32139</v>
      </c>
      <c r="T1553" t="s">
        <v>32140</v>
      </c>
      <c r="U1553" t="s">
        <v>32141</v>
      </c>
      <c r="V1553" t="s">
        <v>32142</v>
      </c>
      <c r="W1553" t="s">
        <v>32143</v>
      </c>
      <c r="X1553" t="s">
        <v>32144</v>
      </c>
      <c r="Y1553" t="s">
        <v>32145</v>
      </c>
    </row>
    <row r="1554" spans="1:25" x14ac:dyDescent="0.3">
      <c r="A1554">
        <v>77650</v>
      </c>
      <c r="B1554" t="s">
        <v>32146</v>
      </c>
      <c r="C1554" t="s">
        <v>32147</v>
      </c>
      <c r="D1554" t="s">
        <v>32148</v>
      </c>
      <c r="E1554" t="s">
        <v>32149</v>
      </c>
      <c r="F1554" t="s">
        <v>32150</v>
      </c>
      <c r="G1554" t="s">
        <v>32151</v>
      </c>
      <c r="H1554" t="s">
        <v>32152</v>
      </c>
      <c r="I1554" t="s">
        <v>32153</v>
      </c>
      <c r="J1554" t="s">
        <v>32154</v>
      </c>
      <c r="K1554" t="s">
        <v>32155</v>
      </c>
      <c r="L1554" t="s">
        <v>32156</v>
      </c>
      <c r="M1554" t="s">
        <v>32157</v>
      </c>
      <c r="N1554" t="s">
        <v>32158</v>
      </c>
      <c r="O1554">
        <f>-830.330691162492 -45.3049161944241 -498.43906490168</f>
        <v>-1374.0746722585961</v>
      </c>
      <c r="P1554">
        <f>-817.680723173959 -83.3473880710865 -206.919064221577</f>
        <v>-1107.9471754666224</v>
      </c>
      <c r="Q1554">
        <f>-644.631719890901 -49.65194677207 -371.143320345717</f>
        <v>-1065.426987008688</v>
      </c>
      <c r="R1554" t="s">
        <v>32159</v>
      </c>
      <c r="S1554" t="s">
        <v>32160</v>
      </c>
      <c r="T1554" t="s">
        <v>32161</v>
      </c>
      <c r="U1554" t="s">
        <v>32162</v>
      </c>
      <c r="V1554" t="s">
        <v>32163</v>
      </c>
      <c r="W1554" t="s">
        <v>32164</v>
      </c>
      <c r="X1554" t="s">
        <v>32165</v>
      </c>
      <c r="Y1554" t="s">
        <v>32166</v>
      </c>
    </row>
    <row r="1555" spans="1:25" x14ac:dyDescent="0.3">
      <c r="A1555">
        <v>77700</v>
      </c>
      <c r="B1555" t="s">
        <v>32167</v>
      </c>
      <c r="C1555" t="s">
        <v>32168</v>
      </c>
      <c r="D1555" t="s">
        <v>32169</v>
      </c>
      <c r="E1555" t="s">
        <v>32170</v>
      </c>
      <c r="F1555" t="s">
        <v>32171</v>
      </c>
      <c r="G1555" t="s">
        <v>32172</v>
      </c>
      <c r="H1555" t="s">
        <v>32173</v>
      </c>
      <c r="I1555" t="s">
        <v>32174</v>
      </c>
      <c r="J1555" t="s">
        <v>32175</v>
      </c>
      <c r="K1555" t="s">
        <v>32176</v>
      </c>
      <c r="L1555" t="s">
        <v>32177</v>
      </c>
      <c r="M1555" t="s">
        <v>32178</v>
      </c>
      <c r="N1555" t="s">
        <v>32179</v>
      </c>
      <c r="O1555">
        <f>-831.503240437092 -45.8296451105505 -498.563179103602</f>
        <v>-1375.8960646512446</v>
      </c>
      <c r="P1555">
        <f>-817.611899367105 -84.1427362427892 -207.134930182766</f>
        <v>-1108.8895657926603</v>
      </c>
      <c r="Q1555">
        <f>-645.921584750238 -49.6267275378466 -372.609879322138</f>
        <v>-1068.1581916102227</v>
      </c>
      <c r="R1555" t="s">
        <v>32180</v>
      </c>
      <c r="S1555" t="s">
        <v>32181</v>
      </c>
      <c r="T1555" t="s">
        <v>32182</v>
      </c>
      <c r="U1555" t="s">
        <v>32183</v>
      </c>
      <c r="V1555" t="s">
        <v>32184</v>
      </c>
      <c r="W1555" t="s">
        <v>32185</v>
      </c>
      <c r="X1555" t="s">
        <v>32186</v>
      </c>
      <c r="Y1555" t="s">
        <v>32187</v>
      </c>
    </row>
    <row r="1556" spans="1:25" x14ac:dyDescent="0.3">
      <c r="A1556">
        <v>77750</v>
      </c>
      <c r="B1556" t="s">
        <v>32188</v>
      </c>
      <c r="C1556" t="s">
        <v>32189</v>
      </c>
      <c r="D1556" t="s">
        <v>32190</v>
      </c>
      <c r="E1556" t="s">
        <v>32191</v>
      </c>
      <c r="F1556" t="s">
        <v>32192</v>
      </c>
      <c r="G1556" t="s">
        <v>32193</v>
      </c>
      <c r="H1556" t="s">
        <v>32194</v>
      </c>
      <c r="I1556" t="s">
        <v>32195</v>
      </c>
      <c r="J1556" t="s">
        <v>32196</v>
      </c>
      <c r="K1556" t="s">
        <v>32197</v>
      </c>
      <c r="L1556" t="s">
        <v>32198</v>
      </c>
      <c r="M1556" t="s">
        <v>32199</v>
      </c>
      <c r="N1556" t="s">
        <v>32200</v>
      </c>
      <c r="O1556">
        <f>-831.889551838866 -46.0097889551782 -498.695565543501</f>
        <v>-1376.5949063375454</v>
      </c>
      <c r="P1556">
        <f>-817.242581744579 -84.7310257576423 -207.358286943914</f>
        <v>-1109.3318944461353</v>
      </c>
      <c r="Q1556">
        <f>-646.254231137011 -49.4753433044571 -373.403337677657</f>
        <v>-1069.132912119125</v>
      </c>
      <c r="R1556" t="s">
        <v>32201</v>
      </c>
      <c r="S1556" t="s">
        <v>32202</v>
      </c>
      <c r="T1556" t="s">
        <v>32203</v>
      </c>
      <c r="U1556" t="s">
        <v>32204</v>
      </c>
      <c r="V1556" t="s">
        <v>32205</v>
      </c>
      <c r="W1556" t="s">
        <v>32206</v>
      </c>
      <c r="X1556" t="s">
        <v>32207</v>
      </c>
      <c r="Y1556" t="s">
        <v>32208</v>
      </c>
    </row>
    <row r="1557" spans="1:25" x14ac:dyDescent="0.3">
      <c r="A1557">
        <v>77800</v>
      </c>
      <c r="B1557" t="s">
        <v>32209</v>
      </c>
      <c r="C1557" t="s">
        <v>32210</v>
      </c>
      <c r="D1557" t="s">
        <v>32211</v>
      </c>
      <c r="E1557" t="s">
        <v>32212</v>
      </c>
      <c r="F1557" t="s">
        <v>32213</v>
      </c>
      <c r="G1557" t="s">
        <v>32214</v>
      </c>
      <c r="H1557" t="s">
        <v>32215</v>
      </c>
      <c r="I1557" t="s">
        <v>32216</v>
      </c>
      <c r="J1557" t="s">
        <v>32217</v>
      </c>
      <c r="K1557" t="s">
        <v>32218</v>
      </c>
      <c r="L1557" t="s">
        <v>32219</v>
      </c>
      <c r="M1557" t="s">
        <v>32220</v>
      </c>
      <c r="N1557" t="s">
        <v>32221</v>
      </c>
      <c r="O1557">
        <f>-832.396284869227 -46.143097495891 -498.983356469551</f>
        <v>-1377.5227388346689</v>
      </c>
      <c r="P1557">
        <f>-816.481301920301 -85.7292677980779 -207.829083402538</f>
        <v>-1110.0396531209169</v>
      </c>
      <c r="Q1557">
        <f>-646.545969368419 -49.2736184476726 -374.693677178889</f>
        <v>-1070.5132649949805</v>
      </c>
      <c r="R1557" t="s">
        <v>32222</v>
      </c>
      <c r="S1557" t="s">
        <v>32223</v>
      </c>
      <c r="T1557" t="s">
        <v>32224</v>
      </c>
      <c r="U1557" t="s">
        <v>32225</v>
      </c>
      <c r="V1557" t="s">
        <v>32226</v>
      </c>
      <c r="W1557" t="s">
        <v>32227</v>
      </c>
      <c r="X1557" t="s">
        <v>32228</v>
      </c>
      <c r="Y1557" t="s">
        <v>32229</v>
      </c>
    </row>
    <row r="1558" spans="1:25" x14ac:dyDescent="0.3">
      <c r="A1558">
        <v>77850</v>
      </c>
      <c r="B1558" t="s">
        <v>32230</v>
      </c>
      <c r="C1558" t="s">
        <v>32231</v>
      </c>
      <c r="D1558" t="s">
        <v>32232</v>
      </c>
      <c r="E1558" t="s">
        <v>32233</v>
      </c>
      <c r="F1558" t="s">
        <v>32234</v>
      </c>
      <c r="G1558" t="s">
        <v>32235</v>
      </c>
      <c r="H1558" t="s">
        <v>32236</v>
      </c>
      <c r="I1558" t="s">
        <v>32237</v>
      </c>
      <c r="J1558" t="s">
        <v>32238</v>
      </c>
      <c r="K1558" t="s">
        <v>32239</v>
      </c>
      <c r="L1558" t="s">
        <v>32240</v>
      </c>
      <c r="M1558" t="s">
        <v>32241</v>
      </c>
      <c r="N1558" t="s">
        <v>32242</v>
      </c>
      <c r="O1558">
        <f>-832.489163596182 -46.1081620582759 -499.115851907268</f>
        <v>-1377.7131775617258</v>
      </c>
      <c r="P1558">
        <f>-815.991174797405 -86.0190064219189 -208.038291788822</f>
        <v>-1110.0484730081459</v>
      </c>
      <c r="Q1558">
        <f>-646.489401331452 -49.0597358219611 -375.233096280843</f>
        <v>-1070.7822334342561</v>
      </c>
      <c r="R1558" t="s">
        <v>32243</v>
      </c>
      <c r="S1558" t="s">
        <v>32244</v>
      </c>
      <c r="T1558" t="s">
        <v>32245</v>
      </c>
      <c r="U1558" t="s">
        <v>32246</v>
      </c>
      <c r="V1558" t="s">
        <v>32247</v>
      </c>
      <c r="W1558" t="s">
        <v>32248</v>
      </c>
      <c r="X1558" t="s">
        <v>32249</v>
      </c>
      <c r="Y1558" t="s">
        <v>32250</v>
      </c>
    </row>
    <row r="1559" spans="1:25" x14ac:dyDescent="0.3">
      <c r="A1559">
        <v>77900</v>
      </c>
      <c r="B1559" t="s">
        <v>32251</v>
      </c>
      <c r="C1559" t="s">
        <v>32252</v>
      </c>
      <c r="D1559" t="s">
        <v>32253</v>
      </c>
      <c r="E1559" t="s">
        <v>32254</v>
      </c>
      <c r="F1559" t="s">
        <v>32255</v>
      </c>
      <c r="G1559" t="s">
        <v>32256</v>
      </c>
      <c r="H1559" t="s">
        <v>32257</v>
      </c>
      <c r="I1559" t="s">
        <v>32258</v>
      </c>
      <c r="J1559" t="s">
        <v>32259</v>
      </c>
      <c r="K1559" t="s">
        <v>32260</v>
      </c>
      <c r="L1559" t="s">
        <v>32261</v>
      </c>
      <c r="M1559" t="s">
        <v>32262</v>
      </c>
      <c r="N1559" t="s">
        <v>32263</v>
      </c>
      <c r="O1559">
        <f>-832.840053748379 -45.9227296787476 -499.355412415001</f>
        <v>-1378.1181958421275</v>
      </c>
      <c r="P1559">
        <f>-815.374274518734 -86.5027329190375 -208.427044937537</f>
        <v>-1110.3040523753084</v>
      </c>
      <c r="Q1559">
        <f>-646.697352440543 -48.696496292911 -376.265051144804</f>
        <v>-1071.6588998782579</v>
      </c>
      <c r="R1559" t="s">
        <v>32264</v>
      </c>
      <c r="S1559" t="s">
        <v>32265</v>
      </c>
      <c r="T1559" t="s">
        <v>32266</v>
      </c>
      <c r="U1559" t="s">
        <v>32267</v>
      </c>
      <c r="V1559" t="s">
        <v>32268</v>
      </c>
      <c r="W1559" t="s">
        <v>32269</v>
      </c>
      <c r="X1559" t="s">
        <v>32270</v>
      </c>
      <c r="Y1559" t="s">
        <v>32271</v>
      </c>
    </row>
    <row r="1560" spans="1:25" x14ac:dyDescent="0.3">
      <c r="A1560">
        <v>77950</v>
      </c>
      <c r="B1560" t="s">
        <v>32272</v>
      </c>
      <c r="C1560" t="s">
        <v>32273</v>
      </c>
      <c r="D1560" t="s">
        <v>32274</v>
      </c>
      <c r="E1560" t="s">
        <v>32275</v>
      </c>
      <c r="F1560" t="s">
        <v>32276</v>
      </c>
      <c r="G1560" t="s">
        <v>32277</v>
      </c>
      <c r="H1560" t="s">
        <v>32278</v>
      </c>
      <c r="I1560" t="s">
        <v>32279</v>
      </c>
      <c r="J1560" t="s">
        <v>32280</v>
      </c>
      <c r="K1560" t="s">
        <v>32281</v>
      </c>
      <c r="L1560" t="s">
        <v>32282</v>
      </c>
      <c r="M1560" t="s">
        <v>32283</v>
      </c>
      <c r="N1560" t="s">
        <v>32284</v>
      </c>
      <c r="O1560">
        <f>-832.864786526414 -45.8438304702204 -499.504924402163</f>
        <v>-1378.2135413987974</v>
      </c>
      <c r="P1560">
        <f>-815.103338690383 -86.6550736069396 -208.626572452544</f>
        <v>-1110.3849847498666</v>
      </c>
      <c r="Q1560">
        <f>-646.795618557042 -48.5012064130005 -376.756820111657</f>
        <v>-1072.0536450816994</v>
      </c>
      <c r="R1560" t="s">
        <v>32285</v>
      </c>
      <c r="S1560" t="s">
        <v>32286</v>
      </c>
      <c r="T1560" t="s">
        <v>32287</v>
      </c>
      <c r="U1560" t="s">
        <v>32288</v>
      </c>
      <c r="V1560" t="s">
        <v>32289</v>
      </c>
      <c r="W1560" t="s">
        <v>32290</v>
      </c>
      <c r="X1560" t="s">
        <v>32291</v>
      </c>
      <c r="Y1560" t="s">
        <v>32292</v>
      </c>
    </row>
    <row r="1561" spans="1:25" x14ac:dyDescent="0.3">
      <c r="A1561">
        <v>78000</v>
      </c>
      <c r="B1561" t="s">
        <v>32293</v>
      </c>
      <c r="C1561" t="s">
        <v>32294</v>
      </c>
      <c r="D1561" t="s">
        <v>32295</v>
      </c>
      <c r="E1561" t="s">
        <v>32296</v>
      </c>
      <c r="F1561" t="s">
        <v>32297</v>
      </c>
      <c r="G1561" t="s">
        <v>32298</v>
      </c>
      <c r="H1561" t="s">
        <v>32299</v>
      </c>
      <c r="I1561" t="s">
        <v>32300</v>
      </c>
      <c r="J1561" t="s">
        <v>32301</v>
      </c>
      <c r="K1561" t="s">
        <v>32302</v>
      </c>
      <c r="L1561" t="s">
        <v>32303</v>
      </c>
      <c r="M1561" t="s">
        <v>32304</v>
      </c>
      <c r="N1561" t="s">
        <v>32305</v>
      </c>
      <c r="O1561">
        <f>-832.526221429235 -45.6017354946041 -499.815533015205</f>
        <v>-1377.943489939044</v>
      </c>
      <c r="P1561">
        <f>-814.17986013357 -87.0400757511934 -209.062170284606</f>
        <v>-1110.2821061693694</v>
      </c>
      <c r="Q1561">
        <f>-646.56194075382 -48.209035746753 -377.725253143673</f>
        <v>-1072.4962296442459</v>
      </c>
      <c r="R1561" t="s">
        <v>32306</v>
      </c>
      <c r="S1561" t="s">
        <v>32307</v>
      </c>
      <c r="T1561" t="s">
        <v>32308</v>
      </c>
      <c r="U1561" t="s">
        <v>32309</v>
      </c>
      <c r="V1561" t="s">
        <v>32310</v>
      </c>
      <c r="W1561" t="s">
        <v>32311</v>
      </c>
      <c r="X1561" t="s">
        <v>32312</v>
      </c>
      <c r="Y1561" t="s">
        <v>32313</v>
      </c>
    </row>
    <row r="1562" spans="1:25" x14ac:dyDescent="0.3">
      <c r="A1562">
        <v>78050</v>
      </c>
      <c r="B1562" t="s">
        <v>32314</v>
      </c>
      <c r="C1562" t="s">
        <v>32315</v>
      </c>
      <c r="D1562" t="s">
        <v>32316</v>
      </c>
      <c r="E1562" t="s">
        <v>32317</v>
      </c>
      <c r="F1562" t="s">
        <v>32318</v>
      </c>
      <c r="G1562" t="s">
        <v>32319</v>
      </c>
      <c r="H1562" t="s">
        <v>32320</v>
      </c>
      <c r="I1562" t="s">
        <v>32321</v>
      </c>
      <c r="J1562" t="s">
        <v>32322</v>
      </c>
      <c r="K1562" t="s">
        <v>32323</v>
      </c>
      <c r="L1562" t="s">
        <v>32324</v>
      </c>
      <c r="M1562" t="s">
        <v>32325</v>
      </c>
      <c r="N1562" t="s">
        <v>32326</v>
      </c>
      <c r="O1562">
        <f>-832.440433935441 -45.5956942241501 -499.981545608307</f>
        <v>-1378.017673767898</v>
      </c>
      <c r="P1562">
        <f>-813.615988601858 -87.5124216797235 -209.327411505709</f>
        <v>-1110.4558217872905</v>
      </c>
      <c r="Q1562">
        <f>-646.364304747414 -48.1040562102523 -378.220147561572</f>
        <v>-1072.6885085192384</v>
      </c>
      <c r="R1562" t="s">
        <v>32327</v>
      </c>
      <c r="S1562" t="s">
        <v>32328</v>
      </c>
      <c r="T1562" t="s">
        <v>32329</v>
      </c>
      <c r="U1562" t="s">
        <v>32330</v>
      </c>
      <c r="V1562" t="s">
        <v>32331</v>
      </c>
      <c r="W1562" t="s">
        <v>32332</v>
      </c>
      <c r="X1562" t="s">
        <v>32333</v>
      </c>
      <c r="Y1562" t="s">
        <v>32334</v>
      </c>
    </row>
    <row r="1563" spans="1:25" x14ac:dyDescent="0.3">
      <c r="A1563">
        <v>78100</v>
      </c>
      <c r="B1563" t="s">
        <v>32335</v>
      </c>
      <c r="C1563" t="s">
        <v>32336</v>
      </c>
      <c r="D1563" t="s">
        <v>32337</v>
      </c>
      <c r="E1563" t="s">
        <v>32338</v>
      </c>
      <c r="F1563" t="s">
        <v>32339</v>
      </c>
      <c r="G1563" t="s">
        <v>32340</v>
      </c>
      <c r="H1563" t="s">
        <v>32341</v>
      </c>
      <c r="I1563" t="s">
        <v>32342</v>
      </c>
      <c r="J1563" t="s">
        <v>32343</v>
      </c>
      <c r="K1563" t="s">
        <v>32344</v>
      </c>
      <c r="L1563" t="s">
        <v>32345</v>
      </c>
      <c r="M1563" t="s">
        <v>32346</v>
      </c>
      <c r="N1563" t="s">
        <v>32347</v>
      </c>
      <c r="O1563">
        <f>-832.527286762962 -45.3761527843303 -500.434474359971</f>
        <v>-1378.3379139072633</v>
      </c>
      <c r="P1563">
        <f>-812.437241789006 -88.6067505986666 -210.057622086964</f>
        <v>-1111.1016144746366</v>
      </c>
      <c r="Q1563">
        <f>-646.030480746766 -47.7245604726788 -379.434053362232</f>
        <v>-1073.1890945816767</v>
      </c>
      <c r="R1563" t="s">
        <v>32348</v>
      </c>
      <c r="S1563" t="s">
        <v>32349</v>
      </c>
      <c r="T1563" t="s">
        <v>32350</v>
      </c>
      <c r="U1563" t="s">
        <v>32351</v>
      </c>
      <c r="V1563" t="s">
        <v>32352</v>
      </c>
      <c r="W1563" t="s">
        <v>32353</v>
      </c>
      <c r="X1563" t="s">
        <v>32354</v>
      </c>
      <c r="Y1563" t="s">
        <v>32355</v>
      </c>
    </row>
    <row r="1564" spans="1:25" x14ac:dyDescent="0.3">
      <c r="A1564">
        <v>78150</v>
      </c>
      <c r="B1564" t="s">
        <v>32356</v>
      </c>
      <c r="C1564" t="s">
        <v>32357</v>
      </c>
      <c r="D1564" t="s">
        <v>32358</v>
      </c>
      <c r="E1564" t="s">
        <v>32359</v>
      </c>
      <c r="F1564" t="s">
        <v>32360</v>
      </c>
      <c r="G1564" t="s">
        <v>32361</v>
      </c>
      <c r="H1564" t="s">
        <v>32362</v>
      </c>
      <c r="I1564" t="s">
        <v>32363</v>
      </c>
      <c r="J1564" t="s">
        <v>32364</v>
      </c>
      <c r="K1564" t="s">
        <v>32365</v>
      </c>
      <c r="L1564" t="s">
        <v>32366</v>
      </c>
      <c r="M1564" t="s">
        <v>32367</v>
      </c>
      <c r="N1564" t="s">
        <v>32368</v>
      </c>
      <c r="O1564">
        <f>-832.509259200333 -45.2119114830489 -500.738579800383</f>
        <v>-1378.4597504837648</v>
      </c>
      <c r="P1564">
        <f>-811.516996003438 -89.1471159666226 -210.531466699072</f>
        <v>-1111.1955786691326</v>
      </c>
      <c r="Q1564">
        <f>-645.571331762231 -47.4803039567521 -380.168742705013</f>
        <v>-1073.2203784239962</v>
      </c>
      <c r="R1564" t="s">
        <v>32369</v>
      </c>
      <c r="S1564" t="s">
        <v>32370</v>
      </c>
      <c r="T1564" t="s">
        <v>32371</v>
      </c>
      <c r="U1564" t="s">
        <v>32372</v>
      </c>
      <c r="V1564" t="s">
        <v>32373</v>
      </c>
      <c r="W1564" t="s">
        <v>32374</v>
      </c>
      <c r="X1564" t="s">
        <v>32375</v>
      </c>
      <c r="Y1564" t="s">
        <v>32376</v>
      </c>
    </row>
    <row r="1565" spans="1:25" x14ac:dyDescent="0.3">
      <c r="A1565">
        <v>78200</v>
      </c>
      <c r="B1565" t="s">
        <v>32377</v>
      </c>
      <c r="C1565" t="s">
        <v>32378</v>
      </c>
      <c r="D1565" t="s">
        <v>32379</v>
      </c>
      <c r="E1565" t="s">
        <v>32380</v>
      </c>
      <c r="F1565" t="s">
        <v>32381</v>
      </c>
      <c r="G1565" t="s">
        <v>32382</v>
      </c>
      <c r="H1565" t="s">
        <v>32383</v>
      </c>
      <c r="I1565" t="s">
        <v>32384</v>
      </c>
      <c r="J1565" t="s">
        <v>32385</v>
      </c>
      <c r="K1565" t="s">
        <v>32386</v>
      </c>
      <c r="L1565" t="s">
        <v>32387</v>
      </c>
      <c r="M1565" t="s">
        <v>32388</v>
      </c>
      <c r="N1565" t="s">
        <v>32389</v>
      </c>
      <c r="O1565">
        <f>-832.442948575232 -44.9029624021398 -501.262332940379</f>
        <v>-1378.6082439177508</v>
      </c>
      <c r="P1565">
        <f>-808.769543626452 -90.5623986969169 -211.527971728626</f>
        <v>-1110.859914051995</v>
      </c>
      <c r="Q1565">
        <f>-644.128192368065 -46.8574174958594 -381.921697406307</f>
        <v>-1072.9073072702313</v>
      </c>
      <c r="R1565" t="s">
        <v>32390</v>
      </c>
      <c r="S1565" t="s">
        <v>32391</v>
      </c>
      <c r="T1565" t="s">
        <v>32392</v>
      </c>
      <c r="U1565" t="s">
        <v>32393</v>
      </c>
      <c r="V1565" t="s">
        <v>32394</v>
      </c>
      <c r="W1565" t="s">
        <v>32395</v>
      </c>
      <c r="X1565" t="s">
        <v>32396</v>
      </c>
      <c r="Y1565" t="s">
        <v>32397</v>
      </c>
    </row>
    <row r="1566" spans="1:25" x14ac:dyDescent="0.3">
      <c r="A1566">
        <v>78250</v>
      </c>
      <c r="B1566" t="s">
        <v>32398</v>
      </c>
      <c r="C1566" t="s">
        <v>32399</v>
      </c>
      <c r="D1566" t="s">
        <v>32400</v>
      </c>
      <c r="E1566" t="s">
        <v>32401</v>
      </c>
      <c r="F1566" t="s">
        <v>32402</v>
      </c>
      <c r="G1566" t="s">
        <v>32403</v>
      </c>
      <c r="H1566" t="s">
        <v>32404</v>
      </c>
      <c r="I1566" t="s">
        <v>32405</v>
      </c>
      <c r="J1566" t="s">
        <v>32406</v>
      </c>
      <c r="K1566" t="s">
        <v>32407</v>
      </c>
      <c r="L1566" t="s">
        <v>32408</v>
      </c>
      <c r="M1566" t="s">
        <v>32409</v>
      </c>
      <c r="N1566" t="s">
        <v>32410</v>
      </c>
      <c r="O1566">
        <f>-832.362019494114 -44.7203843194854 -501.50005160211</f>
        <v>-1378.5824554157093</v>
      </c>
      <c r="P1566">
        <f>-806.964036490412 -91.368200168765 -212.069277452631</f>
        <v>-1110.401514111808</v>
      </c>
      <c r="Q1566">
        <f>-643.167681283784 -46.512484300406 -382.97741769796</f>
        <v>-1072.65758328215</v>
      </c>
      <c r="R1566" t="s">
        <v>32411</v>
      </c>
      <c r="S1566" t="s">
        <v>32412</v>
      </c>
      <c r="T1566" t="s">
        <v>32413</v>
      </c>
      <c r="U1566" t="s">
        <v>32414</v>
      </c>
      <c r="V1566" t="s">
        <v>32415</v>
      </c>
      <c r="W1566" t="s">
        <v>32416</v>
      </c>
      <c r="X1566" t="s">
        <v>32417</v>
      </c>
      <c r="Y1566" t="s">
        <v>32418</v>
      </c>
    </row>
    <row r="1567" spans="1:25" x14ac:dyDescent="0.3">
      <c r="A1567">
        <v>78300</v>
      </c>
      <c r="B1567" t="s">
        <v>32419</v>
      </c>
      <c r="C1567" t="s">
        <v>32420</v>
      </c>
      <c r="D1567" t="s">
        <v>32421</v>
      </c>
      <c r="E1567" t="s">
        <v>32422</v>
      </c>
      <c r="F1567" t="s">
        <v>32423</v>
      </c>
      <c r="G1567" t="s">
        <v>32424</v>
      </c>
      <c r="H1567" t="s">
        <v>32425</v>
      </c>
      <c r="I1567" t="s">
        <v>32426</v>
      </c>
      <c r="J1567" t="s">
        <v>32427</v>
      </c>
      <c r="K1567" t="s">
        <v>32428</v>
      </c>
      <c r="L1567" t="s">
        <v>32429</v>
      </c>
      <c r="M1567" t="s">
        <v>32430</v>
      </c>
      <c r="N1567" t="s">
        <v>32431</v>
      </c>
      <c r="O1567">
        <f>-832.287770924602 -44.0026016687157 -502.089655069465</f>
        <v>-1378.3800276627826</v>
      </c>
      <c r="P1567">
        <f>-803.065340812229 -92.7686291643245 -213.369794965754</f>
        <v>-1109.2037649423075</v>
      </c>
      <c r="Q1567">
        <f>-641.142727177583 -45.8395001380193 -385.502362119866</f>
        <v>-1072.4845894354683</v>
      </c>
      <c r="R1567" t="s">
        <v>32432</v>
      </c>
      <c r="S1567" t="s">
        <v>32433</v>
      </c>
      <c r="T1567" t="s">
        <v>32434</v>
      </c>
      <c r="U1567" t="s">
        <v>32435</v>
      </c>
      <c r="V1567" t="s">
        <v>32436</v>
      </c>
      <c r="W1567" t="s">
        <v>32437</v>
      </c>
      <c r="X1567" t="s">
        <v>32438</v>
      </c>
      <c r="Y1567" t="s">
        <v>32439</v>
      </c>
    </row>
    <row r="1568" spans="1:25" x14ac:dyDescent="0.3">
      <c r="A1568">
        <v>78350</v>
      </c>
      <c r="B1568" t="s">
        <v>32440</v>
      </c>
      <c r="C1568" t="s">
        <v>32441</v>
      </c>
      <c r="D1568" t="s">
        <v>32442</v>
      </c>
      <c r="E1568" t="s">
        <v>32443</v>
      </c>
      <c r="F1568" t="s">
        <v>32444</v>
      </c>
      <c r="G1568" t="s">
        <v>32445</v>
      </c>
      <c r="H1568" t="s">
        <v>32446</v>
      </c>
      <c r="I1568" t="s">
        <v>32447</v>
      </c>
      <c r="J1568" t="s">
        <v>32448</v>
      </c>
      <c r="K1568" t="s">
        <v>32449</v>
      </c>
      <c r="L1568" t="s">
        <v>32450</v>
      </c>
      <c r="M1568" t="s">
        <v>32451</v>
      </c>
      <c r="N1568" t="s">
        <v>32452</v>
      </c>
      <c r="O1568">
        <f>-832.323897454902 -43.5144667444206 -502.425188870067</f>
        <v>-1378.2635530693897</v>
      </c>
      <c r="P1568">
        <f>-801.169906714354 -93.3712098673425 -214.093923084729</f>
        <v>-1108.6350396664257</v>
      </c>
      <c r="Q1568">
        <f>-639.710806832297 -45.7642694637559 -386.475723810736</f>
        <v>-1071.9508001067888</v>
      </c>
      <c r="R1568" t="s">
        <v>32453</v>
      </c>
      <c r="S1568" t="s">
        <v>32454</v>
      </c>
      <c r="T1568" t="s">
        <v>32455</v>
      </c>
      <c r="U1568" t="s">
        <v>32456</v>
      </c>
      <c r="V1568" t="s">
        <v>32457</v>
      </c>
      <c r="W1568" t="s">
        <v>32458</v>
      </c>
      <c r="X1568" t="s">
        <v>32459</v>
      </c>
      <c r="Y1568" t="s">
        <v>32460</v>
      </c>
    </row>
    <row r="1569" spans="1:25" x14ac:dyDescent="0.3">
      <c r="A1569">
        <v>78400</v>
      </c>
      <c r="B1569" t="s">
        <v>32461</v>
      </c>
      <c r="C1569" t="s">
        <v>32462</v>
      </c>
      <c r="D1569" t="s">
        <v>32463</v>
      </c>
      <c r="E1569" t="s">
        <v>32464</v>
      </c>
      <c r="F1569" t="s">
        <v>32465</v>
      </c>
      <c r="G1569" t="s">
        <v>32466</v>
      </c>
      <c r="H1569" t="s">
        <v>32467</v>
      </c>
      <c r="I1569" t="s">
        <v>32468</v>
      </c>
      <c r="J1569" t="s">
        <v>32469</v>
      </c>
      <c r="K1569" t="s">
        <v>32470</v>
      </c>
      <c r="L1569" t="s">
        <v>32471</v>
      </c>
      <c r="M1569" t="s">
        <v>32472</v>
      </c>
      <c r="N1569" t="s">
        <v>32473</v>
      </c>
      <c r="O1569">
        <f>-831.963005547258 -42.3936580035404 -503.097936961208</f>
        <v>-1377.4546005120064</v>
      </c>
      <c r="P1569">
        <f>-797.025890238893 -94.7785752827731 -215.649893684207</f>
        <v>-1107.4543592058731</v>
      </c>
      <c r="Q1569">
        <f>-636.744312363032 -45.5747007406994 -388.680759134077</f>
        <v>-1070.9997722378084</v>
      </c>
      <c r="R1569" t="s">
        <v>32474</v>
      </c>
      <c r="S1569" t="s">
        <v>32475</v>
      </c>
      <c r="T1569" t="s">
        <v>32476</v>
      </c>
      <c r="U1569" t="s">
        <v>32477</v>
      </c>
      <c r="V1569" t="s">
        <v>32478</v>
      </c>
      <c r="W1569" t="s">
        <v>32479</v>
      </c>
      <c r="X1569" t="s">
        <v>32480</v>
      </c>
      <c r="Y1569" t="s">
        <v>32481</v>
      </c>
    </row>
    <row r="1570" spans="1:25" x14ac:dyDescent="0.3">
      <c r="A1570">
        <v>78450</v>
      </c>
      <c r="B1570" t="s">
        <v>32482</v>
      </c>
      <c r="C1570" t="s">
        <v>32483</v>
      </c>
      <c r="D1570" t="s">
        <v>32484</v>
      </c>
      <c r="E1570" t="s">
        <v>32485</v>
      </c>
      <c r="F1570" t="s">
        <v>32486</v>
      </c>
      <c r="G1570" t="s">
        <v>32487</v>
      </c>
      <c r="H1570" t="s">
        <v>32488</v>
      </c>
      <c r="I1570" t="s">
        <v>32489</v>
      </c>
      <c r="J1570" t="s">
        <v>32490</v>
      </c>
      <c r="K1570" t="s">
        <v>32491</v>
      </c>
      <c r="L1570" t="s">
        <v>32492</v>
      </c>
      <c r="M1570" t="s">
        <v>32493</v>
      </c>
      <c r="N1570" t="s">
        <v>32494</v>
      </c>
      <c r="O1570">
        <f>-831.562541945143 -41.6916509440866 -503.436108943491</f>
        <v>-1376.6903018327207</v>
      </c>
      <c r="P1570">
        <f>-794.856351834443 -95.6094667919531 -216.492265500163</f>
        <v>-1106.958084126559</v>
      </c>
      <c r="Q1570">
        <f>-635.500482132354 -44.7280596471442 -389.892293282016</f>
        <v>-1070.1208350615143</v>
      </c>
      <c r="R1570" t="s">
        <v>32495</v>
      </c>
      <c r="S1570" t="s">
        <v>32496</v>
      </c>
      <c r="T1570" t="s">
        <v>32497</v>
      </c>
      <c r="U1570" t="s">
        <v>32498</v>
      </c>
      <c r="V1570" t="s">
        <v>32499</v>
      </c>
      <c r="W1570" t="s">
        <v>32500</v>
      </c>
      <c r="X1570" t="s">
        <v>32501</v>
      </c>
      <c r="Y1570" t="s">
        <v>32502</v>
      </c>
    </row>
    <row r="1571" spans="1:25" x14ac:dyDescent="0.3">
      <c r="A1571">
        <v>78500</v>
      </c>
      <c r="B1571" t="s">
        <v>32503</v>
      </c>
      <c r="C1571" t="s">
        <v>32504</v>
      </c>
      <c r="D1571" t="s">
        <v>32505</v>
      </c>
      <c r="E1571" t="s">
        <v>32506</v>
      </c>
      <c r="F1571" t="s">
        <v>32507</v>
      </c>
      <c r="G1571" t="s">
        <v>32508</v>
      </c>
      <c r="H1571" t="s">
        <v>32509</v>
      </c>
      <c r="I1571" t="s">
        <v>32510</v>
      </c>
      <c r="J1571" t="s">
        <v>32511</v>
      </c>
      <c r="K1571" t="s">
        <v>32512</v>
      </c>
      <c r="L1571" t="s">
        <v>32513</v>
      </c>
      <c r="M1571" t="s">
        <v>32514</v>
      </c>
      <c r="N1571" t="s">
        <v>32515</v>
      </c>
      <c r="O1571">
        <f>-830.873503472639 -40.1271339867085 -504.082160539286</f>
        <v>-1375.0827979986334</v>
      </c>
      <c r="P1571">
        <f>-790.394859169318 -97.3491398074632 -218.287882047918</f>
        <v>-1106.0318810246993</v>
      </c>
      <c r="Q1571">
        <f>-633.222520933731 -41.7258590673089 -392.223915648396</f>
        <v>-1067.1722956494359</v>
      </c>
      <c r="R1571" t="s">
        <v>32516</v>
      </c>
      <c r="S1571" t="s">
        <v>32517</v>
      </c>
      <c r="T1571" t="s">
        <v>32518</v>
      </c>
      <c r="U1571" t="s">
        <v>32519</v>
      </c>
      <c r="V1571" t="s">
        <v>32520</v>
      </c>
      <c r="W1571" t="s">
        <v>32521</v>
      </c>
      <c r="X1571" t="s">
        <v>32522</v>
      </c>
      <c r="Y1571" t="s">
        <v>32523</v>
      </c>
    </row>
    <row r="1572" spans="1:25" x14ac:dyDescent="0.3">
      <c r="A1572">
        <v>78550</v>
      </c>
      <c r="B1572" t="s">
        <v>32524</v>
      </c>
      <c r="C1572" t="s">
        <v>32525</v>
      </c>
      <c r="D1572" t="s">
        <v>32526</v>
      </c>
      <c r="E1572" t="s">
        <v>32527</v>
      </c>
      <c r="F1572" t="s">
        <v>32528</v>
      </c>
      <c r="G1572" t="s">
        <v>32529</v>
      </c>
      <c r="H1572" t="s">
        <v>32530</v>
      </c>
      <c r="I1572" t="s">
        <v>32531</v>
      </c>
      <c r="J1572" t="s">
        <v>32532</v>
      </c>
      <c r="K1572" t="s">
        <v>32533</v>
      </c>
      <c r="L1572" t="s">
        <v>32534</v>
      </c>
      <c r="M1572" t="s">
        <v>32535</v>
      </c>
      <c r="N1572" t="s">
        <v>32536</v>
      </c>
      <c r="O1572">
        <f>-830.626071487053 -39.3558468662422 -504.4319491417</f>
        <v>-1374.4138674949952</v>
      </c>
      <c r="P1572">
        <f>-787.972932839321 -98.1454988814303 -219.272849036919</f>
        <v>-1105.3912807576703</v>
      </c>
      <c r="Q1572">
        <f>-632.210303934331 -39.4296428516438 -393.460300357104</f>
        <v>-1065.1002471430788</v>
      </c>
      <c r="R1572" t="s">
        <v>32537</v>
      </c>
      <c r="S1572" t="s">
        <v>32538</v>
      </c>
      <c r="T1572" t="s">
        <v>32539</v>
      </c>
      <c r="U1572" t="s">
        <v>32540</v>
      </c>
      <c r="V1572" t="s">
        <v>32541</v>
      </c>
      <c r="W1572" t="s">
        <v>32542</v>
      </c>
      <c r="X1572" t="s">
        <v>32543</v>
      </c>
      <c r="Y1572" t="s">
        <v>32544</v>
      </c>
    </row>
    <row r="1573" spans="1:25" x14ac:dyDescent="0.3">
      <c r="A1573">
        <v>78600</v>
      </c>
      <c r="B1573" t="s">
        <v>32545</v>
      </c>
      <c r="C1573" t="s">
        <v>32546</v>
      </c>
      <c r="D1573" t="s">
        <v>32547</v>
      </c>
      <c r="E1573" t="s">
        <v>32548</v>
      </c>
      <c r="F1573" t="s">
        <v>32549</v>
      </c>
      <c r="G1573" t="s">
        <v>32550</v>
      </c>
      <c r="H1573" t="s">
        <v>32551</v>
      </c>
      <c r="I1573" t="s">
        <v>32552</v>
      </c>
      <c r="J1573" t="s">
        <v>32553</v>
      </c>
      <c r="K1573" t="s">
        <v>32554</v>
      </c>
      <c r="L1573" t="s">
        <v>32555</v>
      </c>
      <c r="M1573" t="s">
        <v>32556</v>
      </c>
      <c r="N1573" t="s">
        <v>32557</v>
      </c>
      <c r="O1573">
        <f>-829.85125016374 -37.8424476632258 -505.212316863158</f>
        <v>-1372.9060146901238</v>
      </c>
      <c r="P1573">
        <f>-783.581451015341 -99.5824808034645 -221.243240400174</f>
        <v>-1104.4071722189794</v>
      </c>
      <c r="Q1573">
        <f>-630.788205255963 -33.3401488614154 -395.361244428044</f>
        <v>-1059.4895985454225</v>
      </c>
      <c r="R1573" t="s">
        <v>32558</v>
      </c>
      <c r="S1573" t="s">
        <v>32559</v>
      </c>
      <c r="T1573" t="s">
        <v>32560</v>
      </c>
      <c r="U1573" t="s">
        <v>32561</v>
      </c>
      <c r="V1573" t="s">
        <v>32562</v>
      </c>
      <c r="W1573" t="s">
        <v>32563</v>
      </c>
      <c r="X1573" t="s">
        <v>32564</v>
      </c>
      <c r="Y1573" t="s">
        <v>32565</v>
      </c>
    </row>
    <row r="1574" spans="1:25" x14ac:dyDescent="0.3">
      <c r="A1574">
        <v>78650</v>
      </c>
      <c r="B1574" t="s">
        <v>32566</v>
      </c>
      <c r="C1574" t="s">
        <v>32567</v>
      </c>
      <c r="D1574" t="s">
        <v>32568</v>
      </c>
      <c r="E1574" t="s">
        <v>32569</v>
      </c>
      <c r="F1574" t="s">
        <v>32570</v>
      </c>
      <c r="G1574" t="s">
        <v>32571</v>
      </c>
      <c r="H1574" t="s">
        <v>32572</v>
      </c>
      <c r="I1574" t="s">
        <v>32573</v>
      </c>
      <c r="J1574" t="s">
        <v>32574</v>
      </c>
      <c r="K1574" t="s">
        <v>32575</v>
      </c>
      <c r="L1574" t="s">
        <v>32576</v>
      </c>
      <c r="M1574" t="s">
        <v>32577</v>
      </c>
      <c r="N1574" t="s">
        <v>32578</v>
      </c>
      <c r="O1574">
        <f>-829.203568817795 -37.4021137921804 -505.547729798921</f>
        <v>-1372.1534124088964</v>
      </c>
      <c r="P1574">
        <f>-781.630378509187 -99.8060579118992 -221.939344824092</f>
        <v>-1103.3757812451781</v>
      </c>
      <c r="Q1574">
        <f>-630.068421954771 -30.3772778018574 -395.891980042453</f>
        <v>-1056.3376797990813</v>
      </c>
      <c r="R1574" t="s">
        <v>32579</v>
      </c>
      <c r="S1574" t="s">
        <v>32580</v>
      </c>
      <c r="T1574" t="s">
        <v>32581</v>
      </c>
      <c r="U1574" t="s">
        <v>32582</v>
      </c>
      <c r="V1574" t="s">
        <v>32583</v>
      </c>
      <c r="W1574" t="s">
        <v>32584</v>
      </c>
      <c r="X1574" t="s">
        <v>32585</v>
      </c>
      <c r="Y1574" t="s">
        <v>32586</v>
      </c>
    </row>
    <row r="1575" spans="1:25" x14ac:dyDescent="0.3">
      <c r="A1575">
        <v>78700</v>
      </c>
      <c r="B1575" t="s">
        <v>32587</v>
      </c>
      <c r="C1575" t="s">
        <v>32588</v>
      </c>
      <c r="D1575" t="s">
        <v>32589</v>
      </c>
      <c r="E1575" t="s">
        <v>32590</v>
      </c>
      <c r="F1575" t="s">
        <v>32591</v>
      </c>
      <c r="G1575" t="s">
        <v>32592</v>
      </c>
      <c r="H1575" t="s">
        <v>32593</v>
      </c>
      <c r="I1575" t="s">
        <v>32594</v>
      </c>
      <c r="J1575" t="s">
        <v>32595</v>
      </c>
      <c r="K1575" t="s">
        <v>32596</v>
      </c>
      <c r="L1575" t="s">
        <v>32597</v>
      </c>
      <c r="M1575" t="s">
        <v>32598</v>
      </c>
      <c r="N1575" t="s">
        <v>32599</v>
      </c>
      <c r="O1575">
        <f>-828.185054407513 -36.957617691628 -505.951428053519</f>
        <v>-1371.0941001526601</v>
      </c>
      <c r="P1575">
        <f>-779.016328688776 -99.4770622313279 -222.640704279471</f>
        <v>-1101.1340951995749</v>
      </c>
      <c r="Q1575">
        <f>-629.046147578049 -25.5365735933738 -396.112950557355</f>
        <v>-1050.6956717287778</v>
      </c>
      <c r="R1575" t="s">
        <v>32600</v>
      </c>
      <c r="S1575" t="s">
        <v>32601</v>
      </c>
      <c r="T1575" t="s">
        <v>32602</v>
      </c>
      <c r="U1575" t="s">
        <v>32603</v>
      </c>
      <c r="V1575" t="s">
        <v>32604</v>
      </c>
      <c r="W1575" t="s">
        <v>32605</v>
      </c>
      <c r="X1575" t="s">
        <v>32606</v>
      </c>
      <c r="Y1575" t="s">
        <v>32607</v>
      </c>
    </row>
    <row r="1576" spans="1:25" x14ac:dyDescent="0.3">
      <c r="A1576">
        <v>78750</v>
      </c>
      <c r="B1576" t="s">
        <v>32608</v>
      </c>
      <c r="C1576" t="s">
        <v>32609</v>
      </c>
      <c r="D1576" t="s">
        <v>32610</v>
      </c>
      <c r="E1576" t="s">
        <v>32611</v>
      </c>
      <c r="F1576" t="s">
        <v>32612</v>
      </c>
      <c r="G1576" t="s">
        <v>32613</v>
      </c>
      <c r="H1576" t="s">
        <v>32614</v>
      </c>
      <c r="I1576" t="s">
        <v>32615</v>
      </c>
      <c r="J1576" t="s">
        <v>32616</v>
      </c>
      <c r="K1576" t="s">
        <v>32617</v>
      </c>
      <c r="L1576" t="s">
        <v>32618</v>
      </c>
      <c r="M1576" t="s">
        <v>32619</v>
      </c>
      <c r="N1576" t="s">
        <v>32620</v>
      </c>
      <c r="O1576">
        <f>-827.847346657267 -36.6439446164866 -506.069974769863</f>
        <v>-1370.5612660436166</v>
      </c>
      <c r="P1576">
        <f>-778.66392382916 -98.8298262292144 -222.688367621059</f>
        <v>-1100.1821176794333</v>
      </c>
      <c r="Q1576">
        <f>-628.748796487897 -23.8667449143195 -395.768848890602</f>
        <v>-1048.3843902928186</v>
      </c>
      <c r="R1576" t="s">
        <v>32621</v>
      </c>
      <c r="S1576" t="s">
        <v>32622</v>
      </c>
      <c r="T1576" t="s">
        <v>32623</v>
      </c>
      <c r="U1576" t="s">
        <v>32624</v>
      </c>
      <c r="V1576" t="s">
        <v>32625</v>
      </c>
      <c r="W1576" t="s">
        <v>32626</v>
      </c>
      <c r="X1576" t="s">
        <v>32627</v>
      </c>
      <c r="Y1576" t="s">
        <v>32628</v>
      </c>
    </row>
    <row r="1577" spans="1:25" x14ac:dyDescent="0.3">
      <c r="A1577">
        <v>78800</v>
      </c>
      <c r="B1577" t="s">
        <v>32629</v>
      </c>
      <c r="C1577" t="s">
        <v>32630</v>
      </c>
      <c r="D1577" t="s">
        <v>32631</v>
      </c>
      <c r="E1577" t="s">
        <v>32632</v>
      </c>
      <c r="F1577" t="s">
        <v>32633</v>
      </c>
      <c r="G1577" t="s">
        <v>32634</v>
      </c>
      <c r="H1577" t="s">
        <v>32635</v>
      </c>
      <c r="I1577" t="s">
        <v>32636</v>
      </c>
      <c r="J1577" t="s">
        <v>32637</v>
      </c>
      <c r="K1577" t="s">
        <v>32638</v>
      </c>
      <c r="L1577" t="s">
        <v>32639</v>
      </c>
      <c r="M1577" t="s">
        <v>32640</v>
      </c>
      <c r="N1577" t="s">
        <v>32641</v>
      </c>
      <c r="O1577">
        <f>-827.589141913674 -36.3442149818527 -506.235375158112</f>
        <v>-1370.1687320536387</v>
      </c>
      <c r="P1577">
        <f>-779.602191804983 -97.7535371367717 -222.479524803904</f>
        <v>-1099.8352537456587</v>
      </c>
      <c r="Q1577">
        <f>-628.667138951532 -21.8617625050847 -394.264060282535</f>
        <v>-1044.7929617391517</v>
      </c>
      <c r="R1577" t="s">
        <v>32642</v>
      </c>
      <c r="S1577" t="s">
        <v>32643</v>
      </c>
      <c r="T1577" t="s">
        <v>32644</v>
      </c>
      <c r="U1577" t="s">
        <v>32645</v>
      </c>
      <c r="V1577" t="s">
        <v>32646</v>
      </c>
      <c r="W1577" t="s">
        <v>32647</v>
      </c>
      <c r="X1577" t="s">
        <v>32648</v>
      </c>
      <c r="Y1577" t="s">
        <v>32649</v>
      </c>
    </row>
    <row r="1578" spans="1:25" x14ac:dyDescent="0.3">
      <c r="A1578">
        <v>78850</v>
      </c>
      <c r="B1578" t="s">
        <v>32650</v>
      </c>
      <c r="C1578" t="s">
        <v>32651</v>
      </c>
      <c r="D1578" t="s">
        <v>32652</v>
      </c>
      <c r="E1578" t="s">
        <v>32653</v>
      </c>
      <c r="F1578" t="s">
        <v>32654</v>
      </c>
      <c r="G1578" t="s">
        <v>32655</v>
      </c>
      <c r="H1578" t="s">
        <v>32656</v>
      </c>
      <c r="I1578" t="s">
        <v>32657</v>
      </c>
      <c r="J1578" t="s">
        <v>32658</v>
      </c>
      <c r="K1578" t="s">
        <v>32659</v>
      </c>
      <c r="L1578" t="s">
        <v>32660</v>
      </c>
      <c r="M1578" t="s">
        <v>32661</v>
      </c>
      <c r="N1578" t="s">
        <v>32662</v>
      </c>
      <c r="O1578">
        <f>-827.712266461868 -36.3034655908621 -506.213618308882</f>
        <v>-1370.229350361612</v>
      </c>
      <c r="P1578">
        <f>-780.8966081921 -97.2212653614649 -222.156375277017</f>
        <v>-1100.2742488305819</v>
      </c>
      <c r="Q1578">
        <f>-628.79406090326 -21.6689867371751 -393.058403357977</f>
        <v>-1043.5214509984121</v>
      </c>
      <c r="R1578" t="s">
        <v>32663</v>
      </c>
      <c r="S1578" t="s">
        <v>32664</v>
      </c>
      <c r="T1578" t="s">
        <v>32665</v>
      </c>
      <c r="U1578" t="s">
        <v>32666</v>
      </c>
      <c r="V1578" t="s">
        <v>32667</v>
      </c>
      <c r="W1578" t="s">
        <v>32668</v>
      </c>
      <c r="X1578" t="s">
        <v>32669</v>
      </c>
      <c r="Y1578" t="s">
        <v>32670</v>
      </c>
    </row>
    <row r="1579" spans="1:25" x14ac:dyDescent="0.3">
      <c r="A1579">
        <v>78900</v>
      </c>
      <c r="B1579" t="s">
        <v>32671</v>
      </c>
      <c r="C1579" t="s">
        <v>32672</v>
      </c>
      <c r="D1579" t="s">
        <v>32673</v>
      </c>
      <c r="E1579" t="s">
        <v>32674</v>
      </c>
      <c r="F1579" t="s">
        <v>32675</v>
      </c>
      <c r="G1579" t="s">
        <v>32676</v>
      </c>
      <c r="H1579" t="s">
        <v>32677</v>
      </c>
      <c r="I1579" t="s">
        <v>32678</v>
      </c>
      <c r="J1579" t="s">
        <v>32679</v>
      </c>
      <c r="K1579" t="s">
        <v>32680</v>
      </c>
      <c r="L1579" t="s">
        <v>32681</v>
      </c>
      <c r="M1579" t="s">
        <v>32682</v>
      </c>
      <c r="N1579" t="s">
        <v>32683</v>
      </c>
      <c r="O1579">
        <f>-828.313647027888 -36.2973662012503 -505.951567874139</f>
        <v>-1370.5625811032774</v>
      </c>
      <c r="P1579">
        <f>-785.07487434597 -95.6834760712989 -221.004367856075</f>
        <v>-1101.7627182733449</v>
      </c>
      <c r="Q1579">
        <f>-629.088012385035 -22.5711342425984 -389.449132947215</f>
        <v>-1041.1082795748484</v>
      </c>
      <c r="R1579" t="s">
        <v>32684</v>
      </c>
      <c r="S1579" t="s">
        <v>32685</v>
      </c>
      <c r="T1579" t="s">
        <v>32686</v>
      </c>
      <c r="U1579" t="s">
        <v>32687</v>
      </c>
      <c r="V1579" t="s">
        <v>32688</v>
      </c>
      <c r="W1579" t="s">
        <v>32689</v>
      </c>
      <c r="X1579" t="s">
        <v>32690</v>
      </c>
      <c r="Y1579" t="s">
        <v>32691</v>
      </c>
    </row>
    <row r="1580" spans="1:25" x14ac:dyDescent="0.3">
      <c r="A1580">
        <v>78950</v>
      </c>
      <c r="B1580" t="s">
        <v>32692</v>
      </c>
      <c r="C1580" t="s">
        <v>32693</v>
      </c>
      <c r="D1580" t="s">
        <v>32694</v>
      </c>
      <c r="E1580" t="s">
        <v>32695</v>
      </c>
      <c r="F1580" t="s">
        <v>32696</v>
      </c>
      <c r="G1580" t="s">
        <v>32697</v>
      </c>
      <c r="H1580" t="s">
        <v>32698</v>
      </c>
      <c r="I1580" t="s">
        <v>32699</v>
      </c>
      <c r="J1580" t="s">
        <v>32700</v>
      </c>
      <c r="K1580" t="s">
        <v>32701</v>
      </c>
      <c r="L1580" t="s">
        <v>32702</v>
      </c>
      <c r="M1580" t="s">
        <v>32703</v>
      </c>
      <c r="N1580" t="s">
        <v>32704</v>
      </c>
      <c r="O1580">
        <f>-828.853299908186 -36.3233803993744 -505.715937531749</f>
        <v>-1370.8926178393094</v>
      </c>
      <c r="P1580">
        <f>-787.887639202415 -94.3697252537381 -220.157539013807</f>
        <v>-1102.4149034699601</v>
      </c>
      <c r="Q1580">
        <f>-629.387606238271 -23.7972180200636 -387.334341272061</f>
        <v>-1040.5191655303956</v>
      </c>
      <c r="R1580" t="s">
        <v>32705</v>
      </c>
      <c r="S1580" t="s">
        <v>32706</v>
      </c>
      <c r="T1580" t="s">
        <v>32707</v>
      </c>
      <c r="U1580" t="s">
        <v>32708</v>
      </c>
      <c r="V1580" t="s">
        <v>32709</v>
      </c>
      <c r="W1580" t="s">
        <v>32710</v>
      </c>
      <c r="X1580" t="s">
        <v>32711</v>
      </c>
      <c r="Y1580" t="s">
        <v>32712</v>
      </c>
    </row>
    <row r="1581" spans="1:25" x14ac:dyDescent="0.3">
      <c r="A1581">
        <v>79000</v>
      </c>
      <c r="B1581" t="s">
        <v>32713</v>
      </c>
      <c r="C1581" t="s">
        <v>32714</v>
      </c>
      <c r="D1581" t="s">
        <v>32715</v>
      </c>
      <c r="E1581" t="s">
        <v>32716</v>
      </c>
      <c r="F1581" t="s">
        <v>32717</v>
      </c>
      <c r="G1581" t="s">
        <v>32718</v>
      </c>
      <c r="H1581" t="s">
        <v>32719</v>
      </c>
      <c r="I1581" t="s">
        <v>32720</v>
      </c>
      <c r="J1581" t="s">
        <v>32721</v>
      </c>
      <c r="K1581" t="s">
        <v>32722</v>
      </c>
      <c r="L1581" t="s">
        <v>32723</v>
      </c>
      <c r="M1581" t="s">
        <v>32724</v>
      </c>
      <c r="N1581" t="s">
        <v>32725</v>
      </c>
      <c r="O1581">
        <f>-829.88037771297 -36.6985151523954 -505.086131996397</f>
        <v>-1371.6650248617625</v>
      </c>
      <c r="P1581">
        <f>-794.408446599788 -91.2320306776012 -218.103556704492</f>
        <v>-1103.7440339818813</v>
      </c>
      <c r="Q1581">
        <f>-630.280023676681 -26.9967300933827 -382.379590453383</f>
        <v>-1039.6563442234467</v>
      </c>
      <c r="R1581" t="s">
        <v>32726</v>
      </c>
      <c r="S1581" t="s">
        <v>32727</v>
      </c>
      <c r="T1581" t="s">
        <v>32728</v>
      </c>
      <c r="U1581" t="s">
        <v>32729</v>
      </c>
      <c r="V1581" t="s">
        <v>32730</v>
      </c>
      <c r="W1581" t="s">
        <v>32731</v>
      </c>
      <c r="X1581" t="s">
        <v>32732</v>
      </c>
      <c r="Y1581" t="s">
        <v>32733</v>
      </c>
    </row>
    <row r="1582" spans="1:25" x14ac:dyDescent="0.3">
      <c r="A1582">
        <v>79050</v>
      </c>
      <c r="B1582" t="s">
        <v>32734</v>
      </c>
      <c r="C1582" t="s">
        <v>32735</v>
      </c>
      <c r="D1582" t="s">
        <v>32736</v>
      </c>
      <c r="E1582" t="s">
        <v>32737</v>
      </c>
      <c r="F1582" t="s">
        <v>32738</v>
      </c>
      <c r="G1582" t="s">
        <v>32739</v>
      </c>
      <c r="H1582" t="s">
        <v>32740</v>
      </c>
      <c r="I1582" t="s">
        <v>32741</v>
      </c>
      <c r="J1582" t="s">
        <v>32742</v>
      </c>
      <c r="K1582" t="s">
        <v>32743</v>
      </c>
      <c r="L1582" t="s">
        <v>32744</v>
      </c>
      <c r="M1582" t="s">
        <v>32745</v>
      </c>
      <c r="N1582" t="s">
        <v>32746</v>
      </c>
      <c r="O1582">
        <f>-830.151398852677 -37.0863157191006 -504.705049824773</f>
        <v>-1371.9427643965505</v>
      </c>
      <c r="P1582">
        <f>-797.566122071659 -89.4111364040596 -216.970052778301</f>
        <v>-1103.9473112540195</v>
      </c>
      <c r="Q1582">
        <f>-630.321987654159 -29.0913423759389 -379.579380123285</f>
        <v>-1038.9927101533829</v>
      </c>
      <c r="R1582" t="s">
        <v>32747</v>
      </c>
      <c r="S1582" t="s">
        <v>32748</v>
      </c>
      <c r="T1582" t="s">
        <v>32749</v>
      </c>
      <c r="U1582" t="s">
        <v>32750</v>
      </c>
      <c r="V1582" t="s">
        <v>32751</v>
      </c>
      <c r="W1582" t="s">
        <v>32752</v>
      </c>
      <c r="X1582" t="s">
        <v>32753</v>
      </c>
      <c r="Y1582" t="s">
        <v>32754</v>
      </c>
    </row>
    <row r="1583" spans="1:25" x14ac:dyDescent="0.3">
      <c r="A1583">
        <v>79100</v>
      </c>
      <c r="B1583" t="s">
        <v>32755</v>
      </c>
      <c r="C1583" t="s">
        <v>32756</v>
      </c>
      <c r="D1583" t="s">
        <v>32757</v>
      </c>
      <c r="E1583" t="s">
        <v>32758</v>
      </c>
      <c r="F1583" t="s">
        <v>32759</v>
      </c>
      <c r="G1583" t="s">
        <v>32760</v>
      </c>
      <c r="H1583" t="s">
        <v>32761</v>
      </c>
      <c r="I1583" t="s">
        <v>32762</v>
      </c>
      <c r="J1583" t="s">
        <v>32763</v>
      </c>
      <c r="K1583" t="s">
        <v>32764</v>
      </c>
      <c r="L1583" t="s">
        <v>32765</v>
      </c>
      <c r="M1583" t="s">
        <v>32766</v>
      </c>
      <c r="N1583" t="s">
        <v>32767</v>
      </c>
      <c r="O1583">
        <f>-830.592146025532 -38.2583938060452 -503.869790831993</f>
        <v>-1372.7203306635702</v>
      </c>
      <c r="P1583">
        <f>-803.876267588468 -86.1184837392786 -214.755794219427</f>
        <v>-1104.7505455471737</v>
      </c>
      <c r="Q1583">
        <f>-630.513844873287 -34.0542419834819 -373.770707853703</f>
        <v>-1038.338794710472</v>
      </c>
      <c r="R1583" t="s">
        <v>32768</v>
      </c>
      <c r="S1583" t="s">
        <v>32769</v>
      </c>
      <c r="T1583" t="s">
        <v>32770</v>
      </c>
      <c r="U1583" t="s">
        <v>32771</v>
      </c>
      <c r="V1583" t="s">
        <v>32772</v>
      </c>
      <c r="W1583" t="s">
        <v>32773</v>
      </c>
      <c r="X1583" t="s">
        <v>32774</v>
      </c>
      <c r="Y1583" t="s">
        <v>32775</v>
      </c>
    </row>
    <row r="1584" spans="1:25" x14ac:dyDescent="0.3">
      <c r="A1584">
        <v>79150</v>
      </c>
      <c r="B1584" t="s">
        <v>32776</v>
      </c>
      <c r="C1584" t="s">
        <v>32777</v>
      </c>
      <c r="D1584" t="s">
        <v>32778</v>
      </c>
      <c r="E1584" t="s">
        <v>32779</v>
      </c>
      <c r="F1584" t="s">
        <v>32780</v>
      </c>
      <c r="G1584" t="s">
        <v>32781</v>
      </c>
      <c r="H1584" t="s">
        <v>32782</v>
      </c>
      <c r="I1584" t="s">
        <v>32783</v>
      </c>
      <c r="J1584" t="s">
        <v>32784</v>
      </c>
      <c r="K1584" t="s">
        <v>32785</v>
      </c>
      <c r="L1584" t="s">
        <v>32786</v>
      </c>
      <c r="M1584" t="s">
        <v>32787</v>
      </c>
      <c r="N1584" t="s">
        <v>32788</v>
      </c>
      <c r="O1584">
        <f>-830.821202593616 -38.9549095413095 -503.4710313786</f>
        <v>-1373.2471435135255</v>
      </c>
      <c r="P1584">
        <f>-807.177778953095 -84.8167680848553 -213.766235689642</f>
        <v>-1105.7607827275922</v>
      </c>
      <c r="Q1584">
        <f>-631.053299697262 -36.8100230626922 -371.012481329683</f>
        <v>-1038.8758040896371</v>
      </c>
      <c r="R1584" t="s">
        <v>32789</v>
      </c>
      <c r="S1584" t="s">
        <v>32790</v>
      </c>
      <c r="T1584" t="s">
        <v>32791</v>
      </c>
      <c r="U1584" t="s">
        <v>32792</v>
      </c>
      <c r="V1584" t="s">
        <v>32793</v>
      </c>
      <c r="W1584" t="s">
        <v>32794</v>
      </c>
      <c r="X1584" t="s">
        <v>32795</v>
      </c>
      <c r="Y1584" t="s">
        <v>32796</v>
      </c>
    </row>
    <row r="1585" spans="1:25" x14ac:dyDescent="0.3">
      <c r="A1585">
        <v>79200</v>
      </c>
      <c r="B1585" t="s">
        <v>32797</v>
      </c>
      <c r="C1585" t="s">
        <v>32798</v>
      </c>
      <c r="D1585" t="s">
        <v>32799</v>
      </c>
      <c r="E1585" t="s">
        <v>32800</v>
      </c>
      <c r="F1585" t="s">
        <v>32801</v>
      </c>
      <c r="G1585" t="s">
        <v>32802</v>
      </c>
      <c r="H1585" t="s">
        <v>32803</v>
      </c>
      <c r="I1585" t="s">
        <v>32804</v>
      </c>
      <c r="J1585" t="s">
        <v>32805</v>
      </c>
      <c r="K1585" t="s">
        <v>32806</v>
      </c>
      <c r="L1585" t="s">
        <v>32807</v>
      </c>
      <c r="M1585" t="s">
        <v>32808</v>
      </c>
      <c r="N1585" t="s">
        <v>32809</v>
      </c>
      <c r="O1585">
        <f>-831.291626344025 -40.1619773196892 -502.776833193143</f>
        <v>-1374.2304368568571</v>
      </c>
      <c r="P1585">
        <f>-812.78627467558 -82.912160671365 -212.223524867062</f>
        <v>-1107.921960214007</v>
      </c>
      <c r="Q1585">
        <f>-632.47143149883 -41.1843123019021 -366.48376729624</f>
        <v>-1040.139511096972</v>
      </c>
      <c r="R1585" t="s">
        <v>32810</v>
      </c>
      <c r="S1585" t="s">
        <v>32811</v>
      </c>
      <c r="T1585" t="s">
        <v>32812</v>
      </c>
      <c r="U1585" t="s">
        <v>32813</v>
      </c>
      <c r="V1585" t="s">
        <v>32814</v>
      </c>
      <c r="W1585" t="s">
        <v>32815</v>
      </c>
      <c r="X1585" t="s">
        <v>32816</v>
      </c>
      <c r="Y1585" t="s">
        <v>32817</v>
      </c>
    </row>
    <row r="1586" spans="1:25" x14ac:dyDescent="0.3">
      <c r="A1586">
        <v>79250</v>
      </c>
      <c r="B1586" t="s">
        <v>32818</v>
      </c>
      <c r="C1586" t="s">
        <v>32819</v>
      </c>
      <c r="D1586" t="s">
        <v>32820</v>
      </c>
      <c r="E1586" t="s">
        <v>32821</v>
      </c>
      <c r="F1586" t="s">
        <v>32822</v>
      </c>
      <c r="G1586" t="s">
        <v>32823</v>
      </c>
      <c r="H1586" t="s">
        <v>32824</v>
      </c>
      <c r="I1586" t="s">
        <v>32825</v>
      </c>
      <c r="J1586" t="s">
        <v>32826</v>
      </c>
      <c r="K1586" t="s">
        <v>32827</v>
      </c>
      <c r="L1586" t="s">
        <v>32828</v>
      </c>
      <c r="M1586" t="s">
        <v>32829</v>
      </c>
      <c r="N1586" t="s">
        <v>32830</v>
      </c>
      <c r="O1586">
        <f>-831.536401499223 -40.6768800633199 -502.482268798305</f>
        <v>-1374.6955503608478</v>
      </c>
      <c r="P1586">
        <f>-814.94628504274 -81.9582685851831 -211.601238075472</f>
        <v>-1108.5057917033951</v>
      </c>
      <c r="Q1586">
        <f>-632.965475276376 -42.9632479110351 -364.614917472558</f>
        <v>-1040.543640659969</v>
      </c>
      <c r="R1586" t="s">
        <v>32831</v>
      </c>
      <c r="S1586" t="s">
        <v>32832</v>
      </c>
      <c r="T1586" t="s">
        <v>32833</v>
      </c>
      <c r="U1586" t="s">
        <v>32834</v>
      </c>
      <c r="V1586" t="s">
        <v>32835</v>
      </c>
      <c r="W1586" t="s">
        <v>32836</v>
      </c>
      <c r="X1586" t="s">
        <v>32837</v>
      </c>
      <c r="Y1586" t="s">
        <v>32838</v>
      </c>
    </row>
    <row r="1587" spans="1:25" x14ac:dyDescent="0.3">
      <c r="A1587">
        <v>79300</v>
      </c>
      <c r="B1587" t="s">
        <v>32839</v>
      </c>
      <c r="C1587" t="s">
        <v>32840</v>
      </c>
      <c r="D1587" t="s">
        <v>32841</v>
      </c>
      <c r="E1587" t="s">
        <v>32842</v>
      </c>
      <c r="F1587" t="s">
        <v>32843</v>
      </c>
      <c r="G1587" t="s">
        <v>32844</v>
      </c>
      <c r="H1587" t="s">
        <v>32845</v>
      </c>
      <c r="I1587" t="s">
        <v>32846</v>
      </c>
      <c r="J1587" t="s">
        <v>32847</v>
      </c>
      <c r="K1587" t="s">
        <v>32848</v>
      </c>
      <c r="L1587" t="s">
        <v>32849</v>
      </c>
      <c r="M1587" t="s">
        <v>32850</v>
      </c>
      <c r="N1587" t="s">
        <v>32851</v>
      </c>
      <c r="O1587">
        <f>-832.019313066899 -41.9988433229478 -501.948185615111</f>
        <v>-1375.9663420049578</v>
      </c>
      <c r="P1587">
        <f>-817.827498041601 -80.2199606512613 -210.522418064469</f>
        <v>-1108.5698767573313</v>
      </c>
      <c r="Q1587">
        <f>-633.197259732366 -46.7157108189369 -361.651530455719</f>
        <v>-1041.564501007022</v>
      </c>
      <c r="R1587" t="s">
        <v>32852</v>
      </c>
      <c r="S1587" t="s">
        <v>32853</v>
      </c>
      <c r="T1587" t="s">
        <v>32854</v>
      </c>
      <c r="U1587" t="s">
        <v>32855</v>
      </c>
      <c r="V1587" t="s">
        <v>32856</v>
      </c>
      <c r="W1587" t="s">
        <v>32857</v>
      </c>
      <c r="X1587" t="s">
        <v>32858</v>
      </c>
      <c r="Y1587" t="s">
        <v>32859</v>
      </c>
    </row>
    <row r="1588" spans="1:25" x14ac:dyDescent="0.3">
      <c r="A1588">
        <v>79350</v>
      </c>
      <c r="B1588" t="s">
        <v>32860</v>
      </c>
      <c r="C1588" t="s">
        <v>32861</v>
      </c>
      <c r="D1588" t="s">
        <v>32862</v>
      </c>
      <c r="E1588" t="s">
        <v>32863</v>
      </c>
      <c r="F1588" t="s">
        <v>32864</v>
      </c>
      <c r="G1588" t="s">
        <v>32865</v>
      </c>
      <c r="H1588" t="s">
        <v>32866</v>
      </c>
      <c r="I1588" t="s">
        <v>32867</v>
      </c>
      <c r="J1588" t="s">
        <v>32868</v>
      </c>
      <c r="K1588" t="s">
        <v>32869</v>
      </c>
      <c r="L1588" t="s">
        <v>32870</v>
      </c>
      <c r="M1588" t="s">
        <v>32871</v>
      </c>
      <c r="N1588" t="s">
        <v>32872</v>
      </c>
      <c r="O1588">
        <f>-832.16374457329 -42.7166162126341 -501.712776823297</f>
        <v>-1376.5931376092212</v>
      </c>
      <c r="P1588">
        <f>-818.529881180951 -79.7314042676021 -210.104893435349</f>
        <v>-1108.366178883902</v>
      </c>
      <c r="Q1588">
        <f>-632.707823743805 -48.5096139556276 -360.258854074912</f>
        <v>-1041.4762917743446</v>
      </c>
      <c r="R1588" t="s">
        <v>32873</v>
      </c>
      <c r="S1588" t="s">
        <v>32874</v>
      </c>
      <c r="T1588" t="s">
        <v>32875</v>
      </c>
      <c r="U1588" t="s">
        <v>32876</v>
      </c>
      <c r="V1588" t="s">
        <v>32877</v>
      </c>
      <c r="W1588" t="s">
        <v>32878</v>
      </c>
      <c r="X1588" t="s">
        <v>32879</v>
      </c>
      <c r="Y1588" t="s">
        <v>32880</v>
      </c>
    </row>
    <row r="1589" spans="1:25" x14ac:dyDescent="0.3">
      <c r="A1589">
        <v>79400</v>
      </c>
      <c r="B1589" t="s">
        <v>32881</v>
      </c>
      <c r="C1589" t="s">
        <v>32882</v>
      </c>
      <c r="D1589" t="s">
        <v>32883</v>
      </c>
      <c r="E1589" t="s">
        <v>32884</v>
      </c>
      <c r="F1589" t="s">
        <v>32885</v>
      </c>
      <c r="G1589" t="s">
        <v>32886</v>
      </c>
      <c r="H1589" t="s">
        <v>32887</v>
      </c>
      <c r="I1589" t="s">
        <v>32888</v>
      </c>
      <c r="J1589" t="s">
        <v>32889</v>
      </c>
      <c r="K1589" t="s">
        <v>32890</v>
      </c>
      <c r="L1589" t="s">
        <v>32891</v>
      </c>
      <c r="M1589" t="s">
        <v>32892</v>
      </c>
      <c r="N1589" t="s">
        <v>32893</v>
      </c>
      <c r="O1589">
        <f>-832.253912281927 -44.1097495022623 -501.353791513204</f>
        <v>-1377.7174532973931</v>
      </c>
      <c r="P1589">
        <f>-819.802895497681 -78.3009849800869 -209.348437425207</f>
        <v>-1107.452317902975</v>
      </c>
      <c r="Q1589">
        <f>-631.600423134987 -53.8186487510688 -357.7778363225</f>
        <v>-1043.1969082085557</v>
      </c>
      <c r="R1589" t="s">
        <v>32894</v>
      </c>
      <c r="S1589" t="s">
        <v>32895</v>
      </c>
      <c r="T1589" t="s">
        <v>32896</v>
      </c>
      <c r="U1589" t="s">
        <v>32897</v>
      </c>
      <c r="V1589" t="s">
        <v>32898</v>
      </c>
      <c r="W1589" t="s">
        <v>32899</v>
      </c>
      <c r="X1589" t="s">
        <v>32900</v>
      </c>
      <c r="Y1589" t="s">
        <v>32901</v>
      </c>
    </row>
    <row r="1590" spans="1:25" x14ac:dyDescent="0.3">
      <c r="A1590">
        <v>79450</v>
      </c>
      <c r="B1590" t="s">
        <v>32902</v>
      </c>
      <c r="C1590" t="s">
        <v>32903</v>
      </c>
      <c r="D1590" t="s">
        <v>32904</v>
      </c>
      <c r="E1590" t="s">
        <v>32905</v>
      </c>
      <c r="F1590" t="s">
        <v>32906</v>
      </c>
      <c r="G1590" t="s">
        <v>32907</v>
      </c>
      <c r="H1590" t="s">
        <v>32908</v>
      </c>
      <c r="I1590" t="s">
        <v>32909</v>
      </c>
      <c r="J1590" t="s">
        <v>32910</v>
      </c>
      <c r="K1590" t="s">
        <v>32911</v>
      </c>
      <c r="L1590" t="s">
        <v>32912</v>
      </c>
      <c r="M1590" t="s">
        <v>32913</v>
      </c>
      <c r="N1590" t="s">
        <v>32914</v>
      </c>
      <c r="O1590">
        <f>-832.10860397648 -44.7158494330604 -501.20942907288</f>
        <v>-1378.0338824824205</v>
      </c>
      <c r="P1590">
        <f>-820.104915561668 -77.5608742139141 -209.030827767363</f>
        <v>-1106.6966175429452</v>
      </c>
      <c r="Q1590">
        <f>-630.831500797355 -56.7913136757568 -356.662194661563</f>
        <v>-1044.2850091346747</v>
      </c>
      <c r="R1590" t="s">
        <v>32915</v>
      </c>
      <c r="S1590" t="s">
        <v>32916</v>
      </c>
      <c r="T1590" t="s">
        <v>32917</v>
      </c>
      <c r="U1590" t="s">
        <v>32918</v>
      </c>
      <c r="V1590" t="s">
        <v>32919</v>
      </c>
      <c r="W1590" t="s">
        <v>32920</v>
      </c>
      <c r="X1590" t="s">
        <v>32921</v>
      </c>
      <c r="Y1590" t="s">
        <v>32922</v>
      </c>
    </row>
    <row r="1591" spans="1:25" x14ac:dyDescent="0.3">
      <c r="A1591">
        <v>79500</v>
      </c>
      <c r="B1591" t="s">
        <v>32923</v>
      </c>
      <c r="C1591" t="s">
        <v>32924</v>
      </c>
      <c r="D1591" t="s">
        <v>32925</v>
      </c>
      <c r="E1591" t="s">
        <v>32926</v>
      </c>
      <c r="F1591" t="s">
        <v>32927</v>
      </c>
      <c r="G1591" t="s">
        <v>32928</v>
      </c>
      <c r="H1591" t="s">
        <v>32929</v>
      </c>
      <c r="I1591" t="s">
        <v>32930</v>
      </c>
      <c r="J1591" t="s">
        <v>32931</v>
      </c>
      <c r="K1591" t="s">
        <v>32932</v>
      </c>
      <c r="L1591" t="s">
        <v>32933</v>
      </c>
      <c r="M1591" t="s">
        <v>32934</v>
      </c>
      <c r="N1591" t="s">
        <v>32935</v>
      </c>
      <c r="O1591">
        <f>-831.905348984137 -45.5249256516158 -501.106610276585</f>
        <v>-1378.5368849123379</v>
      </c>
      <c r="P1591">
        <f>-820.606645610317 -76.2290160791388 -208.667170257994</f>
        <v>-1105.5028319474497</v>
      </c>
      <c r="Q1591">
        <f>-629.200434071663 -63.3317882999343 -354.43479041695</f>
        <v>-1046.9670127885474</v>
      </c>
      <c r="R1591" t="s">
        <v>32936</v>
      </c>
      <c r="S1591" t="s">
        <v>32937</v>
      </c>
      <c r="T1591" t="s">
        <v>32938</v>
      </c>
      <c r="U1591" t="s">
        <v>32939</v>
      </c>
      <c r="V1591" t="s">
        <v>32940</v>
      </c>
      <c r="W1591" t="s">
        <v>32941</v>
      </c>
      <c r="X1591" t="s">
        <v>32942</v>
      </c>
      <c r="Y1591" t="s">
        <v>32943</v>
      </c>
    </row>
    <row r="1592" spans="1:25" x14ac:dyDescent="0.3">
      <c r="A1592">
        <v>79550</v>
      </c>
      <c r="B1592" t="s">
        <v>32944</v>
      </c>
      <c r="C1592" t="s">
        <v>32945</v>
      </c>
      <c r="D1592" t="s">
        <v>32946</v>
      </c>
      <c r="E1592" t="s">
        <v>32947</v>
      </c>
      <c r="F1592" t="s">
        <v>32948</v>
      </c>
      <c r="G1592" t="s">
        <v>32949</v>
      </c>
      <c r="H1592" t="s">
        <v>32950</v>
      </c>
      <c r="I1592" t="s">
        <v>32951</v>
      </c>
      <c r="J1592" t="s">
        <v>32952</v>
      </c>
      <c r="K1592" t="s">
        <v>32953</v>
      </c>
      <c r="L1592" t="s">
        <v>32954</v>
      </c>
      <c r="M1592" t="s">
        <v>32955</v>
      </c>
      <c r="N1592" t="s">
        <v>32956</v>
      </c>
      <c r="O1592">
        <f>-831.775980254841 -45.8190726461594 -501.110547746501</f>
        <v>-1378.7056006475013</v>
      </c>
      <c r="P1592">
        <f>-820.620235477178 -75.4491284115743 -208.554878150199</f>
        <v>-1104.6242420389513</v>
      </c>
      <c r="Q1592">
        <f>-628.243814688324 -66.795721887846 -353.355744723433</f>
        <v>-1048.3952812996031</v>
      </c>
      <c r="R1592" t="s">
        <v>32957</v>
      </c>
      <c r="S1592" t="s">
        <v>32958</v>
      </c>
      <c r="T1592" t="s">
        <v>32959</v>
      </c>
      <c r="U1592" t="s">
        <v>32960</v>
      </c>
      <c r="V1592" t="s">
        <v>32961</v>
      </c>
      <c r="W1592" t="s">
        <v>32962</v>
      </c>
      <c r="X1592" t="s">
        <v>32963</v>
      </c>
      <c r="Y1592" t="s">
        <v>32964</v>
      </c>
    </row>
    <row r="1593" spans="1:25" x14ac:dyDescent="0.3">
      <c r="A1593">
        <v>79600</v>
      </c>
      <c r="B1593" t="s">
        <v>32965</v>
      </c>
      <c r="C1593" t="s">
        <v>32966</v>
      </c>
      <c r="D1593" t="s">
        <v>32967</v>
      </c>
      <c r="E1593" t="s">
        <v>32968</v>
      </c>
      <c r="F1593" t="s">
        <v>32969</v>
      </c>
      <c r="G1593" t="s">
        <v>32970</v>
      </c>
      <c r="H1593" t="s">
        <v>32971</v>
      </c>
      <c r="I1593" t="s">
        <v>32972</v>
      </c>
      <c r="J1593" t="s">
        <v>32973</v>
      </c>
      <c r="K1593" t="s">
        <v>32974</v>
      </c>
      <c r="L1593" t="s">
        <v>32975</v>
      </c>
      <c r="M1593" t="s">
        <v>32976</v>
      </c>
      <c r="N1593" t="s">
        <v>32977</v>
      </c>
      <c r="O1593">
        <f>-831.359768279107 -46.4101694902413 -501.083414848546</f>
        <v>-1378.8533526178944</v>
      </c>
      <c r="P1593">
        <f>-820.086438253256 -73.578312860046 -208.293343927877</f>
        <v>-1101.9580950411791</v>
      </c>
      <c r="Q1593">
        <f>-625.837610970226 -74.4982741605249 -350.83272239656</f>
        <v>-1051.168607527311</v>
      </c>
      <c r="R1593" t="s">
        <v>32978</v>
      </c>
      <c r="S1593" t="s">
        <v>32979</v>
      </c>
      <c r="T1593" t="s">
        <v>32980</v>
      </c>
      <c r="U1593" t="s">
        <v>32981</v>
      </c>
      <c r="V1593" t="s">
        <v>32982</v>
      </c>
      <c r="W1593" t="s">
        <v>32983</v>
      </c>
      <c r="X1593" t="s">
        <v>32984</v>
      </c>
      <c r="Y1593" t="s">
        <v>32985</v>
      </c>
    </row>
    <row r="1594" spans="1:25" x14ac:dyDescent="0.3">
      <c r="A1594">
        <v>79650</v>
      </c>
      <c r="B1594" t="s">
        <v>32986</v>
      </c>
      <c r="C1594" t="s">
        <v>32987</v>
      </c>
      <c r="D1594" t="s">
        <v>32988</v>
      </c>
      <c r="E1594" t="s">
        <v>32989</v>
      </c>
      <c r="F1594" t="s">
        <v>32990</v>
      </c>
      <c r="G1594" t="s">
        <v>32991</v>
      </c>
      <c r="H1594" t="s">
        <v>32992</v>
      </c>
      <c r="I1594" t="s">
        <v>32993</v>
      </c>
      <c r="J1594" t="s">
        <v>32994</v>
      </c>
      <c r="K1594" t="s">
        <v>32995</v>
      </c>
      <c r="L1594" t="s">
        <v>32996</v>
      </c>
      <c r="M1594" t="s">
        <v>32997</v>
      </c>
      <c r="N1594" t="s">
        <v>32998</v>
      </c>
      <c r="O1594">
        <f>-831.120453206075 -46.6649429757447 -501.103273795651</f>
        <v>-1378.8886699774707</v>
      </c>
      <c r="P1594">
        <f>-819.574363177769 -72.6863923856422 -208.219748909862</f>
        <v>-1100.4805044732732</v>
      </c>
      <c r="Q1594">
        <f>-624.162420468609 -78.166800975315 -349.056587383244</f>
        <v>-1051.3858088271679</v>
      </c>
      <c r="R1594" t="s">
        <v>32999</v>
      </c>
      <c r="S1594" t="s">
        <v>33000</v>
      </c>
      <c r="T1594" t="s">
        <v>33001</v>
      </c>
      <c r="U1594" t="s">
        <v>33002</v>
      </c>
      <c r="V1594" t="s">
        <v>33003</v>
      </c>
      <c r="W1594" t="s">
        <v>33004</v>
      </c>
      <c r="X1594" t="s">
        <v>33005</v>
      </c>
      <c r="Y1594" t="s">
        <v>33006</v>
      </c>
    </row>
    <row r="1595" spans="1:25" x14ac:dyDescent="0.3">
      <c r="A1595">
        <v>79700</v>
      </c>
      <c r="B1595" t="s">
        <v>33007</v>
      </c>
      <c r="C1595" t="s">
        <v>33008</v>
      </c>
      <c r="D1595" t="s">
        <v>33009</v>
      </c>
      <c r="E1595" t="s">
        <v>33010</v>
      </c>
      <c r="F1595" t="s">
        <v>33011</v>
      </c>
      <c r="G1595" t="s">
        <v>33012</v>
      </c>
      <c r="H1595" t="s">
        <v>33013</v>
      </c>
      <c r="I1595" t="s">
        <v>33014</v>
      </c>
      <c r="J1595" t="s">
        <v>33015</v>
      </c>
      <c r="K1595" t="s">
        <v>33016</v>
      </c>
      <c r="L1595" t="s">
        <v>33017</v>
      </c>
      <c r="M1595" t="s">
        <v>33018</v>
      </c>
      <c r="N1595" t="s">
        <v>33019</v>
      </c>
      <c r="O1595">
        <f>-830.957203319755 -46.878851385801 -501.247441218144</f>
        <v>-1379.0834959237</v>
      </c>
      <c r="P1595">
        <f>-818.369890171502 -71.7145006550941 -208.303889373387</f>
        <v>-1098.388280199983</v>
      </c>
      <c r="Q1595">
        <f>-619.808026519428 -85.3973923440517 -344.086454888002</f>
        <v>-1049.2918737514817</v>
      </c>
      <c r="R1595" t="s">
        <v>33020</v>
      </c>
      <c r="S1595" t="s">
        <v>33021</v>
      </c>
      <c r="T1595" t="s">
        <v>33022</v>
      </c>
      <c r="U1595" t="s">
        <v>33023</v>
      </c>
      <c r="V1595" t="s">
        <v>33024</v>
      </c>
      <c r="W1595" t="s">
        <v>33025</v>
      </c>
      <c r="X1595" t="s">
        <v>33026</v>
      </c>
      <c r="Y1595" t="s">
        <v>33027</v>
      </c>
    </row>
    <row r="1596" spans="1:25" x14ac:dyDescent="0.3">
      <c r="A1596">
        <v>79750</v>
      </c>
      <c r="B1596" t="s">
        <v>33028</v>
      </c>
      <c r="C1596" t="s">
        <v>33029</v>
      </c>
      <c r="D1596" t="s">
        <v>33030</v>
      </c>
      <c r="E1596" t="s">
        <v>33031</v>
      </c>
      <c r="F1596" t="s">
        <v>33032</v>
      </c>
      <c r="G1596" t="s">
        <v>33033</v>
      </c>
      <c r="H1596" t="s">
        <v>33034</v>
      </c>
      <c r="I1596" t="s">
        <v>33035</v>
      </c>
      <c r="J1596" t="s">
        <v>33036</v>
      </c>
      <c r="K1596" t="s">
        <v>33037</v>
      </c>
      <c r="L1596" t="s">
        <v>33038</v>
      </c>
      <c r="M1596" t="s">
        <v>33039</v>
      </c>
      <c r="N1596" t="s">
        <v>33040</v>
      </c>
      <c r="O1596">
        <f>-831.11770467411 -46.6926447479241 -501.40949046491</f>
        <v>-1379.2198398869441</v>
      </c>
      <c r="P1596">
        <f>-817.912129382007 -71.1468634357443 -208.460932531399</f>
        <v>-1097.5199253491503</v>
      </c>
      <c r="Q1596">
        <f>-617.384028857465 -88.5288265750069 -340.888920910516</f>
        <v>-1046.8017763429878</v>
      </c>
      <c r="R1596" t="s">
        <v>33041</v>
      </c>
      <c r="S1596" t="s">
        <v>33042</v>
      </c>
      <c r="T1596" t="s">
        <v>33043</v>
      </c>
      <c r="U1596" t="s">
        <v>33044</v>
      </c>
      <c r="V1596" t="s">
        <v>33045</v>
      </c>
      <c r="W1596" t="s">
        <v>33046</v>
      </c>
      <c r="X1596" t="s">
        <v>33047</v>
      </c>
      <c r="Y1596" t="s">
        <v>33048</v>
      </c>
    </row>
    <row r="1597" spans="1:25" x14ac:dyDescent="0.3">
      <c r="A1597">
        <v>79800</v>
      </c>
      <c r="B1597" t="s">
        <v>33049</v>
      </c>
      <c r="C1597" t="s">
        <v>33050</v>
      </c>
      <c r="D1597" t="s">
        <v>33051</v>
      </c>
      <c r="E1597" t="s">
        <v>33052</v>
      </c>
      <c r="F1597" t="s">
        <v>33053</v>
      </c>
      <c r="G1597" t="s">
        <v>33054</v>
      </c>
      <c r="H1597" t="s">
        <v>33055</v>
      </c>
      <c r="I1597" t="s">
        <v>33056</v>
      </c>
      <c r="J1597" t="s">
        <v>33057</v>
      </c>
      <c r="K1597" t="s">
        <v>33058</v>
      </c>
      <c r="L1597" t="s">
        <v>33059</v>
      </c>
      <c r="M1597" t="s">
        <v>33060</v>
      </c>
      <c r="N1597" t="s">
        <v>33061</v>
      </c>
      <c r="O1597">
        <f>-831.704548877681 -46.4542487287883 -501.835634068568</f>
        <v>-1379.9944316750373</v>
      </c>
      <c r="P1597">
        <f>-816.955765121027 -70.2220710602878 -208.904362942851</f>
        <v>-1096.0821991241658</v>
      </c>
      <c r="Q1597">
        <f>-611.948549166868 -93.5038220616552 -333.32633078535</f>
        <v>-1038.7787020138733</v>
      </c>
      <c r="R1597" t="s">
        <v>33062</v>
      </c>
      <c r="S1597" t="s">
        <v>33063</v>
      </c>
      <c r="T1597" t="s">
        <v>33064</v>
      </c>
      <c r="U1597" t="s">
        <v>33065</v>
      </c>
      <c r="V1597" t="s">
        <v>33066</v>
      </c>
      <c r="W1597" t="s">
        <v>33067</v>
      </c>
      <c r="X1597" t="s">
        <v>33068</v>
      </c>
      <c r="Y1597" t="s">
        <v>33069</v>
      </c>
    </row>
    <row r="1598" spans="1:25" x14ac:dyDescent="0.3">
      <c r="A1598">
        <v>79850</v>
      </c>
      <c r="B1598" t="s">
        <v>33070</v>
      </c>
      <c r="C1598" t="s">
        <v>33071</v>
      </c>
      <c r="D1598" t="s">
        <v>33072</v>
      </c>
      <c r="E1598" t="s">
        <v>33073</v>
      </c>
      <c r="F1598" t="s">
        <v>33074</v>
      </c>
      <c r="G1598" t="s">
        <v>33075</v>
      </c>
      <c r="H1598" t="s">
        <v>33076</v>
      </c>
      <c r="I1598" t="s">
        <v>33077</v>
      </c>
      <c r="J1598" t="s">
        <v>33078</v>
      </c>
      <c r="K1598" t="s">
        <v>33079</v>
      </c>
      <c r="L1598" t="s">
        <v>33080</v>
      </c>
      <c r="M1598" t="s">
        <v>33081</v>
      </c>
      <c r="N1598" t="s">
        <v>33082</v>
      </c>
      <c r="O1598">
        <f>-832.02292206073 -46.5038791738546 -502.015244333069</f>
        <v>-1380.5420455676535</v>
      </c>
      <c r="P1598">
        <f>-816.874639942811 -69.5491933007827 -209.046538332695</f>
        <v>-1095.4703715762887</v>
      </c>
      <c r="Q1598">
        <f>-609.593652480936 -95.1870429579676 -329.163882803358</f>
        <v>-1033.9445782422617</v>
      </c>
      <c r="R1598" t="s">
        <v>33083</v>
      </c>
      <c r="S1598" t="s">
        <v>33084</v>
      </c>
      <c r="T1598" t="s">
        <v>33085</v>
      </c>
      <c r="U1598" t="s">
        <v>33086</v>
      </c>
      <c r="V1598" t="s">
        <v>33087</v>
      </c>
      <c r="W1598" t="s">
        <v>33088</v>
      </c>
      <c r="X1598" t="s">
        <v>33089</v>
      </c>
      <c r="Y1598" t="s">
        <v>33090</v>
      </c>
    </row>
    <row r="1599" spans="1:25" x14ac:dyDescent="0.3">
      <c r="A1599">
        <v>79900</v>
      </c>
      <c r="B1599" t="s">
        <v>33091</v>
      </c>
      <c r="C1599" t="s">
        <v>33092</v>
      </c>
      <c r="D1599" t="s">
        <v>33093</v>
      </c>
      <c r="E1599" t="s">
        <v>33094</v>
      </c>
      <c r="F1599" t="s">
        <v>33095</v>
      </c>
      <c r="G1599" t="s">
        <v>33096</v>
      </c>
      <c r="H1599" t="s">
        <v>33097</v>
      </c>
      <c r="I1599" t="s">
        <v>33098</v>
      </c>
      <c r="J1599" t="s">
        <v>33099</v>
      </c>
      <c r="K1599" t="s">
        <v>33100</v>
      </c>
      <c r="L1599" t="s">
        <v>33101</v>
      </c>
      <c r="M1599" t="s">
        <v>33102</v>
      </c>
      <c r="N1599" t="s">
        <v>33103</v>
      </c>
      <c r="O1599">
        <f>-832.138113493354 -46.8443893585616 -502.075237900998</f>
        <v>-1381.0577407529136</v>
      </c>
      <c r="P1599">
        <f>-817.441589073923 -67.7732931307305 -208.924807965446</f>
        <v>-1094.1396901700996</v>
      </c>
      <c r="Q1599">
        <f>-606.281579881646 -95.8001255505062 -321.516163389565</f>
        <v>-1023.5978688217173</v>
      </c>
      <c r="R1599" t="s">
        <v>33104</v>
      </c>
      <c r="S1599" t="s">
        <v>33105</v>
      </c>
      <c r="T1599" t="s">
        <v>33106</v>
      </c>
      <c r="U1599" t="s">
        <v>33107</v>
      </c>
      <c r="V1599" t="s">
        <v>33108</v>
      </c>
      <c r="W1599" t="s">
        <v>33109</v>
      </c>
      <c r="X1599" t="s">
        <v>33110</v>
      </c>
      <c r="Y1599" t="s">
        <v>33111</v>
      </c>
    </row>
    <row r="1600" spans="1:25" x14ac:dyDescent="0.3">
      <c r="A1600">
        <v>79950</v>
      </c>
      <c r="B1600" t="s">
        <v>33112</v>
      </c>
      <c r="C1600" t="s">
        <v>33113</v>
      </c>
      <c r="D1600" t="s">
        <v>33114</v>
      </c>
      <c r="E1600" t="s">
        <v>33115</v>
      </c>
      <c r="F1600" t="s">
        <v>33116</v>
      </c>
      <c r="G1600" t="s">
        <v>33117</v>
      </c>
      <c r="H1600" t="s">
        <v>33118</v>
      </c>
      <c r="I1600" t="s">
        <v>33119</v>
      </c>
      <c r="J1600" t="s">
        <v>33120</v>
      </c>
      <c r="K1600" t="s">
        <v>33121</v>
      </c>
      <c r="L1600" t="s">
        <v>33122</v>
      </c>
      <c r="M1600" t="s">
        <v>33123</v>
      </c>
      <c r="N1600" t="s">
        <v>33124</v>
      </c>
      <c r="O1600">
        <f>-831.878028443771 -47.0251414377517 -502.038127403822</f>
        <v>-1380.9412972853447</v>
      </c>
      <c r="P1600">
        <f>-817.927668514817 -67.0717371431329 -208.789450768592</f>
        <v>-1093.7888564265418</v>
      </c>
      <c r="Q1600">
        <f>-605.207710327478 -94.9651907823657 -318.439389836384</f>
        <v>-1018.6122909462276</v>
      </c>
      <c r="R1600" t="s">
        <v>33125</v>
      </c>
      <c r="S1600" t="s">
        <v>33126</v>
      </c>
      <c r="T1600" t="s">
        <v>33127</v>
      </c>
      <c r="U1600" t="s">
        <v>33128</v>
      </c>
      <c r="V1600" t="s">
        <v>33129</v>
      </c>
      <c r="W1600" t="s">
        <v>33130</v>
      </c>
      <c r="X1600" t="s">
        <v>33131</v>
      </c>
      <c r="Y1600" t="s">
        <v>33132</v>
      </c>
    </row>
    <row r="1601" spans="1:25" x14ac:dyDescent="0.3">
      <c r="A1601">
        <v>80000</v>
      </c>
      <c r="B1601" t="s">
        <v>33133</v>
      </c>
      <c r="C1601" t="s">
        <v>33134</v>
      </c>
      <c r="D1601" t="s">
        <v>33135</v>
      </c>
      <c r="E1601" t="s">
        <v>33136</v>
      </c>
      <c r="F1601" t="s">
        <v>33137</v>
      </c>
      <c r="G1601" t="s">
        <v>33138</v>
      </c>
      <c r="H1601" t="s">
        <v>33139</v>
      </c>
      <c r="I1601" t="s">
        <v>33140</v>
      </c>
      <c r="J1601" t="s">
        <v>33141</v>
      </c>
      <c r="K1601" t="s">
        <v>33142</v>
      </c>
      <c r="L1601" t="s">
        <v>33143</v>
      </c>
      <c r="M1601" t="s">
        <v>33144</v>
      </c>
      <c r="N1601" t="s">
        <v>33145</v>
      </c>
      <c r="O1601">
        <f>-830.799985373095 -46.8828404002256 -502.145492969102</f>
        <v>-1379.8283187424227</v>
      </c>
      <c r="P1601">
        <f>-818.45206782688 -65.9518765122871 -208.759855977937</f>
        <v>-1093.163800317104</v>
      </c>
      <c r="Q1601">
        <f>-603.370972333644 -92.605343970554 -314.023859555857</f>
        <v>-1010.0001758600549</v>
      </c>
      <c r="R1601" t="s">
        <v>33146</v>
      </c>
      <c r="S1601" t="s">
        <v>33147</v>
      </c>
      <c r="T1601" t="s">
        <v>33148</v>
      </c>
      <c r="U1601" t="s">
        <v>33149</v>
      </c>
      <c r="V1601" t="s">
        <v>33150</v>
      </c>
      <c r="W1601" t="s">
        <v>33151</v>
      </c>
      <c r="X1601" t="s">
        <v>33152</v>
      </c>
      <c r="Y1601" t="s">
        <v>33153</v>
      </c>
    </row>
    <row r="1602" spans="1:25" x14ac:dyDescent="0.3">
      <c r="A1602">
        <v>80050</v>
      </c>
      <c r="B1602" t="s">
        <v>33154</v>
      </c>
      <c r="C1602" t="s">
        <v>33155</v>
      </c>
      <c r="D1602" t="s">
        <v>33156</v>
      </c>
      <c r="E1602" t="s">
        <v>33157</v>
      </c>
      <c r="F1602" t="s">
        <v>33158</v>
      </c>
      <c r="G1602" t="s">
        <v>33159</v>
      </c>
      <c r="H1602" t="s">
        <v>33160</v>
      </c>
      <c r="I1602" t="s">
        <v>33161</v>
      </c>
      <c r="J1602" t="s">
        <v>33162</v>
      </c>
      <c r="K1602" t="s">
        <v>33163</v>
      </c>
      <c r="L1602" t="s">
        <v>33164</v>
      </c>
      <c r="M1602" t="s">
        <v>33165</v>
      </c>
      <c r="N1602" t="s">
        <v>33166</v>
      </c>
      <c r="O1602">
        <f>-829.614032092452 -46.7529608318985 -502.263168093864</f>
        <v>-1378.6301610182145</v>
      </c>
      <c r="P1602">
        <f>-817.861711086951 -65.5072800807516 -208.832879677641</f>
        <v>-1092.2018708453436</v>
      </c>
      <c r="Q1602">
        <f>-602.037570177758 -91.4549036589613 -312.743547661316</f>
        <v>-1006.2360214980351</v>
      </c>
      <c r="R1602" t="s">
        <v>33167</v>
      </c>
      <c r="S1602" t="s">
        <v>33168</v>
      </c>
      <c r="T1602" t="s">
        <v>33169</v>
      </c>
      <c r="U1602" t="s">
        <v>33170</v>
      </c>
      <c r="V1602" t="s">
        <v>33171</v>
      </c>
      <c r="W1602" t="s">
        <v>33172</v>
      </c>
      <c r="X1602" t="s">
        <v>33173</v>
      </c>
      <c r="Y1602" t="s">
        <v>33174</v>
      </c>
    </row>
    <row r="1603" spans="1:25" x14ac:dyDescent="0.3">
      <c r="A1603">
        <v>80100</v>
      </c>
      <c r="B1603" t="s">
        <v>33175</v>
      </c>
      <c r="C1603" t="s">
        <v>33176</v>
      </c>
      <c r="D1603" t="s">
        <v>33177</v>
      </c>
      <c r="E1603" t="s">
        <v>33178</v>
      </c>
      <c r="F1603" t="s">
        <v>33179</v>
      </c>
      <c r="G1603" t="s">
        <v>33180</v>
      </c>
      <c r="H1603" t="s">
        <v>33181</v>
      </c>
      <c r="I1603" t="s">
        <v>33182</v>
      </c>
      <c r="J1603" t="s">
        <v>33183</v>
      </c>
      <c r="K1603" t="s">
        <v>33184</v>
      </c>
      <c r="L1603" t="s">
        <v>33185</v>
      </c>
      <c r="M1603" t="s">
        <v>33186</v>
      </c>
      <c r="N1603" t="s">
        <v>33187</v>
      </c>
      <c r="O1603">
        <f>-826.881253622885 -46.3192627378405 -502.344320712582</f>
        <v>-1375.5448370733075</v>
      </c>
      <c r="P1603">
        <f>-816.328666713333 -65.3324383807249 -208.885095983313</f>
        <v>-1090.5462010773708</v>
      </c>
      <c r="Q1603">
        <f>-599.841899635267 -90.3836610085878 -311.631207416331</f>
        <v>-1001.8567680601858</v>
      </c>
      <c r="R1603" t="s">
        <v>33188</v>
      </c>
      <c r="S1603" t="s">
        <v>33189</v>
      </c>
      <c r="T1603" t="s">
        <v>33190</v>
      </c>
      <c r="U1603" t="s">
        <v>33191</v>
      </c>
      <c r="V1603" t="s">
        <v>33192</v>
      </c>
      <c r="W1603" t="s">
        <v>33193</v>
      </c>
      <c r="X1603" t="s">
        <v>33194</v>
      </c>
      <c r="Y1603" t="s">
        <v>33195</v>
      </c>
    </row>
    <row r="1604" spans="1:25" x14ac:dyDescent="0.3">
      <c r="A1604">
        <v>80150</v>
      </c>
      <c r="B1604" t="s">
        <v>33196</v>
      </c>
      <c r="C1604" t="s">
        <v>33197</v>
      </c>
      <c r="D1604" t="s">
        <v>33198</v>
      </c>
      <c r="E1604" t="s">
        <v>33199</v>
      </c>
      <c r="F1604" t="s">
        <v>33200</v>
      </c>
      <c r="G1604" t="s">
        <v>33201</v>
      </c>
      <c r="H1604" t="s">
        <v>33202</v>
      </c>
      <c r="I1604" t="s">
        <v>33203</v>
      </c>
      <c r="J1604" t="s">
        <v>33204</v>
      </c>
      <c r="K1604" t="s">
        <v>33205</v>
      </c>
      <c r="L1604" t="s">
        <v>33206</v>
      </c>
      <c r="M1604" t="s">
        <v>33207</v>
      </c>
      <c r="N1604" t="s">
        <v>33208</v>
      </c>
      <c r="O1604">
        <f>-825.718502774575 -46.101708871036 -502.198681019533</f>
        <v>-1374.018892665144</v>
      </c>
      <c r="P1604">
        <f>-815.645355487425 -65.416955981311 -208.742331288074</f>
        <v>-1089.8046427568102</v>
      </c>
      <c r="Q1604">
        <f>-599.117665804697 -90.3323247927747 -311.435397461203</f>
        <v>-1000.8853880586747</v>
      </c>
      <c r="R1604" t="s">
        <v>33209</v>
      </c>
      <c r="S1604" t="s">
        <v>33210</v>
      </c>
      <c r="T1604" t="s">
        <v>33211</v>
      </c>
      <c r="U1604" t="s">
        <v>33212</v>
      </c>
      <c r="V1604" t="s">
        <v>33213</v>
      </c>
      <c r="W1604" t="s">
        <v>33214</v>
      </c>
      <c r="X1604" t="s">
        <v>33215</v>
      </c>
      <c r="Y1604" t="s">
        <v>33216</v>
      </c>
    </row>
    <row r="1605" spans="1:25" x14ac:dyDescent="0.3">
      <c r="A1605">
        <v>80200</v>
      </c>
      <c r="B1605" t="s">
        <v>33217</v>
      </c>
      <c r="C1605" t="s">
        <v>33218</v>
      </c>
      <c r="D1605" t="s">
        <v>33219</v>
      </c>
      <c r="E1605" t="s">
        <v>33220</v>
      </c>
      <c r="F1605" t="s">
        <v>33221</v>
      </c>
      <c r="G1605" t="s">
        <v>33222</v>
      </c>
      <c r="H1605" t="s">
        <v>33223</v>
      </c>
      <c r="I1605" t="s">
        <v>33224</v>
      </c>
      <c r="J1605" t="s">
        <v>33225</v>
      </c>
      <c r="K1605" t="s">
        <v>33226</v>
      </c>
      <c r="L1605" t="s">
        <v>33227</v>
      </c>
      <c r="M1605" t="s">
        <v>33228</v>
      </c>
      <c r="N1605" t="s">
        <v>33229</v>
      </c>
      <c r="O1605">
        <f>-824.321231562184 -45.2536055889473 -501.968132280883</f>
        <v>-1371.5429694320144</v>
      </c>
      <c r="P1605">
        <f>-814.596919773227 -65.5001997480801 -208.562750493419</f>
        <v>-1088.659870014726</v>
      </c>
      <c r="Q1605">
        <f>-598.196857347521 -90.3202771202541 -311.547406834199</f>
        <v>-1000.0645413019741</v>
      </c>
      <c r="R1605" t="s">
        <v>33230</v>
      </c>
      <c r="S1605" t="s">
        <v>33231</v>
      </c>
      <c r="T1605" t="s">
        <v>33232</v>
      </c>
      <c r="U1605" t="s">
        <v>33233</v>
      </c>
      <c r="V1605" t="s">
        <v>33234</v>
      </c>
      <c r="W1605" t="s">
        <v>33235</v>
      </c>
      <c r="X1605" t="s">
        <v>33236</v>
      </c>
      <c r="Y1605" t="s">
        <v>33237</v>
      </c>
    </row>
    <row r="1606" spans="1:25" x14ac:dyDescent="0.3">
      <c r="A1606">
        <v>80250</v>
      </c>
      <c r="B1606" t="s">
        <v>33238</v>
      </c>
      <c r="C1606" t="s">
        <v>33239</v>
      </c>
      <c r="D1606" t="s">
        <v>33240</v>
      </c>
      <c r="E1606" t="s">
        <v>33241</v>
      </c>
      <c r="F1606" t="s">
        <v>33242</v>
      </c>
      <c r="G1606" t="s">
        <v>33243</v>
      </c>
      <c r="H1606" t="s">
        <v>33244</v>
      </c>
      <c r="I1606" t="s">
        <v>33245</v>
      </c>
      <c r="J1606" t="s">
        <v>33246</v>
      </c>
      <c r="K1606" t="s">
        <v>33247</v>
      </c>
      <c r="L1606" t="s">
        <v>33248</v>
      </c>
      <c r="M1606" t="s">
        <v>33249</v>
      </c>
      <c r="N1606" t="s">
        <v>33250</v>
      </c>
      <c r="O1606">
        <f>-823.743752390846 -44.6247486649604 -501.983014001326</f>
        <v>-1370.3515150571325</v>
      </c>
      <c r="P1606">
        <f>-814.280098674122 -65.266039073809 -208.596642747827</f>
        <v>-1088.142780495758</v>
      </c>
      <c r="Q1606">
        <f>-597.999656123724 -89.8498441020624 -311.889073186857</f>
        <v>-999.7385734126434</v>
      </c>
      <c r="R1606" t="s">
        <v>33251</v>
      </c>
      <c r="S1606" t="s">
        <v>33252</v>
      </c>
      <c r="T1606" t="s">
        <v>33253</v>
      </c>
      <c r="U1606" t="s">
        <v>33254</v>
      </c>
      <c r="V1606" t="s">
        <v>33255</v>
      </c>
      <c r="W1606" t="s">
        <v>33256</v>
      </c>
      <c r="X1606" t="s">
        <v>33257</v>
      </c>
      <c r="Y1606" t="s">
        <v>33258</v>
      </c>
    </row>
    <row r="1607" spans="1:25" x14ac:dyDescent="0.3">
      <c r="A1607">
        <v>80300</v>
      </c>
      <c r="B1607" t="s">
        <v>33259</v>
      </c>
      <c r="C1607" t="s">
        <v>33260</v>
      </c>
      <c r="D1607" t="s">
        <v>33261</v>
      </c>
      <c r="E1607" t="s">
        <v>33262</v>
      </c>
      <c r="F1607" t="s">
        <v>33263</v>
      </c>
      <c r="G1607" t="s">
        <v>33264</v>
      </c>
      <c r="H1607" t="s">
        <v>33265</v>
      </c>
      <c r="I1607" t="s">
        <v>33266</v>
      </c>
      <c r="J1607" t="s">
        <v>33267</v>
      </c>
      <c r="K1607" t="s">
        <v>33268</v>
      </c>
      <c r="L1607" t="s">
        <v>33269</v>
      </c>
      <c r="M1607" t="s">
        <v>33270</v>
      </c>
      <c r="N1607" t="s">
        <v>33271</v>
      </c>
      <c r="O1607">
        <f>-822.620827617503 -43.3684471404422 -502.185853964653</f>
        <v>-1368.1751287225982</v>
      </c>
      <c r="P1607">
        <f>-813.806709750399 -64.3193883713129 -208.801116343069</f>
        <v>-1086.9272144647809</v>
      </c>
      <c r="Q1607">
        <f>-597.67335637894 -88.2223197496407 -312.559787021981</f>
        <v>-998.45546315056163</v>
      </c>
      <c r="R1607" t="s">
        <v>33272</v>
      </c>
      <c r="S1607" t="s">
        <v>33273</v>
      </c>
      <c r="T1607" t="s">
        <v>33274</v>
      </c>
      <c r="U1607" t="s">
        <v>33275</v>
      </c>
      <c r="V1607" t="s">
        <v>33276</v>
      </c>
      <c r="W1607" t="s">
        <v>33277</v>
      </c>
      <c r="X1607" t="s">
        <v>33278</v>
      </c>
      <c r="Y1607" t="s">
        <v>33279</v>
      </c>
    </row>
    <row r="1608" spans="1:25" x14ac:dyDescent="0.3">
      <c r="A1608">
        <v>80350</v>
      </c>
      <c r="B1608" t="s">
        <v>33280</v>
      </c>
      <c r="C1608" t="s">
        <v>33281</v>
      </c>
      <c r="D1608" t="s">
        <v>33282</v>
      </c>
      <c r="E1608" t="s">
        <v>33283</v>
      </c>
      <c r="F1608" t="s">
        <v>33284</v>
      </c>
      <c r="G1608" t="s">
        <v>33285</v>
      </c>
      <c r="H1608" t="s">
        <v>33286</v>
      </c>
      <c r="I1608" t="s">
        <v>33287</v>
      </c>
      <c r="J1608" t="s">
        <v>33288</v>
      </c>
      <c r="K1608" t="s">
        <v>33289</v>
      </c>
      <c r="L1608" t="s">
        <v>33290</v>
      </c>
      <c r="M1608" t="s">
        <v>33291</v>
      </c>
      <c r="N1608" t="s">
        <v>33292</v>
      </c>
      <c r="O1608">
        <f>-821.78964123328 -42.8397987815872 -502.312352509411</f>
        <v>-1366.9417925242783</v>
      </c>
      <c r="P1608">
        <f>-813.280626136442 -63.95689526814 -208.930613893316</f>
        <v>-1086.1681352978981</v>
      </c>
      <c r="Q1608">
        <f>-597.145941232241 -87.3542160280817 -312.8021070816</f>
        <v>-997.30226434192264</v>
      </c>
      <c r="R1608" t="s">
        <v>33293</v>
      </c>
      <c r="S1608" t="s">
        <v>33294</v>
      </c>
      <c r="T1608" t="s">
        <v>33295</v>
      </c>
      <c r="U1608" t="s">
        <v>33296</v>
      </c>
      <c r="V1608" t="s">
        <v>33297</v>
      </c>
      <c r="W1608" t="s">
        <v>33298</v>
      </c>
      <c r="X1608" t="s">
        <v>33299</v>
      </c>
      <c r="Y1608" t="s">
        <v>33300</v>
      </c>
    </row>
    <row r="1609" spans="1:25" x14ac:dyDescent="0.3">
      <c r="A1609">
        <v>80400</v>
      </c>
      <c r="B1609" t="s">
        <v>33301</v>
      </c>
      <c r="C1609" t="s">
        <v>33302</v>
      </c>
      <c r="D1609" t="s">
        <v>33303</v>
      </c>
      <c r="E1609" t="s">
        <v>33304</v>
      </c>
      <c r="F1609" t="s">
        <v>33305</v>
      </c>
      <c r="G1609" t="s">
        <v>33306</v>
      </c>
      <c r="H1609" t="s">
        <v>33307</v>
      </c>
      <c r="I1609" t="s">
        <v>33308</v>
      </c>
      <c r="J1609" t="s">
        <v>33309</v>
      </c>
      <c r="K1609" t="s">
        <v>33310</v>
      </c>
      <c r="L1609" t="s">
        <v>33311</v>
      </c>
      <c r="M1609" t="s">
        <v>33312</v>
      </c>
      <c r="N1609" t="s">
        <v>33313</v>
      </c>
      <c r="O1609">
        <f>-820.089735048486 -41.6206237215551 -502.594438242609</f>
        <v>-1364.3047970126502</v>
      </c>
      <c r="P1609">
        <f>-812.089900050654 -63.4064882563794 -209.247369502932</f>
        <v>-1084.7437578099655</v>
      </c>
      <c r="Q1609">
        <f>-595.634257809063 -85.9181756546357 -312.64501273202</f>
        <v>-994.19744619571861</v>
      </c>
      <c r="R1609" t="s">
        <v>33314</v>
      </c>
      <c r="S1609" t="s">
        <v>33315</v>
      </c>
      <c r="T1609" t="s">
        <v>33316</v>
      </c>
      <c r="U1609" t="s">
        <v>33317</v>
      </c>
      <c r="V1609" t="s">
        <v>33318</v>
      </c>
      <c r="W1609" t="s">
        <v>33319</v>
      </c>
      <c r="X1609" t="s">
        <v>33320</v>
      </c>
      <c r="Y1609" t="s">
        <v>33321</v>
      </c>
    </row>
    <row r="1610" spans="1:25" x14ac:dyDescent="0.3">
      <c r="A1610">
        <v>80450</v>
      </c>
      <c r="B1610" t="s">
        <v>33322</v>
      </c>
      <c r="C1610" t="s">
        <v>33323</v>
      </c>
      <c r="D1610" t="s">
        <v>33324</v>
      </c>
      <c r="E1610" t="s">
        <v>33325</v>
      </c>
      <c r="F1610" t="s">
        <v>33326</v>
      </c>
      <c r="G1610" t="s">
        <v>33327</v>
      </c>
      <c r="H1610" t="s">
        <v>33328</v>
      </c>
      <c r="I1610" t="s">
        <v>33329</v>
      </c>
      <c r="J1610" t="s">
        <v>33330</v>
      </c>
      <c r="K1610" t="s">
        <v>33331</v>
      </c>
      <c r="L1610" t="s">
        <v>33332</v>
      </c>
      <c r="M1610" t="s">
        <v>33333</v>
      </c>
      <c r="N1610" t="s">
        <v>33334</v>
      </c>
      <c r="O1610">
        <f>-819.338480207499 -41.1844980641092 -502.6607813955</f>
        <v>-1363.1837596671082</v>
      </c>
      <c r="P1610">
        <f>-811.488671664139 -63.2388346862781 -209.329651487543</f>
        <v>-1084.0571578379602</v>
      </c>
      <c r="Q1610">
        <f>-594.906064636461 -85.3585857693784 -312.545931536994</f>
        <v>-992.81058194283332</v>
      </c>
      <c r="R1610" t="s">
        <v>33335</v>
      </c>
      <c r="S1610" t="s">
        <v>33336</v>
      </c>
      <c r="T1610" t="s">
        <v>33337</v>
      </c>
      <c r="U1610" t="s">
        <v>33338</v>
      </c>
      <c r="V1610" t="s">
        <v>33339</v>
      </c>
      <c r="W1610" t="s">
        <v>33340</v>
      </c>
      <c r="X1610" t="s">
        <v>33341</v>
      </c>
      <c r="Y1610" t="s">
        <v>33342</v>
      </c>
    </row>
    <row r="1611" spans="1:25" x14ac:dyDescent="0.3">
      <c r="A1611">
        <v>80500</v>
      </c>
      <c r="B1611" t="s">
        <v>33343</v>
      </c>
      <c r="C1611" t="s">
        <v>33344</v>
      </c>
      <c r="D1611" t="s">
        <v>33345</v>
      </c>
      <c r="E1611" t="s">
        <v>33346</v>
      </c>
      <c r="F1611" t="s">
        <v>33347</v>
      </c>
      <c r="G1611" t="s">
        <v>33348</v>
      </c>
      <c r="H1611" t="s">
        <v>33349</v>
      </c>
      <c r="I1611" t="s">
        <v>33350</v>
      </c>
      <c r="J1611" t="s">
        <v>33351</v>
      </c>
      <c r="K1611" t="s">
        <v>33352</v>
      </c>
      <c r="L1611" t="s">
        <v>33353</v>
      </c>
      <c r="M1611" t="s">
        <v>33354</v>
      </c>
      <c r="N1611" t="s">
        <v>33355</v>
      </c>
      <c r="O1611">
        <f>-818.174699532727 -39.6995730950541 -502.753580617192</f>
        <v>-1360.627853244973</v>
      </c>
      <c r="P1611">
        <f>-810.429105200313 -62.3014387162668 -209.461279606448</f>
        <v>-1082.1918235230278</v>
      </c>
      <c r="Q1611">
        <f>-593.634769490332 -83.9514586969481 -312.33232529851</f>
        <v>-989.91855348579008</v>
      </c>
      <c r="R1611" t="s">
        <v>33356</v>
      </c>
      <c r="S1611" t="s">
        <v>33357</v>
      </c>
      <c r="T1611" t="s">
        <v>33358</v>
      </c>
      <c r="U1611" t="s">
        <v>33359</v>
      </c>
      <c r="V1611" t="s">
        <v>33360</v>
      </c>
      <c r="W1611" t="s">
        <v>33361</v>
      </c>
      <c r="X1611" t="s">
        <v>33362</v>
      </c>
      <c r="Y1611" t="s">
        <v>33363</v>
      </c>
    </row>
    <row r="1612" spans="1:25" x14ac:dyDescent="0.3">
      <c r="A1612">
        <v>80550</v>
      </c>
      <c r="B1612" t="s">
        <v>33364</v>
      </c>
      <c r="C1612" t="s">
        <v>33365</v>
      </c>
      <c r="D1612" t="s">
        <v>33366</v>
      </c>
      <c r="E1612" t="s">
        <v>33367</v>
      </c>
      <c r="F1612" t="s">
        <v>33368</v>
      </c>
      <c r="G1612" t="s">
        <v>33369</v>
      </c>
      <c r="H1612" t="s">
        <v>33370</v>
      </c>
      <c r="I1612" t="s">
        <v>33371</v>
      </c>
      <c r="J1612" t="s">
        <v>33372</v>
      </c>
      <c r="K1612" t="s">
        <v>33373</v>
      </c>
      <c r="L1612" t="s">
        <v>33374</v>
      </c>
      <c r="M1612" t="s">
        <v>33375</v>
      </c>
      <c r="N1612" t="s">
        <v>33376</v>
      </c>
      <c r="O1612">
        <f>-817.802126727626 -38.7396633739813 -502.800051601042</f>
        <v>-1359.3418417026494</v>
      </c>
      <c r="P1612">
        <f>-810.061765341599 -61.5632295738908 -209.524881233943</f>
        <v>-1081.1498761494327</v>
      </c>
      <c r="Q1612">
        <f>-593.253217108737 -83.0179977489031 -312.406566044709</f>
        <v>-988.67778090234901</v>
      </c>
      <c r="R1612" t="s">
        <v>33377</v>
      </c>
      <c r="S1612" t="s">
        <v>33378</v>
      </c>
      <c r="T1612" t="s">
        <v>33379</v>
      </c>
      <c r="U1612" t="s">
        <v>33380</v>
      </c>
      <c r="V1612" t="s">
        <v>33381</v>
      </c>
      <c r="W1612" t="s">
        <v>33382</v>
      </c>
      <c r="X1612" t="s">
        <v>33383</v>
      </c>
      <c r="Y1612" t="s">
        <v>33384</v>
      </c>
    </row>
    <row r="1613" spans="1:25" x14ac:dyDescent="0.3">
      <c r="A1613">
        <v>80600</v>
      </c>
      <c r="B1613" t="s">
        <v>33385</v>
      </c>
      <c r="C1613" t="s">
        <v>33386</v>
      </c>
      <c r="D1613" t="s">
        <v>33387</v>
      </c>
      <c r="E1613" t="s">
        <v>33388</v>
      </c>
      <c r="F1613" t="s">
        <v>33389</v>
      </c>
      <c r="G1613" t="s">
        <v>33390</v>
      </c>
      <c r="H1613" t="s">
        <v>33391</v>
      </c>
      <c r="I1613" t="s">
        <v>33392</v>
      </c>
      <c r="J1613" t="s">
        <v>33393</v>
      </c>
      <c r="K1613" t="s">
        <v>33394</v>
      </c>
      <c r="L1613" t="s">
        <v>33395</v>
      </c>
      <c r="M1613" t="s">
        <v>33396</v>
      </c>
      <c r="N1613" t="s">
        <v>33397</v>
      </c>
      <c r="O1613">
        <f>-817.484946689778 -36.742606926962 -502.928919561862</f>
        <v>-1357.156473178602</v>
      </c>
      <c r="P1613">
        <f>-809.702537355705 -60.0836863221898 -209.695367077053</f>
        <v>-1079.4815907549478</v>
      </c>
      <c r="Q1613">
        <f>-592.963784576569 -81.4325660461518 -312.745685850439</f>
        <v>-987.14203647315981</v>
      </c>
      <c r="R1613" t="s">
        <v>33398</v>
      </c>
      <c r="S1613" t="s">
        <v>33399</v>
      </c>
      <c r="T1613" t="s">
        <v>33400</v>
      </c>
      <c r="U1613" t="s">
        <v>33401</v>
      </c>
      <c r="V1613" t="s">
        <v>33402</v>
      </c>
      <c r="W1613" t="s">
        <v>33403</v>
      </c>
      <c r="X1613" t="s">
        <v>33404</v>
      </c>
      <c r="Y1613" t="s">
        <v>33405</v>
      </c>
    </row>
    <row r="1614" spans="1:25" x14ac:dyDescent="0.3">
      <c r="A1614">
        <v>80650</v>
      </c>
      <c r="B1614" t="s">
        <v>33406</v>
      </c>
      <c r="C1614" t="s">
        <v>33407</v>
      </c>
      <c r="D1614" t="s">
        <v>33408</v>
      </c>
      <c r="E1614" t="s">
        <v>33409</v>
      </c>
      <c r="F1614" t="s">
        <v>33410</v>
      </c>
      <c r="G1614" t="s">
        <v>33411</v>
      </c>
      <c r="H1614" t="s">
        <v>33412</v>
      </c>
      <c r="I1614" t="s">
        <v>33413</v>
      </c>
      <c r="J1614" t="s">
        <v>33414</v>
      </c>
      <c r="K1614" t="s">
        <v>33415</v>
      </c>
      <c r="L1614" t="s">
        <v>33416</v>
      </c>
      <c r="M1614" t="s">
        <v>33417</v>
      </c>
      <c r="N1614" t="s">
        <v>33418</v>
      </c>
      <c r="O1614">
        <f>-817.220107734212 -35.6782740671088 -503.075707800217</f>
        <v>-1355.9740896015378</v>
      </c>
      <c r="P1614">
        <f>-809.320540481719 -59.5023316783502 -209.884186272102</f>
        <v>-1078.7070584321712</v>
      </c>
      <c r="Q1614">
        <f>-592.596811064107 -80.7930338405522 -312.978530283645</f>
        <v>-986.36837518830419</v>
      </c>
      <c r="R1614" t="s">
        <v>33419</v>
      </c>
      <c r="S1614" t="s">
        <v>33420</v>
      </c>
      <c r="T1614" t="s">
        <v>33421</v>
      </c>
      <c r="U1614" t="s">
        <v>33422</v>
      </c>
      <c r="V1614" t="s">
        <v>33423</v>
      </c>
      <c r="W1614" t="s">
        <v>33424</v>
      </c>
      <c r="X1614" t="s">
        <v>33425</v>
      </c>
      <c r="Y1614" t="s">
        <v>33426</v>
      </c>
    </row>
    <row r="1615" spans="1:25" x14ac:dyDescent="0.3">
      <c r="A1615">
        <v>80700</v>
      </c>
      <c r="B1615" t="s">
        <v>33427</v>
      </c>
      <c r="C1615" t="s">
        <v>33428</v>
      </c>
      <c r="D1615" t="s">
        <v>33429</v>
      </c>
      <c r="E1615" t="s">
        <v>33430</v>
      </c>
      <c r="F1615" t="s">
        <v>33431</v>
      </c>
      <c r="G1615" t="s">
        <v>33432</v>
      </c>
      <c r="H1615" t="s">
        <v>33433</v>
      </c>
      <c r="I1615" t="s">
        <v>33434</v>
      </c>
      <c r="J1615" t="s">
        <v>33435</v>
      </c>
      <c r="K1615" t="s">
        <v>33436</v>
      </c>
      <c r="L1615" t="s">
        <v>33437</v>
      </c>
      <c r="M1615" t="s">
        <v>33438</v>
      </c>
      <c r="N1615" t="s">
        <v>33439</v>
      </c>
      <c r="O1615">
        <f>-816.345644854779 -33.263146581312 -503.360345595482</f>
        <v>-1352.9691370315729</v>
      </c>
      <c r="P1615">
        <f>-808.378418194043 -57.9769397493787 -210.244280427874</f>
        <v>-1076.5996383712957</v>
      </c>
      <c r="Q1615">
        <f>-591.753297761816 -79.4175442369597 -313.514668908265</f>
        <v>-984.68551090704068</v>
      </c>
      <c r="R1615" t="s">
        <v>33440</v>
      </c>
      <c r="S1615" t="s">
        <v>33441</v>
      </c>
      <c r="T1615" t="s">
        <v>33442</v>
      </c>
      <c r="U1615" t="s">
        <v>33443</v>
      </c>
      <c r="V1615" t="s">
        <v>33444</v>
      </c>
      <c r="W1615" t="s">
        <v>33445</v>
      </c>
      <c r="X1615" t="s">
        <v>33446</v>
      </c>
      <c r="Y1615" t="s">
        <v>33447</v>
      </c>
    </row>
    <row r="1616" spans="1:25" x14ac:dyDescent="0.3">
      <c r="A1616">
        <v>80750</v>
      </c>
      <c r="B1616" t="s">
        <v>33448</v>
      </c>
      <c r="C1616" t="s">
        <v>33449</v>
      </c>
      <c r="D1616" t="s">
        <v>33450</v>
      </c>
      <c r="E1616" t="s">
        <v>33451</v>
      </c>
      <c r="F1616" t="s">
        <v>33452</v>
      </c>
      <c r="G1616" t="s">
        <v>33453</v>
      </c>
      <c r="H1616" t="s">
        <v>33454</v>
      </c>
      <c r="I1616" t="s">
        <v>33455</v>
      </c>
      <c r="J1616" t="s">
        <v>33456</v>
      </c>
      <c r="K1616" t="s">
        <v>33457</v>
      </c>
      <c r="L1616" t="s">
        <v>33458</v>
      </c>
      <c r="M1616" t="s">
        <v>33459</v>
      </c>
      <c r="N1616" t="s">
        <v>33460</v>
      </c>
      <c r="O1616">
        <f>-815.871644725139 -32.2336853430356 -503.422444005634</f>
        <v>-1351.5277740738088</v>
      </c>
      <c r="P1616">
        <f>-807.934252238622 -57.3275322458912 -210.337844365038</f>
        <v>-1075.5996288495512</v>
      </c>
      <c r="Q1616">
        <f>-591.415201556641 -78.8201144427092 -313.819518266472</f>
        <v>-984.05483426582214</v>
      </c>
      <c r="R1616" t="s">
        <v>33461</v>
      </c>
      <c r="S1616" t="s">
        <v>33462</v>
      </c>
      <c r="T1616" t="s">
        <v>33463</v>
      </c>
      <c r="U1616" t="s">
        <v>33464</v>
      </c>
      <c r="V1616" t="s">
        <v>33465</v>
      </c>
      <c r="W1616" t="s">
        <v>33466</v>
      </c>
      <c r="X1616" t="s">
        <v>33467</v>
      </c>
      <c r="Y1616" t="s">
        <v>33468</v>
      </c>
    </row>
    <row r="1617" spans="1:25" x14ac:dyDescent="0.3">
      <c r="A1617">
        <v>80800</v>
      </c>
      <c r="B1617" t="s">
        <v>33469</v>
      </c>
      <c r="C1617" t="s">
        <v>33470</v>
      </c>
      <c r="D1617" t="s">
        <v>33471</v>
      </c>
      <c r="E1617" t="s">
        <v>33472</v>
      </c>
      <c r="F1617" t="s">
        <v>33473</v>
      </c>
      <c r="G1617" t="s">
        <v>33474</v>
      </c>
      <c r="H1617" t="s">
        <v>33475</v>
      </c>
      <c r="I1617" t="s">
        <v>33476</v>
      </c>
      <c r="J1617" t="s">
        <v>33477</v>
      </c>
      <c r="K1617" t="s">
        <v>33478</v>
      </c>
      <c r="L1617" t="s">
        <v>33479</v>
      </c>
      <c r="M1617" t="s">
        <v>33480</v>
      </c>
      <c r="N1617" t="s">
        <v>33481</v>
      </c>
      <c r="O1617">
        <f>-815.008229754452 -30.063650976077 -503.567046308462</f>
        <v>-1348.6389270389911</v>
      </c>
      <c r="P1617">
        <f>-806.982851673415 -56.0223124696938 -210.560321281812</f>
        <v>-1073.5654854249208</v>
      </c>
      <c r="Q1617">
        <f>-590.633538866048 -77.5850182156237 -314.38159110474</f>
        <v>-982.60014818641162</v>
      </c>
      <c r="R1617" t="s">
        <v>33482</v>
      </c>
      <c r="S1617" t="s">
        <v>33483</v>
      </c>
      <c r="T1617" t="s">
        <v>33484</v>
      </c>
      <c r="U1617" t="s">
        <v>33485</v>
      </c>
      <c r="V1617" t="s">
        <v>33486</v>
      </c>
      <c r="W1617" t="s">
        <v>33487</v>
      </c>
      <c r="X1617" t="s">
        <v>33488</v>
      </c>
      <c r="Y1617" t="s">
        <v>33489</v>
      </c>
    </row>
    <row r="1618" spans="1:25" x14ac:dyDescent="0.3">
      <c r="A1618">
        <v>80850</v>
      </c>
      <c r="B1618" t="s">
        <v>33490</v>
      </c>
      <c r="C1618" t="s">
        <v>33491</v>
      </c>
      <c r="D1618" t="s">
        <v>33492</v>
      </c>
      <c r="E1618" t="s">
        <v>33493</v>
      </c>
      <c r="F1618" t="s">
        <v>33494</v>
      </c>
      <c r="G1618" t="s">
        <v>33495</v>
      </c>
      <c r="H1618" t="s">
        <v>33496</v>
      </c>
      <c r="I1618" t="s">
        <v>33497</v>
      </c>
      <c r="J1618" t="s">
        <v>33498</v>
      </c>
      <c r="K1618" t="s">
        <v>33499</v>
      </c>
      <c r="L1618" t="s">
        <v>33500</v>
      </c>
      <c r="M1618" t="s">
        <v>33501</v>
      </c>
      <c r="N1618" t="s">
        <v>33502</v>
      </c>
      <c r="O1618">
        <f>-814.403363171311 -28.9029091280063 -503.698746032125</f>
        <v>-1347.0050183314422</v>
      </c>
      <c r="P1618">
        <f>-806.322500059789 -55.3299040873501 -210.735431179471</f>
        <v>-1072.38783532661</v>
      </c>
      <c r="Q1618">
        <f>-589.972998628083 -76.9210479595115 -314.550515203904</f>
        <v>-981.44456179149847</v>
      </c>
      <c r="R1618" t="s">
        <v>33503</v>
      </c>
      <c r="S1618" t="s">
        <v>33504</v>
      </c>
      <c r="T1618" t="s">
        <v>33505</v>
      </c>
      <c r="U1618" t="s">
        <v>33506</v>
      </c>
      <c r="V1618" t="s">
        <v>33507</v>
      </c>
      <c r="W1618" t="s">
        <v>33508</v>
      </c>
      <c r="X1618" t="s">
        <v>33509</v>
      </c>
      <c r="Y1618" t="s">
        <v>33510</v>
      </c>
    </row>
    <row r="1619" spans="1:25" x14ac:dyDescent="0.3">
      <c r="A1619">
        <v>80900</v>
      </c>
      <c r="B1619" t="s">
        <v>33511</v>
      </c>
      <c r="C1619" t="s">
        <v>33512</v>
      </c>
      <c r="D1619" t="s">
        <v>33513</v>
      </c>
      <c r="E1619" t="s">
        <v>33514</v>
      </c>
      <c r="F1619" t="s">
        <v>33515</v>
      </c>
      <c r="G1619" t="s">
        <v>33516</v>
      </c>
      <c r="H1619" t="s">
        <v>33517</v>
      </c>
      <c r="I1619" t="s">
        <v>33518</v>
      </c>
      <c r="J1619" t="s">
        <v>33519</v>
      </c>
      <c r="K1619" t="s">
        <v>33520</v>
      </c>
      <c r="L1619" t="s">
        <v>33521</v>
      </c>
      <c r="M1619" t="s">
        <v>33522</v>
      </c>
      <c r="N1619" t="s">
        <v>33523</v>
      </c>
      <c r="O1619">
        <f>-812.953953648811 -26.2764189592194 -504.003868651002</f>
        <v>-1343.2342412590324</v>
      </c>
      <c r="P1619">
        <f>-805.198955178079 -53.7662015100616 -211.129557611229</f>
        <v>-1070.0947142993696</v>
      </c>
      <c r="Q1619">
        <f>-588.718396268313 -75.1616835559166 -314.711223682248</f>
        <v>-978.59130350647752</v>
      </c>
      <c r="R1619" t="s">
        <v>33524</v>
      </c>
      <c r="S1619" t="s">
        <v>33525</v>
      </c>
      <c r="T1619" t="s">
        <v>33526</v>
      </c>
      <c r="U1619" t="s">
        <v>33527</v>
      </c>
      <c r="V1619" t="s">
        <v>33528</v>
      </c>
      <c r="W1619" t="s">
        <v>33529</v>
      </c>
      <c r="X1619" t="s">
        <v>33530</v>
      </c>
      <c r="Y1619" t="s">
        <v>33531</v>
      </c>
    </row>
    <row r="1620" spans="1:25" x14ac:dyDescent="0.3">
      <c r="A1620">
        <v>80950</v>
      </c>
      <c r="B1620" t="s">
        <v>33532</v>
      </c>
      <c r="C1620" t="s">
        <v>33533</v>
      </c>
      <c r="D1620" t="s">
        <v>33534</v>
      </c>
      <c r="E1620" t="s">
        <v>33535</v>
      </c>
      <c r="F1620" t="s">
        <v>33536</v>
      </c>
      <c r="G1620" t="s">
        <v>33537</v>
      </c>
      <c r="H1620" t="s">
        <v>33538</v>
      </c>
      <c r="I1620" t="s">
        <v>33539</v>
      </c>
      <c r="J1620" t="s">
        <v>33540</v>
      </c>
      <c r="K1620" t="s">
        <v>33541</v>
      </c>
      <c r="L1620" t="s">
        <v>33542</v>
      </c>
      <c r="M1620" t="s">
        <v>33543</v>
      </c>
      <c r="N1620" t="s">
        <v>33544</v>
      </c>
      <c r="O1620">
        <f>-812.196978777589 -24.9867761337091 -504.2240588311</f>
        <v>-1341.407813742398</v>
      </c>
      <c r="P1620">
        <f>-804.760739735981 -52.9580591325287 -211.387090371396</f>
        <v>-1069.1058892399058</v>
      </c>
      <c r="Q1620">
        <f>-588.177798192207 -74.2183323134805 -314.782588460564</f>
        <v>-977.17871896625138</v>
      </c>
      <c r="R1620" t="s">
        <v>33545</v>
      </c>
      <c r="S1620" t="s">
        <v>33546</v>
      </c>
      <c r="T1620" t="s">
        <v>33547</v>
      </c>
      <c r="U1620" t="s">
        <v>33548</v>
      </c>
      <c r="V1620" t="s">
        <v>33549</v>
      </c>
      <c r="W1620" t="s">
        <v>33550</v>
      </c>
      <c r="X1620" t="s">
        <v>33551</v>
      </c>
      <c r="Y1620" t="s">
        <v>33552</v>
      </c>
    </row>
    <row r="1621" spans="1:25" x14ac:dyDescent="0.3">
      <c r="A1621">
        <v>81000</v>
      </c>
      <c r="B1621" t="s">
        <v>33553</v>
      </c>
      <c r="C1621" t="s">
        <v>33554</v>
      </c>
      <c r="D1621" t="s">
        <v>33555</v>
      </c>
      <c r="E1621" t="s">
        <v>33556</v>
      </c>
      <c r="F1621" t="s">
        <v>33557</v>
      </c>
      <c r="G1621" t="s">
        <v>33558</v>
      </c>
      <c r="H1621" t="s">
        <v>33559</v>
      </c>
      <c r="I1621" t="s">
        <v>33560</v>
      </c>
      <c r="J1621" t="s">
        <v>33561</v>
      </c>
      <c r="K1621" t="s">
        <v>33562</v>
      </c>
      <c r="L1621" t="s">
        <v>33563</v>
      </c>
      <c r="M1621" t="s">
        <v>33564</v>
      </c>
      <c r="N1621" t="s">
        <v>33565</v>
      </c>
      <c r="O1621">
        <f>-811.605297076 -22.7204852938944 -504.572889338053</f>
        <v>-1338.8986717079474</v>
      </c>
      <c r="P1621">
        <f>-804.368870700828 -51.8028699580409 -211.839146110704</f>
        <v>-1068.0108867695728</v>
      </c>
      <c r="Q1621">
        <f>-587.671103914066 -72.5873709078226 -315.091069077078</f>
        <v>-975.34954389896643</v>
      </c>
      <c r="R1621" t="s">
        <v>33566</v>
      </c>
      <c r="S1621" t="s">
        <v>33567</v>
      </c>
      <c r="T1621" t="s">
        <v>33568</v>
      </c>
      <c r="U1621" t="s">
        <v>33569</v>
      </c>
      <c r="V1621" t="s">
        <v>33570</v>
      </c>
      <c r="W1621" t="s">
        <v>33571</v>
      </c>
      <c r="X1621" t="s">
        <v>33572</v>
      </c>
      <c r="Y1621" t="s">
        <v>33573</v>
      </c>
    </row>
    <row r="1622" spans="1:25" x14ac:dyDescent="0.3">
      <c r="A1622">
        <v>81050</v>
      </c>
      <c r="B1622" t="s">
        <v>33574</v>
      </c>
      <c r="C1622" t="s">
        <v>33575</v>
      </c>
      <c r="D1622" t="s">
        <v>33576</v>
      </c>
      <c r="E1622" t="s">
        <v>33577</v>
      </c>
      <c r="F1622" t="s">
        <v>33578</v>
      </c>
      <c r="G1622" t="s">
        <v>33579</v>
      </c>
      <c r="H1622" t="s">
        <v>33580</v>
      </c>
      <c r="I1622" t="s">
        <v>33581</v>
      </c>
      <c r="J1622" t="s">
        <v>33582</v>
      </c>
      <c r="K1622" t="s">
        <v>33583</v>
      </c>
      <c r="L1622" t="s">
        <v>33584</v>
      </c>
      <c r="M1622" t="s">
        <v>33585</v>
      </c>
      <c r="N1622" t="s">
        <v>33586</v>
      </c>
      <c r="O1622">
        <f>-811.289756224333 -21.7164943824278 -504.772147501137</f>
        <v>-1337.7783981078978</v>
      </c>
      <c r="P1622">
        <f>-804.041241991373 -51.3894032582555 -212.098085894649</f>
        <v>-1067.5287311442776</v>
      </c>
      <c r="Q1622">
        <f>-587.320800188222 -71.8433614821229 -315.368034045714</f>
        <v>-974.53219571605894</v>
      </c>
      <c r="R1622" t="s">
        <v>33587</v>
      </c>
      <c r="S1622" t="s">
        <v>33588</v>
      </c>
      <c r="T1622" t="s">
        <v>33589</v>
      </c>
      <c r="U1622" t="s">
        <v>33590</v>
      </c>
      <c r="V1622" t="s">
        <v>33591</v>
      </c>
      <c r="W1622" t="s">
        <v>33592</v>
      </c>
      <c r="X1622" t="s">
        <v>33593</v>
      </c>
      <c r="Y1622" t="s">
        <v>33594</v>
      </c>
    </row>
    <row r="1623" spans="1:25" x14ac:dyDescent="0.3">
      <c r="A1623">
        <v>81100</v>
      </c>
      <c r="B1623" t="s">
        <v>33595</v>
      </c>
      <c r="C1623" t="s">
        <v>33596</v>
      </c>
      <c r="D1623" t="s">
        <v>33597</v>
      </c>
      <c r="E1623" t="s">
        <v>33598</v>
      </c>
      <c r="F1623" t="s">
        <v>33599</v>
      </c>
      <c r="G1623" t="s">
        <v>33600</v>
      </c>
      <c r="H1623" t="s">
        <v>33601</v>
      </c>
      <c r="I1623" t="s">
        <v>33602</v>
      </c>
      <c r="J1623" t="s">
        <v>33603</v>
      </c>
      <c r="K1623" t="s">
        <v>33604</v>
      </c>
      <c r="L1623" t="s">
        <v>33605</v>
      </c>
      <c r="M1623" t="s">
        <v>33606</v>
      </c>
      <c r="N1623" t="s">
        <v>33607</v>
      </c>
      <c r="O1623">
        <f>-810.384971376879 -19.7740655514936 -505.196343668125</f>
        <v>-1335.3553805964975</v>
      </c>
      <c r="P1623">
        <f>-803.030926068061 -50.8538295486239 -212.67086490441</f>
        <v>-1066.5556205210951</v>
      </c>
      <c r="Q1623">
        <f>-586.350962806494 -70.4880574570925 -316.185078659388</f>
        <v>-973.02409892297442</v>
      </c>
      <c r="R1623" t="s">
        <v>33608</v>
      </c>
      <c r="S1623" t="s">
        <v>33609</v>
      </c>
      <c r="T1623" t="s">
        <v>33610</v>
      </c>
      <c r="U1623" t="s">
        <v>33611</v>
      </c>
      <c r="V1623" t="s">
        <v>33612</v>
      </c>
      <c r="W1623" t="s">
        <v>33613</v>
      </c>
      <c r="X1623" t="s">
        <v>33614</v>
      </c>
      <c r="Y1623" t="s">
        <v>33615</v>
      </c>
    </row>
    <row r="1624" spans="1:25" x14ac:dyDescent="0.3">
      <c r="A1624">
        <v>81150</v>
      </c>
      <c r="B1624" t="s">
        <v>33616</v>
      </c>
      <c r="C1624" t="s">
        <v>33617</v>
      </c>
      <c r="D1624" t="s">
        <v>33618</v>
      </c>
      <c r="E1624" t="s">
        <v>33619</v>
      </c>
      <c r="F1624" t="s">
        <v>33620</v>
      </c>
      <c r="G1624" t="s">
        <v>33621</v>
      </c>
      <c r="H1624" t="s">
        <v>33622</v>
      </c>
      <c r="I1624" t="s">
        <v>33623</v>
      </c>
      <c r="J1624" t="s">
        <v>33624</v>
      </c>
      <c r="K1624" t="s">
        <v>33625</v>
      </c>
      <c r="L1624" t="s">
        <v>33626</v>
      </c>
      <c r="M1624" t="s">
        <v>33627</v>
      </c>
      <c r="N1624" t="s">
        <v>33628</v>
      </c>
      <c r="O1624">
        <f>-809.877478142284 -18.6861010323378 -505.479867060004</f>
        <v>-1334.0434462346257</v>
      </c>
      <c r="P1624">
        <f>-802.564624776938 -50.5339659643621 -213.036096997398</f>
        <v>-1066.1346877386982</v>
      </c>
      <c r="Q1624">
        <f>-585.924763245775 -69.8346473337335 -316.696338625998</f>
        <v>-972.45574920550655</v>
      </c>
      <c r="R1624" t="s">
        <v>33629</v>
      </c>
      <c r="S1624" t="s">
        <v>33630</v>
      </c>
      <c r="T1624" t="s">
        <v>33631</v>
      </c>
      <c r="U1624" t="s">
        <v>33632</v>
      </c>
      <c r="V1624" t="s">
        <v>33633</v>
      </c>
      <c r="W1624" t="s">
        <v>33634</v>
      </c>
      <c r="X1624" t="s">
        <v>33635</v>
      </c>
      <c r="Y1624" t="s">
        <v>33636</v>
      </c>
    </row>
    <row r="1625" spans="1:25" x14ac:dyDescent="0.3">
      <c r="A1625">
        <v>81200</v>
      </c>
      <c r="B1625" t="s">
        <v>33637</v>
      </c>
      <c r="C1625" t="s">
        <v>33638</v>
      </c>
      <c r="D1625" t="s">
        <v>33639</v>
      </c>
      <c r="E1625" t="s">
        <v>33640</v>
      </c>
      <c r="F1625" t="s">
        <v>33641</v>
      </c>
      <c r="G1625" t="s">
        <v>33642</v>
      </c>
      <c r="H1625" t="s">
        <v>33643</v>
      </c>
      <c r="I1625" t="s">
        <v>33644</v>
      </c>
      <c r="J1625" t="s">
        <v>33645</v>
      </c>
      <c r="K1625" t="s">
        <v>33646</v>
      </c>
      <c r="L1625" t="s">
        <v>33647</v>
      </c>
      <c r="M1625" t="s">
        <v>33648</v>
      </c>
      <c r="N1625" t="s">
        <v>33649</v>
      </c>
      <c r="O1625">
        <f>-809.067846363834 -16.5207055179471 -506.215055421054</f>
        <v>-1331.8036073028352</v>
      </c>
      <c r="P1625">
        <f>-801.808110521132 -50.0778601423713 -213.960945603951</f>
        <v>-1065.8469162674542</v>
      </c>
      <c r="Q1625">
        <f>-585.130017428553 -68.950970997319 -317.620620779678</f>
        <v>-971.70160920554997</v>
      </c>
      <c r="R1625" t="s">
        <v>33650</v>
      </c>
      <c r="S1625" t="s">
        <v>33651</v>
      </c>
      <c r="T1625" t="s">
        <v>33652</v>
      </c>
      <c r="U1625" t="s">
        <v>33653</v>
      </c>
      <c r="V1625" t="s">
        <v>33654</v>
      </c>
      <c r="W1625" t="s">
        <v>33655</v>
      </c>
      <c r="X1625" t="s">
        <v>33656</v>
      </c>
      <c r="Y1625" t="s">
        <v>33657</v>
      </c>
    </row>
    <row r="1626" spans="1:25" x14ac:dyDescent="0.3">
      <c r="A1626">
        <v>81250</v>
      </c>
      <c r="B1626" t="s">
        <v>33658</v>
      </c>
      <c r="C1626" t="s">
        <v>33659</v>
      </c>
      <c r="D1626" t="s">
        <v>33660</v>
      </c>
      <c r="E1626" t="s">
        <v>33661</v>
      </c>
      <c r="F1626" t="s">
        <v>33662</v>
      </c>
      <c r="G1626" t="s">
        <v>33663</v>
      </c>
      <c r="H1626" t="s">
        <v>33664</v>
      </c>
      <c r="I1626" t="s">
        <v>33665</v>
      </c>
      <c r="J1626" t="s">
        <v>33666</v>
      </c>
      <c r="K1626" t="s">
        <v>33667</v>
      </c>
      <c r="L1626" t="s">
        <v>33668</v>
      </c>
      <c r="M1626" t="s">
        <v>33669</v>
      </c>
      <c r="N1626" t="s">
        <v>33670</v>
      </c>
      <c r="O1626">
        <f>-808.658374823557 -15.4026412366929 -506.615870391743</f>
        <v>-1330.6768864519929</v>
      </c>
      <c r="P1626">
        <f>-801.496309253868 -49.8758430123603 -214.465985756325</f>
        <v>-1065.8381380225533</v>
      </c>
      <c r="Q1626">
        <f>-584.768133823023 -68.5784552493326 -318.051911064467</f>
        <v>-971.39850013682258</v>
      </c>
      <c r="R1626" t="s">
        <v>33671</v>
      </c>
      <c r="S1626" t="s">
        <v>33672</v>
      </c>
      <c r="T1626" t="s">
        <v>33673</v>
      </c>
      <c r="U1626" t="s">
        <v>33674</v>
      </c>
      <c r="V1626" t="s">
        <v>33675</v>
      </c>
      <c r="W1626" t="s">
        <v>33676</v>
      </c>
      <c r="X1626" t="s">
        <v>33677</v>
      </c>
      <c r="Y1626" t="s">
        <v>33678</v>
      </c>
    </row>
    <row r="1627" spans="1:25" x14ac:dyDescent="0.3">
      <c r="A1627">
        <v>81300</v>
      </c>
      <c r="B1627" t="s">
        <v>33679</v>
      </c>
      <c r="C1627" t="s">
        <v>33680</v>
      </c>
      <c r="D1627" t="s">
        <v>33681</v>
      </c>
      <c r="E1627" t="s">
        <v>33682</v>
      </c>
      <c r="F1627" t="s">
        <v>33683</v>
      </c>
      <c r="G1627" t="s">
        <v>33684</v>
      </c>
      <c r="H1627" t="s">
        <v>33685</v>
      </c>
      <c r="I1627" t="s">
        <v>33686</v>
      </c>
      <c r="J1627" t="s">
        <v>33687</v>
      </c>
      <c r="K1627" t="s">
        <v>33688</v>
      </c>
      <c r="L1627" t="s">
        <v>33689</v>
      </c>
      <c r="M1627" t="s">
        <v>33690</v>
      </c>
      <c r="N1627" t="s">
        <v>33691</v>
      </c>
      <c r="O1627">
        <f>-808.11634442865 -13.1976806056705 -507.360023693891</f>
        <v>-1328.6740487282113</v>
      </c>
      <c r="P1627">
        <f>-801.166409769947 -49.3924462644636 -215.413247965378</f>
        <v>-1065.9721039997885</v>
      </c>
      <c r="Q1627">
        <f>-584.38867079366 -67.8515029817663 -318.938918149291</f>
        <v>-971.17909192471734</v>
      </c>
      <c r="R1627" t="s">
        <v>33692</v>
      </c>
      <c r="S1627" t="s">
        <v>33693</v>
      </c>
      <c r="T1627" t="s">
        <v>33694</v>
      </c>
      <c r="U1627" t="s">
        <v>33695</v>
      </c>
      <c r="V1627" t="s">
        <v>33696</v>
      </c>
      <c r="W1627" t="s">
        <v>33697</v>
      </c>
      <c r="X1627" t="s">
        <v>33698</v>
      </c>
      <c r="Y1627" t="s">
        <v>33699</v>
      </c>
    </row>
    <row r="1628" spans="1:25" x14ac:dyDescent="0.3">
      <c r="A1628">
        <v>81350</v>
      </c>
      <c r="B1628" t="s">
        <v>33700</v>
      </c>
      <c r="C1628" t="s">
        <v>33701</v>
      </c>
      <c r="D1628" t="s">
        <v>33702</v>
      </c>
      <c r="E1628" t="s">
        <v>33703</v>
      </c>
      <c r="F1628" t="s">
        <v>33704</v>
      </c>
      <c r="G1628" t="s">
        <v>33705</v>
      </c>
      <c r="H1628" t="s">
        <v>33706</v>
      </c>
      <c r="I1628" t="s">
        <v>33707</v>
      </c>
      <c r="J1628" t="s">
        <v>33708</v>
      </c>
      <c r="K1628" t="s">
        <v>33709</v>
      </c>
      <c r="L1628" t="s">
        <v>33710</v>
      </c>
      <c r="M1628" t="s">
        <v>33711</v>
      </c>
      <c r="N1628" t="s">
        <v>33712</v>
      </c>
      <c r="O1628">
        <f>-808.085037142484 -12.1174206631222 -507.701616933966</f>
        <v>-1327.9040747395723</v>
      </c>
      <c r="P1628">
        <f>-801.229538089054 -48.9981415131997 -215.838527517191</f>
        <v>-1066.0662071194447</v>
      </c>
      <c r="Q1628">
        <f>-584.41786682924 -67.3414566858853 -319.313471726167</f>
        <v>-971.07279524129228</v>
      </c>
      <c r="R1628" t="s">
        <v>33713</v>
      </c>
      <c r="S1628" t="s">
        <v>33714</v>
      </c>
      <c r="T1628" t="s">
        <v>33715</v>
      </c>
      <c r="U1628" t="s">
        <v>33716</v>
      </c>
      <c r="V1628" t="s">
        <v>33717</v>
      </c>
      <c r="W1628" t="s">
        <v>33718</v>
      </c>
      <c r="X1628" t="s">
        <v>33719</v>
      </c>
      <c r="Y1628" t="s">
        <v>33720</v>
      </c>
    </row>
    <row r="1629" spans="1:25" x14ac:dyDescent="0.3">
      <c r="A1629">
        <v>81400</v>
      </c>
      <c r="B1629" t="s">
        <v>33721</v>
      </c>
      <c r="C1629" t="s">
        <v>33722</v>
      </c>
      <c r="D1629" t="s">
        <v>33723</v>
      </c>
      <c r="E1629" t="s">
        <v>33724</v>
      </c>
      <c r="F1629" t="s">
        <v>33725</v>
      </c>
      <c r="G1629" t="s">
        <v>33726</v>
      </c>
      <c r="H1629" t="s">
        <v>33727</v>
      </c>
      <c r="I1629" t="s">
        <v>33728</v>
      </c>
      <c r="J1629" t="s">
        <v>33729</v>
      </c>
      <c r="K1629" t="s">
        <v>33730</v>
      </c>
      <c r="L1629" t="s">
        <v>33731</v>
      </c>
      <c r="M1629" t="s">
        <v>33732</v>
      </c>
      <c r="N1629" t="s">
        <v>33733</v>
      </c>
      <c r="O1629">
        <f>-808.155782331103 -10.0961730039139 -508.306978109973</f>
        <v>-1326.5589334449899</v>
      </c>
      <c r="P1629">
        <f>-801.59350219541 -48.315127859109 -216.609414713197</f>
        <v>-1066.518044767716</v>
      </c>
      <c r="Q1629">
        <f>-584.734297623819 -66.4117350485978 -320.028263974538</f>
        <v>-971.17429664695487</v>
      </c>
      <c r="R1629" t="s">
        <v>33734</v>
      </c>
      <c r="S1629" t="s">
        <v>33735</v>
      </c>
      <c r="T1629" t="s">
        <v>33736</v>
      </c>
      <c r="U1629" t="s">
        <v>33737</v>
      </c>
      <c r="V1629" t="s">
        <v>33738</v>
      </c>
      <c r="W1629" t="s">
        <v>33739</v>
      </c>
      <c r="X1629" t="s">
        <v>33740</v>
      </c>
      <c r="Y1629" t="s">
        <v>33741</v>
      </c>
    </row>
    <row r="1630" spans="1:25" x14ac:dyDescent="0.3">
      <c r="A1630">
        <v>81450</v>
      </c>
      <c r="B1630" t="s">
        <v>33742</v>
      </c>
      <c r="C1630" t="s">
        <v>33743</v>
      </c>
      <c r="D1630" t="s">
        <v>33744</v>
      </c>
      <c r="E1630" t="s">
        <v>33745</v>
      </c>
      <c r="F1630" t="s">
        <v>33746</v>
      </c>
      <c r="G1630" t="s">
        <v>33747</v>
      </c>
      <c r="H1630" t="s">
        <v>33748</v>
      </c>
      <c r="I1630" t="s">
        <v>33749</v>
      </c>
      <c r="J1630" t="s">
        <v>33750</v>
      </c>
      <c r="K1630" t="s">
        <v>33751</v>
      </c>
      <c r="L1630" t="s">
        <v>33752</v>
      </c>
      <c r="M1630" t="s">
        <v>33753</v>
      </c>
      <c r="N1630" t="s">
        <v>33754</v>
      </c>
      <c r="O1630">
        <f>-808.176295471586 -9.0757999219968 -508.563803812707</f>
        <v>-1325.8158992062897</v>
      </c>
      <c r="P1630">
        <f>-801.750669755697 -47.8779757092052 -216.94020752545</f>
        <v>-1066.5688529903523</v>
      </c>
      <c r="Q1630">
        <f>-584.862162311138 -65.9556174395 -320.30116364718</f>
        <v>-971.11894339781793</v>
      </c>
      <c r="R1630" t="s">
        <v>33755</v>
      </c>
      <c r="S1630" t="s">
        <v>33756</v>
      </c>
      <c r="T1630" t="s">
        <v>33757</v>
      </c>
      <c r="U1630" t="s">
        <v>33758</v>
      </c>
      <c r="V1630" t="s">
        <v>33759</v>
      </c>
      <c r="W1630" t="s">
        <v>33760</v>
      </c>
      <c r="X1630" t="s">
        <v>33761</v>
      </c>
      <c r="Y1630" t="s">
        <v>33762</v>
      </c>
    </row>
    <row r="1631" spans="1:25" x14ac:dyDescent="0.3">
      <c r="A1631">
        <v>81500</v>
      </c>
      <c r="B1631" t="s">
        <v>33763</v>
      </c>
      <c r="C1631" t="s">
        <v>33764</v>
      </c>
      <c r="D1631" t="s">
        <v>33765</v>
      </c>
      <c r="E1631" t="s">
        <v>33766</v>
      </c>
      <c r="F1631" t="s">
        <v>33767</v>
      </c>
      <c r="G1631" t="s">
        <v>33768</v>
      </c>
      <c r="H1631" t="s">
        <v>33769</v>
      </c>
      <c r="I1631" t="s">
        <v>33770</v>
      </c>
      <c r="J1631" t="s">
        <v>33771</v>
      </c>
      <c r="K1631" t="s">
        <v>33772</v>
      </c>
      <c r="L1631" t="s">
        <v>33773</v>
      </c>
      <c r="M1631" t="s">
        <v>33774</v>
      </c>
      <c r="N1631" t="s">
        <v>33775</v>
      </c>
      <c r="O1631">
        <f>-808.311259448948 -6.8326025263641 -508.970984757554</f>
        <v>-1324.1148467328662</v>
      </c>
      <c r="P1631">
        <f>-802.151044670869 -46.8820595918628 -217.510364012068</f>
        <v>-1066.5434682747998</v>
      </c>
      <c r="Q1631">
        <f>-585.071878800898 -65.0079790484253 -320.461387705369</f>
        <v>-970.54124555469241</v>
      </c>
      <c r="R1631" t="s">
        <v>33776</v>
      </c>
      <c r="S1631" t="s">
        <v>33777</v>
      </c>
      <c r="T1631" t="s">
        <v>33778</v>
      </c>
      <c r="U1631" t="s">
        <v>33779</v>
      </c>
      <c r="V1631" t="s">
        <v>33780</v>
      </c>
      <c r="W1631" t="s">
        <v>33781</v>
      </c>
      <c r="X1631" t="s">
        <v>33782</v>
      </c>
      <c r="Y1631" t="s">
        <v>33783</v>
      </c>
    </row>
    <row r="1632" spans="1:25" x14ac:dyDescent="0.3">
      <c r="A1632">
        <v>81550</v>
      </c>
      <c r="B1632" t="s">
        <v>33784</v>
      </c>
      <c r="C1632" t="s">
        <v>33785</v>
      </c>
      <c r="D1632" t="s">
        <v>33786</v>
      </c>
      <c r="E1632" t="s">
        <v>33787</v>
      </c>
      <c r="F1632" t="s">
        <v>33788</v>
      </c>
      <c r="G1632" t="s">
        <v>33789</v>
      </c>
      <c r="H1632" t="s">
        <v>33790</v>
      </c>
      <c r="I1632" t="s">
        <v>33791</v>
      </c>
      <c r="J1632" t="s">
        <v>33792</v>
      </c>
      <c r="K1632" t="s">
        <v>33793</v>
      </c>
      <c r="L1632" t="s">
        <v>33794</v>
      </c>
      <c r="M1632" t="s">
        <v>33795</v>
      </c>
      <c r="N1632" t="s">
        <v>33796</v>
      </c>
      <c r="O1632">
        <f>-808.375296234825 -5.66833458085193 -509.150384673809</f>
        <v>-1323.194015489486</v>
      </c>
      <c r="P1632">
        <f>-802.431906427557 -46.3111098810916 -217.767403146536</f>
        <v>-1066.5104194551845</v>
      </c>
      <c r="Q1632">
        <f>-585.257647995724 -64.495031094785 -320.507494079898</f>
        <v>-970.26017317040692</v>
      </c>
      <c r="R1632" t="s">
        <v>33797</v>
      </c>
      <c r="S1632" t="s">
        <v>33798</v>
      </c>
      <c r="T1632" t="s">
        <v>33799</v>
      </c>
      <c r="U1632" t="s">
        <v>33800</v>
      </c>
      <c r="V1632" t="s">
        <v>33801</v>
      </c>
      <c r="W1632" t="s">
        <v>33802</v>
      </c>
      <c r="X1632" t="s">
        <v>33803</v>
      </c>
      <c r="Y1632" t="s">
        <v>33804</v>
      </c>
    </row>
    <row r="1633" spans="1:25" x14ac:dyDescent="0.3">
      <c r="A1633">
        <v>81600</v>
      </c>
      <c r="B1633" t="s">
        <v>33805</v>
      </c>
      <c r="C1633" t="s">
        <v>33806</v>
      </c>
      <c r="D1633" t="s">
        <v>33807</v>
      </c>
      <c r="E1633" t="s">
        <v>33808</v>
      </c>
      <c r="F1633" t="s">
        <v>33809</v>
      </c>
      <c r="G1633" t="s">
        <v>33810</v>
      </c>
      <c r="H1633" t="s">
        <v>33811</v>
      </c>
      <c r="I1633" t="s">
        <v>33812</v>
      </c>
      <c r="J1633" t="s">
        <v>33813</v>
      </c>
      <c r="K1633" t="s">
        <v>33814</v>
      </c>
      <c r="L1633" t="s">
        <v>33815</v>
      </c>
      <c r="M1633" t="s">
        <v>33816</v>
      </c>
      <c r="N1633" t="s">
        <v>33817</v>
      </c>
      <c r="O1633">
        <f>-808.531375917665 -3.50123991139753 -509.399799876472</f>
        <v>-1321.4324157055344</v>
      </c>
      <c r="P1633">
        <f>-803.105003280215 -45.0278726459858 -218.131246021859</f>
        <v>-1066.2641219480597</v>
      </c>
      <c r="Q1633">
        <f>-585.951073793139 -63.4879187653007 -320.864985424376</f>
        <v>-970.3039779828157</v>
      </c>
      <c r="R1633" t="s">
        <v>33818</v>
      </c>
      <c r="S1633" t="s">
        <v>33819</v>
      </c>
      <c r="T1633" t="s">
        <v>33820</v>
      </c>
      <c r="U1633" t="s">
        <v>33821</v>
      </c>
      <c r="V1633" t="s">
        <v>33822</v>
      </c>
      <c r="W1633" t="s">
        <v>33823</v>
      </c>
      <c r="X1633" t="s">
        <v>33824</v>
      </c>
      <c r="Y1633" t="s">
        <v>33825</v>
      </c>
    </row>
    <row r="1634" spans="1:25" x14ac:dyDescent="0.3">
      <c r="A1634">
        <v>81650</v>
      </c>
      <c r="B1634" t="s">
        <v>33826</v>
      </c>
      <c r="C1634" t="s">
        <v>33827</v>
      </c>
      <c r="D1634" t="s">
        <v>33828</v>
      </c>
      <c r="E1634" t="s">
        <v>33829</v>
      </c>
      <c r="F1634" t="s">
        <v>33830</v>
      </c>
      <c r="G1634" t="s">
        <v>33831</v>
      </c>
      <c r="H1634" t="s">
        <v>33832</v>
      </c>
      <c r="I1634" t="s">
        <v>33833</v>
      </c>
      <c r="J1634" t="s">
        <v>33834</v>
      </c>
      <c r="K1634" t="s">
        <v>33835</v>
      </c>
      <c r="L1634" t="s">
        <v>33836</v>
      </c>
      <c r="M1634" t="s">
        <v>33837</v>
      </c>
      <c r="N1634" t="s">
        <v>33838</v>
      </c>
      <c r="O1634">
        <f>-808.60916225495 -2.29927094392588 -509.521237120426</f>
        <v>-1320.4296703193017</v>
      </c>
      <c r="P1634">
        <f>-803.400089986648 -44.2791914551974 -218.313808795667</f>
        <v>-1065.9930902375124</v>
      </c>
      <c r="Q1634">
        <f>-586.24640170191 -62.9127472208454 -321.01740161136</f>
        <v>-970.17655053411545</v>
      </c>
      <c r="R1634" t="s">
        <v>33839</v>
      </c>
      <c r="S1634" t="s">
        <v>33840</v>
      </c>
      <c r="T1634" t="s">
        <v>33841</v>
      </c>
      <c r="U1634" t="s">
        <v>33842</v>
      </c>
      <c r="V1634" t="s">
        <v>33843</v>
      </c>
      <c r="W1634" t="s">
        <v>33844</v>
      </c>
      <c r="X1634" t="s">
        <v>33845</v>
      </c>
      <c r="Y1634" t="s">
        <v>33846</v>
      </c>
    </row>
    <row r="1635" spans="1:25" x14ac:dyDescent="0.3">
      <c r="A1635">
        <v>81700</v>
      </c>
      <c r="B1635" t="s">
        <v>33847</v>
      </c>
      <c r="C1635" t="s">
        <v>33848</v>
      </c>
      <c r="D1635" t="s">
        <v>33849</v>
      </c>
      <c r="E1635" t="s">
        <v>33850</v>
      </c>
      <c r="F1635" t="s">
        <v>33851</v>
      </c>
      <c r="G1635" t="s">
        <v>33852</v>
      </c>
      <c r="H1635" t="s">
        <v>33853</v>
      </c>
      <c r="I1635" t="s">
        <v>33854</v>
      </c>
      <c r="J1635" t="s">
        <v>33855</v>
      </c>
      <c r="K1635" t="s">
        <v>33856</v>
      </c>
      <c r="L1635" t="s">
        <v>33857</v>
      </c>
      <c r="M1635" t="s">
        <v>33858</v>
      </c>
      <c r="N1635" t="s">
        <v>33859</v>
      </c>
      <c r="O1635" t="s">
        <v>33860</v>
      </c>
      <c r="P1635">
        <f>-803.883654430814 -42.5834292087402 -218.764232670543</f>
        <v>-1065.2313163100971</v>
      </c>
      <c r="Q1635">
        <f>-586.756990414786 -61.7606486853899 -321.424530045974</f>
        <v>-969.94216914614981</v>
      </c>
      <c r="R1635" t="s">
        <v>33861</v>
      </c>
      <c r="S1635" t="s">
        <v>33862</v>
      </c>
      <c r="T1635" t="s">
        <v>33863</v>
      </c>
      <c r="U1635" t="s">
        <v>33864</v>
      </c>
      <c r="V1635" t="s">
        <v>33865</v>
      </c>
      <c r="W1635" t="s">
        <v>33866</v>
      </c>
      <c r="X1635" t="s">
        <v>33867</v>
      </c>
      <c r="Y1635" t="s">
        <v>33868</v>
      </c>
    </row>
    <row r="1636" spans="1:25" x14ac:dyDescent="0.3">
      <c r="A1636">
        <v>81750</v>
      </c>
      <c r="B1636" t="s">
        <v>33869</v>
      </c>
      <c r="C1636" t="s">
        <v>33870</v>
      </c>
      <c r="D1636" t="s">
        <v>33871</v>
      </c>
      <c r="E1636" t="s">
        <v>33872</v>
      </c>
      <c r="F1636" t="s">
        <v>33873</v>
      </c>
      <c r="G1636" t="s">
        <v>33874</v>
      </c>
      <c r="H1636" t="s">
        <v>33875</v>
      </c>
      <c r="I1636" t="s">
        <v>33876</v>
      </c>
      <c r="J1636" t="s">
        <v>33877</v>
      </c>
      <c r="K1636" t="s">
        <v>33878</v>
      </c>
      <c r="L1636" t="s">
        <v>33879</v>
      </c>
      <c r="M1636" t="s">
        <v>33880</v>
      </c>
      <c r="N1636" t="s">
        <v>33881</v>
      </c>
      <c r="O1636" t="s">
        <v>33882</v>
      </c>
      <c r="P1636">
        <f>-804.134897924109 -41.5436527825746 -218.966674377776</f>
        <v>-1064.6452250844595</v>
      </c>
      <c r="Q1636">
        <f>-587.062836064008 -61.1002988343523 -321.670904882261</f>
        <v>-969.83403978062142</v>
      </c>
      <c r="R1636" t="s">
        <v>33883</v>
      </c>
      <c r="S1636" t="s">
        <v>33884</v>
      </c>
      <c r="T1636" t="s">
        <v>33885</v>
      </c>
      <c r="U1636" t="s">
        <v>33886</v>
      </c>
      <c r="V1636" t="s">
        <v>33887</v>
      </c>
      <c r="W1636" t="s">
        <v>33888</v>
      </c>
      <c r="X1636" t="s">
        <v>33889</v>
      </c>
      <c r="Y1636" t="s">
        <v>33890</v>
      </c>
    </row>
    <row r="1637" spans="1:25" x14ac:dyDescent="0.3">
      <c r="A1637">
        <v>81800</v>
      </c>
      <c r="B1637" t="s">
        <v>33891</v>
      </c>
      <c r="C1637" t="s">
        <v>33892</v>
      </c>
      <c r="D1637" t="s">
        <v>33893</v>
      </c>
      <c r="E1637" t="s">
        <v>33894</v>
      </c>
      <c r="F1637" t="s">
        <v>33895</v>
      </c>
      <c r="G1637" t="s">
        <v>33896</v>
      </c>
      <c r="H1637" t="s">
        <v>33897</v>
      </c>
      <c r="I1637" t="s">
        <v>33898</v>
      </c>
      <c r="J1637" t="s">
        <v>33899</v>
      </c>
      <c r="K1637" t="s">
        <v>33900</v>
      </c>
      <c r="L1637" t="s">
        <v>33901</v>
      </c>
      <c r="M1637" t="s">
        <v>33902</v>
      </c>
      <c r="N1637" t="s">
        <v>33903</v>
      </c>
      <c r="O1637" t="s">
        <v>33904</v>
      </c>
      <c r="P1637">
        <f>-804.810992386528 -39.187317824749 -219.293319349642</f>
        <v>-1063.2916295609191</v>
      </c>
      <c r="Q1637">
        <f>-587.906121673994 -59.5966640123686 -322.184341976079</f>
        <v>-969.68712766244153</v>
      </c>
      <c r="R1637" t="s">
        <v>33905</v>
      </c>
      <c r="S1637" t="s">
        <v>33906</v>
      </c>
      <c r="T1637" t="s">
        <v>33907</v>
      </c>
      <c r="U1637" t="s">
        <v>33908</v>
      </c>
      <c r="V1637" t="s">
        <v>33909</v>
      </c>
      <c r="W1637" t="s">
        <v>33910</v>
      </c>
      <c r="X1637" t="s">
        <v>33911</v>
      </c>
      <c r="Y1637" t="s">
        <v>33912</v>
      </c>
    </row>
    <row r="1638" spans="1:25" x14ac:dyDescent="0.3">
      <c r="A1638">
        <v>81850</v>
      </c>
      <c r="B1638" t="s">
        <v>33913</v>
      </c>
      <c r="C1638" t="s">
        <v>33914</v>
      </c>
      <c r="D1638" t="s">
        <v>33915</v>
      </c>
      <c r="E1638" t="s">
        <v>33916</v>
      </c>
      <c r="F1638" t="s">
        <v>33917</v>
      </c>
      <c r="G1638" t="s">
        <v>33918</v>
      </c>
      <c r="H1638" t="s">
        <v>33919</v>
      </c>
      <c r="I1638" t="s">
        <v>33920</v>
      </c>
      <c r="J1638" t="s">
        <v>33921</v>
      </c>
      <c r="K1638" t="s">
        <v>33922</v>
      </c>
      <c r="L1638" t="s">
        <v>33923</v>
      </c>
      <c r="M1638" t="s">
        <v>33924</v>
      </c>
      <c r="N1638" t="s">
        <v>33925</v>
      </c>
      <c r="O1638" t="s">
        <v>33926</v>
      </c>
      <c r="P1638">
        <f>-805.118616961019 -37.9825879373473 -219.500872368803</f>
        <v>-1062.6020772671693</v>
      </c>
      <c r="Q1638">
        <f>-588.333872749357 -58.7287051585349 -322.57740963196</f>
        <v>-969.63998753985197</v>
      </c>
      <c r="R1638" t="s">
        <v>33927</v>
      </c>
      <c r="S1638" t="s">
        <v>33928</v>
      </c>
      <c r="T1638" t="s">
        <v>33929</v>
      </c>
      <c r="U1638" t="s">
        <v>33930</v>
      </c>
      <c r="V1638" t="s">
        <v>33931</v>
      </c>
      <c r="W1638" t="s">
        <v>33932</v>
      </c>
      <c r="X1638" t="s">
        <v>33933</v>
      </c>
      <c r="Y1638" t="s">
        <v>33934</v>
      </c>
    </row>
    <row r="1639" spans="1:25" x14ac:dyDescent="0.3">
      <c r="A1639">
        <v>81900</v>
      </c>
      <c r="B1639" t="s">
        <v>33935</v>
      </c>
      <c r="C1639" t="s">
        <v>33936</v>
      </c>
      <c r="D1639" t="s">
        <v>33937</v>
      </c>
      <c r="E1639" t="s">
        <v>33938</v>
      </c>
      <c r="F1639" t="s">
        <v>33939</v>
      </c>
      <c r="G1639" t="s">
        <v>33940</v>
      </c>
      <c r="H1639" t="s">
        <v>33941</v>
      </c>
      <c r="I1639" t="s">
        <v>33942</v>
      </c>
      <c r="J1639" t="s">
        <v>33943</v>
      </c>
      <c r="K1639" t="s">
        <v>33944</v>
      </c>
      <c r="L1639" t="s">
        <v>33945</v>
      </c>
      <c r="M1639" t="s">
        <v>33946</v>
      </c>
      <c r="N1639" t="s">
        <v>33947</v>
      </c>
      <c r="O1639" t="s">
        <v>33948</v>
      </c>
      <c r="P1639">
        <f>-805.889666567395 -35.5527312198078 -219.961004381568</f>
        <v>-1061.4034021687708</v>
      </c>
      <c r="Q1639">
        <f>-589.478295677352 -56.7613105463263 -323.725888036688</f>
        <v>-969.96549426036631</v>
      </c>
      <c r="R1639" t="s">
        <v>33949</v>
      </c>
      <c r="S1639" t="s">
        <v>33950</v>
      </c>
      <c r="T1639" t="s">
        <v>33951</v>
      </c>
      <c r="U1639" t="s">
        <v>33952</v>
      </c>
      <c r="V1639" t="s">
        <v>33953</v>
      </c>
      <c r="W1639" t="s">
        <v>33954</v>
      </c>
      <c r="X1639" t="s">
        <v>33955</v>
      </c>
      <c r="Y1639" t="s">
        <v>33956</v>
      </c>
    </row>
    <row r="1640" spans="1:25" x14ac:dyDescent="0.3">
      <c r="A1640">
        <v>81950</v>
      </c>
      <c r="B1640" t="s">
        <v>33957</v>
      </c>
      <c r="C1640" t="s">
        <v>33958</v>
      </c>
      <c r="D1640" t="s">
        <v>33959</v>
      </c>
      <c r="E1640" t="s">
        <v>33960</v>
      </c>
      <c r="F1640" t="s">
        <v>33961</v>
      </c>
      <c r="G1640" t="s">
        <v>33962</v>
      </c>
      <c r="H1640" t="s">
        <v>33963</v>
      </c>
      <c r="I1640" t="s">
        <v>33964</v>
      </c>
      <c r="J1640" t="s">
        <v>33965</v>
      </c>
      <c r="K1640" t="s">
        <v>33966</v>
      </c>
      <c r="L1640" t="s">
        <v>33967</v>
      </c>
      <c r="M1640" t="s">
        <v>33968</v>
      </c>
      <c r="N1640" t="s">
        <v>33969</v>
      </c>
      <c r="O1640" t="s">
        <v>33970</v>
      </c>
      <c r="P1640">
        <f>-806.261172759668 -34.655337399392 -220.111171815954</f>
        <v>-1061.027681975014</v>
      </c>
      <c r="Q1640">
        <f>-590.021263286953 -55.9897190833494 -324.207389780376</f>
        <v>-970.21837215067831</v>
      </c>
      <c r="R1640" t="s">
        <v>33971</v>
      </c>
      <c r="S1640" t="s">
        <v>33972</v>
      </c>
      <c r="T1640" t="s">
        <v>33973</v>
      </c>
      <c r="U1640" t="s">
        <v>33974</v>
      </c>
      <c r="V1640" t="s">
        <v>33975</v>
      </c>
      <c r="W1640" t="s">
        <v>33976</v>
      </c>
      <c r="X1640" t="s">
        <v>33977</v>
      </c>
      <c r="Y1640" t="s">
        <v>33978</v>
      </c>
    </row>
    <row r="1641" spans="1:25" x14ac:dyDescent="0.3">
      <c r="A1641">
        <v>82000</v>
      </c>
      <c r="B1641" t="s">
        <v>33979</v>
      </c>
      <c r="C1641" t="s">
        <v>33980</v>
      </c>
      <c r="D1641" t="s">
        <v>33981</v>
      </c>
      <c r="E1641" t="s">
        <v>33982</v>
      </c>
      <c r="F1641" t="s">
        <v>33983</v>
      </c>
      <c r="G1641" t="s">
        <v>33984</v>
      </c>
      <c r="H1641" t="s">
        <v>33985</v>
      </c>
      <c r="I1641" t="s">
        <v>33986</v>
      </c>
      <c r="J1641" t="s">
        <v>33987</v>
      </c>
      <c r="K1641" t="s">
        <v>33988</v>
      </c>
      <c r="L1641" t="s">
        <v>33989</v>
      </c>
      <c r="M1641" t="s">
        <v>33990</v>
      </c>
      <c r="N1641" t="s">
        <v>33991</v>
      </c>
      <c r="O1641" t="s">
        <v>33992</v>
      </c>
      <c r="P1641">
        <f>-806.976771007609 -33.6033441445538 -220.839070772794</f>
        <v>-1061.4191859249568</v>
      </c>
      <c r="Q1641">
        <f>-591.046128930704 -55.0868802606924 -325.545186702018</f>
        <v>-971.67819589341434</v>
      </c>
      <c r="R1641" t="s">
        <v>33993</v>
      </c>
      <c r="S1641" t="s">
        <v>33994</v>
      </c>
      <c r="T1641" t="s">
        <v>33995</v>
      </c>
      <c r="U1641" t="s">
        <v>33996</v>
      </c>
      <c r="V1641" t="s">
        <v>33997</v>
      </c>
      <c r="W1641" t="s">
        <v>33998</v>
      </c>
      <c r="X1641" t="s">
        <v>33999</v>
      </c>
      <c r="Y1641" t="s">
        <v>34000</v>
      </c>
    </row>
    <row r="1642" spans="1:25" x14ac:dyDescent="0.3">
      <c r="A1642">
        <v>82050</v>
      </c>
      <c r="B1642" t="s">
        <v>34001</v>
      </c>
      <c r="C1642" t="s">
        <v>34002</v>
      </c>
      <c r="D1642" t="s">
        <v>34003</v>
      </c>
      <c r="E1642" t="s">
        <v>34004</v>
      </c>
      <c r="F1642" t="s">
        <v>34005</v>
      </c>
      <c r="G1642" t="s">
        <v>34006</v>
      </c>
      <c r="H1642" t="s">
        <v>34007</v>
      </c>
      <c r="I1642" t="s">
        <v>34008</v>
      </c>
      <c r="J1642" t="s">
        <v>34009</v>
      </c>
      <c r="K1642" t="s">
        <v>34010</v>
      </c>
      <c r="L1642" t="s">
        <v>34011</v>
      </c>
      <c r="M1642" t="s">
        <v>34012</v>
      </c>
      <c r="N1642" t="s">
        <v>34013</v>
      </c>
      <c r="O1642" t="s">
        <v>34014</v>
      </c>
      <c r="P1642">
        <f>-807.468320777275 -33.655085659238 -221.53673545434</f>
        <v>-1062.6601418908531</v>
      </c>
      <c r="Q1642">
        <f>-591.66728791992 -55.0481061986343 -326.527902286939</f>
        <v>-973.24329640549331</v>
      </c>
      <c r="R1642" t="s">
        <v>34015</v>
      </c>
      <c r="S1642" t="s">
        <v>34016</v>
      </c>
      <c r="T1642" t="s">
        <v>34017</v>
      </c>
      <c r="U1642" t="s">
        <v>34018</v>
      </c>
      <c r="V1642" t="s">
        <v>34019</v>
      </c>
      <c r="W1642" t="s">
        <v>34020</v>
      </c>
      <c r="X1642" t="s">
        <v>34021</v>
      </c>
      <c r="Y1642" t="s">
        <v>34022</v>
      </c>
    </row>
    <row r="1643" spans="1:25" x14ac:dyDescent="0.3">
      <c r="A1643">
        <v>82100</v>
      </c>
      <c r="B1643" t="s">
        <v>34023</v>
      </c>
      <c r="C1643" t="s">
        <v>34024</v>
      </c>
      <c r="D1643" t="s">
        <v>34025</v>
      </c>
      <c r="E1643" t="s">
        <v>34026</v>
      </c>
      <c r="F1643" t="s">
        <v>34027</v>
      </c>
      <c r="G1643" t="s">
        <v>34028</v>
      </c>
      <c r="H1643" t="s">
        <v>34029</v>
      </c>
      <c r="I1643" t="s">
        <v>34030</v>
      </c>
      <c r="J1643" t="s">
        <v>34031</v>
      </c>
      <c r="K1643" t="s">
        <v>34032</v>
      </c>
      <c r="L1643" t="s">
        <v>34033</v>
      </c>
      <c r="M1643" t="s">
        <v>34034</v>
      </c>
      <c r="N1643" t="s">
        <v>34035</v>
      </c>
      <c r="O1643" t="s">
        <v>34036</v>
      </c>
      <c r="P1643">
        <f>-808.531606602348 -34.80152306127 -223.098436681002</f>
        <v>-1066.43156634462</v>
      </c>
      <c r="Q1643">
        <f>-592.889449058452 -55.4955448528253 -328.55489694107</f>
        <v>-976.93989085234739</v>
      </c>
      <c r="R1643" t="s">
        <v>34037</v>
      </c>
      <c r="S1643" t="s">
        <v>34038</v>
      </c>
      <c r="T1643" t="s">
        <v>34039</v>
      </c>
      <c r="U1643" t="s">
        <v>34040</v>
      </c>
      <c r="V1643" t="s">
        <v>34041</v>
      </c>
      <c r="W1643" t="s">
        <v>34042</v>
      </c>
      <c r="X1643" t="s">
        <v>34043</v>
      </c>
      <c r="Y1643" t="s">
        <v>34044</v>
      </c>
    </row>
    <row r="1644" spans="1:25" x14ac:dyDescent="0.3">
      <c r="A1644">
        <v>82150</v>
      </c>
      <c r="B1644" t="s">
        <v>34045</v>
      </c>
      <c r="C1644" t="s">
        <v>34046</v>
      </c>
      <c r="D1644" t="s">
        <v>34047</v>
      </c>
      <c r="E1644" t="s">
        <v>34048</v>
      </c>
      <c r="F1644" t="s">
        <v>34049</v>
      </c>
      <c r="G1644" t="s">
        <v>34050</v>
      </c>
      <c r="H1644" t="s">
        <v>34051</v>
      </c>
      <c r="I1644" t="s">
        <v>34052</v>
      </c>
      <c r="J1644" t="s">
        <v>34053</v>
      </c>
      <c r="K1644" t="s">
        <v>34054</v>
      </c>
      <c r="L1644" t="s">
        <v>34055</v>
      </c>
      <c r="M1644" t="s">
        <v>34056</v>
      </c>
      <c r="N1644" t="s">
        <v>34057</v>
      </c>
      <c r="O1644" t="s">
        <v>34058</v>
      </c>
      <c r="P1644">
        <f>-808.586439541449 -35.573681424954 -223.942224475174</f>
        <v>-1068.102345441577</v>
      </c>
      <c r="Q1644">
        <f>-593.009015725979 -55.7727716016532 -329.626965062255</f>
        <v>-978.40875238988724</v>
      </c>
      <c r="R1644" t="s">
        <v>34059</v>
      </c>
      <c r="S1644" t="s">
        <v>34060</v>
      </c>
      <c r="T1644" t="s">
        <v>34061</v>
      </c>
      <c r="U1644" t="s">
        <v>34062</v>
      </c>
      <c r="V1644" t="s">
        <v>34063</v>
      </c>
      <c r="W1644" t="s">
        <v>34064</v>
      </c>
      <c r="X1644" t="s">
        <v>34065</v>
      </c>
      <c r="Y1644" t="s">
        <v>34066</v>
      </c>
    </row>
    <row r="1645" spans="1:25" x14ac:dyDescent="0.3">
      <c r="A1645">
        <v>82200</v>
      </c>
      <c r="B1645" t="s">
        <v>34067</v>
      </c>
      <c r="C1645" t="s">
        <v>34068</v>
      </c>
      <c r="D1645" t="s">
        <v>34069</v>
      </c>
      <c r="E1645" t="s">
        <v>34070</v>
      </c>
      <c r="F1645" t="s">
        <v>34071</v>
      </c>
      <c r="G1645" t="s">
        <v>34072</v>
      </c>
      <c r="H1645" t="s">
        <v>34073</v>
      </c>
      <c r="I1645" t="s">
        <v>34074</v>
      </c>
      <c r="J1645" t="s">
        <v>34075</v>
      </c>
      <c r="K1645" t="s">
        <v>34076</v>
      </c>
      <c r="L1645" t="s">
        <v>34077</v>
      </c>
      <c r="M1645" t="s">
        <v>34078</v>
      </c>
      <c r="N1645" t="s">
        <v>34079</v>
      </c>
      <c r="O1645" t="s">
        <v>34080</v>
      </c>
      <c r="P1645">
        <f>-808.435600581499 -37.133027252215 -225.24987758782</f>
        <v>-1070.8185054215339</v>
      </c>
      <c r="Q1645">
        <f>-593.197391815846 -56.5185071699289 -331.77516959758</f>
        <v>-981.49106858335483</v>
      </c>
      <c r="R1645" t="s">
        <v>34081</v>
      </c>
      <c r="S1645" t="s">
        <v>34082</v>
      </c>
      <c r="T1645" t="s">
        <v>34083</v>
      </c>
      <c r="U1645" t="s">
        <v>34084</v>
      </c>
      <c r="V1645" t="s">
        <v>34085</v>
      </c>
      <c r="W1645" t="s">
        <v>34086</v>
      </c>
      <c r="X1645" t="s">
        <v>34087</v>
      </c>
      <c r="Y1645" t="s">
        <v>34088</v>
      </c>
    </row>
    <row r="1646" spans="1:25" x14ac:dyDescent="0.3">
      <c r="A1646">
        <v>82250</v>
      </c>
      <c r="B1646" t="s">
        <v>34089</v>
      </c>
      <c r="C1646" t="s">
        <v>34090</v>
      </c>
      <c r="D1646" t="s">
        <v>34091</v>
      </c>
      <c r="E1646" t="s">
        <v>34092</v>
      </c>
      <c r="F1646" t="s">
        <v>34093</v>
      </c>
      <c r="G1646" t="s">
        <v>34094</v>
      </c>
      <c r="H1646" t="s">
        <v>34095</v>
      </c>
      <c r="I1646" t="s">
        <v>34096</v>
      </c>
      <c r="J1646" t="s">
        <v>34097</v>
      </c>
      <c r="K1646" t="s">
        <v>34098</v>
      </c>
      <c r="L1646" t="s">
        <v>34099</v>
      </c>
      <c r="M1646" t="s">
        <v>34100</v>
      </c>
      <c r="N1646" t="s">
        <v>34101</v>
      </c>
      <c r="O1646" t="s">
        <v>34102</v>
      </c>
      <c r="P1646">
        <f>-809.04084647393 -37.5898027046658 -225.657918798307</f>
        <v>-1072.2885679769026</v>
      </c>
      <c r="Q1646">
        <f>-594.194505653587 -56.9125670051405 -332.982209711989</f>
        <v>-984.08928237071655</v>
      </c>
      <c r="R1646" t="s">
        <v>34103</v>
      </c>
      <c r="S1646" t="s">
        <v>34104</v>
      </c>
      <c r="T1646" t="s">
        <v>34105</v>
      </c>
      <c r="U1646" t="s">
        <v>34106</v>
      </c>
      <c r="V1646" t="s">
        <v>34107</v>
      </c>
      <c r="W1646" t="s">
        <v>34108</v>
      </c>
      <c r="X1646" t="s">
        <v>34109</v>
      </c>
      <c r="Y1646" t="s">
        <v>34110</v>
      </c>
    </row>
    <row r="1647" spans="1:25" x14ac:dyDescent="0.3">
      <c r="A1647">
        <v>82300</v>
      </c>
      <c r="B1647" t="s">
        <v>34111</v>
      </c>
      <c r="C1647" t="s">
        <v>34112</v>
      </c>
      <c r="D1647" t="s">
        <v>34113</v>
      </c>
      <c r="E1647" t="s">
        <v>34114</v>
      </c>
      <c r="F1647" t="s">
        <v>34115</v>
      </c>
      <c r="G1647" t="s">
        <v>34116</v>
      </c>
      <c r="H1647" t="s">
        <v>34117</v>
      </c>
      <c r="I1647" t="s">
        <v>34118</v>
      </c>
      <c r="J1647" t="s">
        <v>34119</v>
      </c>
      <c r="K1647" t="s">
        <v>34120</v>
      </c>
      <c r="L1647" t="s">
        <v>34121</v>
      </c>
      <c r="M1647" t="s">
        <v>34122</v>
      </c>
      <c r="N1647" t="s">
        <v>34123</v>
      </c>
      <c r="O1647" t="s">
        <v>34124</v>
      </c>
      <c r="P1647">
        <f>-811.517831586443 -37.1280897222757 -226.110460841291</f>
        <v>-1074.7563821500098</v>
      </c>
      <c r="Q1647">
        <f>-597.80736256445 -56.796920806466 -335.617763470988</f>
        <v>-990.2220468419041</v>
      </c>
      <c r="R1647" t="s">
        <v>34125</v>
      </c>
      <c r="S1647" t="s">
        <v>34126</v>
      </c>
      <c r="T1647" t="s">
        <v>34127</v>
      </c>
      <c r="U1647" t="s">
        <v>34128</v>
      </c>
      <c r="V1647" t="s">
        <v>34129</v>
      </c>
      <c r="W1647" t="s">
        <v>34130</v>
      </c>
      <c r="X1647" t="s">
        <v>34131</v>
      </c>
      <c r="Y1647" t="s">
        <v>34132</v>
      </c>
    </row>
    <row r="1648" spans="1:25" x14ac:dyDescent="0.3">
      <c r="A1648">
        <v>82350</v>
      </c>
      <c r="B1648" t="s">
        <v>34133</v>
      </c>
      <c r="C1648" t="s">
        <v>34134</v>
      </c>
      <c r="D1648" t="s">
        <v>34135</v>
      </c>
      <c r="E1648" t="s">
        <v>34136</v>
      </c>
      <c r="F1648" t="s">
        <v>34137</v>
      </c>
      <c r="G1648" t="s">
        <v>34138</v>
      </c>
      <c r="H1648" t="s">
        <v>34139</v>
      </c>
      <c r="I1648" t="s">
        <v>34140</v>
      </c>
      <c r="J1648" t="s">
        <v>34141</v>
      </c>
      <c r="K1648" t="s">
        <v>34142</v>
      </c>
      <c r="L1648" t="s">
        <v>34143</v>
      </c>
      <c r="M1648" t="s">
        <v>34144</v>
      </c>
      <c r="N1648" t="s">
        <v>34145</v>
      </c>
      <c r="O1648" t="s">
        <v>34146</v>
      </c>
      <c r="P1648">
        <f>-812.945623442042 -36.1205357464341 -226.1450356386</f>
        <v>-1075.2111948270763</v>
      </c>
      <c r="Q1648">
        <f>-599.909975338128 -56.3463109255285 -336.858844137636</f>
        <v>-993.11513040129262</v>
      </c>
      <c r="R1648" t="s">
        <v>34147</v>
      </c>
      <c r="S1648" t="s">
        <v>34148</v>
      </c>
      <c r="T1648" t="s">
        <v>34149</v>
      </c>
      <c r="U1648" t="s">
        <v>34150</v>
      </c>
      <c r="V1648" t="s">
        <v>34151</v>
      </c>
      <c r="W1648" t="s">
        <v>34152</v>
      </c>
      <c r="X1648" t="s">
        <v>34153</v>
      </c>
      <c r="Y1648" t="s">
        <v>34154</v>
      </c>
    </row>
    <row r="1649" spans="1:25" x14ac:dyDescent="0.3">
      <c r="A1649">
        <v>82400</v>
      </c>
      <c r="B1649" t="s">
        <v>34155</v>
      </c>
      <c r="C1649" t="s">
        <v>34156</v>
      </c>
      <c r="D1649" t="s">
        <v>34157</v>
      </c>
      <c r="E1649" t="s">
        <v>34158</v>
      </c>
      <c r="F1649" t="s">
        <v>34159</v>
      </c>
      <c r="G1649" t="s">
        <v>34160</v>
      </c>
      <c r="H1649" t="s">
        <v>34161</v>
      </c>
      <c r="I1649" t="s">
        <v>34162</v>
      </c>
      <c r="J1649" t="s">
        <v>34163</v>
      </c>
      <c r="K1649" t="s">
        <v>34164</v>
      </c>
      <c r="L1649" t="s">
        <v>34165</v>
      </c>
      <c r="M1649" t="s">
        <v>34166</v>
      </c>
      <c r="N1649" t="s">
        <v>34167</v>
      </c>
      <c r="O1649" t="s">
        <v>34168</v>
      </c>
      <c r="P1649">
        <f>-814.863381954153 -34.1377921090498 -225.930815513182</f>
        <v>-1074.9319895763849</v>
      </c>
      <c r="Q1649">
        <f>-603.035240740891 -55.6848066388413 -338.693440545465</f>
        <v>-997.41348792519739</v>
      </c>
      <c r="R1649" t="s">
        <v>34169</v>
      </c>
      <c r="S1649" t="s">
        <v>34170</v>
      </c>
      <c r="T1649" t="s">
        <v>34171</v>
      </c>
      <c r="U1649" t="s">
        <v>34172</v>
      </c>
      <c r="V1649" t="s">
        <v>34173</v>
      </c>
      <c r="W1649" t="s">
        <v>34174</v>
      </c>
      <c r="X1649" t="s">
        <v>34175</v>
      </c>
      <c r="Y1649" t="s">
        <v>34176</v>
      </c>
    </row>
    <row r="1650" spans="1:25" x14ac:dyDescent="0.3">
      <c r="A1650">
        <v>82450</v>
      </c>
      <c r="B1650" t="s">
        <v>34177</v>
      </c>
      <c r="C1650" t="s">
        <v>34178</v>
      </c>
      <c r="D1650" t="s">
        <v>34179</v>
      </c>
      <c r="E1650" t="s">
        <v>34180</v>
      </c>
      <c r="F1650" t="s">
        <v>34181</v>
      </c>
      <c r="G1650" t="s">
        <v>34182</v>
      </c>
      <c r="H1650" t="s">
        <v>34183</v>
      </c>
      <c r="I1650" t="s">
        <v>34184</v>
      </c>
      <c r="J1650" t="s">
        <v>34185</v>
      </c>
      <c r="K1650" t="s">
        <v>34186</v>
      </c>
      <c r="L1650" t="s">
        <v>34187</v>
      </c>
      <c r="M1650" t="s">
        <v>34188</v>
      </c>
      <c r="N1650" t="s">
        <v>34189</v>
      </c>
      <c r="O1650" t="s">
        <v>34190</v>
      </c>
      <c r="P1650">
        <f>-815.62611828737 -33.1469645555126 -225.731273691693</f>
        <v>-1074.5043565345754</v>
      </c>
      <c r="Q1650">
        <f>-604.286639783557 -55.5683557181926 -339.237681957016</f>
        <v>-999.09267745876559</v>
      </c>
      <c r="R1650" t="s">
        <v>34191</v>
      </c>
      <c r="S1650" t="s">
        <v>34192</v>
      </c>
      <c r="T1650" t="s">
        <v>34193</v>
      </c>
      <c r="U1650" t="s">
        <v>34194</v>
      </c>
      <c r="V1650" t="s">
        <v>34195</v>
      </c>
      <c r="W1650" t="s">
        <v>34196</v>
      </c>
      <c r="X1650" t="s">
        <v>34197</v>
      </c>
      <c r="Y1650" t="s">
        <v>34198</v>
      </c>
    </row>
    <row r="1651" spans="1:25" x14ac:dyDescent="0.3">
      <c r="A1651">
        <v>82500</v>
      </c>
      <c r="B1651" t="s">
        <v>34199</v>
      </c>
      <c r="C1651" t="s">
        <v>34200</v>
      </c>
      <c r="D1651" t="s">
        <v>34201</v>
      </c>
      <c r="E1651" t="s">
        <v>34202</v>
      </c>
      <c r="F1651" t="s">
        <v>34203</v>
      </c>
      <c r="G1651" t="s">
        <v>34204</v>
      </c>
      <c r="H1651" t="s">
        <v>34205</v>
      </c>
      <c r="I1651" t="s">
        <v>34206</v>
      </c>
      <c r="J1651" t="s">
        <v>34207</v>
      </c>
      <c r="K1651" t="s">
        <v>34208</v>
      </c>
      <c r="L1651" t="s">
        <v>34209</v>
      </c>
      <c r="M1651" t="s">
        <v>34210</v>
      </c>
      <c r="N1651" t="s">
        <v>34211</v>
      </c>
      <c r="O1651" t="s">
        <v>34212</v>
      </c>
      <c r="P1651">
        <f>-817.055795251719 -31.622282905661 -225.265368158697</f>
        <v>-1073.9434463160769</v>
      </c>
      <c r="Q1651">
        <f>-606.706999093409 -55.8042275962748 -340.24136055218</f>
        <v>-1002.7525872418638</v>
      </c>
      <c r="R1651" t="s">
        <v>34213</v>
      </c>
      <c r="S1651" t="s">
        <v>34214</v>
      </c>
      <c r="T1651" t="s">
        <v>34215</v>
      </c>
      <c r="U1651" t="s">
        <v>34216</v>
      </c>
      <c r="V1651" t="s">
        <v>34217</v>
      </c>
      <c r="W1651" t="s">
        <v>34218</v>
      </c>
      <c r="X1651" t="s">
        <v>34219</v>
      </c>
      <c r="Y1651" t="s">
        <v>34220</v>
      </c>
    </row>
    <row r="1652" spans="1:25" x14ac:dyDescent="0.3">
      <c r="A1652">
        <v>82550</v>
      </c>
      <c r="B1652" t="s">
        <v>34221</v>
      </c>
      <c r="C1652" t="s">
        <v>34222</v>
      </c>
      <c r="D1652" t="s">
        <v>34223</v>
      </c>
      <c r="E1652" t="s">
        <v>34224</v>
      </c>
      <c r="F1652" t="s">
        <v>34225</v>
      </c>
      <c r="G1652" t="s">
        <v>34226</v>
      </c>
      <c r="H1652" t="s">
        <v>34227</v>
      </c>
      <c r="I1652" t="s">
        <v>34228</v>
      </c>
      <c r="J1652" t="s">
        <v>34229</v>
      </c>
      <c r="K1652" t="s">
        <v>34230</v>
      </c>
      <c r="L1652" t="s">
        <v>34231</v>
      </c>
      <c r="M1652" t="s">
        <v>34232</v>
      </c>
      <c r="N1652" t="s">
        <v>34233</v>
      </c>
      <c r="O1652" t="s">
        <v>34234</v>
      </c>
      <c r="P1652">
        <f>-817.581102053407 -31.1172036523349 -225.137528120327</f>
        <v>-1073.8358338260689</v>
      </c>
      <c r="Q1652">
        <f>-607.531004517912 -55.6883266570794 -340.575831577858</f>
        <v>-1003.7951627528495</v>
      </c>
      <c r="R1652" t="s">
        <v>34235</v>
      </c>
      <c r="S1652" t="s">
        <v>34236</v>
      </c>
      <c r="T1652" t="s">
        <v>34237</v>
      </c>
      <c r="U1652" t="s">
        <v>34238</v>
      </c>
      <c r="V1652" t="s">
        <v>34239</v>
      </c>
      <c r="W1652" t="s">
        <v>34240</v>
      </c>
      <c r="X1652" t="s">
        <v>34241</v>
      </c>
      <c r="Y1652" t="s">
        <v>34242</v>
      </c>
    </row>
    <row r="1653" spans="1:25" x14ac:dyDescent="0.3">
      <c r="A1653">
        <v>82600</v>
      </c>
      <c r="B1653" t="s">
        <v>34243</v>
      </c>
      <c r="C1653" t="s">
        <v>34244</v>
      </c>
      <c r="D1653" t="s">
        <v>34245</v>
      </c>
      <c r="E1653" t="s">
        <v>34246</v>
      </c>
      <c r="F1653" t="s">
        <v>34247</v>
      </c>
      <c r="G1653" t="s">
        <v>34248</v>
      </c>
      <c r="H1653" t="s">
        <v>34249</v>
      </c>
      <c r="I1653" t="s">
        <v>34250</v>
      </c>
      <c r="J1653" t="s">
        <v>34251</v>
      </c>
      <c r="K1653" t="s">
        <v>34252</v>
      </c>
      <c r="L1653" t="s">
        <v>34253</v>
      </c>
      <c r="M1653" t="s">
        <v>34254</v>
      </c>
      <c r="N1653" t="s">
        <v>34255</v>
      </c>
      <c r="O1653" t="s">
        <v>34256</v>
      </c>
      <c r="P1653">
        <f>-817.375014150015 -30.7321813508993 -224.985396404723</f>
        <v>-1073.0925919056372</v>
      </c>
      <c r="Q1653">
        <f>-607.786530706509 -54.9285551797425 -341.338697401164</f>
        <v>-1004.0537832874154</v>
      </c>
      <c r="R1653" t="s">
        <v>34257</v>
      </c>
      <c r="S1653" t="s">
        <v>34258</v>
      </c>
      <c r="T1653" t="s">
        <v>34259</v>
      </c>
      <c r="U1653" t="s">
        <v>34260</v>
      </c>
      <c r="V1653" t="s">
        <v>34261</v>
      </c>
      <c r="W1653" t="s">
        <v>34262</v>
      </c>
      <c r="X1653" t="s">
        <v>34263</v>
      </c>
      <c r="Y1653" t="s">
        <v>34264</v>
      </c>
    </row>
    <row r="1654" spans="1:25" x14ac:dyDescent="0.3">
      <c r="A1654">
        <v>82650</v>
      </c>
      <c r="B1654" t="s">
        <v>34265</v>
      </c>
      <c r="C1654" t="s">
        <v>34266</v>
      </c>
      <c r="D1654" t="s">
        <v>34267</v>
      </c>
      <c r="E1654" t="s">
        <v>34268</v>
      </c>
      <c r="F1654" t="s">
        <v>34269</v>
      </c>
      <c r="G1654" t="s">
        <v>34270</v>
      </c>
      <c r="H1654" t="s">
        <v>34271</v>
      </c>
      <c r="I1654" t="s">
        <v>34272</v>
      </c>
      <c r="J1654" t="s">
        <v>34273</v>
      </c>
      <c r="K1654" t="s">
        <v>34274</v>
      </c>
      <c r="L1654" t="s">
        <v>34275</v>
      </c>
      <c r="M1654" t="s">
        <v>34276</v>
      </c>
      <c r="N1654" t="s">
        <v>34277</v>
      </c>
      <c r="O1654" t="s">
        <v>34278</v>
      </c>
      <c r="P1654">
        <f>-817.370466863857 -30.5423870990244 -224.785779515322</f>
        <v>-1072.6986334782034</v>
      </c>
      <c r="Q1654">
        <f>-608.023784899615 -54.4366464171665 -341.635406148275</f>
        <v>-1004.0958374650564</v>
      </c>
      <c r="R1654" t="s">
        <v>34279</v>
      </c>
      <c r="S1654" t="s">
        <v>34280</v>
      </c>
      <c r="T1654" t="s">
        <v>34281</v>
      </c>
      <c r="U1654" t="s">
        <v>34282</v>
      </c>
      <c r="V1654" t="s">
        <v>34283</v>
      </c>
      <c r="W1654" t="s">
        <v>34284</v>
      </c>
      <c r="X1654" t="s">
        <v>34285</v>
      </c>
      <c r="Y1654" t="s">
        <v>34286</v>
      </c>
    </row>
    <row r="1655" spans="1:25" x14ac:dyDescent="0.3">
      <c r="A1655">
        <v>82700</v>
      </c>
      <c r="B1655" t="s">
        <v>34287</v>
      </c>
      <c r="C1655" t="s">
        <v>34288</v>
      </c>
      <c r="D1655" t="s">
        <v>34289</v>
      </c>
      <c r="E1655" t="s">
        <v>34290</v>
      </c>
      <c r="F1655" t="s">
        <v>34291</v>
      </c>
      <c r="G1655" t="s">
        <v>34292</v>
      </c>
      <c r="H1655" t="s">
        <v>34293</v>
      </c>
      <c r="I1655" t="s">
        <v>34294</v>
      </c>
      <c r="J1655" t="s">
        <v>34295</v>
      </c>
      <c r="K1655" t="s">
        <v>34296</v>
      </c>
      <c r="L1655" t="s">
        <v>34297</v>
      </c>
      <c r="M1655" t="s">
        <v>34298</v>
      </c>
      <c r="N1655" t="s">
        <v>34299</v>
      </c>
      <c r="O1655" t="s">
        <v>34300</v>
      </c>
      <c r="P1655">
        <f>-817.473518206417 -30.0846625591703 -224.058677402488</f>
        <v>-1071.6168581680754</v>
      </c>
      <c r="Q1655">
        <f>-609.027247121585 -52.420377046149 -342.811262731472</f>
        <v>-1004.2588868992061</v>
      </c>
      <c r="R1655" t="s">
        <v>34301</v>
      </c>
      <c r="S1655" t="s">
        <v>34302</v>
      </c>
      <c r="T1655" t="s">
        <v>34303</v>
      </c>
      <c r="U1655" t="s">
        <v>34304</v>
      </c>
      <c r="V1655" t="s">
        <v>34305</v>
      </c>
      <c r="W1655" t="s">
        <v>34306</v>
      </c>
      <c r="X1655" t="s">
        <v>34307</v>
      </c>
      <c r="Y1655" t="s">
        <v>34308</v>
      </c>
    </row>
    <row r="1656" spans="1:25" x14ac:dyDescent="0.3">
      <c r="A1656">
        <v>82750</v>
      </c>
      <c r="B1656" t="s">
        <v>34309</v>
      </c>
      <c r="C1656" t="s">
        <v>34310</v>
      </c>
      <c r="D1656" t="s">
        <v>34311</v>
      </c>
      <c r="E1656" t="s">
        <v>34312</v>
      </c>
      <c r="F1656" t="s">
        <v>34313</v>
      </c>
      <c r="G1656" t="s">
        <v>34314</v>
      </c>
      <c r="H1656" t="s">
        <v>34315</v>
      </c>
      <c r="I1656" t="s">
        <v>34316</v>
      </c>
      <c r="J1656" t="s">
        <v>34317</v>
      </c>
      <c r="K1656" t="s">
        <v>34318</v>
      </c>
      <c r="L1656" t="s">
        <v>34319</v>
      </c>
      <c r="M1656" t="s">
        <v>34320</v>
      </c>
      <c r="N1656" t="s">
        <v>34321</v>
      </c>
      <c r="O1656" t="s">
        <v>34322</v>
      </c>
      <c r="P1656">
        <f>-817.153942128115 -29.3514037675313 -223.681003567555</f>
        <v>-1070.1863494632014</v>
      </c>
      <c r="Q1656">
        <f>-609.286587017121 -51.001251627501 -343.569198599317</f>
        <v>-1003.857037243939</v>
      </c>
      <c r="R1656" t="s">
        <v>34323</v>
      </c>
      <c r="S1656" t="s">
        <v>34324</v>
      </c>
      <c r="T1656" t="s">
        <v>34325</v>
      </c>
      <c r="U1656" t="s">
        <v>34326</v>
      </c>
      <c r="V1656" t="s">
        <v>34327</v>
      </c>
      <c r="W1656" t="s">
        <v>34328</v>
      </c>
      <c r="X1656" t="s">
        <v>34329</v>
      </c>
      <c r="Y1656" t="s">
        <v>34330</v>
      </c>
    </row>
    <row r="1657" spans="1:25" x14ac:dyDescent="0.3">
      <c r="A1657">
        <v>82800</v>
      </c>
      <c r="B1657" t="s">
        <v>34331</v>
      </c>
      <c r="C1657" t="s">
        <v>34332</v>
      </c>
      <c r="D1657" t="s">
        <v>34333</v>
      </c>
      <c r="E1657" t="s">
        <v>34334</v>
      </c>
      <c r="F1657" t="s">
        <v>34335</v>
      </c>
      <c r="G1657" t="s">
        <v>34336</v>
      </c>
      <c r="H1657" t="s">
        <v>34337</v>
      </c>
      <c r="I1657" t="s">
        <v>34338</v>
      </c>
      <c r="J1657" t="s">
        <v>34339</v>
      </c>
      <c r="K1657" t="s">
        <v>34340</v>
      </c>
      <c r="L1657" t="s">
        <v>34341</v>
      </c>
      <c r="M1657" t="s">
        <v>34342</v>
      </c>
      <c r="N1657" t="s">
        <v>34343</v>
      </c>
      <c r="O1657" t="s">
        <v>34344</v>
      </c>
      <c r="P1657">
        <f>-815.416506604997 -28.3631094759407 -223.444626043556</f>
        <v>-1067.2242421244937</v>
      </c>
      <c r="Q1657">
        <f>-608.701432138415 -47.6253522807813 -345.7097958731</f>
        <v>-1002.0365802922963</v>
      </c>
      <c r="R1657" t="s">
        <v>34345</v>
      </c>
      <c r="S1657" t="s">
        <v>34346</v>
      </c>
      <c r="T1657" t="s">
        <v>34347</v>
      </c>
      <c r="U1657" t="s">
        <v>34348</v>
      </c>
      <c r="V1657" t="s">
        <v>34349</v>
      </c>
      <c r="W1657" t="s">
        <v>34350</v>
      </c>
      <c r="X1657" t="s">
        <v>34351</v>
      </c>
      <c r="Y1657" t="s">
        <v>34352</v>
      </c>
    </row>
    <row r="1658" spans="1:25" x14ac:dyDescent="0.3">
      <c r="A1658">
        <v>82850</v>
      </c>
      <c r="B1658" t="s">
        <v>34353</v>
      </c>
      <c r="C1658" t="s">
        <v>34354</v>
      </c>
      <c r="D1658" t="s">
        <v>34355</v>
      </c>
      <c r="E1658" t="s">
        <v>34356</v>
      </c>
      <c r="F1658" t="s">
        <v>34357</v>
      </c>
      <c r="G1658" t="s">
        <v>34358</v>
      </c>
      <c r="H1658" t="s">
        <v>34359</v>
      </c>
      <c r="I1658" t="s">
        <v>34360</v>
      </c>
      <c r="J1658" t="s">
        <v>34361</v>
      </c>
      <c r="K1658" t="s">
        <v>34362</v>
      </c>
      <c r="L1658" t="s">
        <v>34363</v>
      </c>
      <c r="M1658" t="s">
        <v>34364</v>
      </c>
      <c r="N1658" t="s">
        <v>34365</v>
      </c>
      <c r="O1658" t="s">
        <v>34366</v>
      </c>
      <c r="P1658">
        <f>-813.937721254428 -28.4363626237541 -223.551690978157</f>
        <v>-1065.9257748563391</v>
      </c>
      <c r="Q1658">
        <f>-607.785593944477 -46.2743364717701 -346.977896673893</f>
        <v>-1001.0378270901401</v>
      </c>
      <c r="R1658" t="s">
        <v>34367</v>
      </c>
      <c r="S1658" t="s">
        <v>34368</v>
      </c>
      <c r="T1658" t="s">
        <v>34369</v>
      </c>
      <c r="U1658" t="s">
        <v>34370</v>
      </c>
      <c r="V1658" t="s">
        <v>34371</v>
      </c>
      <c r="W1658" t="s">
        <v>34372</v>
      </c>
      <c r="X1658" t="s">
        <v>34373</v>
      </c>
      <c r="Y1658" t="s">
        <v>34374</v>
      </c>
    </row>
    <row r="1659" spans="1:25" x14ac:dyDescent="0.3">
      <c r="A1659">
        <v>82900</v>
      </c>
      <c r="B1659" t="s">
        <v>34375</v>
      </c>
      <c r="C1659" t="s">
        <v>34376</v>
      </c>
      <c r="D1659" t="s">
        <v>34377</v>
      </c>
      <c r="E1659" t="s">
        <v>34378</v>
      </c>
      <c r="F1659" t="s">
        <v>34379</v>
      </c>
      <c r="G1659" t="s">
        <v>34380</v>
      </c>
      <c r="H1659" t="s">
        <v>34381</v>
      </c>
      <c r="I1659" t="s">
        <v>34382</v>
      </c>
      <c r="J1659" t="s">
        <v>34383</v>
      </c>
      <c r="K1659" t="s">
        <v>34384</v>
      </c>
      <c r="L1659" t="s">
        <v>34385</v>
      </c>
      <c r="M1659" t="s">
        <v>34386</v>
      </c>
      <c r="N1659" t="s">
        <v>34387</v>
      </c>
      <c r="O1659" t="s">
        <v>34388</v>
      </c>
      <c r="P1659">
        <f>-810.412218349264 -28.8146762778001 -223.707553449487</f>
        <v>-1062.934448076551</v>
      </c>
      <c r="Q1659">
        <f>-605.243972174781 -44.2807741283825 -349.077359535133</f>
        <v>-998.60210583829644</v>
      </c>
      <c r="R1659" t="s">
        <v>34389</v>
      </c>
      <c r="S1659" t="s">
        <v>34390</v>
      </c>
      <c r="T1659" t="s">
        <v>34391</v>
      </c>
      <c r="U1659" t="s">
        <v>34392</v>
      </c>
      <c r="V1659" t="s">
        <v>34393</v>
      </c>
      <c r="W1659" t="s">
        <v>34394</v>
      </c>
      <c r="X1659" t="s">
        <v>34395</v>
      </c>
      <c r="Y1659" t="s">
        <v>34396</v>
      </c>
    </row>
    <row r="1660" spans="1:25" x14ac:dyDescent="0.3">
      <c r="A1660">
        <v>82950</v>
      </c>
      <c r="B1660" t="s">
        <v>34397</v>
      </c>
      <c r="C1660" t="s">
        <v>34398</v>
      </c>
      <c r="D1660" t="s">
        <v>34399</v>
      </c>
      <c r="E1660" t="s">
        <v>34400</v>
      </c>
      <c r="F1660" t="s">
        <v>34401</v>
      </c>
      <c r="G1660" t="s">
        <v>34402</v>
      </c>
      <c r="H1660" t="s">
        <v>34403</v>
      </c>
      <c r="I1660" t="s">
        <v>34404</v>
      </c>
      <c r="J1660" t="s">
        <v>34405</v>
      </c>
      <c r="K1660" t="s">
        <v>34406</v>
      </c>
      <c r="L1660" t="s">
        <v>34407</v>
      </c>
      <c r="M1660" t="s">
        <v>34408</v>
      </c>
      <c r="N1660" t="s">
        <v>34409</v>
      </c>
      <c r="O1660" t="s">
        <v>34410</v>
      </c>
      <c r="P1660">
        <f>-809.044219172077 -29.145449852303 -223.699140440531</f>
        <v>-1061.888809464911</v>
      </c>
      <c r="Q1660">
        <f>-604.125672259074 -43.6820994813602 -349.587763843986</f>
        <v>-997.39553558442026</v>
      </c>
      <c r="R1660" t="s">
        <v>34411</v>
      </c>
      <c r="S1660" t="s">
        <v>34412</v>
      </c>
      <c r="T1660" t="s">
        <v>34413</v>
      </c>
      <c r="U1660" t="s">
        <v>34414</v>
      </c>
      <c r="V1660" t="s">
        <v>34415</v>
      </c>
      <c r="W1660" t="s">
        <v>34416</v>
      </c>
      <c r="X1660" t="s">
        <v>34417</v>
      </c>
      <c r="Y1660" t="s">
        <v>34418</v>
      </c>
    </row>
    <row r="1661" spans="1:25" x14ac:dyDescent="0.3">
      <c r="A1661">
        <v>83000</v>
      </c>
      <c r="B1661" t="s">
        <v>34419</v>
      </c>
      <c r="C1661" t="s">
        <v>34420</v>
      </c>
      <c r="D1661" t="s">
        <v>34421</v>
      </c>
      <c r="E1661" t="s">
        <v>34422</v>
      </c>
      <c r="F1661" t="s">
        <v>34423</v>
      </c>
      <c r="G1661" t="s">
        <v>34424</v>
      </c>
      <c r="H1661" t="s">
        <v>34425</v>
      </c>
      <c r="I1661" t="s">
        <v>34426</v>
      </c>
      <c r="J1661" t="s">
        <v>34427</v>
      </c>
      <c r="K1661" t="s">
        <v>34428</v>
      </c>
      <c r="L1661" t="s">
        <v>34429</v>
      </c>
      <c r="M1661" t="s">
        <v>34430</v>
      </c>
      <c r="N1661" t="s">
        <v>34431</v>
      </c>
      <c r="O1661" t="s">
        <v>34432</v>
      </c>
      <c r="P1661">
        <f>-807.641847940838 -29.3720952010358 -223.896680293819</f>
        <v>-1060.9106234356927</v>
      </c>
      <c r="Q1661">
        <f>-602.482520908022 -42.7558329661142 -349.520441351885</f>
        <v>-994.75879522602122</v>
      </c>
      <c r="R1661" t="s">
        <v>34433</v>
      </c>
      <c r="S1661" t="s">
        <v>34434</v>
      </c>
      <c r="T1661" t="s">
        <v>34435</v>
      </c>
      <c r="U1661" t="s">
        <v>34436</v>
      </c>
      <c r="V1661" t="s">
        <v>34437</v>
      </c>
      <c r="W1661" t="s">
        <v>34438</v>
      </c>
      <c r="X1661" t="s">
        <v>34439</v>
      </c>
      <c r="Y1661" t="s">
        <v>34440</v>
      </c>
    </row>
    <row r="1662" spans="1:25" x14ac:dyDescent="0.3">
      <c r="A1662">
        <v>83050</v>
      </c>
      <c r="B1662" t="s">
        <v>34441</v>
      </c>
      <c r="C1662" t="s">
        <v>34442</v>
      </c>
      <c r="D1662" t="s">
        <v>34443</v>
      </c>
      <c r="E1662" t="s">
        <v>34444</v>
      </c>
      <c r="F1662" t="s">
        <v>34445</v>
      </c>
      <c r="G1662" t="s">
        <v>34446</v>
      </c>
      <c r="H1662" t="s">
        <v>34447</v>
      </c>
      <c r="I1662" t="s">
        <v>34448</v>
      </c>
      <c r="J1662" t="s">
        <v>34449</v>
      </c>
      <c r="K1662" t="s">
        <v>34450</v>
      </c>
      <c r="L1662" t="s">
        <v>34451</v>
      </c>
      <c r="M1662" t="s">
        <v>34452</v>
      </c>
      <c r="N1662" t="s">
        <v>34453</v>
      </c>
      <c r="O1662" t="s">
        <v>34454</v>
      </c>
      <c r="P1662">
        <f>-807.149349979836 -29.1903002590861 -224.059568827442</f>
        <v>-1060.3992190663641</v>
      </c>
      <c r="Q1662">
        <f>-601.592326941448 -42.0940710426889 -349.082031894545</f>
        <v>-992.76842987868201</v>
      </c>
      <c r="R1662" t="s">
        <v>34455</v>
      </c>
      <c r="S1662" t="s">
        <v>34456</v>
      </c>
      <c r="T1662" t="s">
        <v>34457</v>
      </c>
      <c r="U1662" t="s">
        <v>34458</v>
      </c>
      <c r="V1662" t="s">
        <v>34459</v>
      </c>
      <c r="W1662" t="s">
        <v>34460</v>
      </c>
      <c r="X1662" t="s">
        <v>34461</v>
      </c>
      <c r="Y1662" t="s">
        <v>34462</v>
      </c>
    </row>
    <row r="1663" spans="1:25" x14ac:dyDescent="0.3">
      <c r="A1663">
        <v>83100</v>
      </c>
      <c r="B1663" t="s">
        <v>34463</v>
      </c>
      <c r="C1663" t="s">
        <v>34464</v>
      </c>
      <c r="D1663" t="s">
        <v>34465</v>
      </c>
      <c r="E1663" t="s">
        <v>34466</v>
      </c>
      <c r="F1663" t="s">
        <v>34467</v>
      </c>
      <c r="G1663" t="s">
        <v>34468</v>
      </c>
      <c r="H1663" t="s">
        <v>34469</v>
      </c>
      <c r="I1663" t="s">
        <v>34470</v>
      </c>
      <c r="J1663" t="s">
        <v>34471</v>
      </c>
      <c r="K1663" t="s">
        <v>34472</v>
      </c>
      <c r="L1663" t="s">
        <v>34473</v>
      </c>
      <c r="M1663" t="s">
        <v>34474</v>
      </c>
      <c r="N1663" t="s">
        <v>34475</v>
      </c>
      <c r="O1663" t="s">
        <v>34476</v>
      </c>
      <c r="P1663">
        <f>-806.660073950104 -27.5695009781666 -224.151542981843</f>
        <v>-1058.3811179101135</v>
      </c>
      <c r="Q1663">
        <f>-600.483057085075 -40.3028730746223 -348.166421734297</f>
        <v>-988.95235189399432</v>
      </c>
      <c r="R1663" t="s">
        <v>34477</v>
      </c>
      <c r="S1663" t="s">
        <v>34478</v>
      </c>
      <c r="T1663" t="s">
        <v>34479</v>
      </c>
      <c r="U1663" t="s">
        <v>34480</v>
      </c>
      <c r="V1663" t="s">
        <v>34481</v>
      </c>
      <c r="W1663" t="s">
        <v>34482</v>
      </c>
      <c r="X1663" t="s">
        <v>34483</v>
      </c>
      <c r="Y1663" t="s">
        <v>34484</v>
      </c>
    </row>
    <row r="1664" spans="1:25" x14ac:dyDescent="0.3">
      <c r="A1664">
        <v>83150</v>
      </c>
      <c r="B1664" t="s">
        <v>34485</v>
      </c>
      <c r="C1664" t="s">
        <v>34486</v>
      </c>
      <c r="D1664" t="s">
        <v>34487</v>
      </c>
      <c r="E1664" t="s">
        <v>34488</v>
      </c>
      <c r="F1664" t="s">
        <v>34489</v>
      </c>
      <c r="G1664" t="s">
        <v>34490</v>
      </c>
      <c r="H1664" t="s">
        <v>34491</v>
      </c>
      <c r="I1664" t="s">
        <v>34492</v>
      </c>
      <c r="J1664" t="s">
        <v>34493</v>
      </c>
      <c r="K1664" t="s">
        <v>34494</v>
      </c>
      <c r="L1664" t="s">
        <v>34495</v>
      </c>
      <c r="M1664" t="s">
        <v>34496</v>
      </c>
      <c r="N1664" t="s">
        <v>34497</v>
      </c>
      <c r="O1664" t="s">
        <v>34498</v>
      </c>
      <c r="P1664">
        <f>-806.5851633692 -26.5821719302471 -224.150528298383</f>
        <v>-1057.3178635978302</v>
      </c>
      <c r="Q1664">
        <f>-600.296556551023 -39.2479695555044 -347.986951096653</f>
        <v>-987.53147720318032</v>
      </c>
      <c r="R1664" t="s">
        <v>34499</v>
      </c>
      <c r="S1664" t="s">
        <v>34500</v>
      </c>
      <c r="T1664" t="s">
        <v>34501</v>
      </c>
      <c r="U1664" t="s">
        <v>34502</v>
      </c>
      <c r="V1664" t="s">
        <v>34503</v>
      </c>
      <c r="W1664" t="s">
        <v>34504</v>
      </c>
      <c r="X1664" t="s">
        <v>34505</v>
      </c>
      <c r="Y1664" t="s">
        <v>34506</v>
      </c>
    </row>
    <row r="1665" spans="1:25" x14ac:dyDescent="0.3">
      <c r="A1665">
        <v>83200</v>
      </c>
      <c r="B1665" t="s">
        <v>34507</v>
      </c>
      <c r="C1665" t="s">
        <v>34508</v>
      </c>
      <c r="D1665" t="s">
        <v>34509</v>
      </c>
      <c r="E1665" t="s">
        <v>34510</v>
      </c>
      <c r="F1665" t="s">
        <v>34511</v>
      </c>
      <c r="G1665" t="s">
        <v>34512</v>
      </c>
      <c r="H1665" t="s">
        <v>34513</v>
      </c>
      <c r="I1665" t="s">
        <v>34514</v>
      </c>
      <c r="J1665" t="s">
        <v>34515</v>
      </c>
      <c r="K1665" t="s">
        <v>34516</v>
      </c>
      <c r="L1665" t="s">
        <v>34517</v>
      </c>
      <c r="M1665" t="s">
        <v>34518</v>
      </c>
      <c r="N1665" t="s">
        <v>34519</v>
      </c>
      <c r="O1665" t="s">
        <v>34520</v>
      </c>
      <c r="P1665">
        <f>-806.71656788485 -25.4824171701221 -224.42227806347</f>
        <v>-1056.6212631184421</v>
      </c>
      <c r="Q1665">
        <f>-600.319834402657 -37.6517653790154 -348.127858927881</f>
        <v>-986.09945870955335</v>
      </c>
      <c r="R1665" t="s">
        <v>34521</v>
      </c>
      <c r="S1665" t="s">
        <v>34522</v>
      </c>
      <c r="T1665" t="s">
        <v>34523</v>
      </c>
      <c r="U1665" t="s">
        <v>34524</v>
      </c>
      <c r="V1665" t="s">
        <v>34525</v>
      </c>
      <c r="W1665" t="s">
        <v>34526</v>
      </c>
      <c r="X1665" t="s">
        <v>34527</v>
      </c>
      <c r="Y1665" t="s">
        <v>34528</v>
      </c>
    </row>
    <row r="1666" spans="1:25" x14ac:dyDescent="0.3">
      <c r="A1666">
        <v>83250</v>
      </c>
      <c r="B1666" t="s">
        <v>34529</v>
      </c>
      <c r="C1666" t="s">
        <v>34530</v>
      </c>
      <c r="D1666" t="s">
        <v>34531</v>
      </c>
      <c r="E1666" t="s">
        <v>34532</v>
      </c>
      <c r="F1666" t="s">
        <v>34533</v>
      </c>
      <c r="G1666" t="s">
        <v>34534</v>
      </c>
      <c r="H1666" t="s">
        <v>34535</v>
      </c>
      <c r="I1666" t="s">
        <v>34536</v>
      </c>
      <c r="J1666" t="s">
        <v>34537</v>
      </c>
      <c r="K1666" t="s">
        <v>34538</v>
      </c>
      <c r="L1666" t="s">
        <v>34539</v>
      </c>
      <c r="M1666" t="s">
        <v>34540</v>
      </c>
      <c r="N1666" t="s">
        <v>34541</v>
      </c>
      <c r="O1666" t="s">
        <v>34542</v>
      </c>
      <c r="P1666">
        <f>-806.655155551879 -25.0732028276716 -224.6944152928</f>
        <v>-1056.4227736723506</v>
      </c>
      <c r="Q1666">
        <f>-600.223905158955 -36.8281372897134 -348.382728625409</f>
        <v>-985.43477107407739</v>
      </c>
      <c r="R1666" t="s">
        <v>34543</v>
      </c>
      <c r="S1666" t="s">
        <v>34544</v>
      </c>
      <c r="T1666" t="s">
        <v>34545</v>
      </c>
      <c r="U1666" t="s">
        <v>34546</v>
      </c>
      <c r="V1666" t="s">
        <v>34547</v>
      </c>
      <c r="W1666" t="s">
        <v>34548</v>
      </c>
      <c r="X1666" t="s">
        <v>34549</v>
      </c>
      <c r="Y1666" t="s">
        <v>34550</v>
      </c>
    </row>
    <row r="1667" spans="1:25" x14ac:dyDescent="0.3">
      <c r="A1667">
        <v>83300</v>
      </c>
      <c r="B1667" t="s">
        <v>34551</v>
      </c>
      <c r="C1667" t="s">
        <v>34552</v>
      </c>
      <c r="D1667" t="s">
        <v>34553</v>
      </c>
      <c r="E1667" t="s">
        <v>34554</v>
      </c>
      <c r="F1667" t="s">
        <v>34555</v>
      </c>
      <c r="G1667" t="s">
        <v>34556</v>
      </c>
      <c r="H1667" t="s">
        <v>34557</v>
      </c>
      <c r="I1667" t="s">
        <v>34558</v>
      </c>
      <c r="J1667" t="s">
        <v>34559</v>
      </c>
      <c r="K1667" t="s">
        <v>34560</v>
      </c>
      <c r="L1667" t="s">
        <v>34561</v>
      </c>
      <c r="M1667" t="s">
        <v>34562</v>
      </c>
      <c r="N1667" t="s">
        <v>34563</v>
      </c>
      <c r="O1667" t="s">
        <v>34564</v>
      </c>
      <c r="P1667">
        <f>-806.581939668899 -23.6440906386051 -225.368058710275</f>
        <v>-1055.5940890177792</v>
      </c>
      <c r="Q1667">
        <f>-600.244239002398 -34.5232727780458 -349.29269777813</f>
        <v>-984.06020955857377</v>
      </c>
      <c r="R1667" t="s">
        <v>34565</v>
      </c>
      <c r="S1667" t="s">
        <v>34566</v>
      </c>
      <c r="T1667" t="s">
        <v>34567</v>
      </c>
      <c r="U1667" t="s">
        <v>34568</v>
      </c>
      <c r="V1667" t="s">
        <v>34569</v>
      </c>
      <c r="W1667" t="s">
        <v>34570</v>
      </c>
      <c r="X1667" t="s">
        <v>34571</v>
      </c>
      <c r="Y1667" t="s">
        <v>34572</v>
      </c>
    </row>
    <row r="1668" spans="1:25" x14ac:dyDescent="0.3">
      <c r="A1668">
        <v>83350</v>
      </c>
      <c r="B1668" t="s">
        <v>34573</v>
      </c>
      <c r="C1668" t="s">
        <v>34574</v>
      </c>
      <c r="D1668" t="s">
        <v>34575</v>
      </c>
      <c r="E1668" t="s">
        <v>34576</v>
      </c>
      <c r="F1668" t="s">
        <v>34577</v>
      </c>
      <c r="G1668" t="s">
        <v>34578</v>
      </c>
      <c r="H1668" t="s">
        <v>34579</v>
      </c>
      <c r="I1668" t="s">
        <v>34580</v>
      </c>
      <c r="J1668" t="s">
        <v>34581</v>
      </c>
      <c r="K1668" t="s">
        <v>34582</v>
      </c>
      <c r="L1668" t="s">
        <v>34583</v>
      </c>
      <c r="M1668" t="s">
        <v>34584</v>
      </c>
      <c r="N1668" t="s">
        <v>34585</v>
      </c>
      <c r="O1668" t="s">
        <v>34586</v>
      </c>
      <c r="P1668">
        <f>-806.580289986752 -22.7171396381245 -225.706217023748</f>
        <v>-1055.0036466486245</v>
      </c>
      <c r="Q1668">
        <f>-600.376053533692 -33.200657411418 -349.886811661152</f>
        <v>-983.46352260626202</v>
      </c>
      <c r="R1668" t="s">
        <v>34587</v>
      </c>
      <c r="S1668" t="s">
        <v>34588</v>
      </c>
      <c r="T1668" t="s">
        <v>34589</v>
      </c>
      <c r="U1668" t="s">
        <v>34590</v>
      </c>
      <c r="V1668" t="s">
        <v>34591</v>
      </c>
      <c r="W1668" t="s">
        <v>34592</v>
      </c>
      <c r="X1668" t="s">
        <v>34593</v>
      </c>
      <c r="Y1668" t="s">
        <v>34594</v>
      </c>
    </row>
    <row r="1669" spans="1:25" x14ac:dyDescent="0.3">
      <c r="A1669">
        <v>83400</v>
      </c>
      <c r="B1669" t="s">
        <v>34595</v>
      </c>
      <c r="C1669" t="s">
        <v>34596</v>
      </c>
      <c r="D1669" t="s">
        <v>34597</v>
      </c>
      <c r="E1669" t="s">
        <v>34598</v>
      </c>
      <c r="F1669" t="s">
        <v>34599</v>
      </c>
      <c r="G1669" t="s">
        <v>34600</v>
      </c>
      <c r="H1669" t="s">
        <v>34601</v>
      </c>
      <c r="I1669" t="s">
        <v>34602</v>
      </c>
      <c r="J1669" t="s">
        <v>34603</v>
      </c>
      <c r="K1669" t="s">
        <v>34604</v>
      </c>
      <c r="L1669" t="s">
        <v>34605</v>
      </c>
      <c r="M1669" t="s">
        <v>34606</v>
      </c>
      <c r="N1669" t="s">
        <v>34607</v>
      </c>
      <c r="O1669" t="s">
        <v>34608</v>
      </c>
      <c r="P1669">
        <f>-806.681474142993 -21.6254798566474 -226.49601799251</f>
        <v>-1054.8029719921503</v>
      </c>
      <c r="Q1669">
        <f>-600.730355605387 -31.4049244014614 -351.153032062288</f>
        <v>-983.28831206913628</v>
      </c>
      <c r="R1669" t="s">
        <v>34609</v>
      </c>
      <c r="S1669" t="s">
        <v>34610</v>
      </c>
      <c r="T1669" t="s">
        <v>34611</v>
      </c>
      <c r="U1669" t="s">
        <v>34612</v>
      </c>
      <c r="V1669" t="s">
        <v>34613</v>
      </c>
      <c r="W1669" t="s">
        <v>34614</v>
      </c>
      <c r="X1669" t="s">
        <v>34615</v>
      </c>
      <c r="Y1669" t="s">
        <v>34616</v>
      </c>
    </row>
    <row r="1670" spans="1:25" x14ac:dyDescent="0.3">
      <c r="A1670">
        <v>83450</v>
      </c>
      <c r="B1670" t="s">
        <v>34617</v>
      </c>
      <c r="C1670" t="s">
        <v>34618</v>
      </c>
      <c r="D1670" t="s">
        <v>34619</v>
      </c>
      <c r="E1670" t="s">
        <v>34620</v>
      </c>
      <c r="F1670" t="s">
        <v>34621</v>
      </c>
      <c r="G1670" t="s">
        <v>34622</v>
      </c>
      <c r="H1670" t="s">
        <v>34623</v>
      </c>
      <c r="I1670" t="s">
        <v>34624</v>
      </c>
      <c r="J1670" t="s">
        <v>34625</v>
      </c>
      <c r="K1670" t="s">
        <v>34626</v>
      </c>
      <c r="L1670" t="s">
        <v>34627</v>
      </c>
      <c r="M1670" t="s">
        <v>34628</v>
      </c>
      <c r="N1670" t="s">
        <v>34629</v>
      </c>
      <c r="O1670" t="s">
        <v>34630</v>
      </c>
      <c r="P1670">
        <f>-806.960040837743 -21.1940500067758 -226.987007145422</f>
        <v>-1055.1410979899408</v>
      </c>
      <c r="Q1670">
        <f>-601.079178569222 -30.9074636540277 -351.764992862344</f>
        <v>-983.75163508559365</v>
      </c>
      <c r="R1670" t="s">
        <v>34631</v>
      </c>
      <c r="S1670" t="s">
        <v>34632</v>
      </c>
      <c r="T1670" t="s">
        <v>34633</v>
      </c>
      <c r="U1670" t="s">
        <v>34634</v>
      </c>
      <c r="V1670" t="s">
        <v>34635</v>
      </c>
      <c r="W1670" t="s">
        <v>34636</v>
      </c>
      <c r="X1670" t="s">
        <v>34637</v>
      </c>
      <c r="Y1670" t="s">
        <v>34638</v>
      </c>
    </row>
    <row r="1671" spans="1:25" x14ac:dyDescent="0.3">
      <c r="A1671">
        <v>83500</v>
      </c>
      <c r="B1671" t="s">
        <v>34639</v>
      </c>
      <c r="C1671" t="s">
        <v>34640</v>
      </c>
      <c r="D1671" t="s">
        <v>34641</v>
      </c>
      <c r="E1671" t="s">
        <v>34642</v>
      </c>
      <c r="F1671" t="s">
        <v>34643</v>
      </c>
      <c r="G1671" t="s">
        <v>34644</v>
      </c>
      <c r="H1671" t="s">
        <v>34645</v>
      </c>
      <c r="I1671" t="s">
        <v>34646</v>
      </c>
      <c r="J1671" t="s">
        <v>34647</v>
      </c>
      <c r="K1671" t="s">
        <v>34648</v>
      </c>
      <c r="L1671" t="s">
        <v>34649</v>
      </c>
      <c r="M1671" t="s">
        <v>34650</v>
      </c>
      <c r="N1671" t="s">
        <v>34651</v>
      </c>
      <c r="O1671" t="s">
        <v>34652</v>
      </c>
      <c r="P1671">
        <f>-807.370700514049 -20.6704502461598 -228.161677920428</f>
        <v>-1056.2028286806367</v>
      </c>
      <c r="Q1671">
        <f>-601.688970803247 -29.7661013480247 -353.31432987475</f>
        <v>-984.76940202602168</v>
      </c>
      <c r="R1671" t="s">
        <v>34653</v>
      </c>
      <c r="S1671" t="s">
        <v>34654</v>
      </c>
      <c r="T1671" t="s">
        <v>34655</v>
      </c>
      <c r="U1671" t="s">
        <v>34656</v>
      </c>
      <c r="V1671" t="s">
        <v>34657</v>
      </c>
      <c r="W1671" t="s">
        <v>34658</v>
      </c>
      <c r="X1671" t="s">
        <v>34659</v>
      </c>
      <c r="Y1671" t="s">
        <v>34660</v>
      </c>
    </row>
    <row r="1672" spans="1:25" x14ac:dyDescent="0.3">
      <c r="A1672">
        <v>83550</v>
      </c>
      <c r="B1672" t="s">
        <v>34661</v>
      </c>
      <c r="C1672" t="s">
        <v>34662</v>
      </c>
      <c r="D1672" t="s">
        <v>34663</v>
      </c>
      <c r="E1672" t="s">
        <v>34664</v>
      </c>
      <c r="F1672" t="s">
        <v>34665</v>
      </c>
      <c r="G1672" t="s">
        <v>34666</v>
      </c>
      <c r="H1672" t="s">
        <v>34667</v>
      </c>
      <c r="I1672" t="s">
        <v>34668</v>
      </c>
      <c r="J1672" t="s">
        <v>34669</v>
      </c>
      <c r="K1672" t="s">
        <v>34670</v>
      </c>
      <c r="L1672" t="s">
        <v>34671</v>
      </c>
      <c r="M1672" t="s">
        <v>34672</v>
      </c>
      <c r="N1672" t="s">
        <v>34673</v>
      </c>
      <c r="O1672" t="s">
        <v>34674</v>
      </c>
      <c r="P1672">
        <f>-807.557518235603 -20.1717717874458 -228.732411746917</f>
        <v>-1056.4617017699657</v>
      </c>
      <c r="Q1672">
        <f>-602.068462503368 -28.8127570713664 -354.232881827735</f>
        <v>-985.11410140246937</v>
      </c>
      <c r="R1672" t="s">
        <v>34675</v>
      </c>
      <c r="S1672" t="s">
        <v>34676</v>
      </c>
      <c r="T1672" t="s">
        <v>34677</v>
      </c>
      <c r="U1672" t="s">
        <v>34678</v>
      </c>
      <c r="V1672" t="s">
        <v>34679</v>
      </c>
      <c r="W1672" t="s">
        <v>34680</v>
      </c>
      <c r="X1672" t="s">
        <v>34681</v>
      </c>
      <c r="Y1672" t="s">
        <v>34682</v>
      </c>
    </row>
    <row r="1673" spans="1:25" x14ac:dyDescent="0.3">
      <c r="A1673">
        <v>83600</v>
      </c>
      <c r="B1673" t="s">
        <v>34683</v>
      </c>
      <c r="C1673" t="s">
        <v>34684</v>
      </c>
      <c r="D1673" t="s">
        <v>34685</v>
      </c>
      <c r="E1673" t="s">
        <v>34686</v>
      </c>
      <c r="F1673" t="s">
        <v>34687</v>
      </c>
      <c r="G1673" t="s">
        <v>34688</v>
      </c>
      <c r="H1673" t="s">
        <v>34689</v>
      </c>
      <c r="I1673" t="s">
        <v>34690</v>
      </c>
      <c r="J1673" t="s">
        <v>34691</v>
      </c>
      <c r="K1673" t="s">
        <v>34692</v>
      </c>
      <c r="L1673" t="s">
        <v>34693</v>
      </c>
      <c r="M1673" t="s">
        <v>34694</v>
      </c>
      <c r="N1673" t="s">
        <v>34695</v>
      </c>
      <c r="O1673" t="s">
        <v>34696</v>
      </c>
      <c r="P1673">
        <f>-808.653554717627 -18.8937273101405 -229.857444018825</f>
        <v>-1057.4047260465925</v>
      </c>
      <c r="Q1673">
        <f>-603.40581540869 -27.3629148125387 -355.764326743766</f>
        <v>-986.53305696499478</v>
      </c>
      <c r="R1673" t="s">
        <v>34697</v>
      </c>
      <c r="S1673" t="s">
        <v>34698</v>
      </c>
      <c r="T1673" t="s">
        <v>34699</v>
      </c>
      <c r="U1673" t="s">
        <v>34700</v>
      </c>
      <c r="V1673" t="s">
        <v>34701</v>
      </c>
      <c r="W1673" t="s">
        <v>34702</v>
      </c>
      <c r="X1673" t="s">
        <v>34703</v>
      </c>
      <c r="Y1673" t="s">
        <v>34704</v>
      </c>
    </row>
    <row r="1674" spans="1:25" x14ac:dyDescent="0.3">
      <c r="A1674">
        <v>83650</v>
      </c>
      <c r="B1674" t="s">
        <v>34705</v>
      </c>
      <c r="C1674" t="s">
        <v>34706</v>
      </c>
      <c r="D1674" t="s">
        <v>34707</v>
      </c>
      <c r="E1674" t="s">
        <v>34708</v>
      </c>
      <c r="F1674" t="s">
        <v>34709</v>
      </c>
      <c r="G1674" t="s">
        <v>34710</v>
      </c>
      <c r="H1674" t="s">
        <v>34711</v>
      </c>
      <c r="I1674" t="s">
        <v>34712</v>
      </c>
      <c r="J1674" t="s">
        <v>34713</v>
      </c>
      <c r="K1674" t="s">
        <v>34714</v>
      </c>
      <c r="L1674" t="s">
        <v>34715</v>
      </c>
      <c r="M1674" t="s">
        <v>34716</v>
      </c>
      <c r="N1674" t="s">
        <v>34717</v>
      </c>
      <c r="O1674" t="s">
        <v>34718</v>
      </c>
      <c r="P1674">
        <f>-809.508540686176 -18.4855369581624 -230.451860384648</f>
        <v>-1058.4459380289863</v>
      </c>
      <c r="Q1674">
        <f>-604.272050181925 -26.8939911176712 -356.381336567232</f>
        <v>-987.54737786682824</v>
      </c>
      <c r="R1674" t="s">
        <v>34719</v>
      </c>
      <c r="S1674" t="s">
        <v>34720</v>
      </c>
      <c r="T1674" t="s">
        <v>34721</v>
      </c>
      <c r="U1674" t="s">
        <v>34722</v>
      </c>
      <c r="V1674" t="s">
        <v>34723</v>
      </c>
      <c r="W1674" t="s">
        <v>34724</v>
      </c>
      <c r="X1674" t="s">
        <v>34725</v>
      </c>
      <c r="Y1674" t="s">
        <v>34726</v>
      </c>
    </row>
    <row r="1675" spans="1:25" x14ac:dyDescent="0.3">
      <c r="A1675">
        <v>83700</v>
      </c>
      <c r="B1675" t="s">
        <v>34727</v>
      </c>
      <c r="C1675" t="s">
        <v>34728</v>
      </c>
      <c r="D1675" t="s">
        <v>34729</v>
      </c>
      <c r="E1675" t="s">
        <v>34730</v>
      </c>
      <c r="F1675" t="s">
        <v>34731</v>
      </c>
      <c r="G1675" t="s">
        <v>34732</v>
      </c>
      <c r="H1675" t="s">
        <v>34733</v>
      </c>
      <c r="I1675" t="s">
        <v>34734</v>
      </c>
      <c r="J1675" t="s">
        <v>34735</v>
      </c>
      <c r="K1675" t="s">
        <v>34736</v>
      </c>
      <c r="L1675" t="s">
        <v>34737</v>
      </c>
      <c r="M1675" t="s">
        <v>34738</v>
      </c>
      <c r="N1675" t="s">
        <v>34739</v>
      </c>
      <c r="O1675" t="s">
        <v>34740</v>
      </c>
      <c r="P1675">
        <f>-811.419087706979 -17.7629322616403 -231.64813406578</f>
        <v>-1060.8301540343994</v>
      </c>
      <c r="Q1675">
        <f>-606.161235146304 -26.0685270813124 -357.549344975738</f>
        <v>-989.77910720335433</v>
      </c>
      <c r="R1675" t="s">
        <v>34741</v>
      </c>
      <c r="S1675" t="s">
        <v>34742</v>
      </c>
      <c r="T1675" t="s">
        <v>34743</v>
      </c>
      <c r="U1675" t="s">
        <v>34744</v>
      </c>
      <c r="V1675" t="s">
        <v>34745</v>
      </c>
      <c r="W1675" t="s">
        <v>34746</v>
      </c>
      <c r="X1675" t="s">
        <v>34747</v>
      </c>
      <c r="Y1675" t="s">
        <v>34748</v>
      </c>
    </row>
    <row r="1676" spans="1:25" x14ac:dyDescent="0.3">
      <c r="A1676">
        <v>83750</v>
      </c>
      <c r="B1676" t="s">
        <v>34749</v>
      </c>
      <c r="C1676" t="s">
        <v>34750</v>
      </c>
      <c r="D1676" t="s">
        <v>34751</v>
      </c>
      <c r="E1676" t="s">
        <v>34752</v>
      </c>
      <c r="F1676" t="s">
        <v>34753</v>
      </c>
      <c r="G1676" t="s">
        <v>34754</v>
      </c>
      <c r="H1676" t="s">
        <v>34755</v>
      </c>
      <c r="I1676" t="s">
        <v>34756</v>
      </c>
      <c r="J1676" t="s">
        <v>34757</v>
      </c>
      <c r="K1676" t="s">
        <v>34758</v>
      </c>
      <c r="L1676" t="s">
        <v>34759</v>
      </c>
      <c r="M1676" t="s">
        <v>34760</v>
      </c>
      <c r="N1676" t="s">
        <v>34761</v>
      </c>
      <c r="O1676" t="s">
        <v>34762</v>
      </c>
      <c r="P1676">
        <f>-812.600806281833 -17.3388738004969 -232.193033895498</f>
        <v>-1062.132713977828</v>
      </c>
      <c r="Q1676">
        <f>-607.582964393451 -25.9288125873281 -358.465986686549</f>
        <v>-991.97776366732819</v>
      </c>
      <c r="R1676" t="s">
        <v>34763</v>
      </c>
      <c r="S1676" t="s">
        <v>34764</v>
      </c>
      <c r="T1676" t="s">
        <v>34765</v>
      </c>
      <c r="U1676" t="s">
        <v>34766</v>
      </c>
      <c r="V1676" t="s">
        <v>34767</v>
      </c>
      <c r="W1676" t="s">
        <v>34768</v>
      </c>
      <c r="X1676" t="s">
        <v>34769</v>
      </c>
      <c r="Y1676" t="s">
        <v>34770</v>
      </c>
    </row>
    <row r="1677" spans="1:25" x14ac:dyDescent="0.3">
      <c r="A1677">
        <v>83800</v>
      </c>
      <c r="B1677" t="s">
        <v>34771</v>
      </c>
      <c r="C1677" t="s">
        <v>34772</v>
      </c>
      <c r="D1677" t="s">
        <v>34773</v>
      </c>
      <c r="E1677" t="s">
        <v>34774</v>
      </c>
      <c r="F1677" t="s">
        <v>34775</v>
      </c>
      <c r="G1677" t="s">
        <v>34776</v>
      </c>
      <c r="H1677" t="s">
        <v>34777</v>
      </c>
      <c r="I1677" t="s">
        <v>34778</v>
      </c>
      <c r="J1677" t="s">
        <v>34779</v>
      </c>
      <c r="K1677" t="s">
        <v>34780</v>
      </c>
      <c r="L1677" t="s">
        <v>34781</v>
      </c>
      <c r="M1677" t="s">
        <v>34782</v>
      </c>
      <c r="N1677" t="s">
        <v>34783</v>
      </c>
      <c r="O1677" t="s">
        <v>34784</v>
      </c>
      <c r="P1677">
        <f>-814.686062955615 -17.2826598062902 -233.253672788355</f>
        <v>-1065.2223955502602</v>
      </c>
      <c r="Q1677">
        <f>-610.728781212403 -26.2427736456116 -361.206827786461</f>
        <v>-998.17838264447551</v>
      </c>
      <c r="R1677" t="s">
        <v>34785</v>
      </c>
      <c r="S1677" t="s">
        <v>34786</v>
      </c>
      <c r="T1677" t="s">
        <v>34787</v>
      </c>
      <c r="U1677" t="s">
        <v>34788</v>
      </c>
      <c r="V1677" t="s">
        <v>34789</v>
      </c>
      <c r="W1677" t="s">
        <v>34790</v>
      </c>
      <c r="X1677" t="s">
        <v>34791</v>
      </c>
      <c r="Y1677" t="s">
        <v>34792</v>
      </c>
    </row>
    <row r="1678" spans="1:25" x14ac:dyDescent="0.3">
      <c r="A1678">
        <v>83850</v>
      </c>
      <c r="B1678" t="s">
        <v>34793</v>
      </c>
      <c r="C1678" t="s">
        <v>34794</v>
      </c>
      <c r="D1678" t="s">
        <v>34795</v>
      </c>
      <c r="E1678" t="s">
        <v>34796</v>
      </c>
      <c r="F1678" t="s">
        <v>34797</v>
      </c>
      <c r="G1678" t="s">
        <v>34798</v>
      </c>
      <c r="H1678" t="s">
        <v>34799</v>
      </c>
      <c r="I1678" t="s">
        <v>34800</v>
      </c>
      <c r="J1678" t="s">
        <v>34801</v>
      </c>
      <c r="K1678" t="s">
        <v>34802</v>
      </c>
      <c r="L1678" t="s">
        <v>34803</v>
      </c>
      <c r="M1678" t="s">
        <v>34804</v>
      </c>
      <c r="N1678" t="s">
        <v>34805</v>
      </c>
      <c r="O1678" t="s">
        <v>34806</v>
      </c>
      <c r="P1678">
        <f>-815.515744977053 -18.1132423519794 -233.95203180417</f>
        <v>-1067.5810191332023</v>
      </c>
      <c r="Q1678">
        <f>-612.268993498002 -26.014014461748 -363.100052085429</f>
        <v>-1001.383060045179</v>
      </c>
      <c r="R1678" t="s">
        <v>34807</v>
      </c>
      <c r="S1678" t="s">
        <v>34808</v>
      </c>
      <c r="T1678" t="s">
        <v>34809</v>
      </c>
      <c r="U1678" t="s">
        <v>34810</v>
      </c>
      <c r="V1678" t="s">
        <v>34811</v>
      </c>
      <c r="W1678" t="s">
        <v>34812</v>
      </c>
      <c r="X1678" t="s">
        <v>34813</v>
      </c>
      <c r="Y1678" t="s">
        <v>34814</v>
      </c>
    </row>
    <row r="1679" spans="1:25" x14ac:dyDescent="0.3">
      <c r="A1679">
        <v>83900</v>
      </c>
      <c r="B1679" t="s">
        <v>34815</v>
      </c>
      <c r="C1679" t="s">
        <v>34816</v>
      </c>
      <c r="D1679" t="s">
        <v>34817</v>
      </c>
      <c r="E1679" t="s">
        <v>34818</v>
      </c>
      <c r="F1679" t="s">
        <v>34819</v>
      </c>
      <c r="G1679" t="s">
        <v>34820</v>
      </c>
      <c r="H1679" t="s">
        <v>34821</v>
      </c>
      <c r="I1679" t="s">
        <v>34822</v>
      </c>
      <c r="J1679" t="s">
        <v>34823</v>
      </c>
      <c r="K1679" t="s">
        <v>34824</v>
      </c>
      <c r="L1679" t="s">
        <v>34825</v>
      </c>
      <c r="M1679" t="s">
        <v>34826</v>
      </c>
      <c r="N1679" t="s">
        <v>34827</v>
      </c>
      <c r="O1679" t="s">
        <v>34828</v>
      </c>
      <c r="P1679">
        <f>-817.381469603082 -20.2636442501434 -235.476579671218</f>
        <v>-1073.1216935244433</v>
      </c>
      <c r="Q1679">
        <f>-615.75186908532 -24.9252012421302 -367.28945881626</f>
        <v>-1007.9665291437102</v>
      </c>
      <c r="R1679" t="s">
        <v>34829</v>
      </c>
      <c r="S1679" t="s">
        <v>34830</v>
      </c>
      <c r="T1679" t="s">
        <v>34831</v>
      </c>
      <c r="U1679" t="s">
        <v>34832</v>
      </c>
      <c r="V1679" t="s">
        <v>34833</v>
      </c>
      <c r="W1679" t="s">
        <v>34834</v>
      </c>
      <c r="X1679" t="s">
        <v>34835</v>
      </c>
      <c r="Y1679" t="s">
        <v>34836</v>
      </c>
    </row>
    <row r="1680" spans="1:25" x14ac:dyDescent="0.3">
      <c r="A1680">
        <v>83950</v>
      </c>
      <c r="B1680" t="s">
        <v>34837</v>
      </c>
      <c r="C1680" t="s">
        <v>34838</v>
      </c>
      <c r="D1680" t="s">
        <v>34839</v>
      </c>
      <c r="E1680" t="s">
        <v>34840</v>
      </c>
      <c r="F1680" t="s">
        <v>34841</v>
      </c>
      <c r="G1680" t="s">
        <v>34842</v>
      </c>
      <c r="H1680" t="s">
        <v>34843</v>
      </c>
      <c r="I1680" t="s">
        <v>34844</v>
      </c>
      <c r="J1680" t="s">
        <v>34845</v>
      </c>
      <c r="K1680" t="s">
        <v>34846</v>
      </c>
      <c r="L1680" t="s">
        <v>34847</v>
      </c>
      <c r="M1680" t="s">
        <v>34848</v>
      </c>
      <c r="N1680" t="s">
        <v>34849</v>
      </c>
      <c r="O1680" t="s">
        <v>34850</v>
      </c>
      <c r="P1680">
        <f>-818.095766031281 -21.9859490164263 -236.429909987215</f>
        <v>-1076.5116250349222</v>
      </c>
      <c r="Q1680">
        <f>-617.564909831123 -24.0790565733969 -369.973113318539</f>
        <v>-1011.6170797230589</v>
      </c>
      <c r="R1680" t="s">
        <v>34851</v>
      </c>
      <c r="S1680" t="s">
        <v>34852</v>
      </c>
      <c r="T1680" t="s">
        <v>34853</v>
      </c>
      <c r="U1680" t="s">
        <v>34854</v>
      </c>
      <c r="V1680" t="s">
        <v>34855</v>
      </c>
      <c r="W1680" t="s">
        <v>34856</v>
      </c>
      <c r="X1680" t="s">
        <v>34857</v>
      </c>
      <c r="Y1680" t="s">
        <v>34858</v>
      </c>
    </row>
    <row r="1681" spans="1:25" x14ac:dyDescent="0.3">
      <c r="A1681">
        <v>84000</v>
      </c>
      <c r="B1681" t="s">
        <v>34859</v>
      </c>
      <c r="C1681" t="s">
        <v>34860</v>
      </c>
      <c r="D1681" t="s">
        <v>34861</v>
      </c>
      <c r="E1681" t="s">
        <v>34862</v>
      </c>
      <c r="F1681" t="s">
        <v>34863</v>
      </c>
      <c r="G1681" t="s">
        <v>34864</v>
      </c>
      <c r="H1681" t="s">
        <v>34865</v>
      </c>
      <c r="I1681" t="s">
        <v>34866</v>
      </c>
      <c r="J1681" t="s">
        <v>34867</v>
      </c>
      <c r="K1681" t="s">
        <v>34868</v>
      </c>
      <c r="L1681" t="s">
        <v>34869</v>
      </c>
      <c r="M1681" t="s">
        <v>34870</v>
      </c>
      <c r="N1681" t="s">
        <v>34871</v>
      </c>
      <c r="O1681" t="s">
        <v>34872</v>
      </c>
      <c r="P1681">
        <f>-819.19159749371 -25.8588615877434 -238.377939906575</f>
        <v>-1083.4283989880284</v>
      </c>
      <c r="Q1681">
        <f>-620.602404552697 -22.9050738707065 -374.776161628065</f>
        <v>-1018.2836400514684</v>
      </c>
      <c r="R1681" t="s">
        <v>34873</v>
      </c>
      <c r="S1681" t="s">
        <v>34874</v>
      </c>
      <c r="T1681" t="s">
        <v>34875</v>
      </c>
      <c r="U1681" t="s">
        <v>34876</v>
      </c>
      <c r="V1681" t="s">
        <v>34877</v>
      </c>
      <c r="W1681" t="s">
        <v>34878</v>
      </c>
      <c r="X1681" t="s">
        <v>34879</v>
      </c>
      <c r="Y1681" t="s">
        <v>34880</v>
      </c>
    </row>
    <row r="1682" spans="1:25" x14ac:dyDescent="0.3">
      <c r="A1682">
        <v>84050</v>
      </c>
      <c r="B1682" t="s">
        <v>34881</v>
      </c>
      <c r="C1682" t="s">
        <v>34882</v>
      </c>
      <c r="D1682" t="s">
        <v>34883</v>
      </c>
      <c r="E1682" t="s">
        <v>34884</v>
      </c>
      <c r="F1682" t="s">
        <v>34885</v>
      </c>
      <c r="G1682" t="s">
        <v>34886</v>
      </c>
      <c r="H1682" t="s">
        <v>34887</v>
      </c>
      <c r="I1682" t="s">
        <v>34888</v>
      </c>
      <c r="J1682" t="s">
        <v>34889</v>
      </c>
      <c r="K1682" t="s">
        <v>34890</v>
      </c>
      <c r="L1682" t="s">
        <v>34891</v>
      </c>
      <c r="M1682" t="s">
        <v>34892</v>
      </c>
      <c r="N1682" t="s">
        <v>34893</v>
      </c>
      <c r="O1682" t="s">
        <v>34894</v>
      </c>
      <c r="P1682">
        <f>-819.396485762953 -27.9568422643515 -239.416262352703</f>
        <v>-1086.7695903800075</v>
      </c>
      <c r="Q1682">
        <f>-621.617638585869 -22.2669831233147 -376.901032101702</f>
        <v>-1020.7856538108858</v>
      </c>
      <c r="R1682" t="s">
        <v>34895</v>
      </c>
      <c r="S1682" t="s">
        <v>34896</v>
      </c>
      <c r="T1682" t="s">
        <v>34897</v>
      </c>
      <c r="U1682" t="s">
        <v>34898</v>
      </c>
      <c r="V1682" t="s">
        <v>34899</v>
      </c>
      <c r="W1682" t="s">
        <v>34900</v>
      </c>
      <c r="X1682" t="s">
        <v>34901</v>
      </c>
      <c r="Y1682" t="s">
        <v>34902</v>
      </c>
    </row>
    <row r="1683" spans="1:25" x14ac:dyDescent="0.3">
      <c r="A1683">
        <v>84100</v>
      </c>
      <c r="B1683" t="s">
        <v>34903</v>
      </c>
      <c r="C1683" t="s">
        <v>34904</v>
      </c>
      <c r="D1683" t="s">
        <v>34905</v>
      </c>
      <c r="E1683" t="s">
        <v>34906</v>
      </c>
      <c r="F1683" t="s">
        <v>34907</v>
      </c>
      <c r="G1683" t="s">
        <v>34908</v>
      </c>
      <c r="H1683" t="s">
        <v>34909</v>
      </c>
      <c r="I1683" t="s">
        <v>34910</v>
      </c>
      <c r="J1683" t="s">
        <v>34911</v>
      </c>
      <c r="K1683" t="s">
        <v>34912</v>
      </c>
      <c r="L1683" t="s">
        <v>34913</v>
      </c>
      <c r="M1683" t="s">
        <v>34914</v>
      </c>
      <c r="N1683" t="s">
        <v>34915</v>
      </c>
      <c r="O1683" t="s">
        <v>34916</v>
      </c>
      <c r="P1683">
        <f>-819.057137746886 -31.5394614775737 -241.367890169891</f>
        <v>-1091.9644893943507</v>
      </c>
      <c r="Q1683">
        <f>-622.721496862525 -20.3851465807902 -380.575423460191</f>
        <v>-1023.6820669035062</v>
      </c>
      <c r="R1683" t="s">
        <v>34917</v>
      </c>
      <c r="S1683" t="s">
        <v>34918</v>
      </c>
      <c r="T1683" t="s">
        <v>34919</v>
      </c>
      <c r="U1683" t="s">
        <v>34920</v>
      </c>
      <c r="V1683" t="s">
        <v>34921</v>
      </c>
      <c r="W1683" t="s">
        <v>34922</v>
      </c>
      <c r="X1683" t="s">
        <v>34923</v>
      </c>
      <c r="Y1683" t="s">
        <v>34924</v>
      </c>
    </row>
    <row r="1684" spans="1:25" x14ac:dyDescent="0.3">
      <c r="A1684">
        <v>84150</v>
      </c>
      <c r="B1684" t="s">
        <v>34925</v>
      </c>
      <c r="C1684" t="s">
        <v>34926</v>
      </c>
      <c r="D1684" t="s">
        <v>34927</v>
      </c>
      <c r="E1684" t="s">
        <v>34928</v>
      </c>
      <c r="F1684" t="s">
        <v>34929</v>
      </c>
      <c r="G1684" t="s">
        <v>34930</v>
      </c>
      <c r="H1684" t="s">
        <v>34931</v>
      </c>
      <c r="I1684" t="s">
        <v>34932</v>
      </c>
      <c r="J1684" t="s">
        <v>34933</v>
      </c>
      <c r="K1684" t="s">
        <v>34934</v>
      </c>
      <c r="L1684" t="s">
        <v>34935</v>
      </c>
      <c r="M1684" t="s">
        <v>34936</v>
      </c>
      <c r="N1684" t="s">
        <v>34937</v>
      </c>
      <c r="O1684" t="s">
        <v>34938</v>
      </c>
      <c r="P1684">
        <f>-818.667764662757 -32.8569185244419 -242.022674166246</f>
        <v>-1093.5473573534448</v>
      </c>
      <c r="Q1684">
        <f>-622.808192135149 -18.9748651803343 -381.655136533798</f>
        <v>-1023.4381938492813</v>
      </c>
      <c r="R1684" t="s">
        <v>34939</v>
      </c>
      <c r="S1684" t="s">
        <v>34940</v>
      </c>
      <c r="T1684" t="s">
        <v>34941</v>
      </c>
      <c r="U1684" t="s">
        <v>34942</v>
      </c>
      <c r="V1684" t="s">
        <v>34943</v>
      </c>
      <c r="W1684" t="s">
        <v>34944</v>
      </c>
      <c r="X1684" t="s">
        <v>34945</v>
      </c>
      <c r="Y1684" t="s">
        <v>34946</v>
      </c>
    </row>
    <row r="1685" spans="1:25" x14ac:dyDescent="0.3">
      <c r="A1685">
        <v>84200</v>
      </c>
      <c r="B1685" t="s">
        <v>34947</v>
      </c>
      <c r="C1685" t="s">
        <v>34948</v>
      </c>
      <c r="D1685" t="s">
        <v>34949</v>
      </c>
      <c r="E1685" t="s">
        <v>34950</v>
      </c>
      <c r="F1685" t="s">
        <v>34951</v>
      </c>
      <c r="G1685" t="s">
        <v>34952</v>
      </c>
      <c r="H1685" t="s">
        <v>34953</v>
      </c>
      <c r="I1685" t="s">
        <v>34954</v>
      </c>
      <c r="J1685" t="s">
        <v>34955</v>
      </c>
      <c r="K1685" t="s">
        <v>34956</v>
      </c>
      <c r="L1685" t="s">
        <v>34957</v>
      </c>
      <c r="M1685" t="s">
        <v>34958</v>
      </c>
      <c r="N1685" t="s">
        <v>34959</v>
      </c>
      <c r="O1685" t="s">
        <v>34960</v>
      </c>
      <c r="P1685">
        <f>-818.403880612325 -34.7501037738812 -242.59707262289</f>
        <v>-1095.7510570090963</v>
      </c>
      <c r="Q1685">
        <f>-623.095734975141 -16.7724455381444 -382.534207576447</f>
        <v>-1022.4023880897324</v>
      </c>
      <c r="R1685" t="s">
        <v>34961</v>
      </c>
      <c r="S1685" t="s">
        <v>34962</v>
      </c>
      <c r="T1685" t="s">
        <v>34963</v>
      </c>
      <c r="U1685" t="s">
        <v>34964</v>
      </c>
      <c r="V1685" t="s">
        <v>34965</v>
      </c>
      <c r="W1685" t="s">
        <v>34966</v>
      </c>
      <c r="X1685" t="s">
        <v>34967</v>
      </c>
      <c r="Y1685" t="s">
        <v>34968</v>
      </c>
    </row>
    <row r="1686" spans="1:25" x14ac:dyDescent="0.3">
      <c r="A1686">
        <v>84250</v>
      </c>
      <c r="B1686" t="s">
        <v>34969</v>
      </c>
      <c r="C1686" t="s">
        <v>34970</v>
      </c>
      <c r="D1686" t="s">
        <v>34971</v>
      </c>
      <c r="E1686" t="s">
        <v>34972</v>
      </c>
      <c r="F1686" t="s">
        <v>34973</v>
      </c>
      <c r="G1686" t="s">
        <v>34974</v>
      </c>
      <c r="H1686" t="s">
        <v>34975</v>
      </c>
      <c r="I1686" t="s">
        <v>34976</v>
      </c>
      <c r="J1686" t="s">
        <v>34977</v>
      </c>
      <c r="K1686" t="s">
        <v>34978</v>
      </c>
      <c r="L1686" t="s">
        <v>34979</v>
      </c>
      <c r="M1686" t="s">
        <v>34980</v>
      </c>
      <c r="N1686" t="s">
        <v>34981</v>
      </c>
      <c r="O1686" t="s">
        <v>34982</v>
      </c>
      <c r="P1686">
        <f>-818.462803860781 -35.4172466600126 -242.703229871191</f>
        <v>-1096.5832803919845</v>
      </c>
      <c r="Q1686">
        <f>-623.150481935236 -15.8985946672924 -382.428147157773</f>
        <v>-1021.4772237603015</v>
      </c>
      <c r="R1686" t="s">
        <v>34983</v>
      </c>
      <c r="S1686" t="s">
        <v>34984</v>
      </c>
      <c r="T1686" t="s">
        <v>34985</v>
      </c>
      <c r="U1686" t="s">
        <v>34986</v>
      </c>
      <c r="V1686" t="s">
        <v>34987</v>
      </c>
      <c r="W1686" t="s">
        <v>34988</v>
      </c>
      <c r="X1686" t="s">
        <v>34989</v>
      </c>
      <c r="Y1686" t="s">
        <v>34990</v>
      </c>
    </row>
    <row r="1687" spans="1:25" x14ac:dyDescent="0.3">
      <c r="A1687">
        <v>84300</v>
      </c>
      <c r="B1687" t="s">
        <v>34991</v>
      </c>
      <c r="C1687" t="s">
        <v>34992</v>
      </c>
      <c r="D1687" t="s">
        <v>34993</v>
      </c>
      <c r="E1687" t="s">
        <v>34994</v>
      </c>
      <c r="F1687" t="s">
        <v>34995</v>
      </c>
      <c r="G1687" t="s">
        <v>34996</v>
      </c>
      <c r="H1687" t="s">
        <v>34997</v>
      </c>
      <c r="I1687" t="s">
        <v>34998</v>
      </c>
      <c r="J1687" t="s">
        <v>34999</v>
      </c>
      <c r="K1687" t="s">
        <v>35000</v>
      </c>
      <c r="L1687" t="s">
        <v>35001</v>
      </c>
      <c r="M1687" t="s">
        <v>35002</v>
      </c>
      <c r="N1687" t="s">
        <v>35003</v>
      </c>
      <c r="O1687" t="s">
        <v>35004</v>
      </c>
      <c r="P1687">
        <f>-820.384527920287 -35.1711552418519 -242.570367366205</f>
        <v>-1098.126050528344</v>
      </c>
      <c r="Q1687">
        <f>-624.695682298425 -13.2368488621464 -381.406824500158</f>
        <v>-1019.3393556607294</v>
      </c>
      <c r="R1687" t="s">
        <v>35005</v>
      </c>
      <c r="S1687" t="s">
        <v>35006</v>
      </c>
      <c r="T1687" t="s">
        <v>35007</v>
      </c>
      <c r="U1687" t="s">
        <v>35008</v>
      </c>
      <c r="V1687" t="s">
        <v>35009</v>
      </c>
      <c r="W1687" t="s">
        <v>35010</v>
      </c>
      <c r="X1687" t="s">
        <v>35011</v>
      </c>
      <c r="Y1687" t="s">
        <v>35012</v>
      </c>
    </row>
    <row r="1688" spans="1:25" x14ac:dyDescent="0.3">
      <c r="A1688">
        <v>84350</v>
      </c>
      <c r="B1688" t="s">
        <v>35013</v>
      </c>
      <c r="C1688" t="s">
        <v>35014</v>
      </c>
      <c r="D1688" t="s">
        <v>35015</v>
      </c>
      <c r="E1688" t="s">
        <v>35016</v>
      </c>
      <c r="F1688" t="s">
        <v>35017</v>
      </c>
      <c r="G1688" t="s">
        <v>35018</v>
      </c>
      <c r="H1688" t="s">
        <v>35019</v>
      </c>
      <c r="I1688" t="s">
        <v>35020</v>
      </c>
      <c r="J1688" t="s">
        <v>35021</v>
      </c>
      <c r="K1688" t="s">
        <v>35022</v>
      </c>
      <c r="L1688" t="s">
        <v>35023</v>
      </c>
      <c r="M1688" t="s">
        <v>35024</v>
      </c>
      <c r="N1688" t="s">
        <v>35025</v>
      </c>
      <c r="O1688" t="s">
        <v>35026</v>
      </c>
      <c r="P1688">
        <f>-822.468704263569 -34.8511875055779 -242.405652374411</f>
        <v>-1099.7255441435577</v>
      </c>
      <c r="Q1688">
        <f>-626.275005917323 -12.4359552709689 -380.451044291053</f>
        <v>-1019.1620054793449</v>
      </c>
      <c r="R1688" t="s">
        <v>35027</v>
      </c>
      <c r="S1688" t="s">
        <v>35028</v>
      </c>
      <c r="T1688" t="s">
        <v>35029</v>
      </c>
      <c r="U1688" t="s">
        <v>35030</v>
      </c>
      <c r="V1688" t="s">
        <v>35031</v>
      </c>
      <c r="W1688" t="s">
        <v>35032</v>
      </c>
      <c r="X1688" t="s">
        <v>35033</v>
      </c>
      <c r="Y1688" t="s">
        <v>35034</v>
      </c>
    </row>
    <row r="1689" spans="1:25" x14ac:dyDescent="0.3">
      <c r="A1689">
        <v>84400</v>
      </c>
      <c r="B1689" t="s">
        <v>35035</v>
      </c>
      <c r="C1689" t="s">
        <v>35036</v>
      </c>
      <c r="D1689" t="s">
        <v>35037</v>
      </c>
      <c r="E1689" t="s">
        <v>35038</v>
      </c>
      <c r="F1689" t="s">
        <v>35039</v>
      </c>
      <c r="G1689" t="s">
        <v>35040</v>
      </c>
      <c r="H1689" t="s">
        <v>35041</v>
      </c>
      <c r="I1689" t="s">
        <v>35042</v>
      </c>
      <c r="J1689" t="s">
        <v>35043</v>
      </c>
      <c r="K1689" t="s">
        <v>35044</v>
      </c>
      <c r="L1689" t="s">
        <v>35045</v>
      </c>
      <c r="M1689" t="s">
        <v>35046</v>
      </c>
      <c r="N1689" t="s">
        <v>35047</v>
      </c>
      <c r="O1689" t="s">
        <v>35048</v>
      </c>
      <c r="P1689">
        <f>-826.893601964485 -34.5678350322323 -242.025197639178</f>
        <v>-1103.4866346358954</v>
      </c>
      <c r="Q1689">
        <f>-629.351646147703 -12.4415322525706 -378.181284925938</f>
        <v>-1019.9744633262117</v>
      </c>
      <c r="R1689" t="s">
        <v>35049</v>
      </c>
      <c r="S1689" t="s">
        <v>35050</v>
      </c>
      <c r="T1689" t="s">
        <v>35051</v>
      </c>
      <c r="U1689" t="s">
        <v>35052</v>
      </c>
      <c r="V1689" t="s">
        <v>35053</v>
      </c>
      <c r="W1689" t="s">
        <v>35054</v>
      </c>
      <c r="X1689" t="s">
        <v>35055</v>
      </c>
      <c r="Y1689" t="s">
        <v>35056</v>
      </c>
    </row>
    <row r="1690" spans="1:25" x14ac:dyDescent="0.3">
      <c r="A1690">
        <v>84450</v>
      </c>
      <c r="B1690" t="s">
        <v>35057</v>
      </c>
      <c r="C1690" t="s">
        <v>35058</v>
      </c>
      <c r="D1690" t="s">
        <v>35059</v>
      </c>
      <c r="E1690" t="s">
        <v>35060</v>
      </c>
      <c r="F1690" t="s">
        <v>35061</v>
      </c>
      <c r="G1690" t="s">
        <v>35062</v>
      </c>
      <c r="H1690" t="s">
        <v>35063</v>
      </c>
      <c r="I1690" t="s">
        <v>35064</v>
      </c>
      <c r="J1690" t="s">
        <v>35065</v>
      </c>
      <c r="K1690" t="s">
        <v>35066</v>
      </c>
      <c r="L1690" t="s">
        <v>35067</v>
      </c>
      <c r="M1690" t="s">
        <v>35068</v>
      </c>
      <c r="N1690" t="s">
        <v>35069</v>
      </c>
      <c r="O1690" t="s">
        <v>35070</v>
      </c>
      <c r="P1690">
        <f>-828.901350782199 -34.6176233934416 -241.841419812535</f>
        <v>-1105.3603939881755</v>
      </c>
      <c r="Q1690">
        <f>-630.648763501565 -13.2994075113875 -377.090650970227</f>
        <v>-1021.0388219831794</v>
      </c>
      <c r="R1690" t="s">
        <v>35071</v>
      </c>
      <c r="S1690" t="s">
        <v>35072</v>
      </c>
      <c r="T1690" t="s">
        <v>35073</v>
      </c>
      <c r="U1690" t="s">
        <v>35074</v>
      </c>
      <c r="V1690" t="s">
        <v>35075</v>
      </c>
      <c r="W1690" t="s">
        <v>35076</v>
      </c>
      <c r="X1690" t="s">
        <v>35077</v>
      </c>
      <c r="Y1690" t="s">
        <v>35078</v>
      </c>
    </row>
    <row r="1691" spans="1:25" x14ac:dyDescent="0.3">
      <c r="A1691">
        <v>84500</v>
      </c>
      <c r="B1691" t="s">
        <v>35079</v>
      </c>
      <c r="C1691" t="s">
        <v>35080</v>
      </c>
      <c r="D1691" t="s">
        <v>35081</v>
      </c>
      <c r="E1691" t="s">
        <v>35082</v>
      </c>
      <c r="F1691" t="s">
        <v>35083</v>
      </c>
      <c r="G1691" t="s">
        <v>35084</v>
      </c>
      <c r="H1691" t="s">
        <v>35085</v>
      </c>
      <c r="I1691" t="s">
        <v>35086</v>
      </c>
      <c r="J1691" t="s">
        <v>35087</v>
      </c>
      <c r="K1691" t="s">
        <v>35088</v>
      </c>
      <c r="L1691" t="s">
        <v>35089</v>
      </c>
      <c r="M1691" t="s">
        <v>35090</v>
      </c>
      <c r="N1691" t="s">
        <v>35091</v>
      </c>
      <c r="O1691" t="s">
        <v>35092</v>
      </c>
      <c r="P1691">
        <f>-832.380162105617 -34.7272846539886 -241.372877949102</f>
        <v>-1108.4803247087077</v>
      </c>
      <c r="Q1691">
        <f>-632.989206983506 -16.0718446612191 -375.335606166406</f>
        <v>-1024.3966578111313</v>
      </c>
      <c r="R1691" t="s">
        <v>35093</v>
      </c>
      <c r="S1691" t="s">
        <v>35094</v>
      </c>
      <c r="T1691" t="s">
        <v>35095</v>
      </c>
      <c r="U1691" t="s">
        <v>35096</v>
      </c>
      <c r="V1691" t="s">
        <v>35097</v>
      </c>
      <c r="W1691" t="s">
        <v>35098</v>
      </c>
      <c r="X1691" t="s">
        <v>35099</v>
      </c>
      <c r="Y1691" t="s">
        <v>35100</v>
      </c>
    </row>
    <row r="1692" spans="1:25" x14ac:dyDescent="0.3">
      <c r="A1692">
        <v>84550</v>
      </c>
      <c r="B1692" t="s">
        <v>35101</v>
      </c>
      <c r="C1692" t="s">
        <v>35102</v>
      </c>
      <c r="D1692" t="s">
        <v>35103</v>
      </c>
      <c r="E1692" t="s">
        <v>35104</v>
      </c>
      <c r="F1692" t="s">
        <v>35105</v>
      </c>
      <c r="G1692" t="s">
        <v>35106</v>
      </c>
      <c r="H1692" t="s">
        <v>35107</v>
      </c>
      <c r="I1692" t="s">
        <v>35108</v>
      </c>
      <c r="J1692" t="s">
        <v>35109</v>
      </c>
      <c r="K1692" t="s">
        <v>35110</v>
      </c>
      <c r="L1692" t="s">
        <v>35111</v>
      </c>
      <c r="M1692" t="s">
        <v>35112</v>
      </c>
      <c r="N1692" t="s">
        <v>35113</v>
      </c>
      <c r="O1692" t="s">
        <v>35114</v>
      </c>
      <c r="P1692">
        <f>-834.004592560299 -34.8293886012643 -241.183378627549</f>
        <v>-1110.0173597891123</v>
      </c>
      <c r="Q1692">
        <f>-634.246436085498 -17.652287119889 -374.796380211328</f>
        <v>-1026.695103416715</v>
      </c>
      <c r="R1692" t="s">
        <v>35115</v>
      </c>
      <c r="S1692" t="s">
        <v>35116</v>
      </c>
      <c r="T1692" t="s">
        <v>35117</v>
      </c>
      <c r="U1692" t="s">
        <v>35118</v>
      </c>
      <c r="V1692" t="s">
        <v>35119</v>
      </c>
      <c r="W1692" t="s">
        <v>35120</v>
      </c>
      <c r="X1692" t="s">
        <v>35121</v>
      </c>
      <c r="Y1692" t="s">
        <v>35122</v>
      </c>
    </row>
    <row r="1693" spans="1:25" x14ac:dyDescent="0.3">
      <c r="A1693">
        <v>84600</v>
      </c>
      <c r="B1693" t="s">
        <v>35123</v>
      </c>
      <c r="C1693" t="s">
        <v>35124</v>
      </c>
      <c r="D1693" t="s">
        <v>35125</v>
      </c>
      <c r="E1693" t="s">
        <v>35126</v>
      </c>
      <c r="F1693" t="s">
        <v>35127</v>
      </c>
      <c r="G1693" t="s">
        <v>35128</v>
      </c>
      <c r="H1693" t="s">
        <v>35129</v>
      </c>
      <c r="I1693" t="s">
        <v>35130</v>
      </c>
      <c r="J1693" t="s">
        <v>35131</v>
      </c>
      <c r="K1693" t="s">
        <v>35132</v>
      </c>
      <c r="L1693" t="s">
        <v>35133</v>
      </c>
      <c r="M1693" t="s">
        <v>35134</v>
      </c>
      <c r="N1693" t="s">
        <v>35135</v>
      </c>
      <c r="O1693" t="s">
        <v>35136</v>
      </c>
      <c r="P1693">
        <f>-836.621305680549 -34.6252524870124 -241.043778798036</f>
        <v>-1112.2903369655974</v>
      </c>
      <c r="Q1693">
        <f>-636.276430417482 -20.3760494192261 -374.121967946136</f>
        <v>-1030.7744477828442</v>
      </c>
      <c r="R1693" t="s">
        <v>35137</v>
      </c>
      <c r="S1693" t="s">
        <v>35138</v>
      </c>
      <c r="T1693" t="s">
        <v>35139</v>
      </c>
      <c r="U1693" t="s">
        <v>35140</v>
      </c>
      <c r="V1693" t="s">
        <v>35141</v>
      </c>
      <c r="W1693" t="s">
        <v>35142</v>
      </c>
      <c r="X1693" t="s">
        <v>35143</v>
      </c>
      <c r="Y1693" t="s">
        <v>35144</v>
      </c>
    </row>
    <row r="1694" spans="1:25" x14ac:dyDescent="0.3">
      <c r="A1694">
        <v>84650</v>
      </c>
      <c r="B1694" t="s">
        <v>35145</v>
      </c>
      <c r="C1694" t="s">
        <v>35146</v>
      </c>
      <c r="D1694" t="s">
        <v>35147</v>
      </c>
      <c r="E1694" t="s">
        <v>35148</v>
      </c>
      <c r="F1694" t="s">
        <v>35149</v>
      </c>
      <c r="G1694" t="s">
        <v>35150</v>
      </c>
      <c r="H1694" t="s">
        <v>35151</v>
      </c>
      <c r="I1694" t="s">
        <v>35152</v>
      </c>
      <c r="J1694" t="s">
        <v>35153</v>
      </c>
      <c r="K1694" t="s">
        <v>35154</v>
      </c>
      <c r="L1694" t="s">
        <v>35155</v>
      </c>
      <c r="M1694" t="s">
        <v>35156</v>
      </c>
      <c r="N1694" t="s">
        <v>35157</v>
      </c>
      <c r="O1694" t="s">
        <v>35158</v>
      </c>
      <c r="P1694">
        <f>-837.759526582902 -34.6018451527161 -241.090837863216</f>
        <v>-1113.4522095988341</v>
      </c>
      <c r="Q1694">
        <f>-637.191179326799 -21.4180660100028 -373.941774366898</f>
        <v>-1032.5510197036997</v>
      </c>
      <c r="R1694" t="s">
        <v>35159</v>
      </c>
      <c r="S1694" t="s">
        <v>35160</v>
      </c>
      <c r="T1694" t="s">
        <v>35161</v>
      </c>
      <c r="U1694" t="s">
        <v>35162</v>
      </c>
      <c r="V1694" t="s">
        <v>35163</v>
      </c>
      <c r="W1694" t="s">
        <v>35164</v>
      </c>
      <c r="X1694" t="s">
        <v>35165</v>
      </c>
      <c r="Y1694" t="s">
        <v>35166</v>
      </c>
    </row>
    <row r="1695" spans="1:25" x14ac:dyDescent="0.3">
      <c r="A1695">
        <v>84700</v>
      </c>
      <c r="B1695" t="s">
        <v>35167</v>
      </c>
      <c r="C1695" t="s">
        <v>35168</v>
      </c>
      <c r="D1695" t="s">
        <v>35169</v>
      </c>
      <c r="E1695" t="s">
        <v>35170</v>
      </c>
      <c r="F1695" t="s">
        <v>35171</v>
      </c>
      <c r="G1695" t="s">
        <v>35172</v>
      </c>
      <c r="H1695" t="s">
        <v>35173</v>
      </c>
      <c r="I1695" t="s">
        <v>35174</v>
      </c>
      <c r="J1695" t="s">
        <v>35175</v>
      </c>
      <c r="K1695" t="s">
        <v>35176</v>
      </c>
      <c r="L1695" t="s">
        <v>35177</v>
      </c>
      <c r="M1695" t="s">
        <v>35178</v>
      </c>
      <c r="N1695" t="s">
        <v>35179</v>
      </c>
      <c r="O1695" t="s">
        <v>35180</v>
      </c>
      <c r="P1695">
        <f>-839.518006368406 -34.4287861276525 -240.98315615747</f>
        <v>-1114.9299486535285</v>
      </c>
      <c r="Q1695">
        <f>-638.572761217962 -22.8403483803904 -373.412449652238</f>
        <v>-1034.8255592505905</v>
      </c>
      <c r="R1695" t="s">
        <v>35181</v>
      </c>
      <c r="S1695" t="s">
        <v>35182</v>
      </c>
      <c r="T1695" t="s">
        <v>35183</v>
      </c>
      <c r="U1695" t="s">
        <v>35184</v>
      </c>
      <c r="V1695" t="s">
        <v>35185</v>
      </c>
      <c r="W1695" t="s">
        <v>35186</v>
      </c>
      <c r="X1695" t="s">
        <v>35187</v>
      </c>
      <c r="Y1695" t="s">
        <v>35188</v>
      </c>
    </row>
    <row r="1696" spans="1:25" x14ac:dyDescent="0.3">
      <c r="A1696">
        <v>84750</v>
      </c>
      <c r="B1696" t="s">
        <v>35189</v>
      </c>
      <c r="C1696" t="s">
        <v>35190</v>
      </c>
      <c r="D1696" t="s">
        <v>35191</v>
      </c>
      <c r="E1696" t="s">
        <v>35192</v>
      </c>
      <c r="F1696" t="s">
        <v>35193</v>
      </c>
      <c r="G1696" t="s">
        <v>35194</v>
      </c>
      <c r="H1696" t="s">
        <v>35195</v>
      </c>
      <c r="I1696" t="s">
        <v>35196</v>
      </c>
      <c r="J1696" t="s">
        <v>35197</v>
      </c>
      <c r="K1696" t="s">
        <v>35198</v>
      </c>
      <c r="L1696" t="s">
        <v>35199</v>
      </c>
      <c r="M1696" t="s">
        <v>35200</v>
      </c>
      <c r="N1696" t="s">
        <v>35201</v>
      </c>
      <c r="O1696" t="s">
        <v>35202</v>
      </c>
      <c r="P1696">
        <f>-840.272362709545 -34.2322893810288 -240.838191026601</f>
        <v>-1115.3428431171747</v>
      </c>
      <c r="Q1696">
        <f>-639.11150486422 -23.1313506006768 -372.981734429637</f>
        <v>-1035.2245898945339</v>
      </c>
      <c r="R1696" t="s">
        <v>35203</v>
      </c>
      <c r="S1696" t="s">
        <v>35204</v>
      </c>
      <c r="T1696" t="s">
        <v>35205</v>
      </c>
      <c r="U1696" t="s">
        <v>35206</v>
      </c>
      <c r="V1696" t="s">
        <v>35207</v>
      </c>
      <c r="W1696" t="s">
        <v>35208</v>
      </c>
      <c r="X1696" t="s">
        <v>35209</v>
      </c>
      <c r="Y1696" t="s">
        <v>35210</v>
      </c>
    </row>
    <row r="1697" spans="1:25" x14ac:dyDescent="0.3">
      <c r="A1697">
        <v>84800</v>
      </c>
      <c r="B1697" t="s">
        <v>35211</v>
      </c>
      <c r="C1697" t="s">
        <v>35212</v>
      </c>
      <c r="D1697" t="s">
        <v>35213</v>
      </c>
      <c r="E1697" t="s">
        <v>35214</v>
      </c>
      <c r="F1697" t="s">
        <v>35215</v>
      </c>
      <c r="G1697" t="s">
        <v>35216</v>
      </c>
      <c r="H1697" t="s">
        <v>35217</v>
      </c>
      <c r="I1697" t="s">
        <v>35218</v>
      </c>
      <c r="J1697" t="s">
        <v>35219</v>
      </c>
      <c r="K1697" t="s">
        <v>35220</v>
      </c>
      <c r="L1697" t="s">
        <v>35221</v>
      </c>
      <c r="M1697" t="s">
        <v>35222</v>
      </c>
      <c r="N1697" t="s">
        <v>35223</v>
      </c>
      <c r="O1697" t="s">
        <v>35224</v>
      </c>
      <c r="P1697">
        <f>-841.231729648096 -33.7825924221133 -240.70067399292</f>
        <v>-1115.7149960631293</v>
      </c>
      <c r="Q1697">
        <f>-639.662181242431 -22.8980480838104 -372.238155437089</f>
        <v>-1034.7983847633304</v>
      </c>
      <c r="R1697" t="s">
        <v>35225</v>
      </c>
      <c r="S1697" t="s">
        <v>35226</v>
      </c>
      <c r="T1697" t="s">
        <v>35227</v>
      </c>
      <c r="U1697" t="s">
        <v>35228</v>
      </c>
      <c r="V1697" t="s">
        <v>35229</v>
      </c>
      <c r="W1697" t="s">
        <v>35230</v>
      </c>
      <c r="X1697" t="s">
        <v>35231</v>
      </c>
      <c r="Y1697" t="s">
        <v>35232</v>
      </c>
    </row>
    <row r="1698" spans="1:25" x14ac:dyDescent="0.3">
      <c r="A1698">
        <v>84850</v>
      </c>
      <c r="B1698" t="s">
        <v>35233</v>
      </c>
      <c r="C1698" t="s">
        <v>35234</v>
      </c>
      <c r="D1698" t="s">
        <v>35235</v>
      </c>
      <c r="E1698" t="s">
        <v>35236</v>
      </c>
      <c r="F1698" t="s">
        <v>35237</v>
      </c>
      <c r="G1698" t="s">
        <v>35238</v>
      </c>
      <c r="H1698" t="s">
        <v>35239</v>
      </c>
      <c r="I1698" t="s">
        <v>35240</v>
      </c>
      <c r="J1698" t="s">
        <v>35241</v>
      </c>
      <c r="K1698" t="s">
        <v>35242</v>
      </c>
      <c r="L1698" t="s">
        <v>35243</v>
      </c>
      <c r="M1698" t="s">
        <v>35244</v>
      </c>
      <c r="N1698" t="s">
        <v>35245</v>
      </c>
      <c r="O1698" t="s">
        <v>35246</v>
      </c>
      <c r="P1698">
        <f>-841.867074530515 -33.9559238165775 -240.872664269703</f>
        <v>-1116.6956626167955</v>
      </c>
      <c r="Q1698">
        <f>-640.004827111722 -21.3064915464984 -371.802213714935</f>
        <v>-1033.1135323731553</v>
      </c>
      <c r="R1698" t="s">
        <v>35247</v>
      </c>
      <c r="S1698" t="s">
        <v>35248</v>
      </c>
      <c r="T1698" t="s">
        <v>35249</v>
      </c>
      <c r="U1698" t="s">
        <v>35250</v>
      </c>
      <c r="V1698" t="s">
        <v>35251</v>
      </c>
      <c r="W1698" t="s">
        <v>35252</v>
      </c>
      <c r="X1698" t="s">
        <v>35253</v>
      </c>
      <c r="Y1698" t="s">
        <v>35254</v>
      </c>
    </row>
    <row r="1699" spans="1:25" x14ac:dyDescent="0.3">
      <c r="A1699">
        <v>84900</v>
      </c>
      <c r="B1699" t="s">
        <v>35255</v>
      </c>
      <c r="C1699" t="s">
        <v>35256</v>
      </c>
      <c r="D1699" t="s">
        <v>35257</v>
      </c>
      <c r="E1699" t="s">
        <v>35258</v>
      </c>
      <c r="F1699" t="s">
        <v>35259</v>
      </c>
      <c r="G1699" t="s">
        <v>35260</v>
      </c>
      <c r="H1699" t="s">
        <v>35261</v>
      </c>
      <c r="I1699" t="s">
        <v>35262</v>
      </c>
      <c r="J1699" t="s">
        <v>35263</v>
      </c>
      <c r="K1699" t="s">
        <v>35264</v>
      </c>
      <c r="L1699" t="s">
        <v>35265</v>
      </c>
      <c r="M1699" t="s">
        <v>35266</v>
      </c>
      <c r="N1699" t="s">
        <v>35267</v>
      </c>
      <c r="O1699" t="s">
        <v>35268</v>
      </c>
      <c r="P1699">
        <f>-842.154310037719 -33.902229463903 -240.902181049861</f>
        <v>-1116.9587205514831</v>
      </c>
      <c r="Q1699">
        <f>-640.153053713012 -21.0563135980924 -371.597877358512</f>
        <v>-1032.8072446696165</v>
      </c>
      <c r="R1699" t="s">
        <v>35269</v>
      </c>
      <c r="S1699" t="s">
        <v>35270</v>
      </c>
      <c r="T1699" t="s">
        <v>35271</v>
      </c>
      <c r="U1699" t="s">
        <v>35272</v>
      </c>
      <c r="V1699" t="s">
        <v>35273</v>
      </c>
      <c r="W1699" t="s">
        <v>35274</v>
      </c>
      <c r="X1699" t="s">
        <v>35275</v>
      </c>
      <c r="Y1699" t="s">
        <v>35276</v>
      </c>
    </row>
    <row r="1700" spans="1:25" x14ac:dyDescent="0.3">
      <c r="A1700">
        <v>84950</v>
      </c>
      <c r="B1700" t="s">
        <v>35277</v>
      </c>
      <c r="C1700" t="s">
        <v>35278</v>
      </c>
      <c r="D1700" t="s">
        <v>35279</v>
      </c>
      <c r="E1700" t="s">
        <v>35280</v>
      </c>
      <c r="F1700" t="s">
        <v>35281</v>
      </c>
      <c r="G1700" t="s">
        <v>35282</v>
      </c>
      <c r="H1700" t="s">
        <v>35283</v>
      </c>
      <c r="I1700" t="s">
        <v>35284</v>
      </c>
      <c r="J1700" t="s">
        <v>35285</v>
      </c>
      <c r="K1700" t="s">
        <v>35286</v>
      </c>
      <c r="L1700" t="s">
        <v>35287</v>
      </c>
      <c r="M1700" t="s">
        <v>35288</v>
      </c>
      <c r="N1700" t="s">
        <v>35289</v>
      </c>
      <c r="O1700" t="s">
        <v>35290</v>
      </c>
      <c r="P1700">
        <f>-843.402153794937 -33.4248207120245 -241.092480426178</f>
        <v>-1117.9194549331396</v>
      </c>
      <c r="Q1700">
        <f>-640.887165164292 -20.8708360396818 -371.019118792743</f>
        <v>-1032.7771199967167</v>
      </c>
      <c r="R1700" t="s">
        <v>35291</v>
      </c>
      <c r="S1700" t="s">
        <v>35292</v>
      </c>
      <c r="T1700" t="s">
        <v>35293</v>
      </c>
      <c r="U1700" t="s">
        <v>35294</v>
      </c>
      <c r="V1700" t="s">
        <v>35295</v>
      </c>
      <c r="W1700" t="s">
        <v>35296</v>
      </c>
      <c r="X1700" t="s">
        <v>35297</v>
      </c>
      <c r="Y1700" t="s">
        <v>35298</v>
      </c>
    </row>
    <row r="1701" spans="1:25" x14ac:dyDescent="0.3">
      <c r="A1701">
        <v>85000</v>
      </c>
      <c r="B1701" t="s">
        <v>35299</v>
      </c>
      <c r="C1701" t="s">
        <v>35300</v>
      </c>
      <c r="D1701" t="s">
        <v>35301</v>
      </c>
      <c r="E1701" t="s">
        <v>35302</v>
      </c>
      <c r="F1701" t="s">
        <v>35303</v>
      </c>
      <c r="G1701" t="s">
        <v>35304</v>
      </c>
      <c r="H1701" t="s">
        <v>35305</v>
      </c>
      <c r="I1701" t="s">
        <v>35306</v>
      </c>
      <c r="J1701" t="s">
        <v>35307</v>
      </c>
      <c r="K1701" t="s">
        <v>35308</v>
      </c>
      <c r="L1701" t="s">
        <v>35309</v>
      </c>
      <c r="M1701" t="s">
        <v>35310</v>
      </c>
      <c r="N1701" t="s">
        <v>35311</v>
      </c>
      <c r="O1701" t="s">
        <v>35312</v>
      </c>
      <c r="P1701">
        <f>-843.860525032459 -32.7895779035889 -241.811862865352</f>
        <v>-1118.4619658013999</v>
      </c>
      <c r="Q1701">
        <f>-640.632043289392 -20.8412388412189 -370.677362902759</f>
        <v>-1032.15064503337</v>
      </c>
      <c r="R1701" t="s">
        <v>35313</v>
      </c>
      <c r="S1701" t="s">
        <v>35314</v>
      </c>
      <c r="T1701" t="s">
        <v>35315</v>
      </c>
      <c r="U1701" t="s">
        <v>35316</v>
      </c>
      <c r="V1701" t="s">
        <v>35317</v>
      </c>
      <c r="W1701" t="s">
        <v>35318</v>
      </c>
      <c r="X1701" t="s">
        <v>35319</v>
      </c>
      <c r="Y1701" t="s">
        <v>35320</v>
      </c>
    </row>
    <row r="1702" spans="1:25" x14ac:dyDescent="0.3">
      <c r="A1702">
        <v>85050</v>
      </c>
      <c r="B1702" t="s">
        <v>35321</v>
      </c>
      <c r="C1702" t="s">
        <v>35322</v>
      </c>
      <c r="D1702" t="s">
        <v>35323</v>
      </c>
      <c r="E1702" t="s">
        <v>35324</v>
      </c>
      <c r="F1702" t="s">
        <v>35325</v>
      </c>
      <c r="G1702" t="s">
        <v>35326</v>
      </c>
      <c r="H1702" t="s">
        <v>35327</v>
      </c>
      <c r="I1702" t="s">
        <v>35328</v>
      </c>
      <c r="J1702" t="s">
        <v>35329</v>
      </c>
      <c r="K1702" t="s">
        <v>35330</v>
      </c>
      <c r="L1702" t="s">
        <v>35331</v>
      </c>
      <c r="M1702" t="s">
        <v>35332</v>
      </c>
      <c r="N1702" t="s">
        <v>35333</v>
      </c>
      <c r="O1702" t="s">
        <v>35334</v>
      </c>
      <c r="P1702">
        <f>-844.056682854369 -32.4016896022054 -242.375411534247</f>
        <v>-1118.8337839908213</v>
      </c>
      <c r="Q1702">
        <f>-640.693546429266 -20.9091675129002 -371.069666859344</f>
        <v>-1032.6723808015104</v>
      </c>
      <c r="R1702" t="s">
        <v>35335</v>
      </c>
      <c r="S1702" t="s">
        <v>35336</v>
      </c>
      <c r="T1702" t="s">
        <v>35337</v>
      </c>
      <c r="U1702" t="s">
        <v>35338</v>
      </c>
      <c r="V1702" t="s">
        <v>35339</v>
      </c>
      <c r="W1702" t="s">
        <v>35340</v>
      </c>
      <c r="X1702" t="s">
        <v>35341</v>
      </c>
      <c r="Y1702" t="s">
        <v>35342</v>
      </c>
    </row>
    <row r="1703" spans="1:25" x14ac:dyDescent="0.3">
      <c r="A1703">
        <v>85100</v>
      </c>
      <c r="B1703" t="s">
        <v>35343</v>
      </c>
      <c r="C1703" t="s">
        <v>35344</v>
      </c>
      <c r="D1703" t="s">
        <v>35345</v>
      </c>
      <c r="E1703" t="s">
        <v>35346</v>
      </c>
      <c r="F1703" t="s">
        <v>35347</v>
      </c>
      <c r="G1703" t="s">
        <v>35348</v>
      </c>
      <c r="H1703" t="s">
        <v>35349</v>
      </c>
      <c r="I1703" t="s">
        <v>35350</v>
      </c>
      <c r="J1703" t="s">
        <v>35351</v>
      </c>
      <c r="K1703" t="s">
        <v>35352</v>
      </c>
      <c r="L1703" t="s">
        <v>35353</v>
      </c>
      <c r="M1703" t="s">
        <v>35354</v>
      </c>
      <c r="N1703" t="s">
        <v>35355</v>
      </c>
      <c r="O1703" t="s">
        <v>35356</v>
      </c>
      <c r="P1703">
        <f>-845.0127424004 -31.4057141329117 -243.328372847556</f>
        <v>-1119.7468293808679</v>
      </c>
      <c r="Q1703">
        <f>-641.285685962267 -22.7251576884937 -371.666743414516</f>
        <v>-1035.6775870652768</v>
      </c>
      <c r="R1703" t="s">
        <v>35357</v>
      </c>
      <c r="S1703" t="s">
        <v>35358</v>
      </c>
      <c r="T1703" t="s">
        <v>35359</v>
      </c>
      <c r="U1703" t="s">
        <v>35360</v>
      </c>
      <c r="V1703" t="s">
        <v>35361</v>
      </c>
      <c r="W1703" t="s">
        <v>35362</v>
      </c>
      <c r="X1703" t="s">
        <v>35363</v>
      </c>
      <c r="Y1703" t="s">
        <v>35364</v>
      </c>
    </row>
    <row r="1704" spans="1:25" x14ac:dyDescent="0.3">
      <c r="A1704">
        <v>85150</v>
      </c>
      <c r="B1704" t="s">
        <v>35365</v>
      </c>
      <c r="C1704" t="s">
        <v>35366</v>
      </c>
      <c r="D1704" t="s">
        <v>35367</v>
      </c>
      <c r="E1704" t="s">
        <v>35368</v>
      </c>
      <c r="F1704" t="s">
        <v>35369</v>
      </c>
      <c r="G1704" t="s">
        <v>35370</v>
      </c>
      <c r="H1704" t="s">
        <v>35371</v>
      </c>
      <c r="I1704" t="s">
        <v>35372</v>
      </c>
      <c r="J1704" t="s">
        <v>35373</v>
      </c>
      <c r="K1704" t="s">
        <v>35374</v>
      </c>
      <c r="L1704" t="s">
        <v>35375</v>
      </c>
      <c r="M1704" t="s">
        <v>35376</v>
      </c>
      <c r="N1704" t="s">
        <v>35377</v>
      </c>
      <c r="O1704" t="s">
        <v>35378</v>
      </c>
      <c r="P1704">
        <f>-845.291555567098 -30.7953640011369 -243.560176466788</f>
        <v>-1119.647096035023</v>
      </c>
      <c r="Q1704">
        <f>-641.379713284423 -23.8059772700758 -371.708548656579</f>
        <v>-1036.8942392110778</v>
      </c>
      <c r="R1704" t="s">
        <v>35379</v>
      </c>
      <c r="S1704" t="s">
        <v>35380</v>
      </c>
      <c r="T1704" t="s">
        <v>35381</v>
      </c>
      <c r="U1704" t="s">
        <v>35382</v>
      </c>
      <c r="V1704" t="s">
        <v>35383</v>
      </c>
      <c r="W1704" t="s">
        <v>35384</v>
      </c>
      <c r="X1704" t="s">
        <v>35385</v>
      </c>
      <c r="Y1704" t="s">
        <v>35386</v>
      </c>
    </row>
    <row r="1705" spans="1:25" x14ac:dyDescent="0.3">
      <c r="A1705">
        <v>85200</v>
      </c>
      <c r="B1705" t="s">
        <v>35387</v>
      </c>
      <c r="C1705" t="s">
        <v>35388</v>
      </c>
      <c r="D1705" t="s">
        <v>35389</v>
      </c>
      <c r="E1705" t="s">
        <v>35390</v>
      </c>
      <c r="F1705" t="s">
        <v>35391</v>
      </c>
      <c r="G1705" t="s">
        <v>35392</v>
      </c>
      <c r="H1705" t="s">
        <v>35393</v>
      </c>
      <c r="I1705" t="s">
        <v>35394</v>
      </c>
      <c r="J1705" t="s">
        <v>35395</v>
      </c>
      <c r="K1705" t="s">
        <v>35396</v>
      </c>
      <c r="L1705" t="s">
        <v>35397</v>
      </c>
      <c r="M1705" t="s">
        <v>35398</v>
      </c>
      <c r="N1705" t="s">
        <v>35399</v>
      </c>
      <c r="O1705" t="s">
        <v>35400</v>
      </c>
      <c r="P1705">
        <f>-845.944704960043 -29.3012072170877 -243.677927817164</f>
        <v>-1118.9238399942947</v>
      </c>
      <c r="Q1705">
        <f>-641.689426805289 -25.0218109024891 -371.397658415353</f>
        <v>-1038.1088961231312</v>
      </c>
      <c r="R1705" t="s">
        <v>35401</v>
      </c>
      <c r="S1705" t="s">
        <v>35402</v>
      </c>
      <c r="T1705" t="s">
        <v>35403</v>
      </c>
      <c r="U1705" t="s">
        <v>35404</v>
      </c>
      <c r="V1705" t="s">
        <v>35405</v>
      </c>
      <c r="W1705" t="s">
        <v>35406</v>
      </c>
      <c r="X1705" t="s">
        <v>35407</v>
      </c>
      <c r="Y1705" t="s">
        <v>35408</v>
      </c>
    </row>
    <row r="1706" spans="1:25" x14ac:dyDescent="0.3">
      <c r="A1706">
        <v>85250</v>
      </c>
      <c r="B1706" t="s">
        <v>35409</v>
      </c>
      <c r="C1706" t="s">
        <v>35410</v>
      </c>
      <c r="D1706" t="s">
        <v>35411</v>
      </c>
      <c r="E1706" t="s">
        <v>35412</v>
      </c>
      <c r="F1706" t="s">
        <v>35413</v>
      </c>
      <c r="G1706" t="s">
        <v>35414</v>
      </c>
      <c r="H1706" t="s">
        <v>35415</v>
      </c>
      <c r="I1706" t="s">
        <v>35416</v>
      </c>
      <c r="J1706" t="s">
        <v>35417</v>
      </c>
      <c r="K1706" t="s">
        <v>35418</v>
      </c>
      <c r="L1706" t="s">
        <v>35419</v>
      </c>
      <c r="M1706" t="s">
        <v>35420</v>
      </c>
      <c r="N1706" t="s">
        <v>35421</v>
      </c>
      <c r="O1706" t="s">
        <v>35422</v>
      </c>
      <c r="P1706">
        <f>-845.951397475606 -29.0676488938443 -243.761958122771</f>
        <v>-1118.7810044922212</v>
      </c>
      <c r="Q1706">
        <f>-641.387538298003 -25.4755511074295 -371.008105538985</f>
        <v>-1037.8711949444175</v>
      </c>
      <c r="R1706" t="s">
        <v>35423</v>
      </c>
      <c r="S1706" t="s">
        <v>35424</v>
      </c>
      <c r="T1706" t="s">
        <v>35425</v>
      </c>
      <c r="U1706" t="s">
        <v>35426</v>
      </c>
      <c r="V1706" t="s">
        <v>35427</v>
      </c>
      <c r="W1706" t="s">
        <v>35428</v>
      </c>
      <c r="X1706" t="s">
        <v>35429</v>
      </c>
      <c r="Y1706" t="s">
        <v>35430</v>
      </c>
    </row>
    <row r="1707" spans="1:25" x14ac:dyDescent="0.3">
      <c r="A1707">
        <v>85300</v>
      </c>
      <c r="B1707" t="s">
        <v>35431</v>
      </c>
      <c r="C1707" t="s">
        <v>35432</v>
      </c>
      <c r="D1707" t="s">
        <v>35433</v>
      </c>
      <c r="E1707" t="s">
        <v>35434</v>
      </c>
      <c r="F1707" t="s">
        <v>35435</v>
      </c>
      <c r="G1707" t="s">
        <v>35436</v>
      </c>
      <c r="H1707" t="s">
        <v>35437</v>
      </c>
      <c r="I1707" t="s">
        <v>35438</v>
      </c>
      <c r="J1707" t="s">
        <v>35439</v>
      </c>
      <c r="K1707" t="s">
        <v>35440</v>
      </c>
      <c r="L1707" t="s">
        <v>35441</v>
      </c>
      <c r="M1707" t="s">
        <v>35442</v>
      </c>
      <c r="N1707" t="s">
        <v>35443</v>
      </c>
      <c r="O1707" t="s">
        <v>35444</v>
      </c>
      <c r="P1707">
        <f>-844.605848661916 -29.2797340177344 -243.977539073814</f>
        <v>-1117.8631217534644</v>
      </c>
      <c r="Q1707">
        <f>-639.15447334992 -25.5047705410084 -369.780159727875</f>
        <v>-1034.4394036188032</v>
      </c>
      <c r="R1707" t="s">
        <v>35445</v>
      </c>
      <c r="S1707" t="s">
        <v>35446</v>
      </c>
      <c r="T1707" t="s">
        <v>35447</v>
      </c>
      <c r="U1707" t="s">
        <v>35448</v>
      </c>
      <c r="V1707" t="s">
        <v>35449</v>
      </c>
      <c r="W1707" t="s">
        <v>35450</v>
      </c>
      <c r="X1707" t="s">
        <v>35451</v>
      </c>
      <c r="Y1707" t="s">
        <v>35452</v>
      </c>
    </row>
    <row r="1708" spans="1:25" x14ac:dyDescent="0.3">
      <c r="A1708">
        <v>85350</v>
      </c>
      <c r="B1708" t="s">
        <v>35453</v>
      </c>
      <c r="C1708" t="s">
        <v>35454</v>
      </c>
      <c r="D1708" t="s">
        <v>35455</v>
      </c>
      <c r="E1708" t="s">
        <v>35456</v>
      </c>
      <c r="F1708" t="s">
        <v>35457</v>
      </c>
      <c r="G1708" t="s">
        <v>35458</v>
      </c>
      <c r="H1708" t="s">
        <v>35459</v>
      </c>
      <c r="I1708" t="s">
        <v>35460</v>
      </c>
      <c r="J1708" t="s">
        <v>35461</v>
      </c>
      <c r="K1708" t="s">
        <v>35462</v>
      </c>
      <c r="L1708" t="s">
        <v>35463</v>
      </c>
      <c r="M1708" t="s">
        <v>35464</v>
      </c>
      <c r="N1708" t="s">
        <v>35465</v>
      </c>
      <c r="O1708" t="s">
        <v>35466</v>
      </c>
      <c r="P1708">
        <f>-843.450038898339 -29.165094386035 -244.062021767659</f>
        <v>-1116.677155052033</v>
      </c>
      <c r="Q1708">
        <f>-637.544933250742 -25.2771892487212 -369.11730035309</f>
        <v>-1031.9394228525532</v>
      </c>
      <c r="R1708" t="s">
        <v>35467</v>
      </c>
      <c r="S1708" t="s">
        <v>35468</v>
      </c>
      <c r="T1708" t="s">
        <v>35469</v>
      </c>
      <c r="U1708" t="s">
        <v>35470</v>
      </c>
      <c r="V1708" t="s">
        <v>35471</v>
      </c>
      <c r="W1708" t="s">
        <v>35472</v>
      </c>
      <c r="X1708" t="s">
        <v>35473</v>
      </c>
      <c r="Y1708" t="s">
        <v>35474</v>
      </c>
    </row>
    <row r="1709" spans="1:25" x14ac:dyDescent="0.3">
      <c r="A1709">
        <v>85400</v>
      </c>
      <c r="B1709" t="s">
        <v>35475</v>
      </c>
      <c r="C1709" t="s">
        <v>35476</v>
      </c>
      <c r="D1709" t="s">
        <v>35477</v>
      </c>
      <c r="E1709" t="s">
        <v>35478</v>
      </c>
      <c r="F1709" t="s">
        <v>35479</v>
      </c>
      <c r="G1709" t="s">
        <v>35480</v>
      </c>
      <c r="H1709" t="s">
        <v>35481</v>
      </c>
      <c r="I1709" t="s">
        <v>35482</v>
      </c>
      <c r="J1709" t="s">
        <v>35483</v>
      </c>
      <c r="K1709" t="s">
        <v>35484</v>
      </c>
      <c r="L1709" t="s">
        <v>35485</v>
      </c>
      <c r="M1709" t="s">
        <v>35486</v>
      </c>
      <c r="N1709" t="s">
        <v>35487</v>
      </c>
      <c r="O1709" t="s">
        <v>35488</v>
      </c>
      <c r="P1709">
        <f>-840.67021070383 -29.6175521122691 -244.282143091196</f>
        <v>-1114.5699059072952</v>
      </c>
      <c r="Q1709">
        <f>-633.882393592763 -25.8604492805889 -367.876295207476</f>
        <v>-1027.619138080828</v>
      </c>
      <c r="R1709" t="s">
        <v>35489</v>
      </c>
      <c r="S1709" t="s">
        <v>35490</v>
      </c>
      <c r="T1709" t="s">
        <v>35491</v>
      </c>
      <c r="U1709" t="s">
        <v>35492</v>
      </c>
      <c r="V1709" t="s">
        <v>35493</v>
      </c>
      <c r="W1709" t="s">
        <v>35494</v>
      </c>
      <c r="X1709" t="s">
        <v>35495</v>
      </c>
      <c r="Y1709" t="s">
        <v>35496</v>
      </c>
    </row>
    <row r="1710" spans="1:25" x14ac:dyDescent="0.3">
      <c r="A1710">
        <v>85450</v>
      </c>
      <c r="B1710" t="s">
        <v>35497</v>
      </c>
      <c r="C1710" t="s">
        <v>35498</v>
      </c>
      <c r="D1710" t="s">
        <v>35499</v>
      </c>
      <c r="E1710" t="s">
        <v>35500</v>
      </c>
      <c r="F1710" t="s">
        <v>35501</v>
      </c>
      <c r="G1710" t="s">
        <v>35502</v>
      </c>
      <c r="H1710" t="s">
        <v>35503</v>
      </c>
      <c r="I1710" t="s">
        <v>35504</v>
      </c>
      <c r="J1710" t="s">
        <v>35505</v>
      </c>
      <c r="K1710" t="s">
        <v>35506</v>
      </c>
      <c r="L1710" t="s">
        <v>35507</v>
      </c>
      <c r="M1710" t="s">
        <v>35508</v>
      </c>
      <c r="N1710" t="s">
        <v>35509</v>
      </c>
      <c r="O1710" t="s">
        <v>35510</v>
      </c>
      <c r="P1710">
        <f>-839.359058993116 -30.0390032493015 -244.453046152484</f>
        <v>-1113.8511083949015</v>
      </c>
      <c r="Q1710">
        <f>-632.202698895836 -26.2369874453962 -367.427418826866</f>
        <v>-1025.8671051680981</v>
      </c>
      <c r="R1710" t="s">
        <v>35511</v>
      </c>
      <c r="S1710" t="s">
        <v>35512</v>
      </c>
      <c r="T1710" t="s">
        <v>35513</v>
      </c>
      <c r="U1710" t="s">
        <v>35514</v>
      </c>
      <c r="V1710" t="s">
        <v>35515</v>
      </c>
      <c r="W1710" t="s">
        <v>35516</v>
      </c>
      <c r="X1710" t="s">
        <v>35517</v>
      </c>
      <c r="Y1710" t="s">
        <v>35518</v>
      </c>
    </row>
    <row r="1711" spans="1:25" x14ac:dyDescent="0.3">
      <c r="A1711">
        <v>85500</v>
      </c>
      <c r="B1711" t="s">
        <v>35519</v>
      </c>
      <c r="C1711" t="s">
        <v>35520</v>
      </c>
      <c r="D1711" t="s">
        <v>35521</v>
      </c>
      <c r="E1711" t="s">
        <v>35522</v>
      </c>
      <c r="F1711" t="s">
        <v>35523</v>
      </c>
      <c r="G1711" t="s">
        <v>35524</v>
      </c>
      <c r="H1711" t="s">
        <v>35525</v>
      </c>
      <c r="I1711" t="s">
        <v>35526</v>
      </c>
      <c r="J1711" t="s">
        <v>35527</v>
      </c>
      <c r="K1711" t="s">
        <v>35528</v>
      </c>
      <c r="L1711" t="s">
        <v>35529</v>
      </c>
      <c r="M1711" t="s">
        <v>35530</v>
      </c>
      <c r="N1711" t="s">
        <v>35531</v>
      </c>
      <c r="O1711" t="s">
        <v>35532</v>
      </c>
      <c r="P1711">
        <f>-836.788280917641 -31.0525414139356 -245.116453940717</f>
        <v>-1112.9572762722937</v>
      </c>
      <c r="Q1711">
        <f>-629.041126750185 -26.9760676298479 -367.08109687058</f>
        <v>-1023.0982912506129</v>
      </c>
      <c r="R1711" t="s">
        <v>35533</v>
      </c>
      <c r="S1711" t="s">
        <v>35534</v>
      </c>
      <c r="T1711" t="s">
        <v>35535</v>
      </c>
      <c r="U1711" t="s">
        <v>35536</v>
      </c>
      <c r="V1711" t="s">
        <v>35537</v>
      </c>
      <c r="W1711" t="s">
        <v>35538</v>
      </c>
      <c r="X1711" t="s">
        <v>35539</v>
      </c>
      <c r="Y1711" t="s">
        <v>35540</v>
      </c>
    </row>
    <row r="1712" spans="1:25" x14ac:dyDescent="0.3">
      <c r="A1712">
        <v>85550</v>
      </c>
      <c r="B1712" t="s">
        <v>35541</v>
      </c>
      <c r="C1712" t="s">
        <v>35542</v>
      </c>
      <c r="D1712" t="s">
        <v>35543</v>
      </c>
      <c r="E1712" t="s">
        <v>35544</v>
      </c>
      <c r="F1712" t="s">
        <v>35545</v>
      </c>
      <c r="G1712" t="s">
        <v>35546</v>
      </c>
      <c r="H1712" t="s">
        <v>35547</v>
      </c>
      <c r="I1712" t="s">
        <v>35548</v>
      </c>
      <c r="J1712" t="s">
        <v>35549</v>
      </c>
      <c r="K1712" t="s">
        <v>35550</v>
      </c>
      <c r="L1712" t="s">
        <v>35551</v>
      </c>
      <c r="M1712" t="s">
        <v>35552</v>
      </c>
      <c r="N1712" t="s">
        <v>35553</v>
      </c>
      <c r="O1712" t="s">
        <v>35554</v>
      </c>
      <c r="P1712">
        <f>-835.964158634512 -31.0097358923836 -245.374652377768</f>
        <v>-1112.3485469046636</v>
      </c>
      <c r="Q1712">
        <f>-628.066795127487 -26.9661549635825 -367.084350406516</f>
        <v>-1022.1173004975856</v>
      </c>
      <c r="R1712" t="s">
        <v>35555</v>
      </c>
      <c r="S1712" t="s">
        <v>35556</v>
      </c>
      <c r="T1712" t="s">
        <v>35557</v>
      </c>
      <c r="U1712" t="s">
        <v>35558</v>
      </c>
      <c r="V1712" t="s">
        <v>35559</v>
      </c>
      <c r="W1712" t="s">
        <v>35560</v>
      </c>
      <c r="X1712" t="s">
        <v>35561</v>
      </c>
      <c r="Y1712" t="s">
        <v>35562</v>
      </c>
    </row>
    <row r="1713" spans="1:25" x14ac:dyDescent="0.3">
      <c r="A1713">
        <v>85600</v>
      </c>
      <c r="B1713" t="s">
        <v>35563</v>
      </c>
      <c r="C1713" t="s">
        <v>35564</v>
      </c>
      <c r="D1713" t="s">
        <v>35565</v>
      </c>
      <c r="E1713" t="s">
        <v>35566</v>
      </c>
      <c r="F1713" t="s">
        <v>35567</v>
      </c>
      <c r="G1713" t="s">
        <v>35568</v>
      </c>
      <c r="H1713" t="s">
        <v>35569</v>
      </c>
      <c r="I1713" t="s">
        <v>35570</v>
      </c>
      <c r="J1713" t="s">
        <v>35571</v>
      </c>
      <c r="K1713" t="s">
        <v>35572</v>
      </c>
      <c r="L1713" t="s">
        <v>35573</v>
      </c>
      <c r="M1713" t="s">
        <v>35574</v>
      </c>
      <c r="N1713" t="s">
        <v>35575</v>
      </c>
      <c r="O1713" t="s">
        <v>35576</v>
      </c>
      <c r="P1713">
        <f>-834.763552949909 -29.9985530154336 -245.207434978963</f>
        <v>-1109.9695409443057</v>
      </c>
      <c r="Q1713">
        <f>-626.652914501894 -26.5291187956191 -366.569683742291</f>
        <v>-1019.751717039804</v>
      </c>
      <c r="R1713" t="s">
        <v>35577</v>
      </c>
      <c r="S1713" t="s">
        <v>35578</v>
      </c>
      <c r="T1713" t="s">
        <v>35579</v>
      </c>
      <c r="U1713" t="s">
        <v>35580</v>
      </c>
      <c r="V1713" t="s">
        <v>35581</v>
      </c>
      <c r="W1713" t="s">
        <v>35582</v>
      </c>
      <c r="X1713" t="s">
        <v>35583</v>
      </c>
      <c r="Y1713" t="s">
        <v>35584</v>
      </c>
    </row>
    <row r="1714" spans="1:25" x14ac:dyDescent="0.3">
      <c r="A1714">
        <v>85650</v>
      </c>
      <c r="B1714" t="s">
        <v>35585</v>
      </c>
      <c r="C1714" t="s">
        <v>35586</v>
      </c>
      <c r="D1714" t="s">
        <v>35587</v>
      </c>
      <c r="E1714" t="s">
        <v>35588</v>
      </c>
      <c r="F1714" t="s">
        <v>35589</v>
      </c>
      <c r="G1714" t="s">
        <v>35590</v>
      </c>
      <c r="H1714" t="s">
        <v>35591</v>
      </c>
      <c r="I1714" t="s">
        <v>35592</v>
      </c>
      <c r="J1714" t="s">
        <v>35593</v>
      </c>
      <c r="K1714" t="s">
        <v>35594</v>
      </c>
      <c r="L1714" t="s">
        <v>35595</v>
      </c>
      <c r="M1714" t="s">
        <v>35596</v>
      </c>
      <c r="N1714" t="s">
        <v>35597</v>
      </c>
      <c r="O1714" t="s">
        <v>35598</v>
      </c>
      <c r="P1714">
        <f>-834.455861191751 -29.5356016106443 -244.826901236715</f>
        <v>-1108.8183640391103</v>
      </c>
      <c r="Q1714">
        <f>-626.33846808572 -26.4139301499572 -366.187127608128</f>
        <v>-1018.9395258438052</v>
      </c>
      <c r="R1714" t="s">
        <v>35599</v>
      </c>
      <c r="S1714" t="s">
        <v>35600</v>
      </c>
      <c r="T1714" t="s">
        <v>35601</v>
      </c>
      <c r="U1714" t="s">
        <v>35602</v>
      </c>
      <c r="V1714" t="s">
        <v>35603</v>
      </c>
      <c r="W1714" t="s">
        <v>35604</v>
      </c>
      <c r="X1714" t="s">
        <v>35605</v>
      </c>
      <c r="Y1714" t="s">
        <v>35606</v>
      </c>
    </row>
    <row r="1715" spans="1:25" x14ac:dyDescent="0.3">
      <c r="A1715">
        <v>85700</v>
      </c>
      <c r="B1715" t="s">
        <v>35607</v>
      </c>
      <c r="C1715" t="s">
        <v>35608</v>
      </c>
      <c r="D1715" t="s">
        <v>35609</v>
      </c>
      <c r="E1715" t="s">
        <v>35610</v>
      </c>
      <c r="F1715" t="s">
        <v>35611</v>
      </c>
      <c r="G1715" t="s">
        <v>35612</v>
      </c>
      <c r="H1715" t="s">
        <v>35613</v>
      </c>
      <c r="I1715" t="s">
        <v>35614</v>
      </c>
      <c r="J1715" t="s">
        <v>35615</v>
      </c>
      <c r="K1715" t="s">
        <v>35616</v>
      </c>
      <c r="L1715" t="s">
        <v>35617</v>
      </c>
      <c r="M1715" t="s">
        <v>35618</v>
      </c>
      <c r="N1715" t="s">
        <v>35619</v>
      </c>
      <c r="O1715" t="s">
        <v>35620</v>
      </c>
      <c r="P1715">
        <f>-835.40628498901 -29.3642667030999 -243.281116830929</f>
        <v>-1108.0516685230389</v>
      </c>
      <c r="Q1715">
        <f>-627.356942388707 -27.6879048165815 -364.786098626876</f>
        <v>-1019.8309458321646</v>
      </c>
      <c r="R1715" t="s">
        <v>35621</v>
      </c>
      <c r="S1715" t="s">
        <v>35622</v>
      </c>
      <c r="T1715" t="s">
        <v>35623</v>
      </c>
      <c r="U1715" t="s">
        <v>35624</v>
      </c>
      <c r="V1715" t="s">
        <v>35625</v>
      </c>
      <c r="W1715" t="s">
        <v>35626</v>
      </c>
      <c r="X1715" t="s">
        <v>35627</v>
      </c>
      <c r="Y1715" t="s">
        <v>35628</v>
      </c>
    </row>
    <row r="1716" spans="1:25" x14ac:dyDescent="0.3">
      <c r="A1716">
        <v>85750</v>
      </c>
      <c r="B1716" t="s">
        <v>35629</v>
      </c>
      <c r="C1716" t="s">
        <v>35630</v>
      </c>
      <c r="D1716" t="s">
        <v>35631</v>
      </c>
      <c r="E1716" t="s">
        <v>35632</v>
      </c>
      <c r="F1716" t="s">
        <v>35633</v>
      </c>
      <c r="G1716" t="s">
        <v>35634</v>
      </c>
      <c r="H1716" t="s">
        <v>35635</v>
      </c>
      <c r="I1716" t="s">
        <v>35636</v>
      </c>
      <c r="J1716" t="s">
        <v>35637</v>
      </c>
      <c r="K1716" t="s">
        <v>35638</v>
      </c>
      <c r="L1716" t="s">
        <v>35639</v>
      </c>
      <c r="M1716" t="s">
        <v>35640</v>
      </c>
      <c r="N1716" t="s">
        <v>35641</v>
      </c>
      <c r="O1716" t="s">
        <v>35642</v>
      </c>
      <c r="P1716">
        <f>-836.851861911513 -29.2709290506127 -242.093299701162</f>
        <v>-1108.2160906632878</v>
      </c>
      <c r="Q1716">
        <f>-629.016358685734 -28.2464624307418 -363.970762174222</f>
        <v>-1021.2335832906977</v>
      </c>
      <c r="R1716" t="s">
        <v>35643</v>
      </c>
      <c r="S1716" t="s">
        <v>35644</v>
      </c>
      <c r="T1716" t="s">
        <v>35645</v>
      </c>
      <c r="U1716" t="s">
        <v>35646</v>
      </c>
      <c r="V1716" t="s">
        <v>35647</v>
      </c>
      <c r="W1716" t="s">
        <v>35648</v>
      </c>
      <c r="X1716" t="s">
        <v>35649</v>
      </c>
      <c r="Y1716" t="s">
        <v>35650</v>
      </c>
    </row>
    <row r="1717" spans="1:25" x14ac:dyDescent="0.3">
      <c r="A1717">
        <v>85800</v>
      </c>
      <c r="B1717" t="s">
        <v>35651</v>
      </c>
      <c r="C1717" t="s">
        <v>35652</v>
      </c>
      <c r="D1717" t="s">
        <v>35653</v>
      </c>
      <c r="E1717" t="s">
        <v>35654</v>
      </c>
      <c r="F1717" t="s">
        <v>35655</v>
      </c>
      <c r="G1717" t="s">
        <v>35656</v>
      </c>
      <c r="H1717" t="s">
        <v>35657</v>
      </c>
      <c r="I1717" t="s">
        <v>35658</v>
      </c>
      <c r="J1717" t="s">
        <v>35659</v>
      </c>
      <c r="K1717" t="s">
        <v>35660</v>
      </c>
      <c r="L1717" t="s">
        <v>35661</v>
      </c>
      <c r="M1717" t="s">
        <v>35662</v>
      </c>
      <c r="N1717" t="s">
        <v>35663</v>
      </c>
      <c r="O1717" t="s">
        <v>35664</v>
      </c>
      <c r="P1717">
        <f>-839.490130970121 -28.7638533140162 -239.943986411941</f>
        <v>-1108.1979706960781</v>
      </c>
      <c r="Q1717">
        <f>-632.077990241484 -28.4774368319595 -362.54530603723</f>
        <v>-1023.1007331106734</v>
      </c>
      <c r="R1717" t="s">
        <v>35665</v>
      </c>
      <c r="S1717" t="s">
        <v>35666</v>
      </c>
      <c r="T1717" t="s">
        <v>35667</v>
      </c>
      <c r="U1717" t="s">
        <v>35668</v>
      </c>
      <c r="V1717" t="s">
        <v>35669</v>
      </c>
      <c r="W1717" t="s">
        <v>35670</v>
      </c>
      <c r="X1717" t="s">
        <v>35671</v>
      </c>
      <c r="Y1717" t="s">
        <v>35672</v>
      </c>
    </row>
    <row r="1718" spans="1:25" x14ac:dyDescent="0.3">
      <c r="A1718">
        <v>85850</v>
      </c>
      <c r="B1718" t="s">
        <v>35673</v>
      </c>
      <c r="C1718" t="s">
        <v>35674</v>
      </c>
      <c r="D1718" t="s">
        <v>35675</v>
      </c>
      <c r="E1718" t="s">
        <v>35676</v>
      </c>
      <c r="F1718" t="s">
        <v>35677</v>
      </c>
      <c r="G1718" t="s">
        <v>35678</v>
      </c>
      <c r="H1718" t="s">
        <v>35679</v>
      </c>
      <c r="I1718" t="s">
        <v>35680</v>
      </c>
      <c r="J1718" t="s">
        <v>35681</v>
      </c>
      <c r="K1718" t="s">
        <v>35682</v>
      </c>
      <c r="L1718" t="s">
        <v>35683</v>
      </c>
      <c r="M1718" t="s">
        <v>35684</v>
      </c>
      <c r="N1718" t="s">
        <v>35685</v>
      </c>
      <c r="O1718" t="s">
        <v>35686</v>
      </c>
      <c r="P1718">
        <f>-840.570533984502 -28.3354475577421 -239.167722279113</f>
        <v>-1108.0737038213572</v>
      </c>
      <c r="Q1718">
        <f>-633.331368655033 -28.4366859879456 -362.061186362787</f>
        <v>-1023.8292410057655</v>
      </c>
      <c r="R1718" t="s">
        <v>35687</v>
      </c>
      <c r="S1718" t="s">
        <v>35688</v>
      </c>
      <c r="T1718" t="s">
        <v>35689</v>
      </c>
      <c r="U1718" t="s">
        <v>35690</v>
      </c>
      <c r="V1718" t="s">
        <v>35691</v>
      </c>
      <c r="W1718" t="s">
        <v>35692</v>
      </c>
      <c r="X1718" t="s">
        <v>35693</v>
      </c>
      <c r="Y1718" t="s">
        <v>35694</v>
      </c>
    </row>
    <row r="1719" spans="1:25" x14ac:dyDescent="0.3">
      <c r="A1719">
        <v>85900</v>
      </c>
      <c r="B1719" t="s">
        <v>35695</v>
      </c>
      <c r="C1719" t="s">
        <v>35696</v>
      </c>
      <c r="D1719" t="s">
        <v>35697</v>
      </c>
      <c r="E1719" t="s">
        <v>35698</v>
      </c>
      <c r="F1719" t="s">
        <v>35699</v>
      </c>
      <c r="G1719" t="s">
        <v>35700</v>
      </c>
      <c r="H1719" t="s">
        <v>35701</v>
      </c>
      <c r="I1719" t="s">
        <v>35702</v>
      </c>
      <c r="J1719" t="s">
        <v>35703</v>
      </c>
      <c r="K1719" t="s">
        <v>35704</v>
      </c>
      <c r="L1719" t="s">
        <v>35705</v>
      </c>
      <c r="M1719" t="s">
        <v>35706</v>
      </c>
      <c r="N1719" t="s">
        <v>35707</v>
      </c>
      <c r="O1719" t="s">
        <v>35708</v>
      </c>
      <c r="P1719">
        <f>-841.511774573288 -29.6951949045501 -238.012393539759</f>
        <v>-1109.2193630175971</v>
      </c>
      <c r="Q1719">
        <f>-634.996884617853 -31.0909914945164 -362.111322363699</f>
        <v>-1028.1991984760684</v>
      </c>
      <c r="R1719" t="s">
        <v>35709</v>
      </c>
      <c r="S1719" t="s">
        <v>35710</v>
      </c>
      <c r="T1719" t="s">
        <v>35711</v>
      </c>
      <c r="U1719" t="s">
        <v>35712</v>
      </c>
      <c r="V1719" t="s">
        <v>35713</v>
      </c>
      <c r="W1719" t="s">
        <v>35714</v>
      </c>
      <c r="X1719" t="s">
        <v>35715</v>
      </c>
      <c r="Y1719" t="s">
        <v>35716</v>
      </c>
    </row>
    <row r="1720" spans="1:25" x14ac:dyDescent="0.3">
      <c r="A1720">
        <v>85950</v>
      </c>
      <c r="B1720" t="s">
        <v>35717</v>
      </c>
      <c r="C1720" t="s">
        <v>35718</v>
      </c>
      <c r="D1720" t="s">
        <v>35719</v>
      </c>
      <c r="E1720" t="s">
        <v>35720</v>
      </c>
      <c r="F1720" t="s">
        <v>35721</v>
      </c>
      <c r="G1720" t="s">
        <v>35722</v>
      </c>
      <c r="H1720" t="s">
        <v>35723</v>
      </c>
      <c r="I1720" t="s">
        <v>35724</v>
      </c>
      <c r="J1720" t="s">
        <v>35725</v>
      </c>
      <c r="K1720" t="s">
        <v>35726</v>
      </c>
      <c r="L1720" t="s">
        <v>35727</v>
      </c>
      <c r="M1720" t="s">
        <v>35728</v>
      </c>
      <c r="N1720" t="s">
        <v>35729</v>
      </c>
      <c r="O1720" t="s">
        <v>35730</v>
      </c>
      <c r="P1720">
        <f>-841.172156974126 -30.3348779723115 -237.534337287239</f>
        <v>-1109.0413722336764</v>
      </c>
      <c r="Q1720">
        <f>-635.244595632194 -32.8500381044037 -362.58791367222</f>
        <v>-1030.6825474088178</v>
      </c>
      <c r="R1720" t="s">
        <v>35731</v>
      </c>
      <c r="S1720" t="s">
        <v>35732</v>
      </c>
      <c r="T1720" t="s">
        <v>35733</v>
      </c>
      <c r="U1720" t="s">
        <v>35734</v>
      </c>
      <c r="V1720" t="s">
        <v>35735</v>
      </c>
      <c r="W1720" t="s">
        <v>35736</v>
      </c>
      <c r="X1720" t="s">
        <v>35737</v>
      </c>
      <c r="Y1720" t="s">
        <v>35738</v>
      </c>
    </row>
    <row r="1721" spans="1:25" x14ac:dyDescent="0.3">
      <c r="A1721">
        <v>86000</v>
      </c>
      <c r="B1721" t="s">
        <v>35739</v>
      </c>
      <c r="C1721" t="s">
        <v>35740</v>
      </c>
      <c r="D1721" t="s">
        <v>35741</v>
      </c>
      <c r="E1721" t="s">
        <v>35742</v>
      </c>
      <c r="F1721" t="s">
        <v>35743</v>
      </c>
      <c r="G1721" t="s">
        <v>35744</v>
      </c>
      <c r="H1721" t="s">
        <v>35745</v>
      </c>
      <c r="I1721" t="s">
        <v>35746</v>
      </c>
      <c r="J1721" t="s">
        <v>35747</v>
      </c>
      <c r="K1721" t="s">
        <v>35748</v>
      </c>
      <c r="L1721" t="s">
        <v>35749</v>
      </c>
      <c r="M1721" t="s">
        <v>35750</v>
      </c>
      <c r="N1721" t="s">
        <v>35751</v>
      </c>
      <c r="O1721" t="s">
        <v>35752</v>
      </c>
      <c r="P1721">
        <f>-840.924920779656 -30.3660207611943 -236.863744092625</f>
        <v>-1108.1546856334753</v>
      </c>
      <c r="Q1721">
        <f>-636.473781996865 -35.2765477716048 -364.246967812339</f>
        <v>-1035.9972975808087</v>
      </c>
      <c r="R1721" t="s">
        <v>35753</v>
      </c>
      <c r="S1721" t="s">
        <v>35754</v>
      </c>
      <c r="T1721" t="s">
        <v>35755</v>
      </c>
      <c r="U1721" t="s">
        <v>35756</v>
      </c>
      <c r="V1721" t="s">
        <v>35757</v>
      </c>
      <c r="W1721" t="s">
        <v>35758</v>
      </c>
      <c r="X1721" t="s">
        <v>35759</v>
      </c>
      <c r="Y1721" t="s">
        <v>35760</v>
      </c>
    </row>
    <row r="1722" spans="1:25" x14ac:dyDescent="0.3">
      <c r="A1722">
        <v>86050</v>
      </c>
      <c r="B1722" t="s">
        <v>35761</v>
      </c>
      <c r="C1722" t="s">
        <v>35762</v>
      </c>
      <c r="D1722" t="s">
        <v>35763</v>
      </c>
      <c r="E1722" t="s">
        <v>35764</v>
      </c>
      <c r="F1722" t="s">
        <v>35765</v>
      </c>
      <c r="G1722" t="s">
        <v>35766</v>
      </c>
      <c r="H1722" t="s">
        <v>35767</v>
      </c>
      <c r="I1722" t="s">
        <v>35768</v>
      </c>
      <c r="J1722" t="s">
        <v>35769</v>
      </c>
      <c r="K1722" t="s">
        <v>35770</v>
      </c>
      <c r="L1722" t="s">
        <v>35771</v>
      </c>
      <c r="M1722" t="s">
        <v>35772</v>
      </c>
      <c r="N1722" t="s">
        <v>35773</v>
      </c>
      <c r="O1722" t="s">
        <v>35774</v>
      </c>
      <c r="P1722">
        <f>-840.796555887294 -30.5439235109188 -236.711404395317</f>
        <v>-1108.0518837935297</v>
      </c>
      <c r="Q1722">
        <f>-637.098332143715 -36.6033099590104 -365.246079064834</f>
        <v>-1038.9477211675594</v>
      </c>
      <c r="R1722" t="s">
        <v>35775</v>
      </c>
      <c r="S1722" t="s">
        <v>35776</v>
      </c>
      <c r="T1722" t="s">
        <v>35777</v>
      </c>
      <c r="U1722" t="s">
        <v>35778</v>
      </c>
      <c r="V1722" t="s">
        <v>35779</v>
      </c>
      <c r="W1722" t="s">
        <v>35780</v>
      </c>
      <c r="X1722" t="s">
        <v>35781</v>
      </c>
      <c r="Y1722" t="s">
        <v>35782</v>
      </c>
    </row>
    <row r="1723" spans="1:25" x14ac:dyDescent="0.3">
      <c r="A1723">
        <v>86100</v>
      </c>
      <c r="B1723" t="s">
        <v>35783</v>
      </c>
      <c r="C1723" t="s">
        <v>35784</v>
      </c>
      <c r="D1723" t="s">
        <v>35785</v>
      </c>
      <c r="E1723" t="s">
        <v>35786</v>
      </c>
      <c r="F1723" t="s">
        <v>35787</v>
      </c>
      <c r="G1723" t="s">
        <v>35788</v>
      </c>
      <c r="H1723" t="s">
        <v>35789</v>
      </c>
      <c r="I1723" t="s">
        <v>35790</v>
      </c>
      <c r="J1723" t="s">
        <v>35791</v>
      </c>
      <c r="K1723" t="s">
        <v>35792</v>
      </c>
      <c r="L1723" t="s">
        <v>35793</v>
      </c>
      <c r="M1723" t="s">
        <v>35794</v>
      </c>
      <c r="N1723" t="s">
        <v>35795</v>
      </c>
      <c r="O1723" t="s">
        <v>35796</v>
      </c>
      <c r="P1723">
        <f>-841.33923867153 -30.5298852269029 -236.427529124064</f>
        <v>-1108.2966530224969</v>
      </c>
      <c r="Q1723">
        <f>-638.689184618066 -38.4432424284803 -366.509115665301</f>
        <v>-1043.6415427118473</v>
      </c>
      <c r="R1723" t="s">
        <v>35797</v>
      </c>
      <c r="S1723" t="s">
        <v>35798</v>
      </c>
      <c r="T1723" t="s">
        <v>35799</v>
      </c>
      <c r="U1723" t="s">
        <v>35800</v>
      </c>
      <c r="V1723" t="s">
        <v>35801</v>
      </c>
      <c r="W1723" t="s">
        <v>35802</v>
      </c>
      <c r="X1723" t="s">
        <v>35803</v>
      </c>
      <c r="Y1723" t="s">
        <v>35804</v>
      </c>
    </row>
    <row r="1724" spans="1:25" x14ac:dyDescent="0.3">
      <c r="A1724">
        <v>86150</v>
      </c>
      <c r="B1724" t="s">
        <v>35805</v>
      </c>
      <c r="C1724" t="s">
        <v>35806</v>
      </c>
      <c r="D1724" t="s">
        <v>35807</v>
      </c>
      <c r="E1724" t="s">
        <v>35808</v>
      </c>
      <c r="F1724" t="s">
        <v>35809</v>
      </c>
      <c r="G1724" t="s">
        <v>35810</v>
      </c>
      <c r="H1724" t="s">
        <v>35811</v>
      </c>
      <c r="I1724" t="s">
        <v>35812</v>
      </c>
      <c r="J1724" t="s">
        <v>35813</v>
      </c>
      <c r="K1724" t="s">
        <v>35814</v>
      </c>
      <c r="L1724" t="s">
        <v>35815</v>
      </c>
      <c r="M1724" t="s">
        <v>35816</v>
      </c>
      <c r="N1724" t="s">
        <v>35817</v>
      </c>
      <c r="O1724" t="s">
        <v>35818</v>
      </c>
      <c r="P1724">
        <f>-841.742096974157 -29.8960929010532 -236.152184199846</f>
        <v>-1107.7903740750562</v>
      </c>
      <c r="Q1724">
        <f>-639.241559752261 -38.3833897326813 -366.429818323199</f>
        <v>-1044.0547678081412</v>
      </c>
      <c r="R1724" t="s">
        <v>35819</v>
      </c>
      <c r="S1724" t="s">
        <v>35820</v>
      </c>
      <c r="T1724" t="s">
        <v>35821</v>
      </c>
      <c r="U1724" t="s">
        <v>35822</v>
      </c>
      <c r="V1724" t="s">
        <v>35823</v>
      </c>
      <c r="W1724" t="s">
        <v>35824</v>
      </c>
      <c r="X1724" t="s">
        <v>35825</v>
      </c>
      <c r="Y1724" t="s">
        <v>35826</v>
      </c>
    </row>
    <row r="1725" spans="1:25" x14ac:dyDescent="0.3">
      <c r="A1725">
        <v>86200</v>
      </c>
      <c r="B1725" t="s">
        <v>35827</v>
      </c>
      <c r="C1725" t="s">
        <v>35828</v>
      </c>
      <c r="D1725" t="s">
        <v>35829</v>
      </c>
      <c r="E1725" t="s">
        <v>35830</v>
      </c>
      <c r="F1725" t="s">
        <v>35831</v>
      </c>
      <c r="G1725" t="s">
        <v>35832</v>
      </c>
      <c r="H1725" t="s">
        <v>35833</v>
      </c>
      <c r="I1725" t="s">
        <v>35834</v>
      </c>
      <c r="J1725" t="s">
        <v>35835</v>
      </c>
      <c r="K1725" t="s">
        <v>35836</v>
      </c>
      <c r="L1725" t="s">
        <v>35837</v>
      </c>
      <c r="M1725" t="s">
        <v>35838</v>
      </c>
      <c r="N1725" t="s">
        <v>35839</v>
      </c>
      <c r="O1725" t="s">
        <v>35840</v>
      </c>
      <c r="P1725">
        <f>-843.184871907764 -29.8822154722952 -235.555714705888</f>
        <v>-1108.6228020859471</v>
      </c>
      <c r="Q1725">
        <f>-639.97871579934 -37.7966779986925 -364.76649392301</f>
        <v>-1042.5418877210425</v>
      </c>
      <c r="R1725" t="s">
        <v>35841</v>
      </c>
      <c r="S1725" t="s">
        <v>35842</v>
      </c>
      <c r="T1725" t="s">
        <v>35843</v>
      </c>
      <c r="U1725" t="s">
        <v>35844</v>
      </c>
      <c r="V1725" t="s">
        <v>35845</v>
      </c>
      <c r="W1725" t="s">
        <v>35846</v>
      </c>
      <c r="X1725" t="s">
        <v>35847</v>
      </c>
      <c r="Y1725" t="s">
        <v>35848</v>
      </c>
    </row>
    <row r="1726" spans="1:25" x14ac:dyDescent="0.3">
      <c r="A1726">
        <v>86250</v>
      </c>
      <c r="B1726" t="s">
        <v>35849</v>
      </c>
      <c r="C1726" t="s">
        <v>35850</v>
      </c>
      <c r="D1726" t="s">
        <v>35851</v>
      </c>
      <c r="E1726" t="s">
        <v>35852</v>
      </c>
      <c r="F1726" t="s">
        <v>35853</v>
      </c>
      <c r="G1726" t="s">
        <v>35854</v>
      </c>
      <c r="H1726" t="s">
        <v>35855</v>
      </c>
      <c r="I1726" t="s">
        <v>35856</v>
      </c>
      <c r="J1726" t="s">
        <v>35857</v>
      </c>
      <c r="K1726" t="s">
        <v>35858</v>
      </c>
      <c r="L1726" t="s">
        <v>35859</v>
      </c>
      <c r="M1726" t="s">
        <v>35860</v>
      </c>
      <c r="N1726" t="s">
        <v>35861</v>
      </c>
      <c r="O1726" t="s">
        <v>35862</v>
      </c>
      <c r="P1726">
        <f>-843.392935871643 -30.210488211651 -234.915718308875</f>
        <v>-1108.519142392169</v>
      </c>
      <c r="Q1726">
        <f>-639.641157409044 -37.3705966186133 -363.30883243804</f>
        <v>-1040.3205864656973</v>
      </c>
      <c r="R1726" t="s">
        <v>35863</v>
      </c>
      <c r="S1726" t="s">
        <v>35864</v>
      </c>
      <c r="T1726" t="s">
        <v>35865</v>
      </c>
      <c r="U1726" t="s">
        <v>35866</v>
      </c>
      <c r="V1726" t="s">
        <v>35867</v>
      </c>
      <c r="W1726" t="s">
        <v>35868</v>
      </c>
      <c r="X1726" t="s">
        <v>35869</v>
      </c>
      <c r="Y1726" t="s">
        <v>35870</v>
      </c>
    </row>
    <row r="1727" spans="1:25" x14ac:dyDescent="0.3">
      <c r="A1727">
        <v>86300</v>
      </c>
      <c r="B1727" t="s">
        <v>35871</v>
      </c>
      <c r="C1727" t="s">
        <v>35872</v>
      </c>
      <c r="D1727" t="s">
        <v>35873</v>
      </c>
      <c r="E1727" t="s">
        <v>35874</v>
      </c>
      <c r="F1727" t="s">
        <v>35875</v>
      </c>
      <c r="G1727" t="s">
        <v>35876</v>
      </c>
      <c r="H1727" t="s">
        <v>35877</v>
      </c>
      <c r="I1727" t="s">
        <v>35878</v>
      </c>
      <c r="J1727" t="s">
        <v>35879</v>
      </c>
      <c r="K1727" t="s">
        <v>35880</v>
      </c>
      <c r="L1727" t="s">
        <v>35881</v>
      </c>
      <c r="M1727" t="s">
        <v>35882</v>
      </c>
      <c r="N1727" t="s">
        <v>35883</v>
      </c>
      <c r="O1727" t="s">
        <v>35884</v>
      </c>
      <c r="P1727">
        <f>-842.665087610985 -29.0198916659015 -232.760447775648</f>
        <v>-1104.4454270525343</v>
      </c>
      <c r="Q1727">
        <f>-638.834844451942 -35.307923937135 -361.074838601742</f>
        <v>-1035.2176069908189</v>
      </c>
      <c r="R1727" t="s">
        <v>35885</v>
      </c>
      <c r="S1727" t="s">
        <v>35886</v>
      </c>
      <c r="T1727" t="s">
        <v>35887</v>
      </c>
      <c r="U1727" t="s">
        <v>35888</v>
      </c>
      <c r="V1727" t="s">
        <v>35889</v>
      </c>
      <c r="W1727" t="s">
        <v>35890</v>
      </c>
      <c r="X1727" t="s">
        <v>35891</v>
      </c>
      <c r="Y1727" t="s">
        <v>35892</v>
      </c>
    </row>
    <row r="1728" spans="1:25" x14ac:dyDescent="0.3">
      <c r="A1728">
        <v>86350</v>
      </c>
      <c r="B1728" t="s">
        <v>35893</v>
      </c>
      <c r="C1728" t="s">
        <v>35894</v>
      </c>
      <c r="D1728" t="s">
        <v>35895</v>
      </c>
      <c r="E1728" t="s">
        <v>35896</v>
      </c>
      <c r="F1728" t="s">
        <v>35897</v>
      </c>
      <c r="G1728" t="s">
        <v>35898</v>
      </c>
      <c r="H1728" t="s">
        <v>35899</v>
      </c>
      <c r="I1728" t="s">
        <v>35900</v>
      </c>
      <c r="J1728" t="s">
        <v>35901</v>
      </c>
      <c r="K1728" t="s">
        <v>35902</v>
      </c>
      <c r="L1728" t="s">
        <v>35903</v>
      </c>
      <c r="M1728" t="s">
        <v>35904</v>
      </c>
      <c r="N1728" t="s">
        <v>35905</v>
      </c>
      <c r="O1728" t="s">
        <v>35906</v>
      </c>
      <c r="P1728">
        <f>-841.705338088458 -29.2819548068446 -231.777758983772</f>
        <v>-1102.7650518790747</v>
      </c>
      <c r="Q1728">
        <f>-638.334208096807 -33.9699100140342 -360.886376141826</f>
        <v>-1033.1904942526671</v>
      </c>
      <c r="R1728" t="s">
        <v>35907</v>
      </c>
      <c r="S1728" t="s">
        <v>35908</v>
      </c>
      <c r="T1728" t="s">
        <v>35909</v>
      </c>
      <c r="U1728" t="s">
        <v>35910</v>
      </c>
      <c r="V1728" t="s">
        <v>35911</v>
      </c>
      <c r="W1728" t="s">
        <v>35912</v>
      </c>
      <c r="X1728" t="s">
        <v>35913</v>
      </c>
      <c r="Y1728" t="s">
        <v>35914</v>
      </c>
    </row>
    <row r="1729" spans="1:25" x14ac:dyDescent="0.3">
      <c r="A1729">
        <v>86400</v>
      </c>
      <c r="B1729" t="s">
        <v>35915</v>
      </c>
      <c r="C1729" t="s">
        <v>35916</v>
      </c>
      <c r="D1729" t="s">
        <v>35917</v>
      </c>
      <c r="E1729" t="s">
        <v>35918</v>
      </c>
      <c r="F1729" t="s">
        <v>35919</v>
      </c>
      <c r="G1729" t="s">
        <v>35920</v>
      </c>
      <c r="H1729" t="s">
        <v>35921</v>
      </c>
      <c r="I1729" t="s">
        <v>35922</v>
      </c>
      <c r="J1729" t="s">
        <v>35923</v>
      </c>
      <c r="K1729" t="s">
        <v>35924</v>
      </c>
      <c r="L1729" t="s">
        <v>35925</v>
      </c>
      <c r="M1729" t="s">
        <v>35926</v>
      </c>
      <c r="N1729" t="s">
        <v>35927</v>
      </c>
      <c r="O1729" t="s">
        <v>35928</v>
      </c>
      <c r="P1729">
        <f>-838.336390719372 -30.8161475165093 -230.213955649283</f>
        <v>-1099.3664938851643</v>
      </c>
      <c r="Q1729">
        <f>-636.364417580967 -29.3888078136715 -361.577024461446</f>
        <v>-1027.3302498560845</v>
      </c>
      <c r="R1729" t="s">
        <v>35929</v>
      </c>
      <c r="S1729" t="s">
        <v>35930</v>
      </c>
      <c r="T1729" t="s">
        <v>35931</v>
      </c>
      <c r="U1729" t="s">
        <v>35932</v>
      </c>
      <c r="V1729" t="s">
        <v>35933</v>
      </c>
      <c r="W1729" t="s">
        <v>35934</v>
      </c>
      <c r="X1729" t="s">
        <v>35935</v>
      </c>
      <c r="Y1729" t="s">
        <v>35936</v>
      </c>
    </row>
    <row r="1730" spans="1:25" x14ac:dyDescent="0.3">
      <c r="A1730">
        <v>86450</v>
      </c>
      <c r="B1730" t="s">
        <v>35937</v>
      </c>
      <c r="C1730" t="s">
        <v>35938</v>
      </c>
      <c r="D1730" t="s">
        <v>35939</v>
      </c>
      <c r="E1730" t="s">
        <v>35940</v>
      </c>
      <c r="F1730" t="s">
        <v>35941</v>
      </c>
      <c r="G1730" t="s">
        <v>35942</v>
      </c>
      <c r="H1730" t="s">
        <v>35943</v>
      </c>
      <c r="I1730" t="s">
        <v>35944</v>
      </c>
      <c r="J1730" t="s">
        <v>35945</v>
      </c>
      <c r="K1730" t="s">
        <v>35946</v>
      </c>
      <c r="L1730" t="s">
        <v>35947</v>
      </c>
      <c r="M1730" t="s">
        <v>35948</v>
      </c>
      <c r="N1730" t="s">
        <v>35949</v>
      </c>
      <c r="O1730" t="s">
        <v>35950</v>
      </c>
      <c r="P1730">
        <f>-835.96963473095 -31.1617736809535 -229.566494363565</f>
        <v>-1096.6979027754685</v>
      </c>
      <c r="Q1730">
        <f>-634.564726906232 -26.4191076086731 -361.719615727682</f>
        <v>-1022.7034502425871</v>
      </c>
      <c r="R1730" t="s">
        <v>35951</v>
      </c>
      <c r="S1730" t="s">
        <v>35952</v>
      </c>
      <c r="T1730" t="s">
        <v>35953</v>
      </c>
      <c r="U1730" t="s">
        <v>35954</v>
      </c>
      <c r="V1730" t="s">
        <v>35955</v>
      </c>
      <c r="W1730" t="s">
        <v>35956</v>
      </c>
      <c r="X1730" t="s">
        <v>35957</v>
      </c>
      <c r="Y1730" t="s">
        <v>35958</v>
      </c>
    </row>
    <row r="1731" spans="1:25" x14ac:dyDescent="0.3">
      <c r="A1731">
        <v>86500</v>
      </c>
      <c r="B1731" t="s">
        <v>35959</v>
      </c>
      <c r="C1731" t="s">
        <v>35960</v>
      </c>
      <c r="D1731" t="s">
        <v>35961</v>
      </c>
      <c r="E1731" t="s">
        <v>35962</v>
      </c>
      <c r="F1731" t="s">
        <v>35963</v>
      </c>
      <c r="G1731" t="s">
        <v>35964</v>
      </c>
      <c r="H1731" t="s">
        <v>35965</v>
      </c>
      <c r="I1731" t="s">
        <v>35966</v>
      </c>
      <c r="J1731" t="s">
        <v>35967</v>
      </c>
      <c r="K1731" t="s">
        <v>35968</v>
      </c>
      <c r="L1731" t="s">
        <v>35969</v>
      </c>
      <c r="M1731" t="s">
        <v>35970</v>
      </c>
      <c r="N1731" t="s">
        <v>35971</v>
      </c>
      <c r="O1731" t="s">
        <v>35972</v>
      </c>
      <c r="P1731">
        <f>-830.454582524487 -31.5907640974542 -228.67023825667</f>
        <v>-1090.7155848786113</v>
      </c>
      <c r="Q1731">
        <f>-630.2899182194 -20.5688459597641 -362.32446749962</f>
        <v>-1013.1832316787841</v>
      </c>
      <c r="R1731" t="s">
        <v>35973</v>
      </c>
      <c r="S1731" t="s">
        <v>35974</v>
      </c>
      <c r="T1731" t="s">
        <v>35975</v>
      </c>
      <c r="U1731" t="s">
        <v>35976</v>
      </c>
      <c r="V1731" t="s">
        <v>35977</v>
      </c>
      <c r="W1731" t="s">
        <v>35978</v>
      </c>
      <c r="X1731" t="s">
        <v>35979</v>
      </c>
      <c r="Y1731" t="s">
        <v>35980</v>
      </c>
    </row>
    <row r="1732" spans="1:25" x14ac:dyDescent="0.3">
      <c r="A1732">
        <v>86550</v>
      </c>
      <c r="B1732" t="s">
        <v>35981</v>
      </c>
      <c r="C1732" t="s">
        <v>35982</v>
      </c>
      <c r="D1732" t="s">
        <v>35983</v>
      </c>
      <c r="E1732" t="s">
        <v>35984</v>
      </c>
      <c r="F1732" t="s">
        <v>35985</v>
      </c>
      <c r="G1732" t="s">
        <v>35986</v>
      </c>
      <c r="H1732" t="s">
        <v>35987</v>
      </c>
      <c r="I1732" t="s">
        <v>35988</v>
      </c>
      <c r="J1732" t="s">
        <v>35989</v>
      </c>
      <c r="K1732" t="s">
        <v>35990</v>
      </c>
      <c r="L1732" t="s">
        <v>35991</v>
      </c>
      <c r="M1732" t="s">
        <v>35992</v>
      </c>
      <c r="N1732" t="s">
        <v>35993</v>
      </c>
      <c r="O1732" t="s">
        <v>35994</v>
      </c>
      <c r="P1732">
        <f>-827.644597165845 -31.7724075329083 -228.559216166295</f>
        <v>-1087.9762208650484</v>
      </c>
      <c r="Q1732">
        <f>-627.669836527091 -17.998522823998 -362.242712898075</f>
        <v>-1007.9110722491639</v>
      </c>
      <c r="R1732" t="s">
        <v>35995</v>
      </c>
      <c r="S1732" t="s">
        <v>35996</v>
      </c>
      <c r="T1732" t="s">
        <v>35997</v>
      </c>
      <c r="U1732" t="s">
        <v>35998</v>
      </c>
      <c r="V1732" t="s">
        <v>35999</v>
      </c>
      <c r="W1732" t="s">
        <v>36000</v>
      </c>
      <c r="X1732" t="s">
        <v>36001</v>
      </c>
      <c r="Y1732" t="s">
        <v>36002</v>
      </c>
    </row>
    <row r="1733" spans="1:25" x14ac:dyDescent="0.3">
      <c r="A1733">
        <v>86600</v>
      </c>
      <c r="B1733" t="s">
        <v>36003</v>
      </c>
      <c r="C1733" t="s">
        <v>36004</v>
      </c>
      <c r="D1733" t="s">
        <v>36005</v>
      </c>
      <c r="E1733" t="s">
        <v>36006</v>
      </c>
      <c r="F1733" t="s">
        <v>36007</v>
      </c>
      <c r="G1733" t="s">
        <v>36008</v>
      </c>
      <c r="H1733" t="s">
        <v>36009</v>
      </c>
      <c r="I1733" t="s">
        <v>36010</v>
      </c>
      <c r="J1733" t="s">
        <v>36011</v>
      </c>
      <c r="K1733" t="s">
        <v>36012</v>
      </c>
      <c r="L1733" t="s">
        <v>36013</v>
      </c>
      <c r="M1733" t="s">
        <v>36014</v>
      </c>
      <c r="N1733" t="s">
        <v>36015</v>
      </c>
      <c r="O1733" t="s">
        <v>36016</v>
      </c>
      <c r="P1733">
        <f>-823.373729204551 -31.1841624263202 -228.165542965419</f>
        <v>-1082.7234345962902</v>
      </c>
      <c r="Q1733">
        <f>-623.382194943726 -14.024984176966 -361.431325534826</f>
        <v>-998.83850465551791</v>
      </c>
      <c r="R1733" t="s">
        <v>36017</v>
      </c>
      <c r="S1733" t="s">
        <v>36018</v>
      </c>
      <c r="T1733" t="s">
        <v>36019</v>
      </c>
      <c r="U1733" t="s">
        <v>36020</v>
      </c>
      <c r="V1733" t="s">
        <v>36021</v>
      </c>
      <c r="W1733" t="s">
        <v>36022</v>
      </c>
      <c r="X1733" t="s">
        <v>36023</v>
      </c>
      <c r="Y1733" t="s">
        <v>36024</v>
      </c>
    </row>
    <row r="1734" spans="1:25" x14ac:dyDescent="0.3">
      <c r="A1734">
        <v>86650</v>
      </c>
      <c r="B1734" t="s">
        <v>36025</v>
      </c>
      <c r="C1734" t="s">
        <v>36026</v>
      </c>
      <c r="D1734" t="s">
        <v>36027</v>
      </c>
      <c r="E1734" t="s">
        <v>36028</v>
      </c>
      <c r="F1734" t="s">
        <v>36029</v>
      </c>
      <c r="G1734" t="s">
        <v>36030</v>
      </c>
      <c r="H1734" t="s">
        <v>36031</v>
      </c>
      <c r="I1734" t="s">
        <v>36032</v>
      </c>
      <c r="J1734" t="s">
        <v>36033</v>
      </c>
      <c r="K1734" t="s">
        <v>36034</v>
      </c>
      <c r="L1734" t="s">
        <v>36035</v>
      </c>
      <c r="M1734" t="s">
        <v>36036</v>
      </c>
      <c r="N1734" t="s">
        <v>36037</v>
      </c>
      <c r="O1734" t="s">
        <v>36038</v>
      </c>
      <c r="P1734">
        <f>-822.126888418446 -30.935216509476 -227.93832548329</f>
        <v>-1081.0004304112122</v>
      </c>
      <c r="Q1734">
        <f>-621.987919091031 -12.8479056388392 -360.859631570978</f>
        <v>-995.69545630084826</v>
      </c>
      <c r="R1734" t="s">
        <v>36039</v>
      </c>
      <c r="S1734" t="s">
        <v>36040</v>
      </c>
      <c r="T1734" t="s">
        <v>36041</v>
      </c>
      <c r="U1734" t="s">
        <v>36042</v>
      </c>
      <c r="V1734" t="s">
        <v>36043</v>
      </c>
      <c r="W1734" t="s">
        <v>36044</v>
      </c>
      <c r="X1734" t="s">
        <v>36045</v>
      </c>
      <c r="Y1734" t="s">
        <v>36046</v>
      </c>
    </row>
    <row r="1735" spans="1:25" x14ac:dyDescent="0.3">
      <c r="A1735">
        <v>86700</v>
      </c>
      <c r="B1735" t="s">
        <v>36047</v>
      </c>
      <c r="C1735" t="s">
        <v>36048</v>
      </c>
      <c r="D1735" t="s">
        <v>36049</v>
      </c>
      <c r="E1735" t="s">
        <v>36050</v>
      </c>
      <c r="F1735" t="s">
        <v>36051</v>
      </c>
      <c r="G1735" t="s">
        <v>36052</v>
      </c>
      <c r="H1735" t="s">
        <v>36053</v>
      </c>
      <c r="I1735" t="s">
        <v>36054</v>
      </c>
      <c r="J1735" t="s">
        <v>36055</v>
      </c>
      <c r="K1735" t="s">
        <v>36056</v>
      </c>
      <c r="L1735" t="s">
        <v>36057</v>
      </c>
      <c r="M1735" t="s">
        <v>36058</v>
      </c>
      <c r="N1735" t="s">
        <v>36059</v>
      </c>
      <c r="O1735" t="s">
        <v>36060</v>
      </c>
      <c r="P1735">
        <f>-821.110609564795 -30.984232022995 -227.569198020209</f>
        <v>-1079.664039607999</v>
      </c>
      <c r="Q1735">
        <f>-620.448332145218 -11.9258621284089 -359.562743621669</f>
        <v>-991.93693789529584</v>
      </c>
      <c r="R1735" t="s">
        <v>36061</v>
      </c>
      <c r="S1735" t="s">
        <v>36062</v>
      </c>
      <c r="T1735" t="s">
        <v>36063</v>
      </c>
      <c r="U1735" t="s">
        <v>36064</v>
      </c>
      <c r="V1735" t="s">
        <v>36065</v>
      </c>
      <c r="W1735" t="s">
        <v>36066</v>
      </c>
      <c r="X1735" t="s">
        <v>36067</v>
      </c>
      <c r="Y1735" t="s">
        <v>36068</v>
      </c>
    </row>
    <row r="1736" spans="1:25" x14ac:dyDescent="0.3">
      <c r="A1736">
        <v>86750</v>
      </c>
      <c r="B1736" t="s">
        <v>36069</v>
      </c>
      <c r="C1736" t="s">
        <v>36070</v>
      </c>
      <c r="D1736" t="s">
        <v>36071</v>
      </c>
      <c r="E1736" t="s">
        <v>36072</v>
      </c>
      <c r="F1736" t="s">
        <v>36073</v>
      </c>
      <c r="G1736" t="s">
        <v>36074</v>
      </c>
      <c r="H1736" t="s">
        <v>36075</v>
      </c>
      <c r="I1736" t="s">
        <v>36076</v>
      </c>
      <c r="J1736" t="s">
        <v>36077</v>
      </c>
      <c r="K1736" t="s">
        <v>36078</v>
      </c>
      <c r="L1736" t="s">
        <v>36079</v>
      </c>
      <c r="M1736" t="s">
        <v>36080</v>
      </c>
      <c r="N1736" t="s">
        <v>36081</v>
      </c>
      <c r="O1736" t="s">
        <v>36082</v>
      </c>
      <c r="P1736">
        <f>-821.19081085589 -30.6124422461476 -227.242405957177</f>
        <v>-1079.0456590592146</v>
      </c>
      <c r="Q1736">
        <f>-620.381583610326 -12.1681668627025 -359.099637449427</f>
        <v>-991.64938792245539</v>
      </c>
      <c r="R1736" t="s">
        <v>36083</v>
      </c>
      <c r="S1736" t="s">
        <v>36084</v>
      </c>
      <c r="T1736" t="s">
        <v>36085</v>
      </c>
      <c r="U1736" t="s">
        <v>36086</v>
      </c>
      <c r="V1736" t="s">
        <v>36087</v>
      </c>
      <c r="W1736" t="s">
        <v>36088</v>
      </c>
      <c r="X1736" t="s">
        <v>36089</v>
      </c>
      <c r="Y1736" t="s">
        <v>36090</v>
      </c>
    </row>
    <row r="1737" spans="1:25" x14ac:dyDescent="0.3">
      <c r="A1737">
        <v>86800</v>
      </c>
      <c r="B1737" t="s">
        <v>36091</v>
      </c>
      <c r="C1737" t="s">
        <v>36092</v>
      </c>
      <c r="D1737" t="s">
        <v>36093</v>
      </c>
      <c r="E1737" t="s">
        <v>36094</v>
      </c>
      <c r="F1737" t="s">
        <v>36095</v>
      </c>
      <c r="G1737" t="s">
        <v>36096</v>
      </c>
      <c r="H1737" t="s">
        <v>36097</v>
      </c>
      <c r="I1737" t="s">
        <v>36098</v>
      </c>
      <c r="J1737" t="s">
        <v>36099</v>
      </c>
      <c r="K1737" t="s">
        <v>36100</v>
      </c>
      <c r="L1737" t="s">
        <v>36101</v>
      </c>
      <c r="M1737" t="s">
        <v>36102</v>
      </c>
      <c r="N1737" t="s">
        <v>36103</v>
      </c>
      <c r="O1737" t="s">
        <v>36104</v>
      </c>
      <c r="P1737">
        <f>-821.470156698606 -30.0314165953437 -226.630425091579</f>
        <v>-1078.1319983855287</v>
      </c>
      <c r="Q1737">
        <f>-620.678778218324 -12.9447368865253 -358.697520231774</f>
        <v>-992.32103533662337</v>
      </c>
      <c r="R1737" t="s">
        <v>36105</v>
      </c>
      <c r="S1737" t="s">
        <v>36106</v>
      </c>
      <c r="T1737" t="s">
        <v>36107</v>
      </c>
      <c r="U1737" t="s">
        <v>36108</v>
      </c>
      <c r="V1737" t="s">
        <v>36109</v>
      </c>
      <c r="W1737" t="s">
        <v>36110</v>
      </c>
      <c r="X1737" t="s">
        <v>36111</v>
      </c>
      <c r="Y1737" t="s">
        <v>36112</v>
      </c>
    </row>
    <row r="1738" spans="1:25" x14ac:dyDescent="0.3">
      <c r="A1738">
        <v>86850</v>
      </c>
      <c r="B1738" t="s">
        <v>36113</v>
      </c>
      <c r="C1738" t="s">
        <v>36114</v>
      </c>
      <c r="D1738" t="s">
        <v>36115</v>
      </c>
      <c r="E1738" t="s">
        <v>36116</v>
      </c>
      <c r="F1738" t="s">
        <v>36117</v>
      </c>
      <c r="G1738" t="s">
        <v>36118</v>
      </c>
      <c r="H1738" t="s">
        <v>36119</v>
      </c>
      <c r="I1738" t="s">
        <v>36120</v>
      </c>
      <c r="J1738" t="s">
        <v>36121</v>
      </c>
      <c r="K1738" t="s">
        <v>36122</v>
      </c>
      <c r="L1738" t="s">
        <v>36123</v>
      </c>
      <c r="M1738" t="s">
        <v>36124</v>
      </c>
      <c r="N1738" t="s">
        <v>36125</v>
      </c>
      <c r="O1738" t="s">
        <v>36126</v>
      </c>
      <c r="P1738">
        <f>-821.825174248846 -29.6473409217283 -226.458419490005</f>
        <v>-1077.9309346605794</v>
      </c>
      <c r="Q1738">
        <f>-620.968413385229 -13.3854959128639 -358.530266733865</f>
        <v>-992.88417603195796</v>
      </c>
      <c r="R1738" t="s">
        <v>36127</v>
      </c>
      <c r="S1738" t="s">
        <v>36128</v>
      </c>
      <c r="T1738" t="s">
        <v>36129</v>
      </c>
      <c r="U1738" t="s">
        <v>36130</v>
      </c>
      <c r="V1738" t="s">
        <v>36131</v>
      </c>
      <c r="W1738" t="s">
        <v>36132</v>
      </c>
      <c r="X1738" t="s">
        <v>36133</v>
      </c>
      <c r="Y1738" t="s">
        <v>36134</v>
      </c>
    </row>
    <row r="1739" spans="1:25" x14ac:dyDescent="0.3">
      <c r="A1739">
        <v>86900</v>
      </c>
      <c r="B1739" t="s">
        <v>36135</v>
      </c>
      <c r="C1739" t="s">
        <v>36136</v>
      </c>
      <c r="D1739" t="s">
        <v>36137</v>
      </c>
      <c r="E1739" t="s">
        <v>36138</v>
      </c>
      <c r="F1739" t="s">
        <v>36139</v>
      </c>
      <c r="G1739" t="s">
        <v>36140</v>
      </c>
      <c r="H1739" t="s">
        <v>36141</v>
      </c>
      <c r="I1739" t="s">
        <v>36142</v>
      </c>
      <c r="J1739" t="s">
        <v>36143</v>
      </c>
      <c r="K1739" t="s">
        <v>36144</v>
      </c>
      <c r="L1739" t="s">
        <v>36145</v>
      </c>
      <c r="M1739" t="s">
        <v>36146</v>
      </c>
      <c r="N1739" t="s">
        <v>36147</v>
      </c>
      <c r="O1739" t="s">
        <v>36148</v>
      </c>
      <c r="P1739">
        <f>-822.998378099538 -28.7405726116303 -226.137773592129</f>
        <v>-1077.8767243032974</v>
      </c>
      <c r="Q1739">
        <f>-622.163119867248 -13.8258904185782 -358.401528686362</f>
        <v>-994.39053897218821</v>
      </c>
      <c r="R1739" t="s">
        <v>36149</v>
      </c>
      <c r="S1739" t="s">
        <v>36150</v>
      </c>
      <c r="T1739" t="s">
        <v>36151</v>
      </c>
      <c r="U1739" t="s">
        <v>36152</v>
      </c>
      <c r="V1739" t="s">
        <v>36153</v>
      </c>
      <c r="W1739" t="s">
        <v>36154</v>
      </c>
      <c r="X1739" t="s">
        <v>36155</v>
      </c>
      <c r="Y1739" t="s">
        <v>36156</v>
      </c>
    </row>
    <row r="1740" spans="1:25" x14ac:dyDescent="0.3">
      <c r="A1740">
        <v>86950</v>
      </c>
      <c r="B1740" t="s">
        <v>36157</v>
      </c>
      <c r="C1740" t="s">
        <v>36158</v>
      </c>
      <c r="D1740" t="s">
        <v>36159</v>
      </c>
      <c r="E1740" t="s">
        <v>36160</v>
      </c>
      <c r="F1740" t="s">
        <v>36161</v>
      </c>
      <c r="G1740" t="s">
        <v>36162</v>
      </c>
      <c r="H1740" t="s">
        <v>36163</v>
      </c>
      <c r="I1740" t="s">
        <v>36164</v>
      </c>
      <c r="J1740" t="s">
        <v>36165</v>
      </c>
      <c r="K1740" t="s">
        <v>36166</v>
      </c>
      <c r="L1740" t="s">
        <v>36167</v>
      </c>
      <c r="M1740" t="s">
        <v>36168</v>
      </c>
      <c r="N1740" t="s">
        <v>36169</v>
      </c>
      <c r="O1740" t="s">
        <v>36170</v>
      </c>
      <c r="P1740">
        <f>-823.57092522734 -28.4495343381918 -226.028837872168</f>
        <v>-1078.0492974376998</v>
      </c>
      <c r="Q1740">
        <f>-622.760460000565 -13.6964242118052 -358.348261980756</f>
        <v>-994.80514619312612</v>
      </c>
      <c r="R1740" t="s">
        <v>36171</v>
      </c>
      <c r="S1740" t="s">
        <v>36172</v>
      </c>
      <c r="T1740" t="s">
        <v>36173</v>
      </c>
      <c r="U1740" t="s">
        <v>36174</v>
      </c>
      <c r="V1740" t="s">
        <v>36175</v>
      </c>
      <c r="W1740" t="s">
        <v>36176</v>
      </c>
      <c r="X1740" t="s">
        <v>36177</v>
      </c>
      <c r="Y1740" t="s">
        <v>36178</v>
      </c>
    </row>
    <row r="1741" spans="1:25" x14ac:dyDescent="0.3">
      <c r="A1741">
        <v>87000</v>
      </c>
      <c r="B1741" t="s">
        <v>36179</v>
      </c>
      <c r="C1741" t="s">
        <v>36180</v>
      </c>
      <c r="D1741" t="s">
        <v>36181</v>
      </c>
      <c r="E1741" t="s">
        <v>36182</v>
      </c>
      <c r="F1741" t="s">
        <v>36183</v>
      </c>
      <c r="G1741" t="s">
        <v>36184</v>
      </c>
      <c r="H1741" t="s">
        <v>36185</v>
      </c>
      <c r="I1741" t="s">
        <v>36186</v>
      </c>
      <c r="J1741" t="s">
        <v>36187</v>
      </c>
      <c r="K1741" t="s">
        <v>36188</v>
      </c>
      <c r="L1741" t="s">
        <v>36189</v>
      </c>
      <c r="M1741" t="s">
        <v>36190</v>
      </c>
      <c r="N1741" t="s">
        <v>36191</v>
      </c>
      <c r="O1741" t="s">
        <v>36192</v>
      </c>
      <c r="P1741">
        <f>-824.743056808663 -28.0350384004805 -225.803975770516</f>
        <v>-1078.5820709796594</v>
      </c>
      <c r="Q1741">
        <f>-623.822421856081 -14.2723201661847 -358.062507688297</f>
        <v>-996.15724971056261</v>
      </c>
      <c r="R1741" t="s">
        <v>36193</v>
      </c>
      <c r="S1741" t="s">
        <v>36194</v>
      </c>
      <c r="T1741" t="s">
        <v>36195</v>
      </c>
      <c r="U1741" t="s">
        <v>36196</v>
      </c>
      <c r="V1741" t="s">
        <v>36197</v>
      </c>
      <c r="W1741" t="s">
        <v>36198</v>
      </c>
      <c r="X1741" t="s">
        <v>36199</v>
      </c>
      <c r="Y1741" t="s">
        <v>36200</v>
      </c>
    </row>
    <row r="1742" spans="1:25" x14ac:dyDescent="0.3">
      <c r="A1742">
        <v>87050</v>
      </c>
      <c r="B1742" t="s">
        <v>36201</v>
      </c>
      <c r="C1742" t="s">
        <v>36202</v>
      </c>
      <c r="D1742" t="s">
        <v>36203</v>
      </c>
      <c r="E1742" t="s">
        <v>36204</v>
      </c>
      <c r="F1742" t="s">
        <v>36205</v>
      </c>
      <c r="G1742" t="s">
        <v>36206</v>
      </c>
      <c r="H1742" t="s">
        <v>36207</v>
      </c>
      <c r="I1742" t="s">
        <v>36208</v>
      </c>
      <c r="J1742" t="s">
        <v>36209</v>
      </c>
      <c r="K1742" t="s">
        <v>36210</v>
      </c>
      <c r="L1742" t="s">
        <v>36211</v>
      </c>
      <c r="M1742" t="s">
        <v>36212</v>
      </c>
      <c r="N1742" t="s">
        <v>36213</v>
      </c>
      <c r="O1742" t="s">
        <v>36214</v>
      </c>
      <c r="P1742">
        <f>-825.16289901678 -27.9736234971401 -225.828436513949</f>
        <v>-1078.9649590278691</v>
      </c>
      <c r="Q1742">
        <f>-624.21522207848 -14.5629254886139 -358.0821299227</f>
        <v>-996.86027748979393</v>
      </c>
      <c r="R1742" t="s">
        <v>36215</v>
      </c>
      <c r="S1742" t="s">
        <v>36216</v>
      </c>
      <c r="T1742" t="s">
        <v>36217</v>
      </c>
      <c r="U1742" t="s">
        <v>36218</v>
      </c>
      <c r="V1742" t="s">
        <v>36219</v>
      </c>
      <c r="W1742" t="s">
        <v>36220</v>
      </c>
      <c r="X1742" t="s">
        <v>36221</v>
      </c>
      <c r="Y1742" t="s">
        <v>36222</v>
      </c>
    </row>
    <row r="1743" spans="1:25" x14ac:dyDescent="0.3">
      <c r="A1743">
        <v>87100</v>
      </c>
      <c r="B1743" t="s">
        <v>36223</v>
      </c>
      <c r="C1743" t="s">
        <v>36224</v>
      </c>
      <c r="D1743" t="s">
        <v>36225</v>
      </c>
      <c r="E1743" t="s">
        <v>36226</v>
      </c>
      <c r="F1743" t="s">
        <v>36227</v>
      </c>
      <c r="G1743" t="s">
        <v>36228</v>
      </c>
      <c r="H1743" t="s">
        <v>36229</v>
      </c>
      <c r="I1743" t="s">
        <v>36230</v>
      </c>
      <c r="J1743" t="s">
        <v>36231</v>
      </c>
      <c r="K1743" t="s">
        <v>36232</v>
      </c>
      <c r="L1743" t="s">
        <v>36233</v>
      </c>
      <c r="M1743" t="s">
        <v>36234</v>
      </c>
      <c r="N1743" t="s">
        <v>36235</v>
      </c>
      <c r="O1743" t="s">
        <v>36236</v>
      </c>
      <c r="P1743">
        <f>-825.515901923872 -27.7967245022501 -226.069058870812</f>
        <v>-1079.3816852969339</v>
      </c>
      <c r="Q1743">
        <f>-624.343216635686 -15.271657741946 -358.067320085373</f>
        <v>-997.68219446300498</v>
      </c>
      <c r="R1743" t="s">
        <v>36237</v>
      </c>
      <c r="S1743" t="s">
        <v>36238</v>
      </c>
      <c r="T1743" t="s">
        <v>36239</v>
      </c>
      <c r="U1743" t="s">
        <v>36240</v>
      </c>
      <c r="V1743" t="s">
        <v>36241</v>
      </c>
      <c r="W1743" t="s">
        <v>36242</v>
      </c>
      <c r="X1743" t="s">
        <v>36243</v>
      </c>
      <c r="Y1743" t="s">
        <v>36244</v>
      </c>
    </row>
    <row r="1744" spans="1:25" x14ac:dyDescent="0.3">
      <c r="A1744">
        <v>87150</v>
      </c>
      <c r="B1744" t="s">
        <v>36245</v>
      </c>
      <c r="C1744" t="s">
        <v>36246</v>
      </c>
      <c r="D1744" t="s">
        <v>36247</v>
      </c>
      <c r="E1744" t="s">
        <v>36248</v>
      </c>
      <c r="F1744" t="s">
        <v>36249</v>
      </c>
      <c r="G1744" t="s">
        <v>36250</v>
      </c>
      <c r="H1744" t="s">
        <v>36251</v>
      </c>
      <c r="I1744" t="s">
        <v>36252</v>
      </c>
      <c r="J1744" t="s">
        <v>36253</v>
      </c>
      <c r="K1744" t="s">
        <v>36254</v>
      </c>
      <c r="L1744" t="s">
        <v>36255</v>
      </c>
      <c r="M1744" t="s">
        <v>36256</v>
      </c>
      <c r="N1744" t="s">
        <v>36257</v>
      </c>
      <c r="O1744" t="s">
        <v>36258</v>
      </c>
      <c r="P1744">
        <f>-825.677140174494 -27.9184536677853 -226.200350556676</f>
        <v>-1079.7959443989553</v>
      </c>
      <c r="Q1744">
        <f>-624.396791147956 -15.7892267293246 -358.071262414383</f>
        <v>-998.25728029166362</v>
      </c>
      <c r="R1744" t="s">
        <v>36259</v>
      </c>
      <c r="S1744" t="s">
        <v>36260</v>
      </c>
      <c r="T1744" t="s">
        <v>36261</v>
      </c>
      <c r="U1744" t="s">
        <v>36262</v>
      </c>
      <c r="V1744" t="s">
        <v>36263</v>
      </c>
      <c r="W1744" t="s">
        <v>36264</v>
      </c>
      <c r="X1744" t="s">
        <v>36265</v>
      </c>
      <c r="Y1744" t="s">
        <v>36266</v>
      </c>
    </row>
    <row r="1745" spans="1:25" x14ac:dyDescent="0.3">
      <c r="A1745">
        <v>87200</v>
      </c>
      <c r="B1745" t="s">
        <v>36267</v>
      </c>
      <c r="C1745" t="s">
        <v>36268</v>
      </c>
      <c r="D1745" t="s">
        <v>36269</v>
      </c>
      <c r="E1745" t="s">
        <v>36270</v>
      </c>
      <c r="F1745" t="s">
        <v>36271</v>
      </c>
      <c r="G1745" t="s">
        <v>36272</v>
      </c>
      <c r="H1745" t="s">
        <v>36273</v>
      </c>
      <c r="I1745" t="s">
        <v>36274</v>
      </c>
      <c r="J1745" t="s">
        <v>36275</v>
      </c>
      <c r="K1745" t="s">
        <v>36276</v>
      </c>
      <c r="L1745" t="s">
        <v>36277</v>
      </c>
      <c r="M1745" t="s">
        <v>36278</v>
      </c>
      <c r="N1745" t="s">
        <v>36279</v>
      </c>
      <c r="O1745" t="s">
        <v>36280</v>
      </c>
      <c r="P1745">
        <f>-826.455284652523 -28.5565229895515 -226.364436284647</f>
        <v>-1081.3762439267216</v>
      </c>
      <c r="Q1745">
        <f>-625.026953442161 -16.6702454064757 -358.031400809823</f>
        <v>-999.72859965845976</v>
      </c>
      <c r="R1745" t="s">
        <v>36281</v>
      </c>
      <c r="S1745" t="s">
        <v>36282</v>
      </c>
      <c r="T1745" t="s">
        <v>36283</v>
      </c>
      <c r="U1745" t="s">
        <v>36284</v>
      </c>
      <c r="V1745" t="s">
        <v>36285</v>
      </c>
      <c r="W1745" t="s">
        <v>36286</v>
      </c>
      <c r="X1745" t="s">
        <v>36287</v>
      </c>
      <c r="Y1745" t="s">
        <v>36288</v>
      </c>
    </row>
    <row r="1746" spans="1:25" x14ac:dyDescent="0.3">
      <c r="A1746">
        <v>87250</v>
      </c>
      <c r="B1746" t="s">
        <v>36289</v>
      </c>
      <c r="C1746" t="s">
        <v>36290</v>
      </c>
      <c r="D1746" t="s">
        <v>36291</v>
      </c>
      <c r="E1746" t="s">
        <v>36292</v>
      </c>
      <c r="F1746" t="s">
        <v>36293</v>
      </c>
      <c r="G1746" t="s">
        <v>36294</v>
      </c>
      <c r="H1746" t="s">
        <v>36295</v>
      </c>
      <c r="I1746" t="s">
        <v>36296</v>
      </c>
      <c r="J1746" t="s">
        <v>36297</v>
      </c>
      <c r="K1746" t="s">
        <v>36298</v>
      </c>
      <c r="L1746" t="s">
        <v>36299</v>
      </c>
      <c r="M1746" t="s">
        <v>36300</v>
      </c>
      <c r="N1746" t="s">
        <v>36301</v>
      </c>
      <c r="O1746" t="s">
        <v>36302</v>
      </c>
      <c r="P1746">
        <f>-826.816194291953 -28.7530175373749 -226.443062733772</f>
        <v>-1082.0122745630999</v>
      </c>
      <c r="Q1746">
        <f>-625.378129271256 -16.6976464887448 -358.080040239791</f>
        <v>-1000.1558159997917</v>
      </c>
      <c r="R1746" t="s">
        <v>36303</v>
      </c>
      <c r="S1746" t="s">
        <v>36304</v>
      </c>
      <c r="T1746" t="s">
        <v>36305</v>
      </c>
      <c r="U1746" t="s">
        <v>36306</v>
      </c>
      <c r="V1746" t="s">
        <v>36307</v>
      </c>
      <c r="W1746" t="s">
        <v>36308</v>
      </c>
      <c r="X1746" t="s">
        <v>36309</v>
      </c>
      <c r="Y1746" t="s">
        <v>36310</v>
      </c>
    </row>
    <row r="1747" spans="1:25" x14ac:dyDescent="0.3">
      <c r="A1747">
        <v>87300</v>
      </c>
      <c r="B1747" t="s">
        <v>36311</v>
      </c>
      <c r="C1747" t="s">
        <v>36312</v>
      </c>
      <c r="D1747" t="s">
        <v>36313</v>
      </c>
      <c r="E1747" t="s">
        <v>36314</v>
      </c>
      <c r="F1747" t="s">
        <v>36315</v>
      </c>
      <c r="G1747" t="s">
        <v>36316</v>
      </c>
      <c r="H1747" t="s">
        <v>36317</v>
      </c>
      <c r="I1747" t="s">
        <v>36318</v>
      </c>
      <c r="J1747" t="s">
        <v>36319</v>
      </c>
      <c r="K1747" t="s">
        <v>36320</v>
      </c>
      <c r="L1747" t="s">
        <v>36321</v>
      </c>
      <c r="M1747" t="s">
        <v>36322</v>
      </c>
      <c r="N1747" t="s">
        <v>36323</v>
      </c>
      <c r="O1747" t="s">
        <v>36324</v>
      </c>
      <c r="P1747">
        <f>-827.521124885737 -28.8090555599524 -226.510164744195</f>
        <v>-1082.8403451898844</v>
      </c>
      <c r="Q1747">
        <f>-626.26693454912 -16.2098431826744 -358.376974193934</f>
        <v>-1000.8537519257284</v>
      </c>
      <c r="R1747" t="s">
        <v>36325</v>
      </c>
      <c r="S1747" t="s">
        <v>36326</v>
      </c>
      <c r="T1747" t="s">
        <v>36327</v>
      </c>
      <c r="U1747" t="s">
        <v>36328</v>
      </c>
      <c r="V1747" t="s">
        <v>36329</v>
      </c>
      <c r="W1747" t="s">
        <v>36330</v>
      </c>
      <c r="X1747" t="s">
        <v>36331</v>
      </c>
      <c r="Y1747" t="s">
        <v>36332</v>
      </c>
    </row>
    <row r="1748" spans="1:25" x14ac:dyDescent="0.3">
      <c r="A1748">
        <v>87350</v>
      </c>
      <c r="B1748" t="s">
        <v>36333</v>
      </c>
      <c r="C1748" t="s">
        <v>36334</v>
      </c>
      <c r="D1748" t="s">
        <v>36335</v>
      </c>
      <c r="E1748" t="s">
        <v>36336</v>
      </c>
      <c r="F1748" t="s">
        <v>36337</v>
      </c>
      <c r="G1748" t="s">
        <v>36338</v>
      </c>
      <c r="H1748" t="s">
        <v>36339</v>
      </c>
      <c r="I1748" t="s">
        <v>36340</v>
      </c>
      <c r="J1748" t="s">
        <v>36341</v>
      </c>
      <c r="K1748" t="s">
        <v>36342</v>
      </c>
      <c r="L1748" t="s">
        <v>36343</v>
      </c>
      <c r="M1748" t="s">
        <v>36344</v>
      </c>
      <c r="N1748" t="s">
        <v>36345</v>
      </c>
      <c r="O1748" t="s">
        <v>36346</v>
      </c>
      <c r="P1748">
        <f>-828.032559743774 -28.9040117296904 -226.644901563565</f>
        <v>-1083.5814730370294</v>
      </c>
      <c r="Q1748">
        <f>-626.841487571077 -16.0049485530421 -358.579015737165</f>
        <v>-1001.425451861284</v>
      </c>
      <c r="R1748" t="s">
        <v>36347</v>
      </c>
      <c r="S1748" t="s">
        <v>36348</v>
      </c>
      <c r="T1748" t="s">
        <v>36349</v>
      </c>
      <c r="U1748" t="s">
        <v>36350</v>
      </c>
      <c r="V1748" t="s">
        <v>36351</v>
      </c>
      <c r="W1748" t="s">
        <v>36352</v>
      </c>
      <c r="X1748" t="s">
        <v>36353</v>
      </c>
      <c r="Y1748" t="s">
        <v>36354</v>
      </c>
    </row>
    <row r="1749" spans="1:25" x14ac:dyDescent="0.3">
      <c r="A1749">
        <v>87400</v>
      </c>
      <c r="B1749" t="s">
        <v>36355</v>
      </c>
      <c r="C1749" t="s">
        <v>36356</v>
      </c>
      <c r="D1749" t="s">
        <v>36357</v>
      </c>
      <c r="E1749" t="s">
        <v>36358</v>
      </c>
      <c r="F1749" t="s">
        <v>36359</v>
      </c>
      <c r="G1749" t="s">
        <v>36360</v>
      </c>
      <c r="H1749" t="s">
        <v>36361</v>
      </c>
      <c r="I1749" t="s">
        <v>36362</v>
      </c>
      <c r="J1749" t="s">
        <v>36363</v>
      </c>
      <c r="K1749" t="s">
        <v>36364</v>
      </c>
      <c r="L1749" t="s">
        <v>36365</v>
      </c>
      <c r="M1749" t="s">
        <v>36366</v>
      </c>
      <c r="N1749" t="s">
        <v>36367</v>
      </c>
      <c r="O1749" t="s">
        <v>36368</v>
      </c>
      <c r="P1749">
        <f>-829.246444801483 -28.8747483468669 -226.930645302514</f>
        <v>-1085.0518384508639</v>
      </c>
      <c r="Q1749">
        <f>-628.254290883075 -15.6374958030342 -359.134252371346</f>
        <v>-1003.0260390574551</v>
      </c>
      <c r="R1749" t="s">
        <v>36369</v>
      </c>
      <c r="S1749" t="s">
        <v>36370</v>
      </c>
      <c r="T1749" t="s">
        <v>36371</v>
      </c>
      <c r="U1749" t="s">
        <v>36372</v>
      </c>
      <c r="V1749" t="s">
        <v>36373</v>
      </c>
      <c r="W1749" t="s">
        <v>36374</v>
      </c>
      <c r="X1749" t="s">
        <v>36375</v>
      </c>
      <c r="Y1749" t="s">
        <v>36376</v>
      </c>
    </row>
    <row r="1750" spans="1:25" x14ac:dyDescent="0.3">
      <c r="A1750">
        <v>87450</v>
      </c>
      <c r="B1750" t="s">
        <v>36377</v>
      </c>
      <c r="C1750" t="s">
        <v>36378</v>
      </c>
      <c r="D1750" t="s">
        <v>36379</v>
      </c>
      <c r="E1750" t="s">
        <v>36380</v>
      </c>
      <c r="F1750" t="s">
        <v>36381</v>
      </c>
      <c r="G1750" t="s">
        <v>36382</v>
      </c>
      <c r="H1750" t="s">
        <v>36383</v>
      </c>
      <c r="I1750" t="s">
        <v>36384</v>
      </c>
      <c r="J1750" t="s">
        <v>36385</v>
      </c>
      <c r="K1750" t="s">
        <v>36386</v>
      </c>
      <c r="L1750" t="s">
        <v>36387</v>
      </c>
      <c r="M1750" t="s">
        <v>36388</v>
      </c>
      <c r="N1750" t="s">
        <v>36389</v>
      </c>
      <c r="O1750" t="s">
        <v>36390</v>
      </c>
      <c r="P1750">
        <f>-830.030831200216 -28.7057848705349 -226.990689220136</f>
        <v>-1085.7273052908868</v>
      </c>
      <c r="Q1750">
        <f>-629.165142582338 -15.7075963781181 -359.410076341683</f>
        <v>-1004.2828153021392</v>
      </c>
      <c r="R1750" t="s">
        <v>36391</v>
      </c>
      <c r="S1750" t="s">
        <v>36392</v>
      </c>
      <c r="T1750" t="s">
        <v>36393</v>
      </c>
      <c r="U1750" t="s">
        <v>36394</v>
      </c>
      <c r="V1750" t="s">
        <v>36395</v>
      </c>
      <c r="W1750" t="s">
        <v>36396</v>
      </c>
      <c r="X1750" t="s">
        <v>36397</v>
      </c>
      <c r="Y1750" t="s">
        <v>36398</v>
      </c>
    </row>
    <row r="1751" spans="1:25" x14ac:dyDescent="0.3">
      <c r="A1751">
        <v>87500</v>
      </c>
      <c r="B1751" t="s">
        <v>36399</v>
      </c>
      <c r="C1751" t="s">
        <v>36400</v>
      </c>
      <c r="D1751" t="s">
        <v>36401</v>
      </c>
      <c r="E1751" t="s">
        <v>36402</v>
      </c>
      <c r="F1751" t="s">
        <v>36403</v>
      </c>
      <c r="G1751" t="s">
        <v>36404</v>
      </c>
      <c r="H1751" t="s">
        <v>36405</v>
      </c>
      <c r="I1751" t="s">
        <v>36406</v>
      </c>
      <c r="J1751" t="s">
        <v>36407</v>
      </c>
      <c r="K1751" t="s">
        <v>36408</v>
      </c>
      <c r="L1751" t="s">
        <v>36409</v>
      </c>
      <c r="M1751" t="s">
        <v>36410</v>
      </c>
      <c r="N1751" t="s">
        <v>36411</v>
      </c>
      <c r="O1751" t="s">
        <v>36412</v>
      </c>
      <c r="P1751">
        <f>-831.974113477526 -28.8335801364242 -227.061396504173</f>
        <v>-1087.869090118123</v>
      </c>
      <c r="Q1751">
        <f>-631.154374413733 -16.8158335052408 -359.642791366474</f>
        <v>-1007.6129992854478</v>
      </c>
      <c r="R1751" t="s">
        <v>36413</v>
      </c>
      <c r="S1751" t="s">
        <v>36414</v>
      </c>
      <c r="T1751" t="s">
        <v>36415</v>
      </c>
      <c r="U1751" t="s">
        <v>36416</v>
      </c>
      <c r="V1751" t="s">
        <v>36417</v>
      </c>
      <c r="W1751" t="s">
        <v>36418</v>
      </c>
      <c r="X1751" t="s">
        <v>36419</v>
      </c>
      <c r="Y1751" t="s">
        <v>36420</v>
      </c>
    </row>
    <row r="1752" spans="1:25" x14ac:dyDescent="0.3">
      <c r="A1752">
        <v>87550</v>
      </c>
      <c r="B1752" t="s">
        <v>36421</v>
      </c>
      <c r="C1752" t="s">
        <v>36422</v>
      </c>
      <c r="D1752" t="s">
        <v>36423</v>
      </c>
      <c r="E1752" t="s">
        <v>36424</v>
      </c>
      <c r="F1752" t="s">
        <v>36425</v>
      </c>
      <c r="G1752" t="s">
        <v>36426</v>
      </c>
      <c r="H1752" t="s">
        <v>36427</v>
      </c>
      <c r="I1752" t="s">
        <v>36428</v>
      </c>
      <c r="J1752" t="s">
        <v>36429</v>
      </c>
      <c r="K1752" t="s">
        <v>36430</v>
      </c>
      <c r="L1752" t="s">
        <v>36431</v>
      </c>
      <c r="M1752" t="s">
        <v>36432</v>
      </c>
      <c r="N1752" t="s">
        <v>36433</v>
      </c>
      <c r="O1752" t="s">
        <v>36434</v>
      </c>
      <c r="P1752">
        <f>-832.930000303945 -29.3717904233008 -227.011191116557</f>
        <v>-1089.3129818438028</v>
      </c>
      <c r="Q1752">
        <f>-631.985408640572 -18.0059730060411 -359.461173891914</f>
        <v>-1009.4525555385271</v>
      </c>
      <c r="R1752" t="s">
        <v>36435</v>
      </c>
      <c r="S1752" t="s">
        <v>36436</v>
      </c>
      <c r="T1752" t="s">
        <v>36437</v>
      </c>
      <c r="U1752" t="s">
        <v>36438</v>
      </c>
      <c r="V1752" t="s">
        <v>36439</v>
      </c>
      <c r="W1752" t="s">
        <v>36440</v>
      </c>
      <c r="X1752" t="s">
        <v>36441</v>
      </c>
      <c r="Y1752" t="s">
        <v>36442</v>
      </c>
    </row>
    <row r="1753" spans="1:25" x14ac:dyDescent="0.3">
      <c r="A1753">
        <v>87600</v>
      </c>
      <c r="B1753" t="s">
        <v>36443</v>
      </c>
      <c r="C1753" t="s">
        <v>36444</v>
      </c>
      <c r="D1753" t="s">
        <v>36445</v>
      </c>
      <c r="E1753" t="s">
        <v>36446</v>
      </c>
      <c r="F1753" t="s">
        <v>36447</v>
      </c>
      <c r="G1753" t="s">
        <v>36448</v>
      </c>
      <c r="H1753" t="s">
        <v>36449</v>
      </c>
      <c r="I1753" t="s">
        <v>36450</v>
      </c>
      <c r="J1753" t="s">
        <v>36451</v>
      </c>
      <c r="K1753" t="s">
        <v>36452</v>
      </c>
      <c r="L1753" t="s">
        <v>36453</v>
      </c>
      <c r="M1753" t="s">
        <v>36454</v>
      </c>
      <c r="N1753" t="s">
        <v>36455</v>
      </c>
      <c r="O1753" t="s">
        <v>36456</v>
      </c>
      <c r="P1753">
        <f>-834.335198037184 -31.1823982593583 -226.783734186356</f>
        <v>-1092.3013304828983</v>
      </c>
      <c r="Q1753">
        <f>-632.840435323064 -21.2915247229903 -358.514148643566</f>
        <v>-1012.6461086896202</v>
      </c>
      <c r="R1753" t="s">
        <v>36457</v>
      </c>
      <c r="S1753" t="s">
        <v>36458</v>
      </c>
      <c r="T1753" t="s">
        <v>36459</v>
      </c>
      <c r="U1753" t="s">
        <v>36460</v>
      </c>
      <c r="V1753" t="s">
        <v>36461</v>
      </c>
      <c r="W1753" t="s">
        <v>36462</v>
      </c>
      <c r="X1753" t="s">
        <v>36463</v>
      </c>
      <c r="Y1753" t="s">
        <v>36464</v>
      </c>
    </row>
    <row r="1754" spans="1:25" x14ac:dyDescent="0.3">
      <c r="A1754">
        <v>87650</v>
      </c>
      <c r="B1754" t="s">
        <v>36465</v>
      </c>
      <c r="C1754" t="s">
        <v>36466</v>
      </c>
      <c r="D1754" t="s">
        <v>36467</v>
      </c>
      <c r="E1754" t="s">
        <v>36468</v>
      </c>
      <c r="F1754" t="s">
        <v>36469</v>
      </c>
      <c r="G1754" t="s">
        <v>36470</v>
      </c>
      <c r="H1754" t="s">
        <v>36471</v>
      </c>
      <c r="I1754" t="s">
        <v>36472</v>
      </c>
      <c r="J1754" t="s">
        <v>36473</v>
      </c>
      <c r="K1754" t="s">
        <v>36474</v>
      </c>
      <c r="L1754" t="s">
        <v>36475</v>
      </c>
      <c r="M1754" t="s">
        <v>36476</v>
      </c>
      <c r="N1754" t="s">
        <v>36477</v>
      </c>
      <c r="O1754" t="s">
        <v>36478</v>
      </c>
      <c r="P1754">
        <f>-835.141547600394 -31.9570139177476 -226.694373578679</f>
        <v>-1093.7929350968207</v>
      </c>
      <c r="Q1754">
        <f>-633.285377116209 -23.0094917005663 -357.938369438314</f>
        <v>-1014.2332382550893</v>
      </c>
      <c r="R1754" t="s">
        <v>36479</v>
      </c>
      <c r="S1754" t="s">
        <v>36480</v>
      </c>
      <c r="T1754" t="s">
        <v>36481</v>
      </c>
      <c r="U1754" t="s">
        <v>36482</v>
      </c>
      <c r="V1754" t="s">
        <v>36483</v>
      </c>
      <c r="W1754" t="s">
        <v>36484</v>
      </c>
      <c r="X1754" t="s">
        <v>36485</v>
      </c>
      <c r="Y1754" t="s">
        <v>36486</v>
      </c>
    </row>
    <row r="1755" spans="1:25" x14ac:dyDescent="0.3">
      <c r="A1755">
        <v>87700</v>
      </c>
      <c r="B1755" t="s">
        <v>36487</v>
      </c>
      <c r="C1755" t="s">
        <v>36488</v>
      </c>
      <c r="D1755" t="s">
        <v>36489</v>
      </c>
      <c r="E1755" t="s">
        <v>36490</v>
      </c>
      <c r="F1755" t="s">
        <v>36491</v>
      </c>
      <c r="G1755" t="s">
        <v>36492</v>
      </c>
      <c r="H1755" t="s">
        <v>36493</v>
      </c>
      <c r="I1755" t="s">
        <v>36494</v>
      </c>
      <c r="J1755" t="s">
        <v>36495</v>
      </c>
      <c r="K1755" t="s">
        <v>36496</v>
      </c>
      <c r="L1755" t="s">
        <v>36497</v>
      </c>
      <c r="M1755" t="s">
        <v>36498</v>
      </c>
      <c r="N1755" t="s">
        <v>36499</v>
      </c>
      <c r="O1755" t="s">
        <v>36500</v>
      </c>
      <c r="P1755">
        <f>-837.175903096465 -32.7321242719286 -226.546696499358</f>
        <v>-1096.4547238677517</v>
      </c>
      <c r="Q1755">
        <f>-634.723953162357 -25.4604962111707 -356.973610398581</f>
        <v>-1017.1580597721088</v>
      </c>
      <c r="R1755" t="s">
        <v>36501</v>
      </c>
      <c r="S1755" t="s">
        <v>36502</v>
      </c>
      <c r="T1755" t="s">
        <v>36503</v>
      </c>
      <c r="U1755" t="s">
        <v>36504</v>
      </c>
      <c r="V1755" t="s">
        <v>36505</v>
      </c>
      <c r="W1755" t="s">
        <v>36506</v>
      </c>
      <c r="X1755" t="s">
        <v>36507</v>
      </c>
      <c r="Y1755" t="s">
        <v>36508</v>
      </c>
    </row>
    <row r="1756" spans="1:25" x14ac:dyDescent="0.3">
      <c r="A1756">
        <v>87750</v>
      </c>
      <c r="B1756" t="s">
        <v>36509</v>
      </c>
      <c r="C1756" t="s">
        <v>36510</v>
      </c>
      <c r="D1756" t="s">
        <v>36511</v>
      </c>
      <c r="E1756" t="s">
        <v>36512</v>
      </c>
      <c r="F1756" t="s">
        <v>36513</v>
      </c>
      <c r="G1756" t="s">
        <v>36514</v>
      </c>
      <c r="H1756" t="s">
        <v>36515</v>
      </c>
      <c r="I1756" t="s">
        <v>36516</v>
      </c>
      <c r="J1756" t="s">
        <v>36517</v>
      </c>
      <c r="K1756" t="s">
        <v>36518</v>
      </c>
      <c r="L1756" t="s">
        <v>36519</v>
      </c>
      <c r="M1756" t="s">
        <v>36520</v>
      </c>
      <c r="N1756" t="s">
        <v>36521</v>
      </c>
      <c r="O1756" t="s">
        <v>36522</v>
      </c>
      <c r="P1756">
        <f>-837.977242990065 -32.8670318640679 -226.53605092276</f>
        <v>-1097.380325776893</v>
      </c>
      <c r="Q1756">
        <f>-635.227751356126 -26.3376206156504 -356.539704396051</f>
        <v>-1018.1050763678273</v>
      </c>
      <c r="R1756" t="s">
        <v>36523</v>
      </c>
      <c r="S1756" t="s">
        <v>36524</v>
      </c>
      <c r="T1756" t="s">
        <v>36525</v>
      </c>
      <c r="U1756" t="s">
        <v>36526</v>
      </c>
      <c r="V1756" t="s">
        <v>36527</v>
      </c>
      <c r="W1756" t="s">
        <v>36528</v>
      </c>
      <c r="X1756" t="s">
        <v>36529</v>
      </c>
      <c r="Y1756" t="s">
        <v>36530</v>
      </c>
    </row>
    <row r="1757" spans="1:25" x14ac:dyDescent="0.3">
      <c r="A1757">
        <v>87800</v>
      </c>
      <c r="B1757" t="s">
        <v>36531</v>
      </c>
      <c r="C1757" t="s">
        <v>36532</v>
      </c>
      <c r="D1757" t="s">
        <v>36533</v>
      </c>
      <c r="E1757" t="s">
        <v>36534</v>
      </c>
      <c r="F1757" t="s">
        <v>36535</v>
      </c>
      <c r="G1757" t="s">
        <v>36536</v>
      </c>
      <c r="H1757" t="s">
        <v>36537</v>
      </c>
      <c r="I1757" t="s">
        <v>36538</v>
      </c>
      <c r="J1757" t="s">
        <v>36539</v>
      </c>
      <c r="K1757" t="s">
        <v>36540</v>
      </c>
      <c r="L1757" t="s">
        <v>36541</v>
      </c>
      <c r="M1757" t="s">
        <v>36542</v>
      </c>
      <c r="N1757" t="s">
        <v>36543</v>
      </c>
      <c r="O1757" t="s">
        <v>36544</v>
      </c>
      <c r="P1757">
        <f>-838.631268202381 -32.8181158918601 -226.544692735971</f>
        <v>-1097.9940768302122</v>
      </c>
      <c r="Q1757">
        <f>-635.186082608052 -26.9833510444055 -355.489911380308</f>
        <v>-1017.6593450327655</v>
      </c>
      <c r="R1757" t="s">
        <v>36545</v>
      </c>
      <c r="S1757" t="s">
        <v>36546</v>
      </c>
      <c r="T1757" t="s">
        <v>36547</v>
      </c>
      <c r="U1757" t="s">
        <v>36548</v>
      </c>
      <c r="V1757" t="s">
        <v>36549</v>
      </c>
      <c r="W1757" t="s">
        <v>36550</v>
      </c>
      <c r="X1757" t="s">
        <v>36551</v>
      </c>
      <c r="Y1757" t="s">
        <v>36552</v>
      </c>
    </row>
    <row r="1758" spans="1:25" x14ac:dyDescent="0.3">
      <c r="A1758">
        <v>87850</v>
      </c>
      <c r="B1758" t="s">
        <v>36553</v>
      </c>
      <c r="C1758" t="s">
        <v>36554</v>
      </c>
      <c r="D1758" t="s">
        <v>36555</v>
      </c>
      <c r="E1758" t="s">
        <v>36556</v>
      </c>
      <c r="F1758" t="s">
        <v>36557</v>
      </c>
      <c r="G1758" t="s">
        <v>36558</v>
      </c>
      <c r="H1758" t="s">
        <v>36559</v>
      </c>
      <c r="I1758" t="s">
        <v>36560</v>
      </c>
      <c r="J1758" t="s">
        <v>36561</v>
      </c>
      <c r="K1758" t="s">
        <v>36562</v>
      </c>
      <c r="L1758" t="s">
        <v>36563</v>
      </c>
      <c r="M1758" t="s">
        <v>36564</v>
      </c>
      <c r="N1758" t="s">
        <v>36565</v>
      </c>
      <c r="O1758" t="s">
        <v>36566</v>
      </c>
      <c r="P1758">
        <f>-838.688417295754 -32.8025237383822 -226.500435219463</f>
        <v>-1097.9913762535991</v>
      </c>
      <c r="Q1758">
        <f>-634.949753998612 -27.3256425600857 -354.997178764115</f>
        <v>-1017.2725753228127</v>
      </c>
      <c r="R1758" t="s">
        <v>36567</v>
      </c>
      <c r="S1758" t="s">
        <v>36568</v>
      </c>
      <c r="T1758" t="s">
        <v>36569</v>
      </c>
      <c r="U1758" t="s">
        <v>36570</v>
      </c>
      <c r="V1758" t="s">
        <v>36571</v>
      </c>
      <c r="W1758" t="s">
        <v>36572</v>
      </c>
      <c r="X1758" t="s">
        <v>36573</v>
      </c>
      <c r="Y1758" t="s">
        <v>36574</v>
      </c>
    </row>
    <row r="1759" spans="1:25" x14ac:dyDescent="0.3">
      <c r="A1759">
        <v>87900</v>
      </c>
      <c r="B1759" t="s">
        <v>36575</v>
      </c>
      <c r="C1759" t="s">
        <v>36576</v>
      </c>
      <c r="D1759" t="s">
        <v>36577</v>
      </c>
      <c r="E1759" t="s">
        <v>36578</v>
      </c>
      <c r="F1759" t="s">
        <v>36579</v>
      </c>
      <c r="G1759" t="s">
        <v>36580</v>
      </c>
      <c r="H1759" t="s">
        <v>36581</v>
      </c>
      <c r="I1759" t="s">
        <v>36582</v>
      </c>
      <c r="J1759" t="s">
        <v>36583</v>
      </c>
      <c r="K1759" t="s">
        <v>36584</v>
      </c>
      <c r="L1759" t="s">
        <v>36585</v>
      </c>
      <c r="M1759" t="s">
        <v>36586</v>
      </c>
      <c r="N1759" t="s">
        <v>36587</v>
      </c>
      <c r="O1759" t="s">
        <v>36588</v>
      </c>
      <c r="P1759">
        <f>-838.99223816326 -33.2250216268158 -225.798589262362</f>
        <v>-1098.0158490524377</v>
      </c>
      <c r="Q1759">
        <f>-634.920109111395 -28.0525758634567 -353.777472894843</f>
        <v>-1016.7501578696947</v>
      </c>
      <c r="R1759" t="s">
        <v>36589</v>
      </c>
      <c r="S1759" t="s">
        <v>36590</v>
      </c>
      <c r="T1759" t="s">
        <v>36591</v>
      </c>
      <c r="U1759" t="s">
        <v>36592</v>
      </c>
      <c r="V1759" t="s">
        <v>36593</v>
      </c>
      <c r="W1759" t="s">
        <v>36594</v>
      </c>
      <c r="X1759" t="s">
        <v>36595</v>
      </c>
      <c r="Y1759" t="s">
        <v>36596</v>
      </c>
    </row>
    <row r="1760" spans="1:25" x14ac:dyDescent="0.3">
      <c r="A1760">
        <v>87950</v>
      </c>
      <c r="B1760" t="s">
        <v>36597</v>
      </c>
      <c r="C1760" t="s">
        <v>36598</v>
      </c>
      <c r="D1760" t="s">
        <v>36599</v>
      </c>
      <c r="E1760" t="s">
        <v>36600</v>
      </c>
      <c r="F1760" t="s">
        <v>36601</v>
      </c>
      <c r="G1760" t="s">
        <v>36602</v>
      </c>
      <c r="H1760" t="s">
        <v>36603</v>
      </c>
      <c r="I1760" t="s">
        <v>36604</v>
      </c>
      <c r="J1760" t="s">
        <v>36605</v>
      </c>
      <c r="K1760" t="s">
        <v>36606</v>
      </c>
      <c r="L1760" t="s">
        <v>36607</v>
      </c>
      <c r="M1760" t="s">
        <v>36608</v>
      </c>
      <c r="N1760" t="s">
        <v>36609</v>
      </c>
      <c r="O1760" t="s">
        <v>36610</v>
      </c>
      <c r="P1760">
        <f>-839.808413595336 -33.050721330711 -225.176492714939</f>
        <v>-1098.0356276409859</v>
      </c>
      <c r="Q1760">
        <f>-635.530457386405 -28.1360232130392 -352.837016901669</f>
        <v>-1016.5034975011132</v>
      </c>
      <c r="R1760" t="s">
        <v>36611</v>
      </c>
      <c r="S1760" t="s">
        <v>36612</v>
      </c>
      <c r="T1760" t="s">
        <v>36613</v>
      </c>
      <c r="U1760" t="s">
        <v>36614</v>
      </c>
      <c r="V1760" t="s">
        <v>36615</v>
      </c>
      <c r="W1760" t="s">
        <v>36616</v>
      </c>
      <c r="X1760" t="s">
        <v>36617</v>
      </c>
      <c r="Y1760" t="s">
        <v>36618</v>
      </c>
    </row>
    <row r="1761" spans="1:25" x14ac:dyDescent="0.3">
      <c r="A1761">
        <v>88000</v>
      </c>
      <c r="B1761" t="s">
        <v>36619</v>
      </c>
      <c r="C1761" t="s">
        <v>36620</v>
      </c>
      <c r="D1761" t="s">
        <v>36621</v>
      </c>
      <c r="E1761" t="s">
        <v>36622</v>
      </c>
      <c r="F1761" t="s">
        <v>36623</v>
      </c>
      <c r="G1761" t="s">
        <v>36624</v>
      </c>
      <c r="H1761" t="s">
        <v>36625</v>
      </c>
      <c r="I1761" t="s">
        <v>36626</v>
      </c>
      <c r="J1761" t="s">
        <v>36627</v>
      </c>
      <c r="K1761" t="s">
        <v>36628</v>
      </c>
      <c r="L1761" t="s">
        <v>36629</v>
      </c>
      <c r="M1761" t="s">
        <v>36630</v>
      </c>
      <c r="N1761" t="s">
        <v>36631</v>
      </c>
      <c r="O1761" t="s">
        <v>36632</v>
      </c>
      <c r="P1761">
        <f>-842.514585974775 -32.4872803142507 -223.786149524741</f>
        <v>-1098.7880158137666</v>
      </c>
      <c r="Q1761">
        <f>-638.034065411125 -27.0836861272587 -351.102320075816</f>
        <v>-1016.2200716141997</v>
      </c>
      <c r="R1761" t="s">
        <v>36633</v>
      </c>
      <c r="S1761" t="s">
        <v>36634</v>
      </c>
      <c r="T1761" t="s">
        <v>36635</v>
      </c>
      <c r="U1761" t="s">
        <v>36636</v>
      </c>
      <c r="V1761" t="s">
        <v>36637</v>
      </c>
      <c r="W1761" t="s">
        <v>36638</v>
      </c>
      <c r="X1761" t="s">
        <v>36639</v>
      </c>
      <c r="Y1761" t="s">
        <v>36640</v>
      </c>
    </row>
    <row r="1762" spans="1:25" x14ac:dyDescent="0.3">
      <c r="A1762">
        <v>88050</v>
      </c>
      <c r="B1762" t="s">
        <v>36641</v>
      </c>
      <c r="C1762" t="s">
        <v>36642</v>
      </c>
      <c r="D1762" t="s">
        <v>36643</v>
      </c>
      <c r="E1762" t="s">
        <v>36644</v>
      </c>
      <c r="F1762" t="s">
        <v>36645</v>
      </c>
      <c r="G1762" t="s">
        <v>36646</v>
      </c>
      <c r="H1762" t="s">
        <v>36647</v>
      </c>
      <c r="I1762" t="s">
        <v>36648</v>
      </c>
      <c r="J1762" t="s">
        <v>36649</v>
      </c>
      <c r="K1762" t="s">
        <v>36650</v>
      </c>
      <c r="L1762" t="s">
        <v>36651</v>
      </c>
      <c r="M1762" t="s">
        <v>36652</v>
      </c>
      <c r="N1762" t="s">
        <v>36653</v>
      </c>
      <c r="O1762" t="s">
        <v>36654</v>
      </c>
      <c r="P1762">
        <f>-844.086753340876 -31.9926873684917 -223.109290173125</f>
        <v>-1099.1887308824928</v>
      </c>
      <c r="Q1762">
        <f>-639.679903590547 -26.2031190756884 -350.526510635738</f>
        <v>-1016.4095333019734</v>
      </c>
      <c r="R1762" t="s">
        <v>36655</v>
      </c>
      <c r="S1762" t="s">
        <v>36656</v>
      </c>
      <c r="T1762" t="s">
        <v>36657</v>
      </c>
      <c r="U1762" t="s">
        <v>36658</v>
      </c>
      <c r="V1762" t="s">
        <v>36659</v>
      </c>
      <c r="W1762" t="s">
        <v>36660</v>
      </c>
      <c r="X1762" t="s">
        <v>36661</v>
      </c>
      <c r="Y1762" t="s">
        <v>36662</v>
      </c>
    </row>
    <row r="1763" spans="1:25" x14ac:dyDescent="0.3">
      <c r="A1763">
        <v>88100</v>
      </c>
      <c r="B1763" t="s">
        <v>36663</v>
      </c>
      <c r="C1763" t="s">
        <v>36664</v>
      </c>
      <c r="D1763" t="s">
        <v>36665</v>
      </c>
      <c r="E1763" t="s">
        <v>36666</v>
      </c>
      <c r="F1763" t="s">
        <v>36667</v>
      </c>
      <c r="G1763" t="s">
        <v>36668</v>
      </c>
      <c r="H1763" t="s">
        <v>36669</v>
      </c>
      <c r="I1763" t="s">
        <v>36670</v>
      </c>
      <c r="J1763" t="s">
        <v>36671</v>
      </c>
      <c r="K1763" t="s">
        <v>36672</v>
      </c>
      <c r="L1763" t="s">
        <v>36673</v>
      </c>
      <c r="M1763" t="s">
        <v>36674</v>
      </c>
      <c r="N1763" t="s">
        <v>36675</v>
      </c>
      <c r="O1763" t="s">
        <v>36676</v>
      </c>
      <c r="P1763">
        <f>-847.439902269254 -31.2167467556342 -221.785954784143</f>
        <v>-1100.4426038090312</v>
      </c>
      <c r="Q1763">
        <f>-643.714757117731 -24.48200807173 -350.244755958955</f>
        <v>-1018.441521148416</v>
      </c>
      <c r="R1763" t="s">
        <v>36677</v>
      </c>
      <c r="S1763" t="s">
        <v>36678</v>
      </c>
      <c r="T1763" t="s">
        <v>36679</v>
      </c>
      <c r="U1763" t="s">
        <v>36680</v>
      </c>
      <c r="V1763" t="s">
        <v>36681</v>
      </c>
      <c r="W1763" t="s">
        <v>36682</v>
      </c>
      <c r="X1763" t="s">
        <v>36683</v>
      </c>
      <c r="Y1763" t="s">
        <v>36684</v>
      </c>
    </row>
    <row r="1764" spans="1:25" x14ac:dyDescent="0.3">
      <c r="A1764">
        <v>88150</v>
      </c>
      <c r="B1764" t="s">
        <v>36685</v>
      </c>
      <c r="C1764" t="s">
        <v>36686</v>
      </c>
      <c r="D1764" t="s">
        <v>36687</v>
      </c>
      <c r="E1764" t="s">
        <v>36688</v>
      </c>
      <c r="F1764" t="s">
        <v>36689</v>
      </c>
      <c r="G1764" t="s">
        <v>36690</v>
      </c>
      <c r="H1764" t="s">
        <v>36691</v>
      </c>
      <c r="I1764" t="s">
        <v>36692</v>
      </c>
      <c r="J1764" t="s">
        <v>36693</v>
      </c>
      <c r="K1764" t="s">
        <v>36694</v>
      </c>
      <c r="L1764" t="s">
        <v>36695</v>
      </c>
      <c r="M1764" t="s">
        <v>36696</v>
      </c>
      <c r="N1764" t="s">
        <v>36697</v>
      </c>
      <c r="O1764" t="s">
        <v>36698</v>
      </c>
      <c r="P1764">
        <f>-849.250650835034 -31.2130939334861 -221.218530274669</f>
        <v>-1101.6822750431891</v>
      </c>
      <c r="Q1764">
        <f>-646.0404712999 -24.1024157083211 -350.470145371878</f>
        <v>-1020.6130323800992</v>
      </c>
      <c r="R1764" t="s">
        <v>36699</v>
      </c>
      <c r="S1764" t="s">
        <v>36700</v>
      </c>
      <c r="T1764" t="s">
        <v>36701</v>
      </c>
      <c r="U1764" t="s">
        <v>36702</v>
      </c>
      <c r="V1764" t="s">
        <v>36703</v>
      </c>
      <c r="W1764" t="s">
        <v>36704</v>
      </c>
      <c r="X1764" t="s">
        <v>36705</v>
      </c>
      <c r="Y1764" t="s">
        <v>36706</v>
      </c>
    </row>
    <row r="1765" spans="1:25" x14ac:dyDescent="0.3">
      <c r="A1765">
        <v>88200</v>
      </c>
      <c r="B1765" t="s">
        <v>36707</v>
      </c>
      <c r="C1765" t="s">
        <v>36708</v>
      </c>
      <c r="D1765" t="s">
        <v>36709</v>
      </c>
      <c r="E1765" t="s">
        <v>36710</v>
      </c>
      <c r="F1765" t="s">
        <v>36711</v>
      </c>
      <c r="G1765" t="s">
        <v>36712</v>
      </c>
      <c r="H1765" t="s">
        <v>36713</v>
      </c>
      <c r="I1765" t="s">
        <v>36714</v>
      </c>
      <c r="J1765" t="s">
        <v>36715</v>
      </c>
      <c r="K1765" t="s">
        <v>36716</v>
      </c>
      <c r="L1765" t="s">
        <v>36717</v>
      </c>
      <c r="M1765" t="s">
        <v>36718</v>
      </c>
      <c r="N1765" t="s">
        <v>36719</v>
      </c>
      <c r="O1765" t="s">
        <v>36720</v>
      </c>
      <c r="P1765">
        <f>-852.259286849359 -32.1621963457305 -220.332463850487</f>
        <v>-1104.7539470455765</v>
      </c>
      <c r="Q1765">
        <f>-650.297384977636 -23.9097724483404 -351.459086997139</f>
        <v>-1025.6662444231156</v>
      </c>
      <c r="R1765" t="s">
        <v>36721</v>
      </c>
      <c r="S1765" t="s">
        <v>36722</v>
      </c>
      <c r="T1765" t="s">
        <v>36723</v>
      </c>
      <c r="U1765" t="s">
        <v>36724</v>
      </c>
      <c r="V1765" t="s">
        <v>36725</v>
      </c>
      <c r="W1765" t="s">
        <v>36726</v>
      </c>
      <c r="X1765" t="s">
        <v>36727</v>
      </c>
      <c r="Y1765" t="s">
        <v>36728</v>
      </c>
    </row>
    <row r="1766" spans="1:25" x14ac:dyDescent="0.3">
      <c r="A1766">
        <v>88250</v>
      </c>
      <c r="B1766" t="s">
        <v>36729</v>
      </c>
      <c r="C1766" t="s">
        <v>36730</v>
      </c>
      <c r="D1766" t="s">
        <v>36731</v>
      </c>
      <c r="E1766" t="s">
        <v>36732</v>
      </c>
      <c r="F1766" t="s">
        <v>36733</v>
      </c>
      <c r="G1766" t="s">
        <v>36734</v>
      </c>
      <c r="H1766" t="s">
        <v>36735</v>
      </c>
      <c r="I1766" t="s">
        <v>36736</v>
      </c>
      <c r="J1766" t="s">
        <v>36737</v>
      </c>
      <c r="K1766" t="s">
        <v>36738</v>
      </c>
      <c r="L1766" t="s">
        <v>36739</v>
      </c>
      <c r="M1766" t="s">
        <v>36740</v>
      </c>
      <c r="N1766" t="s">
        <v>36741</v>
      </c>
      <c r="O1766" t="s">
        <v>36742</v>
      </c>
      <c r="P1766">
        <f>-853.53064407981 -32.3672134628487 -219.809949112666</f>
        <v>-1105.7078066553247</v>
      </c>
      <c r="Q1766">
        <f>-652.314795153559 -24.5177988347973 -352.103049761866</f>
        <v>-1028.9356437502222</v>
      </c>
      <c r="R1766" t="s">
        <v>36743</v>
      </c>
      <c r="S1766" t="s">
        <v>36744</v>
      </c>
      <c r="T1766" t="s">
        <v>36745</v>
      </c>
      <c r="U1766" t="s">
        <v>36746</v>
      </c>
      <c r="V1766" t="s">
        <v>36747</v>
      </c>
      <c r="W1766" t="s">
        <v>36748</v>
      </c>
      <c r="X1766" t="s">
        <v>36749</v>
      </c>
      <c r="Y1766" t="s">
        <v>36750</v>
      </c>
    </row>
    <row r="1767" spans="1:25" x14ac:dyDescent="0.3">
      <c r="A1767">
        <v>88300</v>
      </c>
      <c r="B1767" t="s">
        <v>36751</v>
      </c>
      <c r="C1767" t="s">
        <v>36752</v>
      </c>
      <c r="D1767" t="s">
        <v>36753</v>
      </c>
      <c r="E1767" t="s">
        <v>36754</v>
      </c>
      <c r="F1767" t="s">
        <v>36755</v>
      </c>
      <c r="G1767" t="s">
        <v>36756</v>
      </c>
      <c r="H1767" t="s">
        <v>36757</v>
      </c>
      <c r="I1767" t="s">
        <v>36758</v>
      </c>
      <c r="J1767" t="s">
        <v>36759</v>
      </c>
      <c r="K1767" t="s">
        <v>36760</v>
      </c>
      <c r="L1767" t="s">
        <v>36761</v>
      </c>
      <c r="M1767" t="s">
        <v>36762</v>
      </c>
      <c r="N1767" t="s">
        <v>36763</v>
      </c>
      <c r="O1767" t="s">
        <v>36764</v>
      </c>
      <c r="P1767">
        <f>-855.27028486442 -33.2177777113884 -219.026344667299</f>
        <v>-1107.5144072431074</v>
      </c>
      <c r="Q1767">
        <f>-655.727744674393 -25.4831433179656 -353.836807085161</f>
        <v>-1035.0476950775196</v>
      </c>
      <c r="R1767" t="s">
        <v>36765</v>
      </c>
      <c r="S1767" t="s">
        <v>36766</v>
      </c>
      <c r="T1767" t="s">
        <v>36767</v>
      </c>
      <c r="U1767" t="s">
        <v>36768</v>
      </c>
      <c r="V1767" t="s">
        <v>36769</v>
      </c>
      <c r="W1767" t="s">
        <v>36770</v>
      </c>
      <c r="X1767" t="s">
        <v>36771</v>
      </c>
      <c r="Y1767" t="s">
        <v>36772</v>
      </c>
    </row>
    <row r="1768" spans="1:25" x14ac:dyDescent="0.3">
      <c r="A1768">
        <v>88350</v>
      </c>
      <c r="B1768" t="s">
        <v>36773</v>
      </c>
      <c r="C1768" t="s">
        <v>36774</v>
      </c>
      <c r="D1768" t="s">
        <v>36775</v>
      </c>
      <c r="E1768" t="s">
        <v>36776</v>
      </c>
      <c r="F1768" t="s">
        <v>36777</v>
      </c>
      <c r="G1768" t="s">
        <v>36778</v>
      </c>
      <c r="H1768" t="s">
        <v>36779</v>
      </c>
      <c r="I1768" t="s">
        <v>36780</v>
      </c>
      <c r="J1768" t="s">
        <v>36781</v>
      </c>
      <c r="K1768" t="s">
        <v>36782</v>
      </c>
      <c r="L1768" t="s">
        <v>36783</v>
      </c>
      <c r="M1768" t="s">
        <v>36784</v>
      </c>
      <c r="N1768" t="s">
        <v>36785</v>
      </c>
      <c r="O1768" t="s">
        <v>36786</v>
      </c>
      <c r="P1768">
        <f>-855.935093730695 -33.7561246645269 -218.886973646065</f>
        <v>-1108.5781920412869</v>
      </c>
      <c r="Q1768">
        <f>-657.075122446222 -25.9634303996809 -354.699003078077</f>
        <v>-1037.7375559239799</v>
      </c>
      <c r="R1768" t="s">
        <v>36787</v>
      </c>
      <c r="S1768" t="s">
        <v>36788</v>
      </c>
      <c r="T1768" t="s">
        <v>36789</v>
      </c>
      <c r="U1768" t="s">
        <v>36790</v>
      </c>
      <c r="V1768" t="s">
        <v>36791</v>
      </c>
      <c r="W1768" t="s">
        <v>36792</v>
      </c>
      <c r="X1768" t="s">
        <v>36793</v>
      </c>
      <c r="Y1768" t="s">
        <v>36794</v>
      </c>
    </row>
    <row r="1769" spans="1:25" x14ac:dyDescent="0.3">
      <c r="A1769">
        <v>88400</v>
      </c>
      <c r="B1769" t="s">
        <v>36795</v>
      </c>
      <c r="C1769" t="s">
        <v>36796</v>
      </c>
      <c r="D1769" t="s">
        <v>36797</v>
      </c>
      <c r="E1769" t="s">
        <v>36798</v>
      </c>
      <c r="F1769" t="s">
        <v>36799</v>
      </c>
      <c r="G1769" t="s">
        <v>36800</v>
      </c>
      <c r="H1769" t="s">
        <v>36801</v>
      </c>
      <c r="I1769" t="s">
        <v>36802</v>
      </c>
      <c r="J1769" t="s">
        <v>36803</v>
      </c>
      <c r="K1769" t="s">
        <v>36804</v>
      </c>
      <c r="L1769" t="s">
        <v>36805</v>
      </c>
      <c r="M1769" t="s">
        <v>36806</v>
      </c>
      <c r="N1769" t="s">
        <v>36807</v>
      </c>
      <c r="O1769" t="s">
        <v>36808</v>
      </c>
      <c r="P1769">
        <f>-856.8117103374 -35.3675026922629 -218.777785048953</f>
        <v>-1110.9569980786159</v>
      </c>
      <c r="Q1769">
        <f>-659.154474142332 -27.0071632386403 -356.300894205425</f>
        <v>-1042.4625315863973</v>
      </c>
      <c r="R1769" t="s">
        <v>36809</v>
      </c>
      <c r="S1769" t="s">
        <v>36810</v>
      </c>
      <c r="T1769" t="s">
        <v>36811</v>
      </c>
      <c r="U1769" t="s">
        <v>36812</v>
      </c>
      <c r="V1769" t="s">
        <v>36813</v>
      </c>
      <c r="W1769" t="s">
        <v>36814</v>
      </c>
      <c r="X1769" t="s">
        <v>36815</v>
      </c>
      <c r="Y1769" t="s">
        <v>36816</v>
      </c>
    </row>
    <row r="1770" spans="1:25" x14ac:dyDescent="0.3">
      <c r="A1770">
        <v>88450</v>
      </c>
      <c r="B1770" t="s">
        <v>36817</v>
      </c>
      <c r="C1770" t="s">
        <v>36818</v>
      </c>
      <c r="D1770" t="s">
        <v>36819</v>
      </c>
      <c r="E1770" t="s">
        <v>36820</v>
      </c>
      <c r="F1770" t="s">
        <v>36821</v>
      </c>
      <c r="G1770" t="s">
        <v>36822</v>
      </c>
      <c r="H1770" t="s">
        <v>36823</v>
      </c>
      <c r="I1770" t="s">
        <v>36824</v>
      </c>
      <c r="J1770" t="s">
        <v>36825</v>
      </c>
      <c r="K1770" t="s">
        <v>36826</v>
      </c>
      <c r="L1770" t="s">
        <v>36827</v>
      </c>
      <c r="M1770" t="s">
        <v>36828</v>
      </c>
      <c r="N1770" t="s">
        <v>36829</v>
      </c>
      <c r="O1770" t="s">
        <v>36830</v>
      </c>
      <c r="P1770">
        <f>-857.158184850372 -36.0631494560184 -218.693714578876</f>
        <v>-1111.9150488852665</v>
      </c>
      <c r="Q1770">
        <f>-660.016711937583 -27.336665119587 -356.932396545997</f>
        <v>-1044.2857736031669</v>
      </c>
      <c r="R1770" t="s">
        <v>36831</v>
      </c>
      <c r="S1770" t="s">
        <v>36832</v>
      </c>
      <c r="T1770" t="s">
        <v>36833</v>
      </c>
      <c r="U1770" t="s">
        <v>36834</v>
      </c>
      <c r="V1770" t="s">
        <v>36835</v>
      </c>
      <c r="W1770" t="s">
        <v>36836</v>
      </c>
      <c r="X1770" t="s">
        <v>36837</v>
      </c>
      <c r="Y1770" t="s">
        <v>36838</v>
      </c>
    </row>
    <row r="1771" spans="1:25" x14ac:dyDescent="0.3">
      <c r="A1771">
        <v>88500</v>
      </c>
      <c r="B1771" t="s">
        <v>36839</v>
      </c>
      <c r="C1771" t="s">
        <v>36840</v>
      </c>
      <c r="D1771" t="s">
        <v>36841</v>
      </c>
      <c r="E1771" t="s">
        <v>36842</v>
      </c>
      <c r="F1771" t="s">
        <v>36843</v>
      </c>
      <c r="G1771" t="s">
        <v>36844</v>
      </c>
      <c r="H1771" t="s">
        <v>36845</v>
      </c>
      <c r="I1771" t="s">
        <v>36846</v>
      </c>
      <c r="J1771" t="s">
        <v>36847</v>
      </c>
      <c r="K1771" t="s">
        <v>36848</v>
      </c>
      <c r="L1771" t="s">
        <v>36849</v>
      </c>
      <c r="M1771" t="s">
        <v>36850</v>
      </c>
      <c r="N1771" t="s">
        <v>36851</v>
      </c>
      <c r="O1771" t="s">
        <v>36852</v>
      </c>
      <c r="P1771">
        <f>-857.852372965013 -37.1984367375683 -218.374777229437</f>
        <v>-1113.4255869320184</v>
      </c>
      <c r="Q1771">
        <f>-661.509635094135 -27.6482862144553 -357.691969606955</f>
        <v>-1046.8498909155453</v>
      </c>
      <c r="R1771" t="s">
        <v>36853</v>
      </c>
      <c r="S1771" t="s">
        <v>36854</v>
      </c>
      <c r="T1771" t="s">
        <v>36855</v>
      </c>
      <c r="U1771" t="s">
        <v>36856</v>
      </c>
      <c r="V1771" t="s">
        <v>36857</v>
      </c>
      <c r="W1771" t="s">
        <v>36858</v>
      </c>
      <c r="X1771" t="s">
        <v>36859</v>
      </c>
      <c r="Y1771" t="s">
        <v>36860</v>
      </c>
    </row>
    <row r="1772" spans="1:25" x14ac:dyDescent="0.3">
      <c r="A1772">
        <v>88550</v>
      </c>
      <c r="B1772" t="s">
        <v>36861</v>
      </c>
      <c r="C1772" t="s">
        <v>36862</v>
      </c>
      <c r="D1772" t="s">
        <v>36863</v>
      </c>
      <c r="E1772" t="s">
        <v>36864</v>
      </c>
      <c r="F1772" t="s">
        <v>36865</v>
      </c>
      <c r="G1772" t="s">
        <v>36866</v>
      </c>
      <c r="H1772" t="s">
        <v>36867</v>
      </c>
      <c r="I1772" t="s">
        <v>36868</v>
      </c>
      <c r="J1772" t="s">
        <v>36869</v>
      </c>
      <c r="K1772" t="s">
        <v>36870</v>
      </c>
      <c r="L1772" t="s">
        <v>36871</v>
      </c>
      <c r="M1772" t="s">
        <v>36872</v>
      </c>
      <c r="N1772" t="s">
        <v>36873</v>
      </c>
      <c r="O1772" t="s">
        <v>36874</v>
      </c>
      <c r="P1772">
        <f>-858.181474817778 -37.6194572868515 -218.145535948037</f>
        <v>-1113.9464680526664</v>
      </c>
      <c r="Q1772">
        <f>-661.968181654842 -27.9471017358469 -357.636029739355</f>
        <v>-1047.551313130044</v>
      </c>
      <c r="R1772" t="s">
        <v>36875</v>
      </c>
      <c r="S1772" t="s">
        <v>36876</v>
      </c>
      <c r="T1772" t="s">
        <v>36877</v>
      </c>
      <c r="U1772" t="s">
        <v>36878</v>
      </c>
      <c r="V1772" t="s">
        <v>36879</v>
      </c>
      <c r="W1772" t="s">
        <v>36880</v>
      </c>
      <c r="X1772" t="s">
        <v>36881</v>
      </c>
      <c r="Y1772" t="s">
        <v>36882</v>
      </c>
    </row>
    <row r="1773" spans="1:25" x14ac:dyDescent="0.3">
      <c r="A1773">
        <v>88600</v>
      </c>
      <c r="B1773" t="s">
        <v>36883</v>
      </c>
      <c r="C1773" t="s">
        <v>36884</v>
      </c>
      <c r="D1773" t="s">
        <v>36885</v>
      </c>
      <c r="E1773" t="s">
        <v>36886</v>
      </c>
      <c r="F1773" t="s">
        <v>36887</v>
      </c>
      <c r="G1773" t="s">
        <v>36888</v>
      </c>
      <c r="H1773" t="s">
        <v>36889</v>
      </c>
      <c r="I1773" t="s">
        <v>36890</v>
      </c>
      <c r="J1773" t="s">
        <v>36891</v>
      </c>
      <c r="K1773" t="s">
        <v>36892</v>
      </c>
      <c r="L1773" t="s">
        <v>36893</v>
      </c>
      <c r="M1773" t="s">
        <v>36894</v>
      </c>
      <c r="N1773" t="s">
        <v>36895</v>
      </c>
      <c r="O1773" t="s">
        <v>36896</v>
      </c>
      <c r="P1773">
        <f>-858.646240475662 -38.4627134223315 -217.736179790175</f>
        <v>-1114.8451336881685</v>
      </c>
      <c r="Q1773">
        <f>-662.228770756924 -28.8886114287166 -356.946116424085</f>
        <v>-1048.0634986097255</v>
      </c>
      <c r="R1773" t="s">
        <v>36897</v>
      </c>
      <c r="S1773" t="s">
        <v>36898</v>
      </c>
      <c r="T1773" t="s">
        <v>36899</v>
      </c>
      <c r="U1773" t="s">
        <v>36900</v>
      </c>
      <c r="V1773" t="s">
        <v>36901</v>
      </c>
      <c r="W1773" t="s">
        <v>36902</v>
      </c>
      <c r="X1773" t="s">
        <v>36903</v>
      </c>
      <c r="Y1773" t="s">
        <v>36904</v>
      </c>
    </row>
    <row r="1774" spans="1:25" x14ac:dyDescent="0.3">
      <c r="A1774">
        <v>88650</v>
      </c>
      <c r="B1774" t="s">
        <v>36905</v>
      </c>
      <c r="C1774" t="s">
        <v>36906</v>
      </c>
      <c r="D1774" t="s">
        <v>36907</v>
      </c>
      <c r="E1774" t="s">
        <v>36908</v>
      </c>
      <c r="F1774" t="s">
        <v>36909</v>
      </c>
      <c r="G1774" t="s">
        <v>36910</v>
      </c>
      <c r="H1774" t="s">
        <v>36911</v>
      </c>
      <c r="I1774" t="s">
        <v>36912</v>
      </c>
      <c r="J1774" t="s">
        <v>36913</v>
      </c>
      <c r="K1774" t="s">
        <v>36914</v>
      </c>
      <c r="L1774" t="s">
        <v>36915</v>
      </c>
      <c r="M1774" t="s">
        <v>36916</v>
      </c>
      <c r="N1774" t="s">
        <v>36917</v>
      </c>
      <c r="O1774" t="s">
        <v>36918</v>
      </c>
      <c r="P1774">
        <f>-858.889238092606 -38.8508062733852 -217.504031078004</f>
        <v>-1115.2440754439951</v>
      </c>
      <c r="Q1774">
        <f>-662.311301346316 -29.4207660848992 -356.497231505478</f>
        <v>-1048.2292989366933</v>
      </c>
      <c r="R1774" t="s">
        <v>36919</v>
      </c>
      <c r="S1774" t="s">
        <v>36920</v>
      </c>
      <c r="T1774" t="s">
        <v>36921</v>
      </c>
      <c r="U1774" t="s">
        <v>36922</v>
      </c>
      <c r="V1774" t="s">
        <v>36923</v>
      </c>
      <c r="W1774" t="s">
        <v>36924</v>
      </c>
      <c r="X1774" t="s">
        <v>36925</v>
      </c>
      <c r="Y1774" t="s">
        <v>36926</v>
      </c>
    </row>
    <row r="1775" spans="1:25" x14ac:dyDescent="0.3">
      <c r="A1775">
        <v>88700</v>
      </c>
      <c r="B1775" t="s">
        <v>36927</v>
      </c>
      <c r="C1775" t="s">
        <v>36928</v>
      </c>
      <c r="D1775" t="s">
        <v>36929</v>
      </c>
      <c r="E1775" t="s">
        <v>36930</v>
      </c>
      <c r="F1775" t="s">
        <v>36931</v>
      </c>
      <c r="G1775" t="s">
        <v>36932</v>
      </c>
      <c r="H1775" t="s">
        <v>36933</v>
      </c>
      <c r="I1775" t="s">
        <v>36934</v>
      </c>
      <c r="J1775" t="s">
        <v>36935</v>
      </c>
      <c r="K1775" t="s">
        <v>36936</v>
      </c>
      <c r="L1775" t="s">
        <v>36937</v>
      </c>
      <c r="M1775" t="s">
        <v>36938</v>
      </c>
      <c r="N1775" t="s">
        <v>36939</v>
      </c>
      <c r="O1775" t="s">
        <v>36940</v>
      </c>
      <c r="P1775">
        <f>-859.388133046398 -39.4290832226714 -216.8882111356</f>
        <v>-1115.7054274046693</v>
      </c>
      <c r="Q1775">
        <f>-662.77524141422 -30.5887601047089 -355.870680302978</f>
        <v>-1049.2346818219069</v>
      </c>
      <c r="R1775" t="s">
        <v>36941</v>
      </c>
      <c r="S1775" t="s">
        <v>36942</v>
      </c>
      <c r="T1775" t="s">
        <v>36943</v>
      </c>
      <c r="U1775" t="s">
        <v>36944</v>
      </c>
      <c r="V1775" t="s">
        <v>36945</v>
      </c>
      <c r="W1775" t="s">
        <v>36946</v>
      </c>
      <c r="X1775" t="s">
        <v>36947</v>
      </c>
      <c r="Y1775" t="s">
        <v>36948</v>
      </c>
    </row>
    <row r="1776" spans="1:25" x14ac:dyDescent="0.3">
      <c r="A1776">
        <v>88750</v>
      </c>
      <c r="B1776" t="s">
        <v>36949</v>
      </c>
      <c r="C1776" t="s">
        <v>36950</v>
      </c>
      <c r="D1776" t="s">
        <v>36951</v>
      </c>
      <c r="E1776" t="s">
        <v>36952</v>
      </c>
      <c r="F1776" t="s">
        <v>36953</v>
      </c>
      <c r="G1776" t="s">
        <v>36954</v>
      </c>
      <c r="H1776" t="s">
        <v>36955</v>
      </c>
      <c r="I1776" t="s">
        <v>36956</v>
      </c>
      <c r="J1776" t="s">
        <v>36957</v>
      </c>
      <c r="K1776" t="s">
        <v>36958</v>
      </c>
      <c r="L1776" t="s">
        <v>36959</v>
      </c>
      <c r="M1776" t="s">
        <v>36960</v>
      </c>
      <c r="N1776" t="s">
        <v>36961</v>
      </c>
      <c r="O1776" t="s">
        <v>36962</v>
      </c>
      <c r="P1776">
        <f>-859.374198324673 -39.6737805945459 -216.592544194623</f>
        <v>-1115.6405231138419</v>
      </c>
      <c r="Q1776">
        <f>-662.796264344392 -31.1829482613662 -355.646388304165</f>
        <v>-1049.6256009099232</v>
      </c>
      <c r="R1776" t="s">
        <v>36963</v>
      </c>
      <c r="S1776" t="s">
        <v>36964</v>
      </c>
      <c r="T1776" t="s">
        <v>36965</v>
      </c>
      <c r="U1776" t="s">
        <v>36966</v>
      </c>
      <c r="V1776" t="s">
        <v>36967</v>
      </c>
      <c r="W1776" t="s">
        <v>36968</v>
      </c>
      <c r="X1776" t="s">
        <v>36969</v>
      </c>
      <c r="Y1776" t="s">
        <v>36970</v>
      </c>
    </row>
    <row r="1777" spans="1:25" x14ac:dyDescent="0.3">
      <c r="A1777">
        <v>88800</v>
      </c>
      <c r="B1777" t="s">
        <v>36971</v>
      </c>
      <c r="C1777" t="s">
        <v>36972</v>
      </c>
      <c r="D1777" t="s">
        <v>36973</v>
      </c>
      <c r="E1777" t="s">
        <v>36974</v>
      </c>
      <c r="F1777" t="s">
        <v>36975</v>
      </c>
      <c r="G1777" t="s">
        <v>36976</v>
      </c>
      <c r="H1777" t="s">
        <v>36977</v>
      </c>
      <c r="I1777" t="s">
        <v>36978</v>
      </c>
      <c r="J1777" t="s">
        <v>36979</v>
      </c>
      <c r="K1777" t="s">
        <v>36980</v>
      </c>
      <c r="L1777" t="s">
        <v>36981</v>
      </c>
      <c r="M1777" t="s">
        <v>36982</v>
      </c>
      <c r="N1777" t="s">
        <v>36983</v>
      </c>
      <c r="O1777" t="s">
        <v>36984</v>
      </c>
      <c r="P1777">
        <f>-859.214576979206 -40.0076320362223 -216.042477937079</f>
        <v>-1115.2646869525072</v>
      </c>
      <c r="Q1777">
        <f>-663.004678443574 -32.0629543140194 -355.64694638996</f>
        <v>-1050.7145791475534</v>
      </c>
      <c r="R1777" t="s">
        <v>36985</v>
      </c>
      <c r="S1777" t="s">
        <v>36986</v>
      </c>
      <c r="T1777" t="s">
        <v>36987</v>
      </c>
      <c r="U1777" t="s">
        <v>36988</v>
      </c>
      <c r="V1777" t="s">
        <v>36989</v>
      </c>
      <c r="W1777" t="s">
        <v>36990</v>
      </c>
      <c r="X1777" t="s">
        <v>36991</v>
      </c>
      <c r="Y1777" t="s">
        <v>36992</v>
      </c>
    </row>
    <row r="1778" spans="1:25" x14ac:dyDescent="0.3">
      <c r="A1778">
        <v>88850</v>
      </c>
      <c r="B1778" t="s">
        <v>36993</v>
      </c>
      <c r="C1778" t="s">
        <v>36994</v>
      </c>
      <c r="D1778" t="s">
        <v>36995</v>
      </c>
      <c r="E1778" t="s">
        <v>36996</v>
      </c>
      <c r="F1778" t="s">
        <v>36997</v>
      </c>
      <c r="G1778" t="s">
        <v>36998</v>
      </c>
      <c r="H1778" t="s">
        <v>36999</v>
      </c>
      <c r="I1778" t="s">
        <v>37000</v>
      </c>
      <c r="J1778" t="s">
        <v>37001</v>
      </c>
      <c r="K1778" t="s">
        <v>37002</v>
      </c>
      <c r="L1778" t="s">
        <v>37003</v>
      </c>
      <c r="M1778" t="s">
        <v>37004</v>
      </c>
      <c r="N1778" t="s">
        <v>37005</v>
      </c>
      <c r="O1778" t="s">
        <v>37006</v>
      </c>
      <c r="P1778">
        <f>-859.278369133795 -40.2027889364977 -215.790267085115</f>
        <v>-1115.2714251554075</v>
      </c>
      <c r="Q1778">
        <f>-663.227729870327 -32.3358541752636 -355.622715840757</f>
        <v>-1051.1862998863476</v>
      </c>
      <c r="R1778" t="s">
        <v>37007</v>
      </c>
      <c r="S1778" t="s">
        <v>37008</v>
      </c>
      <c r="T1778" t="s">
        <v>37009</v>
      </c>
      <c r="U1778" t="s">
        <v>37010</v>
      </c>
      <c r="V1778" t="s">
        <v>37011</v>
      </c>
      <c r="W1778" t="s">
        <v>37012</v>
      </c>
      <c r="X1778" t="s">
        <v>37013</v>
      </c>
      <c r="Y1778" t="s">
        <v>37014</v>
      </c>
    </row>
    <row r="1779" spans="1:25" x14ac:dyDescent="0.3">
      <c r="A1779">
        <v>88900</v>
      </c>
      <c r="B1779" t="s">
        <v>37015</v>
      </c>
      <c r="C1779" t="s">
        <v>37016</v>
      </c>
      <c r="D1779" t="s">
        <v>37017</v>
      </c>
      <c r="E1779" t="s">
        <v>37018</v>
      </c>
      <c r="F1779" t="s">
        <v>37019</v>
      </c>
      <c r="G1779" t="s">
        <v>37020</v>
      </c>
      <c r="H1779" t="s">
        <v>37021</v>
      </c>
      <c r="I1779" t="s">
        <v>37022</v>
      </c>
      <c r="J1779" t="s">
        <v>37023</v>
      </c>
      <c r="K1779" t="s">
        <v>37024</v>
      </c>
      <c r="L1779" t="s">
        <v>37025</v>
      </c>
      <c r="M1779" t="s">
        <v>37026</v>
      </c>
      <c r="N1779" t="s">
        <v>37027</v>
      </c>
      <c r="O1779" t="s">
        <v>37028</v>
      </c>
      <c r="P1779">
        <f>-859.583671344009 -40.78015454961 -215.300849355005</f>
        <v>-1115.664675248624</v>
      </c>
      <c r="Q1779">
        <f>-663.709446976967 -33.8024833986392 -355.427494387248</f>
        <v>-1052.9394247628543</v>
      </c>
      <c r="R1779" t="s">
        <v>37029</v>
      </c>
      <c r="S1779" t="s">
        <v>37030</v>
      </c>
      <c r="T1779" t="s">
        <v>37031</v>
      </c>
      <c r="U1779" t="s">
        <v>37032</v>
      </c>
      <c r="V1779" t="s">
        <v>37033</v>
      </c>
      <c r="W1779" t="s">
        <v>37034</v>
      </c>
      <c r="X1779" t="s">
        <v>37035</v>
      </c>
      <c r="Y1779" t="s">
        <v>37036</v>
      </c>
    </row>
    <row r="1780" spans="1:25" x14ac:dyDescent="0.3">
      <c r="A1780">
        <v>88950</v>
      </c>
      <c r="B1780" t="s">
        <v>37037</v>
      </c>
      <c r="C1780" t="s">
        <v>37038</v>
      </c>
      <c r="D1780" t="s">
        <v>37039</v>
      </c>
      <c r="E1780" t="s">
        <v>37040</v>
      </c>
      <c r="F1780" t="s">
        <v>37041</v>
      </c>
      <c r="G1780" t="s">
        <v>37042</v>
      </c>
      <c r="H1780" t="s">
        <v>37043</v>
      </c>
      <c r="I1780" t="s">
        <v>37044</v>
      </c>
      <c r="J1780" t="s">
        <v>37045</v>
      </c>
      <c r="K1780" t="s">
        <v>37046</v>
      </c>
      <c r="L1780" t="s">
        <v>37047</v>
      </c>
      <c r="M1780" t="s">
        <v>37048</v>
      </c>
      <c r="N1780" t="s">
        <v>37049</v>
      </c>
      <c r="O1780" t="s">
        <v>37050</v>
      </c>
      <c r="P1780">
        <f>-859.732844925845 -41.1745025825799 -215.07060457265</f>
        <v>-1115.9779520810748</v>
      </c>
      <c r="Q1780">
        <f>-663.924387519325 -35.0753494452974 -355.330019047797</f>
        <v>-1054.3297560124195</v>
      </c>
      <c r="R1780" t="s">
        <v>37051</v>
      </c>
      <c r="S1780" t="s">
        <v>37052</v>
      </c>
      <c r="T1780" t="s">
        <v>37053</v>
      </c>
      <c r="U1780" t="s">
        <v>37054</v>
      </c>
      <c r="V1780" t="s">
        <v>37055</v>
      </c>
      <c r="W1780" t="s">
        <v>37056</v>
      </c>
      <c r="X1780" t="s">
        <v>37057</v>
      </c>
      <c r="Y1780" t="s">
        <v>37058</v>
      </c>
    </row>
    <row r="1781" spans="1:25" x14ac:dyDescent="0.3">
      <c r="A1781">
        <v>89000</v>
      </c>
      <c r="B1781" t="s">
        <v>37059</v>
      </c>
      <c r="C1781" t="s">
        <v>37060</v>
      </c>
      <c r="D1781" t="s">
        <v>37061</v>
      </c>
      <c r="E1781" t="s">
        <v>37062</v>
      </c>
      <c r="F1781" t="s">
        <v>37063</v>
      </c>
      <c r="G1781" t="s">
        <v>37064</v>
      </c>
      <c r="H1781" t="s">
        <v>37065</v>
      </c>
      <c r="I1781" t="s">
        <v>37066</v>
      </c>
      <c r="J1781" t="s">
        <v>37067</v>
      </c>
      <c r="K1781" t="s">
        <v>37068</v>
      </c>
      <c r="L1781" t="s">
        <v>37069</v>
      </c>
      <c r="M1781" t="s">
        <v>37070</v>
      </c>
      <c r="N1781" t="s">
        <v>37071</v>
      </c>
      <c r="O1781" t="s">
        <v>37072</v>
      </c>
      <c r="P1781">
        <f>-860.61506816855 -41.9953286035252 -214.689117118802</f>
        <v>-1117.2995138908773</v>
      </c>
      <c r="Q1781">
        <f>-664.937771645294 -36.8077076503212 -355.168013214354</f>
        <v>-1056.9134925099693</v>
      </c>
      <c r="R1781" t="s">
        <v>37073</v>
      </c>
      <c r="S1781" t="s">
        <v>37074</v>
      </c>
      <c r="T1781" t="s">
        <v>37075</v>
      </c>
      <c r="U1781" t="s">
        <v>37076</v>
      </c>
      <c r="V1781" t="s">
        <v>37077</v>
      </c>
      <c r="W1781" t="s">
        <v>37078</v>
      </c>
      <c r="X1781" t="s">
        <v>37079</v>
      </c>
      <c r="Y1781" t="s">
        <v>37080</v>
      </c>
    </row>
    <row r="1782" spans="1:25" x14ac:dyDescent="0.3">
      <c r="A1782">
        <v>89050</v>
      </c>
      <c r="B1782" t="s">
        <v>37081</v>
      </c>
      <c r="C1782" t="s">
        <v>37082</v>
      </c>
      <c r="D1782" t="s">
        <v>37083</v>
      </c>
      <c r="E1782" t="s">
        <v>37084</v>
      </c>
      <c r="F1782" t="s">
        <v>37085</v>
      </c>
      <c r="G1782" t="s">
        <v>37086</v>
      </c>
      <c r="H1782" t="s">
        <v>37087</v>
      </c>
      <c r="I1782" t="s">
        <v>37088</v>
      </c>
      <c r="J1782" t="s">
        <v>37089</v>
      </c>
      <c r="K1782" t="s">
        <v>37090</v>
      </c>
      <c r="L1782" t="s">
        <v>37091</v>
      </c>
      <c r="M1782" t="s">
        <v>37092</v>
      </c>
      <c r="N1782" t="s">
        <v>37093</v>
      </c>
      <c r="O1782" t="s">
        <v>37094</v>
      </c>
      <c r="P1782">
        <f>-861.268418144244 -42.3440449903744 -214.476824220307</f>
        <v>-1118.0892873549255</v>
      </c>
      <c r="Q1782">
        <f>-665.729381953789 -37.2142024261595 -355.15022230365</f>
        <v>-1058.0938066835986</v>
      </c>
      <c r="R1782" t="s">
        <v>37095</v>
      </c>
      <c r="S1782" t="s">
        <v>37096</v>
      </c>
      <c r="T1782" t="s">
        <v>37097</v>
      </c>
      <c r="U1782" t="s">
        <v>37098</v>
      </c>
      <c r="V1782" t="s">
        <v>37099</v>
      </c>
      <c r="W1782" t="s">
        <v>37100</v>
      </c>
      <c r="X1782" t="s">
        <v>37101</v>
      </c>
      <c r="Y1782" t="s">
        <v>37102</v>
      </c>
    </row>
    <row r="1783" spans="1:25" x14ac:dyDescent="0.3">
      <c r="A1783">
        <v>89100</v>
      </c>
      <c r="B1783" t="s">
        <v>37103</v>
      </c>
      <c r="C1783" t="s">
        <v>37104</v>
      </c>
      <c r="D1783" t="s">
        <v>37105</v>
      </c>
      <c r="E1783" t="s">
        <v>37106</v>
      </c>
      <c r="F1783" t="s">
        <v>37107</v>
      </c>
      <c r="G1783" t="s">
        <v>37108</v>
      </c>
      <c r="H1783" t="s">
        <v>37109</v>
      </c>
      <c r="I1783" t="s">
        <v>37110</v>
      </c>
      <c r="J1783" t="s">
        <v>37111</v>
      </c>
      <c r="K1783" t="s">
        <v>37112</v>
      </c>
      <c r="L1783" t="s">
        <v>37113</v>
      </c>
      <c r="M1783" t="s">
        <v>37114</v>
      </c>
      <c r="N1783" t="s">
        <v>37115</v>
      </c>
      <c r="O1783">
        <f>-862.051883600116 -0.753698306664774 -505.294230377165</f>
        <v>-1368.0998122839458</v>
      </c>
      <c r="P1783">
        <f>-862.322019878174 -42.9207548595052 -214.067328305441</f>
        <v>-1119.3101030431203</v>
      </c>
      <c r="Q1783">
        <f>-667.203572939301 -37.7195086762576 -355.320962604873</f>
        <v>-1060.2440442204315</v>
      </c>
      <c r="R1783" t="s">
        <v>37116</v>
      </c>
      <c r="S1783" t="s">
        <v>37117</v>
      </c>
      <c r="T1783" t="s">
        <v>37118</v>
      </c>
      <c r="U1783" t="s">
        <v>37119</v>
      </c>
      <c r="V1783" t="s">
        <v>37120</v>
      </c>
      <c r="W1783" t="s">
        <v>37121</v>
      </c>
      <c r="X1783" t="s">
        <v>37122</v>
      </c>
      <c r="Y1783" t="s">
        <v>37123</v>
      </c>
    </row>
    <row r="1784" spans="1:25" x14ac:dyDescent="0.3">
      <c r="A1784">
        <v>89150</v>
      </c>
      <c r="B1784" t="s">
        <v>37124</v>
      </c>
      <c r="C1784" t="s">
        <v>37125</v>
      </c>
      <c r="D1784" t="s">
        <v>37126</v>
      </c>
      <c r="E1784" t="s">
        <v>37127</v>
      </c>
      <c r="F1784" t="s">
        <v>37128</v>
      </c>
      <c r="G1784" t="s">
        <v>37129</v>
      </c>
      <c r="H1784" t="s">
        <v>37130</v>
      </c>
      <c r="I1784" t="s">
        <v>37131</v>
      </c>
      <c r="J1784" t="s">
        <v>37132</v>
      </c>
      <c r="K1784" t="s">
        <v>37133</v>
      </c>
      <c r="L1784" t="s">
        <v>37134</v>
      </c>
      <c r="M1784" t="s">
        <v>37135</v>
      </c>
      <c r="N1784" t="s">
        <v>37136</v>
      </c>
      <c r="O1784">
        <f>-862.339084573114 -1.32841973442464 -505.116949473616</f>
        <v>-1368.7844537811545</v>
      </c>
      <c r="P1784">
        <f>-862.527294850081 -43.4044186859148 -213.87680584222</f>
        <v>-1119.8085193782158</v>
      </c>
      <c r="Q1784">
        <f>-667.541389500077 -37.8960452547637 -355.301672100342</f>
        <v>-1060.7391068551829</v>
      </c>
      <c r="R1784" t="s">
        <v>37137</v>
      </c>
      <c r="S1784" t="s">
        <v>37138</v>
      </c>
      <c r="T1784" t="s">
        <v>37139</v>
      </c>
      <c r="U1784" t="s">
        <v>37140</v>
      </c>
      <c r="V1784" t="s">
        <v>37141</v>
      </c>
      <c r="W1784" t="s">
        <v>37142</v>
      </c>
      <c r="X1784" t="s">
        <v>37143</v>
      </c>
      <c r="Y1784" t="s">
        <v>37144</v>
      </c>
    </row>
    <row r="1785" spans="1:25" x14ac:dyDescent="0.3">
      <c r="A1785">
        <v>89200</v>
      </c>
      <c r="B1785" t="s">
        <v>37145</v>
      </c>
      <c r="C1785" t="s">
        <v>37146</v>
      </c>
      <c r="D1785" t="s">
        <v>37147</v>
      </c>
      <c r="E1785" t="s">
        <v>37148</v>
      </c>
      <c r="F1785" t="s">
        <v>37149</v>
      </c>
      <c r="G1785" t="s">
        <v>37150</v>
      </c>
      <c r="H1785" t="s">
        <v>37151</v>
      </c>
      <c r="I1785" t="s">
        <v>37152</v>
      </c>
      <c r="J1785" t="s">
        <v>37153</v>
      </c>
      <c r="K1785" t="s">
        <v>37154</v>
      </c>
      <c r="L1785" t="s">
        <v>37155</v>
      </c>
      <c r="M1785" t="s">
        <v>37156</v>
      </c>
      <c r="N1785" t="s">
        <v>37157</v>
      </c>
      <c r="O1785">
        <f>-862.964557054845 -2.24718203387147 -504.662258390103</f>
        <v>-1369.8739974788195</v>
      </c>
      <c r="P1785">
        <f>-863.081906023385 -43.5806436403832 -213.315893758699</f>
        <v>-1119.9784434224673</v>
      </c>
      <c r="Q1785">
        <f>-668.024043644293 -38.1805415412346 -354.645574290137</f>
        <v>-1060.8501594756644</v>
      </c>
      <c r="R1785" t="s">
        <v>37158</v>
      </c>
      <c r="S1785" t="s">
        <v>37159</v>
      </c>
      <c r="T1785" t="s">
        <v>37160</v>
      </c>
      <c r="U1785" t="s">
        <v>37161</v>
      </c>
      <c r="V1785" t="s">
        <v>37162</v>
      </c>
      <c r="W1785" t="s">
        <v>37163</v>
      </c>
      <c r="X1785" t="s">
        <v>37164</v>
      </c>
      <c r="Y1785" t="s">
        <v>37165</v>
      </c>
    </row>
    <row r="1786" spans="1:25" x14ac:dyDescent="0.3">
      <c r="A1786">
        <v>89250</v>
      </c>
      <c r="B1786" t="s">
        <v>37166</v>
      </c>
      <c r="C1786" t="s">
        <v>37167</v>
      </c>
      <c r="D1786" t="s">
        <v>37168</v>
      </c>
      <c r="E1786" t="s">
        <v>37169</v>
      </c>
      <c r="F1786" t="s">
        <v>37170</v>
      </c>
      <c r="G1786" t="s">
        <v>37171</v>
      </c>
      <c r="H1786" t="s">
        <v>37172</v>
      </c>
      <c r="I1786" t="s">
        <v>37173</v>
      </c>
      <c r="J1786" t="s">
        <v>37174</v>
      </c>
      <c r="K1786" t="s">
        <v>37175</v>
      </c>
      <c r="L1786" t="s">
        <v>37176</v>
      </c>
      <c r="M1786" t="s">
        <v>37177</v>
      </c>
      <c r="N1786" t="s">
        <v>37178</v>
      </c>
      <c r="O1786">
        <f>-863.356624340746 -2.73703726772919 -504.444653541312</f>
        <v>-1370.5383151497872</v>
      </c>
      <c r="P1786">
        <f>-863.7596280138 -43.6035921597113 -213.032628192805</f>
        <v>-1120.3958483663164</v>
      </c>
      <c r="Q1786">
        <f>-668.611343189871 -38.3351212255857 -354.242883909281</f>
        <v>-1061.1893483247377</v>
      </c>
      <c r="R1786" t="s">
        <v>37179</v>
      </c>
      <c r="S1786" t="s">
        <v>37180</v>
      </c>
      <c r="T1786" t="s">
        <v>37181</v>
      </c>
      <c r="U1786" t="s">
        <v>37182</v>
      </c>
      <c r="V1786" t="s">
        <v>37183</v>
      </c>
      <c r="W1786" t="s">
        <v>37184</v>
      </c>
      <c r="X1786" t="s">
        <v>37185</v>
      </c>
      <c r="Y1786" t="s">
        <v>37186</v>
      </c>
    </row>
    <row r="1787" spans="1:25" x14ac:dyDescent="0.3">
      <c r="A1787">
        <v>89300</v>
      </c>
      <c r="B1787" t="s">
        <v>37187</v>
      </c>
      <c r="C1787" t="s">
        <v>37188</v>
      </c>
      <c r="D1787" t="s">
        <v>37189</v>
      </c>
      <c r="E1787" t="s">
        <v>37190</v>
      </c>
      <c r="F1787" t="s">
        <v>37191</v>
      </c>
      <c r="G1787" t="s">
        <v>37192</v>
      </c>
      <c r="H1787" t="s">
        <v>37193</v>
      </c>
      <c r="I1787" t="s">
        <v>37194</v>
      </c>
      <c r="J1787" t="s">
        <v>37195</v>
      </c>
      <c r="K1787" t="s">
        <v>37196</v>
      </c>
      <c r="L1787" t="s">
        <v>37197</v>
      </c>
      <c r="M1787" t="s">
        <v>37198</v>
      </c>
      <c r="N1787" t="s">
        <v>37199</v>
      </c>
      <c r="O1787">
        <f>-863.841224999345 -3.70582720597304 -504.079190394544</f>
        <v>-1371.6262425998621</v>
      </c>
      <c r="P1787">
        <f>-864.918080537922 -43.6438941613656 -212.540072292729</f>
        <v>-1121.1020469920165</v>
      </c>
      <c r="Q1787">
        <f>-669.439169404402 -38.7971394694284 -353.307457375675</f>
        <v>-1061.5437662495056</v>
      </c>
      <c r="R1787" t="s">
        <v>37200</v>
      </c>
      <c r="S1787" t="s">
        <v>37201</v>
      </c>
      <c r="T1787" t="s">
        <v>37202</v>
      </c>
      <c r="U1787" t="s">
        <v>37203</v>
      </c>
      <c r="V1787" t="s">
        <v>37204</v>
      </c>
      <c r="W1787" t="s">
        <v>37205</v>
      </c>
      <c r="X1787" t="s">
        <v>37206</v>
      </c>
      <c r="Y1787" t="s">
        <v>37207</v>
      </c>
    </row>
    <row r="1788" spans="1:25" x14ac:dyDescent="0.3">
      <c r="A1788">
        <v>89350</v>
      </c>
      <c r="B1788" t="s">
        <v>37208</v>
      </c>
      <c r="C1788" t="s">
        <v>37209</v>
      </c>
      <c r="D1788" t="s">
        <v>37210</v>
      </c>
      <c r="E1788" t="s">
        <v>37211</v>
      </c>
      <c r="F1788" t="s">
        <v>37212</v>
      </c>
      <c r="G1788" t="s">
        <v>37213</v>
      </c>
      <c r="H1788" t="s">
        <v>37214</v>
      </c>
      <c r="I1788" t="s">
        <v>37215</v>
      </c>
      <c r="J1788" t="s">
        <v>37216</v>
      </c>
      <c r="K1788" t="s">
        <v>37217</v>
      </c>
      <c r="L1788" t="s">
        <v>37218</v>
      </c>
      <c r="M1788" t="s">
        <v>37219</v>
      </c>
      <c r="N1788" t="s">
        <v>37220</v>
      </c>
      <c r="O1788">
        <f>-863.930928634067 -4.01178608704367 -503.967054253594</f>
        <v>-1371.9097689747045</v>
      </c>
      <c r="P1788">
        <f>-865.415080660304 -43.7068827861701 -212.396787766447</f>
        <v>-1121.5187512129212</v>
      </c>
      <c r="Q1788">
        <f>-669.708135835489 -38.9493571242915 -352.849481454225</f>
        <v>-1061.5069744140055</v>
      </c>
      <c r="R1788" t="s">
        <v>37221</v>
      </c>
      <c r="S1788" t="s">
        <v>37222</v>
      </c>
      <c r="T1788" t="s">
        <v>37223</v>
      </c>
      <c r="U1788" t="s">
        <v>37224</v>
      </c>
      <c r="V1788" t="s">
        <v>37225</v>
      </c>
      <c r="W1788" t="s">
        <v>37226</v>
      </c>
      <c r="X1788" t="s">
        <v>37227</v>
      </c>
      <c r="Y1788" t="s">
        <v>37228</v>
      </c>
    </row>
    <row r="1789" spans="1:25" x14ac:dyDescent="0.3">
      <c r="A1789">
        <v>89400</v>
      </c>
      <c r="B1789" t="s">
        <v>37229</v>
      </c>
      <c r="C1789" t="s">
        <v>37230</v>
      </c>
      <c r="D1789" t="s">
        <v>37231</v>
      </c>
      <c r="E1789" t="s">
        <v>37232</v>
      </c>
      <c r="F1789" t="s">
        <v>37233</v>
      </c>
      <c r="G1789" t="s">
        <v>37234</v>
      </c>
      <c r="H1789" t="s">
        <v>37235</v>
      </c>
      <c r="I1789" t="s">
        <v>37236</v>
      </c>
      <c r="J1789" t="s">
        <v>37237</v>
      </c>
      <c r="K1789" t="s">
        <v>37238</v>
      </c>
      <c r="L1789" t="s">
        <v>37239</v>
      </c>
      <c r="M1789" t="s">
        <v>37240</v>
      </c>
      <c r="N1789" t="s">
        <v>37241</v>
      </c>
      <c r="O1789">
        <f>-863.713136562687 -4.78745100947663 -503.670557932585</f>
        <v>-1372.1711455047487</v>
      </c>
      <c r="P1789">
        <f>-865.839099510162 -43.9378772085988 -212.030437553619</f>
        <v>-1121.8074142723799</v>
      </c>
      <c r="Q1789">
        <f>-669.927171210534 -38.668770633647 -352.17924698064</f>
        <v>-1060.775188824821</v>
      </c>
      <c r="R1789" t="s">
        <v>37242</v>
      </c>
      <c r="S1789" t="s">
        <v>37243</v>
      </c>
      <c r="T1789" t="s">
        <v>37244</v>
      </c>
      <c r="U1789" t="s">
        <v>37245</v>
      </c>
      <c r="V1789" t="s">
        <v>37246</v>
      </c>
      <c r="W1789" t="s">
        <v>37247</v>
      </c>
      <c r="X1789" t="s">
        <v>37248</v>
      </c>
      <c r="Y1789" t="s">
        <v>37249</v>
      </c>
    </row>
    <row r="1790" spans="1:25" x14ac:dyDescent="0.3">
      <c r="A1790">
        <v>89450</v>
      </c>
      <c r="B1790" t="s">
        <v>37250</v>
      </c>
      <c r="C1790" t="s">
        <v>37251</v>
      </c>
      <c r="D1790" t="s">
        <v>37252</v>
      </c>
      <c r="E1790" t="s">
        <v>37253</v>
      </c>
      <c r="F1790" t="s">
        <v>37254</v>
      </c>
      <c r="G1790" t="s">
        <v>37255</v>
      </c>
      <c r="H1790" t="s">
        <v>37256</v>
      </c>
      <c r="I1790" t="s">
        <v>37257</v>
      </c>
      <c r="J1790" t="s">
        <v>37258</v>
      </c>
      <c r="K1790" t="s">
        <v>37259</v>
      </c>
      <c r="L1790" t="s">
        <v>37260</v>
      </c>
      <c r="M1790" t="s">
        <v>37261</v>
      </c>
      <c r="N1790" t="s">
        <v>37262</v>
      </c>
      <c r="O1790">
        <f>-863.740719704807 -5.30228810161771 -503.453471990263</f>
        <v>-1372.4964797966877</v>
      </c>
      <c r="P1790">
        <f>-866.033427873424 -44.1697989130414 -211.776922092686</f>
        <v>-1121.9801488791513</v>
      </c>
      <c r="Q1790">
        <f>-670.064002667307 -38.31482894598 -351.821816560439</f>
        <v>-1060.200648173726</v>
      </c>
      <c r="R1790" t="s">
        <v>37263</v>
      </c>
      <c r="S1790" t="s">
        <v>37264</v>
      </c>
      <c r="T1790" t="s">
        <v>37265</v>
      </c>
      <c r="U1790" t="s">
        <v>37266</v>
      </c>
      <c r="V1790" t="s">
        <v>37267</v>
      </c>
      <c r="W1790" t="s">
        <v>37268</v>
      </c>
      <c r="X1790" t="s">
        <v>37269</v>
      </c>
      <c r="Y1790" t="s">
        <v>37270</v>
      </c>
    </row>
    <row r="1791" spans="1:25" x14ac:dyDescent="0.3">
      <c r="A1791">
        <v>89500</v>
      </c>
      <c r="B1791" t="s">
        <v>37271</v>
      </c>
      <c r="C1791" t="s">
        <v>37272</v>
      </c>
      <c r="D1791" t="s">
        <v>37273</v>
      </c>
      <c r="E1791" t="s">
        <v>37274</v>
      </c>
      <c r="F1791" t="s">
        <v>37275</v>
      </c>
      <c r="G1791" t="s">
        <v>37276</v>
      </c>
      <c r="H1791" t="s">
        <v>37277</v>
      </c>
      <c r="I1791" t="s">
        <v>37278</v>
      </c>
      <c r="J1791" t="s">
        <v>37279</v>
      </c>
      <c r="K1791" t="s">
        <v>37280</v>
      </c>
      <c r="L1791" t="s">
        <v>37281</v>
      </c>
      <c r="M1791" t="s">
        <v>37282</v>
      </c>
      <c r="N1791" t="s">
        <v>37283</v>
      </c>
      <c r="O1791">
        <f>-864.221698262914 -6.10379833291381 -503.021476184011</f>
        <v>-1373.3469727798388</v>
      </c>
      <c r="P1791">
        <f>-866.569585037461 -44.1043167458663 -211.231108122704</f>
        <v>-1121.9050099060314</v>
      </c>
      <c r="Q1791">
        <f>-670.4515679494 -36.828984723084 -351.001130262072</f>
        <v>-1058.2816829345561</v>
      </c>
      <c r="R1791" t="s">
        <v>37284</v>
      </c>
      <c r="S1791" t="s">
        <v>37285</v>
      </c>
      <c r="T1791" t="s">
        <v>37286</v>
      </c>
      <c r="U1791" t="s">
        <v>37287</v>
      </c>
      <c r="V1791" t="s">
        <v>37288</v>
      </c>
      <c r="W1791" t="s">
        <v>37289</v>
      </c>
      <c r="X1791" t="s">
        <v>37290</v>
      </c>
      <c r="Y1791" t="s">
        <v>37291</v>
      </c>
    </row>
    <row r="1792" spans="1:25" x14ac:dyDescent="0.3">
      <c r="A1792">
        <v>89550</v>
      </c>
      <c r="B1792" t="s">
        <v>37292</v>
      </c>
      <c r="C1792" t="s">
        <v>37293</v>
      </c>
      <c r="D1792" t="s">
        <v>37294</v>
      </c>
      <c r="E1792" t="s">
        <v>37295</v>
      </c>
      <c r="F1792" t="s">
        <v>37296</v>
      </c>
      <c r="G1792" t="s">
        <v>37297</v>
      </c>
      <c r="H1792" t="s">
        <v>37298</v>
      </c>
      <c r="I1792" t="s">
        <v>37299</v>
      </c>
      <c r="J1792" t="s">
        <v>37300</v>
      </c>
      <c r="K1792" t="s">
        <v>37301</v>
      </c>
      <c r="L1792" t="s">
        <v>37302</v>
      </c>
      <c r="M1792" t="s">
        <v>37303</v>
      </c>
      <c r="N1792" t="s">
        <v>37304</v>
      </c>
      <c r="O1792">
        <f>-864.576606033504 -6.52231655346941 -502.815952680226</f>
        <v>-1373.9148752671995</v>
      </c>
      <c r="P1792">
        <f>-866.95489340609 -44.0924732701387 -210.970028047801</f>
        <v>-1122.0173947240298</v>
      </c>
      <c r="Q1792">
        <f>-670.879456662555 -35.7702859121596 -350.741270493995</f>
        <v>-1057.3910130687095</v>
      </c>
      <c r="R1792" t="s">
        <v>37305</v>
      </c>
      <c r="S1792" t="s">
        <v>37306</v>
      </c>
      <c r="T1792" t="s">
        <v>37307</v>
      </c>
      <c r="U1792" t="s">
        <v>37308</v>
      </c>
      <c r="V1792" t="s">
        <v>37309</v>
      </c>
      <c r="W1792" t="s">
        <v>37310</v>
      </c>
      <c r="X1792" t="s">
        <v>37311</v>
      </c>
      <c r="Y1792" t="s">
        <v>37312</v>
      </c>
    </row>
    <row r="1793" spans="1:25" x14ac:dyDescent="0.3">
      <c r="A1793">
        <v>89600</v>
      </c>
      <c r="B1793" t="s">
        <v>37313</v>
      </c>
      <c r="C1793" t="s">
        <v>37314</v>
      </c>
      <c r="D1793" t="s">
        <v>37315</v>
      </c>
      <c r="E1793" t="s">
        <v>37316</v>
      </c>
      <c r="F1793" t="s">
        <v>37317</v>
      </c>
      <c r="G1793" t="s">
        <v>37318</v>
      </c>
      <c r="H1793" t="s">
        <v>37319</v>
      </c>
      <c r="I1793" t="s">
        <v>37320</v>
      </c>
      <c r="J1793" t="s">
        <v>37321</v>
      </c>
      <c r="K1793" t="s">
        <v>37322</v>
      </c>
      <c r="L1793" t="s">
        <v>37323</v>
      </c>
      <c r="M1793" t="s">
        <v>37324</v>
      </c>
      <c r="N1793" t="s">
        <v>37325</v>
      </c>
      <c r="O1793">
        <f>-865.490973832269 -7.03963341487042 -502.564520857552</f>
        <v>-1375.0951281046914</v>
      </c>
      <c r="P1793">
        <f>-868.170216484375 -44.0464129853583 -210.649257771763</f>
        <v>-1122.8658872414962</v>
      </c>
      <c r="Q1793">
        <f>-672.106687471844 -33.4066216754072 -350.279705925176</f>
        <v>-1055.7930150724274</v>
      </c>
      <c r="R1793" t="s">
        <v>37326</v>
      </c>
      <c r="S1793" t="s">
        <v>37327</v>
      </c>
      <c r="T1793" t="s">
        <v>37328</v>
      </c>
      <c r="U1793" t="s">
        <v>37329</v>
      </c>
      <c r="V1793" t="s">
        <v>37330</v>
      </c>
      <c r="W1793" t="s">
        <v>37331</v>
      </c>
      <c r="X1793" t="s">
        <v>37332</v>
      </c>
      <c r="Y1793" t="s">
        <v>37333</v>
      </c>
    </row>
    <row r="1794" spans="1:25" x14ac:dyDescent="0.3">
      <c r="A1794">
        <v>89650</v>
      </c>
      <c r="B1794" t="s">
        <v>37334</v>
      </c>
      <c r="C1794" t="s">
        <v>37335</v>
      </c>
      <c r="D1794" t="s">
        <v>37336</v>
      </c>
      <c r="E1794" t="s">
        <v>37337</v>
      </c>
      <c r="F1794" t="s">
        <v>37338</v>
      </c>
      <c r="G1794" t="s">
        <v>37339</v>
      </c>
      <c r="H1794" t="s">
        <v>37340</v>
      </c>
      <c r="I1794" t="s">
        <v>37341</v>
      </c>
      <c r="J1794" t="s">
        <v>37342</v>
      </c>
      <c r="K1794" t="s">
        <v>37343</v>
      </c>
      <c r="L1794" t="s">
        <v>37344</v>
      </c>
      <c r="M1794" t="s">
        <v>37345</v>
      </c>
      <c r="N1794" t="s">
        <v>37346</v>
      </c>
      <c r="O1794">
        <f>-865.910168731278 -7.23294085056705 -502.497625618031</f>
        <v>-1375.640735199876</v>
      </c>
      <c r="P1794">
        <f>-868.905706911652 -44.2895944474708 -210.591596732088</f>
        <v>-1123.7868980912108</v>
      </c>
      <c r="Q1794">
        <f>-672.773263477277 -32.5006842635175 -350.033312451632</f>
        <v>-1055.3072601924266</v>
      </c>
      <c r="R1794" t="s">
        <v>37347</v>
      </c>
      <c r="S1794" t="s">
        <v>37348</v>
      </c>
      <c r="T1794" t="s">
        <v>37349</v>
      </c>
      <c r="U1794" t="s">
        <v>37350</v>
      </c>
      <c r="V1794" t="s">
        <v>37351</v>
      </c>
      <c r="W1794" t="s">
        <v>37352</v>
      </c>
      <c r="X1794" t="s">
        <v>37353</v>
      </c>
      <c r="Y1794" t="s">
        <v>37354</v>
      </c>
    </row>
    <row r="1795" spans="1:25" x14ac:dyDescent="0.3">
      <c r="A1795">
        <v>89700</v>
      </c>
      <c r="B1795" t="s">
        <v>37355</v>
      </c>
      <c r="C1795" t="s">
        <v>37356</v>
      </c>
      <c r="D1795" t="s">
        <v>37357</v>
      </c>
      <c r="E1795" t="s">
        <v>37358</v>
      </c>
      <c r="F1795" t="s">
        <v>37359</v>
      </c>
      <c r="G1795" t="s">
        <v>37360</v>
      </c>
      <c r="H1795" t="s">
        <v>37361</v>
      </c>
      <c r="I1795" t="s">
        <v>37362</v>
      </c>
      <c r="J1795" t="s">
        <v>37363</v>
      </c>
      <c r="K1795" t="s">
        <v>37364</v>
      </c>
      <c r="L1795" t="s">
        <v>37365</v>
      </c>
      <c r="M1795" t="s">
        <v>37366</v>
      </c>
      <c r="N1795" t="s">
        <v>37367</v>
      </c>
      <c r="O1795">
        <f>-866.565414170764 -7.61137431022416 -502.433724223135</f>
        <v>-1376.6105127041233</v>
      </c>
      <c r="P1795">
        <f>-870.4853077017 -44.8099313736027 -210.556932271802</f>
        <v>-1125.8521713471046</v>
      </c>
      <c r="Q1795">
        <f>-673.929285788739 -31.316675731659 -349.245361161783</f>
        <v>-1054.4913226821809</v>
      </c>
      <c r="R1795" t="s">
        <v>37368</v>
      </c>
      <c r="S1795" t="s">
        <v>37369</v>
      </c>
      <c r="T1795" t="s">
        <v>37370</v>
      </c>
      <c r="U1795" t="s">
        <v>37371</v>
      </c>
      <c r="V1795" t="s">
        <v>37372</v>
      </c>
      <c r="W1795" t="s">
        <v>37373</v>
      </c>
      <c r="X1795" t="s">
        <v>37374</v>
      </c>
      <c r="Y1795" t="s">
        <v>37375</v>
      </c>
    </row>
    <row r="1796" spans="1:25" x14ac:dyDescent="0.3">
      <c r="A1796">
        <v>89750</v>
      </c>
      <c r="B1796" t="s">
        <v>37376</v>
      </c>
      <c r="C1796" t="s">
        <v>37377</v>
      </c>
      <c r="D1796" t="s">
        <v>37378</v>
      </c>
      <c r="E1796" t="s">
        <v>37379</v>
      </c>
      <c r="F1796" t="s">
        <v>37380</v>
      </c>
      <c r="G1796" t="s">
        <v>37381</v>
      </c>
      <c r="H1796" t="s">
        <v>37382</v>
      </c>
      <c r="I1796" t="s">
        <v>37383</v>
      </c>
      <c r="J1796" t="s">
        <v>37384</v>
      </c>
      <c r="K1796" t="s">
        <v>37385</v>
      </c>
      <c r="L1796" t="s">
        <v>37386</v>
      </c>
      <c r="M1796" t="s">
        <v>37387</v>
      </c>
      <c r="N1796" t="s">
        <v>37388</v>
      </c>
      <c r="O1796">
        <f>-866.908570700254 -7.74696892010934 -502.417323690271</f>
        <v>-1377.0728633106344</v>
      </c>
      <c r="P1796">
        <f>-871.438738084631 -45.0563181076877 -210.563542325103</f>
        <v>-1127.0585985174218</v>
      </c>
      <c r="Q1796">
        <f>-674.874781027283 -30.6599332246701 -349.150037625544</f>
        <v>-1054.6847518774971</v>
      </c>
      <c r="R1796" t="s">
        <v>37389</v>
      </c>
      <c r="S1796" t="s">
        <v>37390</v>
      </c>
      <c r="T1796" t="s">
        <v>37391</v>
      </c>
      <c r="U1796" t="s">
        <v>37392</v>
      </c>
      <c r="V1796" t="s">
        <v>37393</v>
      </c>
      <c r="W1796" t="s">
        <v>37394</v>
      </c>
      <c r="X1796" t="s">
        <v>37395</v>
      </c>
      <c r="Y1796" t="s">
        <v>37396</v>
      </c>
    </row>
    <row r="1797" spans="1:25" x14ac:dyDescent="0.3">
      <c r="A1797">
        <v>89800</v>
      </c>
      <c r="B1797" t="s">
        <v>37397</v>
      </c>
      <c r="C1797" t="s">
        <v>37398</v>
      </c>
      <c r="D1797" t="s">
        <v>37399</v>
      </c>
      <c r="E1797" t="s">
        <v>37400</v>
      </c>
      <c r="F1797" t="s">
        <v>37401</v>
      </c>
      <c r="G1797" t="s">
        <v>37402</v>
      </c>
      <c r="H1797" t="s">
        <v>37403</v>
      </c>
      <c r="I1797" t="s">
        <v>37404</v>
      </c>
      <c r="J1797" t="s">
        <v>37405</v>
      </c>
      <c r="K1797" t="s">
        <v>37406</v>
      </c>
      <c r="L1797" t="s">
        <v>37407</v>
      </c>
      <c r="M1797" t="s">
        <v>37408</v>
      </c>
      <c r="N1797" t="s">
        <v>37409</v>
      </c>
      <c r="O1797">
        <f>-867.615934622518 -7.89043153345619 -502.336444324606</f>
        <v>-1377.8428104805803</v>
      </c>
      <c r="P1797">
        <f>-873.51275463103 -45.7007936246509 -210.571616735018</f>
        <v>-1129.7851649906991</v>
      </c>
      <c r="Q1797">
        <f>-677.491776108165 -28.3275148914863 -349.585075001724</f>
        <v>-1055.4043660013754</v>
      </c>
      <c r="R1797" t="s">
        <v>37410</v>
      </c>
      <c r="S1797" t="s">
        <v>37411</v>
      </c>
      <c r="T1797" t="s">
        <v>37412</v>
      </c>
      <c r="U1797" t="s">
        <v>37413</v>
      </c>
      <c r="V1797" t="s">
        <v>37414</v>
      </c>
      <c r="W1797" t="s">
        <v>37415</v>
      </c>
      <c r="X1797" t="s">
        <v>37416</v>
      </c>
      <c r="Y1797" t="s">
        <v>37417</v>
      </c>
    </row>
    <row r="1798" spans="1:25" x14ac:dyDescent="0.3">
      <c r="A1798">
        <v>89850</v>
      </c>
      <c r="B1798" t="s">
        <v>37418</v>
      </c>
      <c r="C1798" t="s">
        <v>37419</v>
      </c>
      <c r="D1798" t="s">
        <v>37420</v>
      </c>
      <c r="E1798" t="s">
        <v>37421</v>
      </c>
      <c r="F1798" t="s">
        <v>37422</v>
      </c>
      <c r="G1798" t="s">
        <v>37423</v>
      </c>
      <c r="H1798" t="s">
        <v>37424</v>
      </c>
      <c r="I1798" t="s">
        <v>37425</v>
      </c>
      <c r="J1798" t="s">
        <v>37426</v>
      </c>
      <c r="K1798" t="s">
        <v>37427</v>
      </c>
      <c r="L1798" t="s">
        <v>37428</v>
      </c>
      <c r="M1798" t="s">
        <v>37429</v>
      </c>
      <c r="N1798" t="s">
        <v>37430</v>
      </c>
      <c r="O1798">
        <f>-867.948895852598 -7.9751538595292 -502.321031039545</f>
        <v>-1378.245080751672</v>
      </c>
      <c r="P1798">
        <f>-874.497303922232 -46.2094913001367 -210.625228625189</f>
        <v>-1131.3320238475578</v>
      </c>
      <c r="Q1798">
        <f>-679.002355537046 -26.6011516302192 -350.081854300394</f>
        <v>-1055.6853614676593</v>
      </c>
      <c r="R1798" t="s">
        <v>37431</v>
      </c>
      <c r="S1798" t="s">
        <v>37432</v>
      </c>
      <c r="T1798" t="s">
        <v>37433</v>
      </c>
      <c r="U1798" t="s">
        <v>37434</v>
      </c>
      <c r="V1798" t="s">
        <v>37435</v>
      </c>
      <c r="W1798" t="s">
        <v>37436</v>
      </c>
      <c r="X1798" t="s">
        <v>37437</v>
      </c>
      <c r="Y1798" t="s">
        <v>37438</v>
      </c>
    </row>
    <row r="1799" spans="1:25" x14ac:dyDescent="0.3">
      <c r="A1799">
        <v>89900</v>
      </c>
      <c r="B1799" t="s">
        <v>37439</v>
      </c>
      <c r="C1799" t="s">
        <v>37440</v>
      </c>
      <c r="D1799" t="s">
        <v>37441</v>
      </c>
      <c r="E1799" t="s">
        <v>37442</v>
      </c>
      <c r="F1799" t="s">
        <v>37443</v>
      </c>
      <c r="G1799" t="s">
        <v>37444</v>
      </c>
      <c r="H1799" t="s">
        <v>37445</v>
      </c>
      <c r="I1799" t="s">
        <v>37446</v>
      </c>
      <c r="J1799" t="s">
        <v>37447</v>
      </c>
      <c r="K1799" t="s">
        <v>37448</v>
      </c>
      <c r="L1799" t="s">
        <v>37449</v>
      </c>
      <c r="M1799" t="s">
        <v>37450</v>
      </c>
      <c r="N1799" t="s">
        <v>37451</v>
      </c>
      <c r="O1799">
        <f>-868.921353820215 -8.20311164651821 -502.350273989846</f>
        <v>-1379.4747394565793</v>
      </c>
      <c r="P1799">
        <f>-876.531975805655 -47.0692420778832 -210.763821766269</f>
        <v>-1134.3650396498072</v>
      </c>
      <c r="Q1799">
        <f>-682.459790376977 -24.0551239006713 -351.67924054021</f>
        <v>-1058.1941548178584</v>
      </c>
      <c r="R1799" t="s">
        <v>37452</v>
      </c>
      <c r="S1799" t="s">
        <v>37453</v>
      </c>
      <c r="T1799" t="s">
        <v>37454</v>
      </c>
      <c r="U1799" t="s">
        <v>37455</v>
      </c>
      <c r="V1799" t="s">
        <v>37456</v>
      </c>
      <c r="W1799" t="s">
        <v>37457</v>
      </c>
      <c r="X1799" t="s">
        <v>37458</v>
      </c>
      <c r="Y1799" t="s">
        <v>37459</v>
      </c>
    </row>
    <row r="1800" spans="1:25" x14ac:dyDescent="0.3">
      <c r="A1800">
        <v>89950</v>
      </c>
      <c r="B1800" t="s">
        <v>37460</v>
      </c>
      <c r="C1800" t="s">
        <v>37461</v>
      </c>
      <c r="D1800" t="s">
        <v>37462</v>
      </c>
      <c r="E1800" t="s">
        <v>37463</v>
      </c>
      <c r="F1800" t="s">
        <v>37464</v>
      </c>
      <c r="G1800" t="s">
        <v>37465</v>
      </c>
      <c r="H1800" t="s">
        <v>37466</v>
      </c>
      <c r="I1800" t="s">
        <v>37467</v>
      </c>
      <c r="J1800" t="s">
        <v>37468</v>
      </c>
      <c r="K1800" t="s">
        <v>37469</v>
      </c>
      <c r="L1800" t="s">
        <v>37470</v>
      </c>
      <c r="M1800" t="s">
        <v>37471</v>
      </c>
      <c r="N1800" t="s">
        <v>37472</v>
      </c>
      <c r="O1800">
        <f>-869.465826803125 -8.25111533419931 -502.361599618365</f>
        <v>-1380.0785417556892</v>
      </c>
      <c r="P1800">
        <f>-877.290575925448 -47.6280249461722 -210.849275508936</f>
        <v>-1135.7678763805561</v>
      </c>
      <c r="Q1800">
        <f>-683.912450908506 -22.8994518787085 -352.427167872692</f>
        <v>-1059.2390706599065</v>
      </c>
      <c r="R1800" t="s">
        <v>37473</v>
      </c>
      <c r="S1800" t="s">
        <v>37474</v>
      </c>
      <c r="T1800" t="s">
        <v>37475</v>
      </c>
      <c r="U1800" t="s">
        <v>37476</v>
      </c>
      <c r="V1800" t="s">
        <v>37477</v>
      </c>
      <c r="W1800" t="s">
        <v>37478</v>
      </c>
      <c r="X1800" t="s">
        <v>37479</v>
      </c>
      <c r="Y1800" t="s">
        <v>37480</v>
      </c>
    </row>
    <row r="1801" spans="1:25" x14ac:dyDescent="0.3">
      <c r="A1801">
        <v>90000</v>
      </c>
      <c r="B1801" t="s">
        <v>37481</v>
      </c>
      <c r="C1801" t="s">
        <v>37482</v>
      </c>
      <c r="D1801" t="s">
        <v>37483</v>
      </c>
      <c r="E1801" t="s">
        <v>37484</v>
      </c>
      <c r="F1801" t="s">
        <v>37485</v>
      </c>
      <c r="G1801" t="s">
        <v>37486</v>
      </c>
      <c r="H1801" t="s">
        <v>37487</v>
      </c>
      <c r="I1801" t="s">
        <v>37488</v>
      </c>
      <c r="J1801" t="s">
        <v>37489</v>
      </c>
      <c r="K1801" t="s">
        <v>37490</v>
      </c>
      <c r="L1801" t="s">
        <v>37491</v>
      </c>
      <c r="M1801" t="s">
        <v>37492</v>
      </c>
      <c r="N1801" t="s">
        <v>37493</v>
      </c>
      <c r="O1801">
        <f>-870.754837544967 -8.85605697915389 -502.280653090743</f>
        <v>-1381.8915476148638</v>
      </c>
      <c r="P1801">
        <f>-878.219647880512 -49.2228107877406 -210.894317840333</f>
        <v>-1138.3367765085857</v>
      </c>
      <c r="Q1801">
        <f>-685.80360041564 -22.8482650663377 -353.482004147946</f>
        <v>-1062.1338696299235</v>
      </c>
      <c r="R1801" t="s">
        <v>37494</v>
      </c>
      <c r="S1801" t="s">
        <v>37495</v>
      </c>
      <c r="T1801" t="s">
        <v>37496</v>
      </c>
      <c r="U1801" t="s">
        <v>37497</v>
      </c>
      <c r="V1801" t="s">
        <v>37498</v>
      </c>
      <c r="W1801" t="s">
        <v>37499</v>
      </c>
      <c r="X1801" t="s">
        <v>37500</v>
      </c>
      <c r="Y1801" t="s">
        <v>37501</v>
      </c>
    </row>
    <row r="1802" spans="1:25" x14ac:dyDescent="0.3">
      <c r="A1802">
        <v>90050</v>
      </c>
      <c r="B1802" t="s">
        <v>37502</v>
      </c>
      <c r="C1802" t="s">
        <v>37503</v>
      </c>
      <c r="D1802" t="s">
        <v>37504</v>
      </c>
      <c r="E1802" t="s">
        <v>37505</v>
      </c>
      <c r="F1802" t="s">
        <v>37506</v>
      </c>
      <c r="G1802" t="s">
        <v>37507</v>
      </c>
      <c r="H1802" t="s">
        <v>37508</v>
      </c>
      <c r="I1802" t="s">
        <v>37509</v>
      </c>
      <c r="J1802" t="s">
        <v>37510</v>
      </c>
      <c r="K1802" t="s">
        <v>37511</v>
      </c>
      <c r="L1802" t="s">
        <v>37512</v>
      </c>
      <c r="M1802" t="s">
        <v>37513</v>
      </c>
      <c r="N1802" t="s">
        <v>37514</v>
      </c>
      <c r="O1802">
        <f>-871.379188971876 -9.19829539996681 -502.125001860953</f>
        <v>-1382.7024862327958</v>
      </c>
      <c r="P1802">
        <f>-878.344532330106 -50.0030317746632 -210.78733524154</f>
        <v>-1139.1348993463091</v>
      </c>
      <c r="Q1802">
        <f>-686.401468899147 -23.1363981592413 -353.919833756155</f>
        <v>-1063.4577008145432</v>
      </c>
      <c r="R1802" t="s">
        <v>37515</v>
      </c>
      <c r="S1802" t="s">
        <v>37516</v>
      </c>
      <c r="T1802" t="s">
        <v>37517</v>
      </c>
      <c r="U1802" t="s">
        <v>37518</v>
      </c>
      <c r="V1802" t="s">
        <v>37519</v>
      </c>
      <c r="W1802" t="s">
        <v>37520</v>
      </c>
      <c r="X1802" t="s">
        <v>37521</v>
      </c>
      <c r="Y1802" t="s">
        <v>37522</v>
      </c>
    </row>
    <row r="1803" spans="1:25" x14ac:dyDescent="0.3">
      <c r="A1803">
        <v>90100</v>
      </c>
      <c r="B1803" t="s">
        <v>37523</v>
      </c>
      <c r="C1803" t="s">
        <v>37524</v>
      </c>
      <c r="D1803" t="s">
        <v>37525</v>
      </c>
      <c r="E1803" t="s">
        <v>37526</v>
      </c>
      <c r="F1803" t="s">
        <v>37527</v>
      </c>
      <c r="G1803" t="s">
        <v>37528</v>
      </c>
      <c r="H1803" t="s">
        <v>37529</v>
      </c>
      <c r="I1803" t="s">
        <v>37530</v>
      </c>
      <c r="J1803" t="s">
        <v>37531</v>
      </c>
      <c r="K1803" t="s">
        <v>37532</v>
      </c>
      <c r="L1803" t="s">
        <v>37533</v>
      </c>
      <c r="M1803" t="s">
        <v>37534</v>
      </c>
      <c r="N1803" t="s">
        <v>37535</v>
      </c>
      <c r="O1803">
        <f>-872.191632080395 -9.78186042660627 -501.872704109023</f>
        <v>-1383.8461966160244</v>
      </c>
      <c r="P1803">
        <f>-878.394567128513 -51.4938166369448 -210.646194840239</f>
        <v>-1140.5345786056969</v>
      </c>
      <c r="Q1803">
        <f>-686.936969710996 -24.5291604655349 -354.408750711021</f>
        <v>-1065.8748808875519</v>
      </c>
      <c r="R1803" t="s">
        <v>37536</v>
      </c>
      <c r="S1803" t="s">
        <v>37537</v>
      </c>
      <c r="T1803" t="s">
        <v>37538</v>
      </c>
      <c r="U1803" t="s">
        <v>37539</v>
      </c>
      <c r="V1803" t="s">
        <v>37540</v>
      </c>
      <c r="W1803" t="s">
        <v>37541</v>
      </c>
      <c r="X1803" t="s">
        <v>37542</v>
      </c>
      <c r="Y1803" t="s">
        <v>37543</v>
      </c>
    </row>
    <row r="1804" spans="1:25" x14ac:dyDescent="0.3">
      <c r="A1804">
        <v>90150</v>
      </c>
      <c r="B1804" t="s">
        <v>37544</v>
      </c>
      <c r="C1804" t="s">
        <v>37545</v>
      </c>
      <c r="D1804" t="s">
        <v>37546</v>
      </c>
      <c r="E1804" t="s">
        <v>37547</v>
      </c>
      <c r="F1804" t="s">
        <v>37548</v>
      </c>
      <c r="G1804" t="s">
        <v>37549</v>
      </c>
      <c r="H1804" t="s">
        <v>37550</v>
      </c>
      <c r="I1804" t="s">
        <v>37551</v>
      </c>
      <c r="J1804" t="s">
        <v>37552</v>
      </c>
      <c r="K1804" t="s">
        <v>37553</v>
      </c>
      <c r="L1804" t="s">
        <v>37554</v>
      </c>
      <c r="M1804" t="s">
        <v>37555</v>
      </c>
      <c r="N1804" t="s">
        <v>37556</v>
      </c>
      <c r="O1804">
        <f>-872.177053271554 -9.93807433739676 -501.8739207057</f>
        <v>-1383.9890483146507</v>
      </c>
      <c r="P1804">
        <f>-878.343470612733 -52.3773556599574 -210.751769013038</f>
        <v>-1141.4725952857284</v>
      </c>
      <c r="Q1804">
        <f>-687.02686996881 -24.9048341172934 -354.606101220137</f>
        <v>-1066.5378053062404</v>
      </c>
      <c r="R1804" t="s">
        <v>37557</v>
      </c>
      <c r="S1804" t="s">
        <v>37558</v>
      </c>
      <c r="T1804" t="s">
        <v>37559</v>
      </c>
      <c r="U1804" t="s">
        <v>37560</v>
      </c>
      <c r="V1804" t="s">
        <v>37561</v>
      </c>
      <c r="W1804" t="s">
        <v>37562</v>
      </c>
      <c r="X1804" t="s">
        <v>37563</v>
      </c>
      <c r="Y1804" t="s">
        <v>37564</v>
      </c>
    </row>
    <row r="1805" spans="1:25" x14ac:dyDescent="0.3">
      <c r="A1805">
        <v>90200</v>
      </c>
      <c r="B1805" t="s">
        <v>37565</v>
      </c>
      <c r="C1805" t="s">
        <v>37566</v>
      </c>
      <c r="D1805" t="s">
        <v>37567</v>
      </c>
      <c r="E1805" t="s">
        <v>37568</v>
      </c>
      <c r="F1805" t="s">
        <v>37569</v>
      </c>
      <c r="G1805" t="s">
        <v>37570</v>
      </c>
      <c r="H1805" t="s">
        <v>37571</v>
      </c>
      <c r="I1805" t="s">
        <v>37572</v>
      </c>
      <c r="J1805" t="s">
        <v>37573</v>
      </c>
      <c r="K1805" t="s">
        <v>37574</v>
      </c>
      <c r="L1805" t="s">
        <v>37575</v>
      </c>
      <c r="M1805" t="s">
        <v>37576</v>
      </c>
      <c r="N1805" t="s">
        <v>37577</v>
      </c>
      <c r="O1805">
        <f>-872.428713959481 -10.1096369474349 -502.066447545751</f>
        <v>-1384.6047984526667</v>
      </c>
      <c r="P1805">
        <f>-879.027577261664 -53.4495152655068 -211.086561503575</f>
        <v>-1143.5636540307457</v>
      </c>
      <c r="Q1805">
        <f>-687.531829016557 -25.6313144637302 -354.635966452522</f>
        <v>-1067.7991099328092</v>
      </c>
      <c r="R1805" t="s">
        <v>37578</v>
      </c>
      <c r="S1805" t="s">
        <v>37579</v>
      </c>
      <c r="T1805" t="s">
        <v>37580</v>
      </c>
      <c r="U1805" t="s">
        <v>37581</v>
      </c>
      <c r="V1805" t="s">
        <v>37582</v>
      </c>
      <c r="W1805" t="s">
        <v>37583</v>
      </c>
      <c r="X1805" t="s">
        <v>37584</v>
      </c>
      <c r="Y1805" t="s">
        <v>37585</v>
      </c>
    </row>
    <row r="1806" spans="1:25" x14ac:dyDescent="0.3">
      <c r="A1806">
        <v>90250</v>
      </c>
      <c r="B1806" t="s">
        <v>37586</v>
      </c>
      <c r="C1806" t="s">
        <v>37587</v>
      </c>
      <c r="D1806" t="s">
        <v>37588</v>
      </c>
      <c r="E1806" t="s">
        <v>37589</v>
      </c>
      <c r="F1806" t="s">
        <v>37590</v>
      </c>
      <c r="G1806" t="s">
        <v>37591</v>
      </c>
      <c r="H1806" t="s">
        <v>37592</v>
      </c>
      <c r="I1806" t="s">
        <v>37593</v>
      </c>
      <c r="J1806" t="s">
        <v>37594</v>
      </c>
      <c r="K1806" t="s">
        <v>37595</v>
      </c>
      <c r="L1806" t="s">
        <v>37596</v>
      </c>
      <c r="M1806" t="s">
        <v>37597</v>
      </c>
      <c r="N1806" t="s">
        <v>37598</v>
      </c>
      <c r="O1806">
        <f>-872.772601778837 -10.1640707743127 -502.147792802017</f>
        <v>-1385.0844653551667</v>
      </c>
      <c r="P1806">
        <f>-879.507202294256 -53.6977102418841 -211.199975222676</f>
        <v>-1144.4048877588161</v>
      </c>
      <c r="Q1806">
        <f>-687.906802673276 -25.7781498902691 -354.589711527282</f>
        <v>-1068.2746640908272</v>
      </c>
      <c r="R1806" t="s">
        <v>37599</v>
      </c>
      <c r="S1806" t="s">
        <v>37600</v>
      </c>
      <c r="T1806" t="s">
        <v>37601</v>
      </c>
      <c r="U1806" t="s">
        <v>37602</v>
      </c>
      <c r="V1806" t="s">
        <v>37603</v>
      </c>
      <c r="W1806" t="s">
        <v>37604</v>
      </c>
      <c r="X1806" t="s">
        <v>37605</v>
      </c>
      <c r="Y1806" t="s">
        <v>37606</v>
      </c>
    </row>
    <row r="1807" spans="1:25" x14ac:dyDescent="0.3">
      <c r="A1807">
        <v>90300</v>
      </c>
      <c r="B1807" t="s">
        <v>37607</v>
      </c>
      <c r="C1807" t="s">
        <v>37608</v>
      </c>
      <c r="D1807" t="s">
        <v>37609</v>
      </c>
      <c r="E1807" t="s">
        <v>37610</v>
      </c>
      <c r="F1807" t="s">
        <v>37611</v>
      </c>
      <c r="G1807" t="s">
        <v>37612</v>
      </c>
      <c r="H1807" t="s">
        <v>37613</v>
      </c>
      <c r="I1807" t="s">
        <v>37614</v>
      </c>
      <c r="J1807" t="s">
        <v>37615</v>
      </c>
      <c r="K1807" t="s">
        <v>37616</v>
      </c>
      <c r="L1807" t="s">
        <v>37617</v>
      </c>
      <c r="M1807" t="s">
        <v>37618</v>
      </c>
      <c r="N1807" t="s">
        <v>37619</v>
      </c>
      <c r="O1807">
        <f>-873.023684857056 -10.308759188154 -502.276606412794</f>
        <v>-1385.609050458004</v>
      </c>
      <c r="P1807">
        <f>-880.094124316583 -53.7791107557541 -211.327273648312</f>
        <v>-1145.2005087206492</v>
      </c>
      <c r="Q1807">
        <f>-688.362293333258 -25.6485592863414 -354.500229379879</f>
        <v>-1068.5110819994784</v>
      </c>
      <c r="R1807" t="s">
        <v>37620</v>
      </c>
      <c r="S1807" t="s">
        <v>37621</v>
      </c>
      <c r="T1807" t="s">
        <v>37622</v>
      </c>
      <c r="U1807" t="s">
        <v>37623</v>
      </c>
      <c r="V1807" t="s">
        <v>37624</v>
      </c>
      <c r="W1807" t="s">
        <v>37625</v>
      </c>
      <c r="X1807" t="s">
        <v>37626</v>
      </c>
      <c r="Y1807" t="s">
        <v>37627</v>
      </c>
    </row>
    <row r="1808" spans="1:25" x14ac:dyDescent="0.3">
      <c r="A1808">
        <v>90350</v>
      </c>
      <c r="B1808" t="s">
        <v>37628</v>
      </c>
      <c r="C1808" t="s">
        <v>37629</v>
      </c>
      <c r="D1808" t="s">
        <v>37630</v>
      </c>
      <c r="E1808" t="s">
        <v>37631</v>
      </c>
      <c r="F1808" t="s">
        <v>37632</v>
      </c>
      <c r="G1808" t="s">
        <v>37633</v>
      </c>
      <c r="H1808" t="s">
        <v>37634</v>
      </c>
      <c r="I1808" t="s">
        <v>37635</v>
      </c>
      <c r="J1808" t="s">
        <v>37636</v>
      </c>
      <c r="K1808" t="s">
        <v>37637</v>
      </c>
      <c r="L1808" t="s">
        <v>37638</v>
      </c>
      <c r="M1808" t="s">
        <v>37639</v>
      </c>
      <c r="N1808" t="s">
        <v>37640</v>
      </c>
      <c r="O1808">
        <f>-873.109031770057 -10.2648323481112 -502.416426675598</f>
        <v>-1385.7902907937662</v>
      </c>
      <c r="P1808">
        <f>-880.194841389019 -53.7201112452697 -211.4650920794</f>
        <v>-1145.3800447136887</v>
      </c>
      <c r="Q1808">
        <f>-688.582096362353 -25.0657926419744 -354.693590527946</f>
        <v>-1068.3414795322735</v>
      </c>
      <c r="R1808" t="s">
        <v>37641</v>
      </c>
      <c r="S1808" t="s">
        <v>37642</v>
      </c>
      <c r="T1808" t="s">
        <v>37643</v>
      </c>
      <c r="U1808" t="s">
        <v>37644</v>
      </c>
      <c r="V1808" t="s">
        <v>37645</v>
      </c>
      <c r="W1808" t="s">
        <v>37646</v>
      </c>
      <c r="X1808" t="s">
        <v>37647</v>
      </c>
      <c r="Y1808" t="s">
        <v>37648</v>
      </c>
    </row>
    <row r="1809" spans="1:25" x14ac:dyDescent="0.3">
      <c r="A1809">
        <v>90400</v>
      </c>
      <c r="B1809" t="s">
        <v>37649</v>
      </c>
      <c r="C1809" t="s">
        <v>37650</v>
      </c>
      <c r="D1809" t="s">
        <v>37651</v>
      </c>
      <c r="E1809" t="s">
        <v>37652</v>
      </c>
      <c r="F1809" t="s">
        <v>37653</v>
      </c>
      <c r="G1809" t="s">
        <v>37654</v>
      </c>
      <c r="H1809" t="s">
        <v>37655</v>
      </c>
      <c r="I1809" t="s">
        <v>37656</v>
      </c>
      <c r="J1809" t="s">
        <v>37657</v>
      </c>
      <c r="K1809" t="s">
        <v>37658</v>
      </c>
      <c r="L1809" t="s">
        <v>37659</v>
      </c>
      <c r="M1809" t="s">
        <v>37660</v>
      </c>
      <c r="N1809" t="s">
        <v>37661</v>
      </c>
      <c r="O1809">
        <f>-873.009438176859 -10.2810937431609 -502.655685926141</f>
        <v>-1385.9462178461608</v>
      </c>
      <c r="P1809">
        <f>-880.079685620062 -53.6064265651507 -211.684608598524</f>
        <v>-1145.3707207837367</v>
      </c>
      <c r="Q1809">
        <f>-688.611301014225 -24.3435366799577 -354.983032433012</f>
        <v>-1067.9378701271946</v>
      </c>
      <c r="R1809" t="s">
        <v>37662</v>
      </c>
      <c r="S1809" t="s">
        <v>37663</v>
      </c>
      <c r="T1809" t="s">
        <v>37664</v>
      </c>
      <c r="U1809" t="s">
        <v>37665</v>
      </c>
      <c r="V1809" t="s">
        <v>37666</v>
      </c>
      <c r="W1809" t="s">
        <v>37667</v>
      </c>
      <c r="X1809" t="s">
        <v>37668</v>
      </c>
      <c r="Y1809" t="s">
        <v>37669</v>
      </c>
    </row>
    <row r="1810" spans="1:25" x14ac:dyDescent="0.3">
      <c r="A1810">
        <v>90450</v>
      </c>
      <c r="B1810" t="s">
        <v>37670</v>
      </c>
      <c r="C1810" t="s">
        <v>37671</v>
      </c>
      <c r="D1810" t="s">
        <v>37672</v>
      </c>
      <c r="E1810" t="s">
        <v>37673</v>
      </c>
      <c r="F1810" t="s">
        <v>37674</v>
      </c>
      <c r="G1810" t="s">
        <v>37675</v>
      </c>
      <c r="H1810" t="s">
        <v>37676</v>
      </c>
      <c r="I1810" t="s">
        <v>37677</v>
      </c>
      <c r="J1810" t="s">
        <v>37678</v>
      </c>
      <c r="K1810" t="s">
        <v>37679</v>
      </c>
      <c r="L1810" t="s">
        <v>37680</v>
      </c>
      <c r="M1810" t="s">
        <v>37681</v>
      </c>
      <c r="N1810" t="s">
        <v>37682</v>
      </c>
      <c r="O1810">
        <f>-872.845228547822 -10.5802181200083 -502.622232249458</f>
        <v>-1386.0476789172883</v>
      </c>
      <c r="P1810">
        <f>-879.927103326854 -53.8429176572138 -211.642136614276</f>
        <v>-1145.4121575983438</v>
      </c>
      <c r="Q1810">
        <f>-688.533059322764 -24.7340068716926 -355.071168913928</f>
        <v>-1068.3382351083847</v>
      </c>
      <c r="R1810" t="s">
        <v>37683</v>
      </c>
      <c r="S1810" t="s">
        <v>37684</v>
      </c>
      <c r="T1810" t="s">
        <v>37685</v>
      </c>
      <c r="U1810" t="s">
        <v>37686</v>
      </c>
      <c r="V1810" t="s">
        <v>37687</v>
      </c>
      <c r="W1810" t="s">
        <v>37688</v>
      </c>
      <c r="X1810" t="s">
        <v>37689</v>
      </c>
      <c r="Y1810" t="s">
        <v>37690</v>
      </c>
    </row>
    <row r="1811" spans="1:25" x14ac:dyDescent="0.3">
      <c r="A1811">
        <v>90500</v>
      </c>
      <c r="B1811" t="s">
        <v>37691</v>
      </c>
      <c r="C1811" t="s">
        <v>37692</v>
      </c>
      <c r="D1811" t="s">
        <v>37693</v>
      </c>
      <c r="E1811" t="s">
        <v>37694</v>
      </c>
      <c r="F1811" t="s">
        <v>37695</v>
      </c>
      <c r="G1811" t="s">
        <v>37696</v>
      </c>
      <c r="H1811" t="s">
        <v>37697</v>
      </c>
      <c r="I1811" t="s">
        <v>37698</v>
      </c>
      <c r="J1811" t="s">
        <v>37699</v>
      </c>
      <c r="K1811" t="s">
        <v>37700</v>
      </c>
      <c r="L1811" t="s">
        <v>37701</v>
      </c>
      <c r="M1811" t="s">
        <v>37702</v>
      </c>
      <c r="N1811" t="s">
        <v>37703</v>
      </c>
      <c r="O1811">
        <f>-872.61855979142 -11.1113698522363 -502.485474743362</f>
        <v>-1386.2154043870182</v>
      </c>
      <c r="P1811">
        <f>-879.395677851132 -54.1544558112512 -211.465552524717</f>
        <v>-1145.0156861871001</v>
      </c>
      <c r="Q1811">
        <f>-688.185732007794 -25.322651649773 -355.195881498203</f>
        <v>-1068.7042651557699</v>
      </c>
      <c r="R1811" t="s">
        <v>37704</v>
      </c>
      <c r="S1811" t="s">
        <v>37705</v>
      </c>
      <c r="T1811" t="s">
        <v>37706</v>
      </c>
      <c r="U1811" t="s">
        <v>37707</v>
      </c>
      <c r="V1811" t="s">
        <v>37708</v>
      </c>
      <c r="W1811" t="s">
        <v>37709</v>
      </c>
      <c r="X1811" t="s">
        <v>37710</v>
      </c>
      <c r="Y1811" t="s">
        <v>37711</v>
      </c>
    </row>
    <row r="1812" spans="1:25" x14ac:dyDescent="0.3">
      <c r="A1812">
        <v>90550</v>
      </c>
      <c r="B1812" t="s">
        <v>37712</v>
      </c>
      <c r="C1812" t="s">
        <v>37713</v>
      </c>
      <c r="D1812" t="s">
        <v>37714</v>
      </c>
      <c r="E1812" t="s">
        <v>37715</v>
      </c>
      <c r="F1812" t="s">
        <v>37716</v>
      </c>
      <c r="G1812" t="s">
        <v>37717</v>
      </c>
      <c r="H1812" t="s">
        <v>37718</v>
      </c>
      <c r="I1812" t="s">
        <v>37719</v>
      </c>
      <c r="J1812" t="s">
        <v>37720</v>
      </c>
      <c r="K1812" t="s">
        <v>37721</v>
      </c>
      <c r="L1812" t="s">
        <v>37722</v>
      </c>
      <c r="M1812" t="s">
        <v>37723</v>
      </c>
      <c r="N1812" t="s">
        <v>37724</v>
      </c>
      <c r="O1812">
        <f>-872.602221504121 -11.2391091213649 -502.467043695801</f>
        <v>-1386.3083743212869</v>
      </c>
      <c r="P1812">
        <f>-879.193225746806 -54.2526071957673 -211.43846350974</f>
        <v>-1144.8842964523133</v>
      </c>
      <c r="Q1812">
        <f>-688.161778038944 -25.4964633977297 -355.421076329669</f>
        <v>-1069.0793177663427</v>
      </c>
      <c r="R1812" t="s">
        <v>37725</v>
      </c>
      <c r="S1812" t="s">
        <v>37726</v>
      </c>
      <c r="T1812" t="s">
        <v>37727</v>
      </c>
      <c r="U1812" t="s">
        <v>37728</v>
      </c>
      <c r="V1812" t="s">
        <v>37729</v>
      </c>
      <c r="W1812" t="s">
        <v>37730</v>
      </c>
      <c r="X1812" t="s">
        <v>37731</v>
      </c>
      <c r="Y1812" t="s">
        <v>37732</v>
      </c>
    </row>
    <row r="1813" spans="1:25" x14ac:dyDescent="0.3">
      <c r="A1813">
        <v>90600</v>
      </c>
      <c r="B1813" t="s">
        <v>37733</v>
      </c>
      <c r="C1813" t="s">
        <v>37734</v>
      </c>
      <c r="D1813" t="s">
        <v>37735</v>
      </c>
      <c r="E1813" t="s">
        <v>37736</v>
      </c>
      <c r="F1813" t="s">
        <v>37737</v>
      </c>
      <c r="G1813" t="s">
        <v>37738</v>
      </c>
      <c r="H1813" t="s">
        <v>37739</v>
      </c>
      <c r="I1813" t="s">
        <v>37740</v>
      </c>
      <c r="J1813" t="s">
        <v>37741</v>
      </c>
      <c r="K1813" t="s">
        <v>37742</v>
      </c>
      <c r="L1813" t="s">
        <v>37743</v>
      </c>
      <c r="M1813" t="s">
        <v>37744</v>
      </c>
      <c r="N1813" t="s">
        <v>37745</v>
      </c>
      <c r="O1813">
        <f>-872.72800410076 -11.1964532017678 -502.434732930673</f>
        <v>-1386.3591902332009</v>
      </c>
      <c r="P1813">
        <f>-878.766005839349 -54.3152483699225 -211.409832103701</f>
        <v>-1144.4910863129726</v>
      </c>
      <c r="Q1813">
        <f>-688.256817566015 -25.03256920287 -355.976696047323</f>
        <v>-1069.2660828162079</v>
      </c>
      <c r="R1813" t="s">
        <v>37746</v>
      </c>
      <c r="S1813" t="s">
        <v>37747</v>
      </c>
      <c r="T1813" t="s">
        <v>37748</v>
      </c>
      <c r="U1813" t="s">
        <v>37749</v>
      </c>
      <c r="V1813" t="s">
        <v>37750</v>
      </c>
      <c r="W1813" t="s">
        <v>37751</v>
      </c>
      <c r="X1813" t="s">
        <v>37752</v>
      </c>
      <c r="Y1813" t="s">
        <v>37753</v>
      </c>
    </row>
    <row r="1814" spans="1:25" x14ac:dyDescent="0.3">
      <c r="A1814">
        <v>90650</v>
      </c>
      <c r="B1814" t="s">
        <v>37754</v>
      </c>
      <c r="C1814" t="s">
        <v>37755</v>
      </c>
      <c r="D1814" t="s">
        <v>37756</v>
      </c>
      <c r="E1814" t="s">
        <v>37757</v>
      </c>
      <c r="F1814" t="s">
        <v>37758</v>
      </c>
      <c r="G1814" t="s">
        <v>37759</v>
      </c>
      <c r="H1814" t="s">
        <v>37760</v>
      </c>
      <c r="I1814" t="s">
        <v>37761</v>
      </c>
      <c r="J1814" t="s">
        <v>37762</v>
      </c>
      <c r="K1814" t="s">
        <v>37763</v>
      </c>
      <c r="L1814" t="s">
        <v>37764</v>
      </c>
      <c r="M1814" t="s">
        <v>37765</v>
      </c>
      <c r="N1814" t="s">
        <v>37766</v>
      </c>
      <c r="O1814">
        <f>-872.828238543367 -10.9695883548457 -502.408056189603</f>
        <v>-1386.2058830878157</v>
      </c>
      <c r="P1814">
        <f>-878.532283668574 -54.1059241097416 -211.379001603486</f>
        <v>-1144.0172093818016</v>
      </c>
      <c r="Q1814">
        <f>-688.447908111921 -24.3362389202343 -356.405366115569</f>
        <v>-1069.1895131477245</v>
      </c>
      <c r="R1814" t="s">
        <v>37767</v>
      </c>
      <c r="S1814" t="s">
        <v>37768</v>
      </c>
      <c r="T1814" t="s">
        <v>37769</v>
      </c>
      <c r="U1814" t="s">
        <v>37770</v>
      </c>
      <c r="V1814" t="s">
        <v>37771</v>
      </c>
      <c r="W1814" t="s">
        <v>37772</v>
      </c>
      <c r="X1814" t="s">
        <v>37773</v>
      </c>
      <c r="Y1814" t="s">
        <v>37774</v>
      </c>
    </row>
    <row r="1815" spans="1:25" x14ac:dyDescent="0.3">
      <c r="A1815">
        <v>90700</v>
      </c>
      <c r="B1815" t="s">
        <v>37775</v>
      </c>
      <c r="C1815" t="s">
        <v>37776</v>
      </c>
      <c r="D1815" t="s">
        <v>37777</v>
      </c>
      <c r="E1815" t="s">
        <v>37778</v>
      </c>
      <c r="F1815" t="s">
        <v>37779</v>
      </c>
      <c r="G1815" t="s">
        <v>37780</v>
      </c>
      <c r="H1815" t="s">
        <v>37781</v>
      </c>
      <c r="I1815" t="s">
        <v>37782</v>
      </c>
      <c r="J1815" t="s">
        <v>37783</v>
      </c>
      <c r="K1815" t="s">
        <v>37784</v>
      </c>
      <c r="L1815" t="s">
        <v>37785</v>
      </c>
      <c r="M1815" t="s">
        <v>37786</v>
      </c>
      <c r="N1815" t="s">
        <v>37787</v>
      </c>
      <c r="O1815">
        <f>-873.156239741589 -10.7182784381735 -502.311705080907</f>
        <v>-1386.1862232606695</v>
      </c>
      <c r="P1815">
        <f>-877.926095056024 -54.0557547127858 -211.295721378203</f>
        <v>-1143.2775711470128</v>
      </c>
      <c r="Q1815">
        <f>-688.938823093578 -22.7838771456009 -357.434958732089</f>
        <v>-1069.1576589712679</v>
      </c>
      <c r="R1815" t="s">
        <v>37788</v>
      </c>
      <c r="S1815" t="s">
        <v>37789</v>
      </c>
      <c r="T1815" t="s">
        <v>37790</v>
      </c>
      <c r="U1815" t="s">
        <v>37791</v>
      </c>
      <c r="V1815" t="s">
        <v>37792</v>
      </c>
      <c r="W1815" t="s">
        <v>37793</v>
      </c>
      <c r="X1815" t="s">
        <v>37794</v>
      </c>
      <c r="Y1815" t="s">
        <v>37795</v>
      </c>
    </row>
    <row r="1816" spans="1:25" x14ac:dyDescent="0.3">
      <c r="A1816">
        <v>90750</v>
      </c>
      <c r="B1816" t="s">
        <v>37796</v>
      </c>
      <c r="C1816" t="s">
        <v>37797</v>
      </c>
      <c r="D1816" t="s">
        <v>37798</v>
      </c>
      <c r="E1816" t="s">
        <v>37799</v>
      </c>
      <c r="F1816" t="s">
        <v>37800</v>
      </c>
      <c r="G1816" t="s">
        <v>37801</v>
      </c>
      <c r="H1816" t="s">
        <v>37802</v>
      </c>
      <c r="I1816" t="s">
        <v>37803</v>
      </c>
      <c r="J1816" t="s">
        <v>37804</v>
      </c>
      <c r="K1816" t="s">
        <v>37805</v>
      </c>
      <c r="L1816" t="s">
        <v>37806</v>
      </c>
      <c r="M1816" t="s">
        <v>37807</v>
      </c>
      <c r="N1816" t="s">
        <v>37808</v>
      </c>
      <c r="O1816">
        <f>-873.457724535134 -10.6409272313872 -502.225351551838</f>
        <v>-1386.3240033183592</v>
      </c>
      <c r="P1816">
        <f>-877.741593777147 -54.0447673209283 -211.21165593526</f>
        <v>-1142.9980170333354</v>
      </c>
      <c r="Q1816">
        <f>-689.334873771606 -22.2630868922115 -357.989268926912</f>
        <v>-1069.5872295907295</v>
      </c>
      <c r="R1816" t="s">
        <v>37809</v>
      </c>
      <c r="S1816" t="s">
        <v>37810</v>
      </c>
      <c r="T1816" t="s">
        <v>37811</v>
      </c>
      <c r="U1816" t="s">
        <v>37812</v>
      </c>
      <c r="V1816" t="s">
        <v>37813</v>
      </c>
      <c r="W1816" t="s">
        <v>37814</v>
      </c>
      <c r="X1816" t="s">
        <v>37815</v>
      </c>
      <c r="Y1816" t="s">
        <v>37816</v>
      </c>
    </row>
    <row r="1817" spans="1:25" x14ac:dyDescent="0.3">
      <c r="A1817">
        <v>90800</v>
      </c>
      <c r="B1817" t="s">
        <v>37817</v>
      </c>
      <c r="C1817" t="s">
        <v>37818</v>
      </c>
      <c r="D1817" t="s">
        <v>37819</v>
      </c>
      <c r="E1817" t="s">
        <v>37820</v>
      </c>
      <c r="F1817" t="s">
        <v>37821</v>
      </c>
      <c r="G1817" t="s">
        <v>37822</v>
      </c>
      <c r="H1817" t="s">
        <v>37823</v>
      </c>
      <c r="I1817" t="s">
        <v>37824</v>
      </c>
      <c r="J1817" t="s">
        <v>37825</v>
      </c>
      <c r="K1817" t="s">
        <v>37826</v>
      </c>
      <c r="L1817" t="s">
        <v>37827</v>
      </c>
      <c r="M1817" t="s">
        <v>37828</v>
      </c>
      <c r="N1817" t="s">
        <v>37829</v>
      </c>
      <c r="O1817">
        <f>-873.725330008472 -10.5592608256939 -502.189892744176</f>
        <v>-1386.474483578342</v>
      </c>
      <c r="P1817">
        <f>-876.870744404421 -54.37446984341 -211.223284862092</f>
        <v>-1142.468499109923</v>
      </c>
      <c r="Q1817">
        <f>-690.026397682933 -21.5154176573096 -359.750341543038</f>
        <v>-1071.2921568832805</v>
      </c>
      <c r="R1817" t="s">
        <v>37830</v>
      </c>
      <c r="S1817" t="s">
        <v>37831</v>
      </c>
      <c r="T1817" t="s">
        <v>37832</v>
      </c>
      <c r="U1817" t="s">
        <v>37833</v>
      </c>
      <c r="V1817" t="s">
        <v>37834</v>
      </c>
      <c r="W1817" t="s">
        <v>37835</v>
      </c>
      <c r="X1817" t="s">
        <v>37836</v>
      </c>
      <c r="Y1817" t="s">
        <v>37837</v>
      </c>
    </row>
    <row r="1818" spans="1:25" x14ac:dyDescent="0.3">
      <c r="A1818">
        <v>90850</v>
      </c>
      <c r="B1818" t="s">
        <v>37838</v>
      </c>
      <c r="C1818" t="s">
        <v>37839</v>
      </c>
      <c r="D1818" t="s">
        <v>37840</v>
      </c>
      <c r="E1818" t="s">
        <v>37841</v>
      </c>
      <c r="F1818" t="s">
        <v>37842</v>
      </c>
      <c r="G1818" t="s">
        <v>37843</v>
      </c>
      <c r="H1818" t="s">
        <v>37844</v>
      </c>
      <c r="I1818" t="s">
        <v>37845</v>
      </c>
      <c r="J1818" t="s">
        <v>37846</v>
      </c>
      <c r="K1818" t="s">
        <v>37847</v>
      </c>
      <c r="L1818" t="s">
        <v>37848</v>
      </c>
      <c r="M1818" t="s">
        <v>37849</v>
      </c>
      <c r="N1818" t="s">
        <v>37850</v>
      </c>
      <c r="O1818">
        <f>-873.718487809003 -10.4975687947676 -502.312108488734</f>
        <v>-1386.5281650925047</v>
      </c>
      <c r="P1818">
        <f>-876.227217543073 -54.7050489689968 -211.398613705787</f>
        <v>-1142.3308802178569</v>
      </c>
      <c r="Q1818">
        <f>-690.324034371484 -21.0520908123731 -360.925779690236</f>
        <v>-1072.301904874093</v>
      </c>
      <c r="R1818" t="s">
        <v>37851</v>
      </c>
      <c r="S1818" t="s">
        <v>37852</v>
      </c>
      <c r="T1818" t="s">
        <v>37853</v>
      </c>
      <c r="U1818" t="s">
        <v>37854</v>
      </c>
      <c r="V1818" t="s">
        <v>37855</v>
      </c>
      <c r="W1818" t="s">
        <v>37856</v>
      </c>
      <c r="X1818" t="s">
        <v>37857</v>
      </c>
      <c r="Y1818" t="s">
        <v>37858</v>
      </c>
    </row>
    <row r="1819" spans="1:25" x14ac:dyDescent="0.3">
      <c r="A1819">
        <v>90900</v>
      </c>
      <c r="B1819" t="s">
        <v>37859</v>
      </c>
      <c r="C1819" t="s">
        <v>37860</v>
      </c>
      <c r="D1819" t="s">
        <v>37861</v>
      </c>
      <c r="E1819" t="s">
        <v>37862</v>
      </c>
      <c r="F1819" t="s">
        <v>37863</v>
      </c>
      <c r="G1819" t="s">
        <v>37864</v>
      </c>
      <c r="H1819" t="s">
        <v>37865</v>
      </c>
      <c r="I1819" t="s">
        <v>37866</v>
      </c>
      <c r="J1819" t="s">
        <v>37867</v>
      </c>
      <c r="K1819" t="s">
        <v>37868</v>
      </c>
      <c r="L1819" t="s">
        <v>37869</v>
      </c>
      <c r="M1819" t="s">
        <v>37870</v>
      </c>
      <c r="N1819" t="s">
        <v>37871</v>
      </c>
      <c r="O1819">
        <f>-873.587392399223 -10.3417097184888 -502.502910620949</f>
        <v>-1386.4320127386609</v>
      </c>
      <c r="P1819">
        <f>-874.60946232122 -55.7120802410439 -211.759469907081</f>
        <v>-1142.0810124693448</v>
      </c>
      <c r="Q1819">
        <f>-690.988264645789 -20.1947281449879 -363.656203752276</f>
        <v>-1074.8391965430528</v>
      </c>
      <c r="R1819" t="s">
        <v>37872</v>
      </c>
      <c r="S1819" t="s">
        <v>37873</v>
      </c>
      <c r="T1819" t="s">
        <v>37874</v>
      </c>
      <c r="U1819" t="s">
        <v>37875</v>
      </c>
      <c r="V1819" t="s">
        <v>37876</v>
      </c>
      <c r="W1819" t="s">
        <v>37877</v>
      </c>
      <c r="X1819" t="s">
        <v>37878</v>
      </c>
      <c r="Y1819" t="s">
        <v>37879</v>
      </c>
    </row>
    <row r="1820" spans="1:25" x14ac:dyDescent="0.3">
      <c r="A1820">
        <v>90950</v>
      </c>
      <c r="B1820" t="s">
        <v>37880</v>
      </c>
      <c r="C1820" t="s">
        <v>37881</v>
      </c>
      <c r="D1820" t="s">
        <v>37882</v>
      </c>
      <c r="E1820" t="s">
        <v>37883</v>
      </c>
      <c r="F1820" t="s">
        <v>37884</v>
      </c>
      <c r="G1820" t="s">
        <v>37885</v>
      </c>
      <c r="H1820" t="s">
        <v>37886</v>
      </c>
      <c r="I1820" t="s">
        <v>37887</v>
      </c>
      <c r="J1820" t="s">
        <v>37888</v>
      </c>
      <c r="K1820" t="s">
        <v>37889</v>
      </c>
      <c r="L1820" t="s">
        <v>37890</v>
      </c>
      <c r="M1820" t="s">
        <v>37891</v>
      </c>
      <c r="N1820" t="s">
        <v>37892</v>
      </c>
      <c r="O1820">
        <f>-873.589742031479 -10.1076532474399 -502.522837548947</f>
        <v>-1386.2202328278659</v>
      </c>
      <c r="P1820">
        <f>-873.653819149895 -56.1938685684968 -211.890453068758</f>
        <v>-1141.7381407871499</v>
      </c>
      <c r="Q1820">
        <f>-691.356363846544 -19.356091185055 -365.061811251623</f>
        <v>-1075.774266283222</v>
      </c>
      <c r="R1820" t="s">
        <v>37893</v>
      </c>
      <c r="S1820" t="s">
        <v>37894</v>
      </c>
      <c r="T1820" t="s">
        <v>37895</v>
      </c>
      <c r="U1820" t="s">
        <v>37896</v>
      </c>
      <c r="V1820" t="s">
        <v>37897</v>
      </c>
      <c r="W1820" t="s">
        <v>37898</v>
      </c>
      <c r="X1820" t="s">
        <v>37899</v>
      </c>
      <c r="Y1820" t="s">
        <v>37900</v>
      </c>
    </row>
    <row r="1821" spans="1:25" x14ac:dyDescent="0.3">
      <c r="A1821">
        <v>91000</v>
      </c>
      <c r="B1821" t="s">
        <v>37901</v>
      </c>
      <c r="C1821" t="s">
        <v>37902</v>
      </c>
      <c r="D1821" t="s">
        <v>37903</v>
      </c>
      <c r="E1821" t="s">
        <v>37904</v>
      </c>
      <c r="F1821" t="s">
        <v>37905</v>
      </c>
      <c r="G1821" t="s">
        <v>37906</v>
      </c>
      <c r="H1821" t="s">
        <v>37907</v>
      </c>
      <c r="I1821" t="s">
        <v>37908</v>
      </c>
      <c r="J1821" t="s">
        <v>37909</v>
      </c>
      <c r="K1821" t="s">
        <v>37910</v>
      </c>
      <c r="L1821" t="s">
        <v>37911</v>
      </c>
      <c r="M1821" t="s">
        <v>37912</v>
      </c>
      <c r="N1821" t="s">
        <v>37913</v>
      </c>
      <c r="O1821">
        <f>-873.960330061143 -9.82329588651237 -502.342721923764</f>
        <v>-1386.1263478714195</v>
      </c>
      <c r="P1821">
        <f>-871.326289991926 -56.7664342713738 -211.859327097741</f>
        <v>-1139.9520513610407</v>
      </c>
      <c r="Q1821">
        <f>-691.986486616895 -17.3520712649306 -367.854897182927</f>
        <v>-1077.1934550647527</v>
      </c>
      <c r="R1821" t="s">
        <v>37914</v>
      </c>
      <c r="S1821" t="s">
        <v>37915</v>
      </c>
      <c r="T1821" t="s">
        <v>37916</v>
      </c>
      <c r="U1821" t="s">
        <v>37917</v>
      </c>
      <c r="V1821" t="s">
        <v>37918</v>
      </c>
      <c r="W1821" t="s">
        <v>37919</v>
      </c>
      <c r="X1821" t="s">
        <v>37920</v>
      </c>
      <c r="Y1821" t="s">
        <v>37921</v>
      </c>
    </row>
    <row r="1822" spans="1:25" x14ac:dyDescent="0.3">
      <c r="A1822">
        <v>91050</v>
      </c>
      <c r="B1822" t="s">
        <v>37922</v>
      </c>
      <c r="C1822" t="s">
        <v>37923</v>
      </c>
      <c r="D1822" t="s">
        <v>37924</v>
      </c>
      <c r="E1822" t="s">
        <v>37925</v>
      </c>
      <c r="F1822" t="s">
        <v>37926</v>
      </c>
      <c r="G1822" t="s">
        <v>37927</v>
      </c>
      <c r="H1822" t="s">
        <v>37928</v>
      </c>
      <c r="I1822" t="s">
        <v>37929</v>
      </c>
      <c r="J1822" t="s">
        <v>37930</v>
      </c>
      <c r="K1822" t="s">
        <v>37931</v>
      </c>
      <c r="L1822" t="s">
        <v>37932</v>
      </c>
      <c r="M1822" t="s">
        <v>37933</v>
      </c>
      <c r="N1822" t="s">
        <v>37934</v>
      </c>
      <c r="O1822">
        <f>-873.999631506536 -9.62343039682082 -502.254225378398</f>
        <v>-1385.8772872817549</v>
      </c>
      <c r="P1822">
        <f>-870.12291718732 -56.7861968249483 -211.820376093004</f>
        <v>-1138.7294901052724</v>
      </c>
      <c r="Q1822">
        <f>-692.156555847475 -16.1797777185552 -369.077880517534</f>
        <v>-1077.4142140835643</v>
      </c>
      <c r="R1822" t="s">
        <v>37935</v>
      </c>
      <c r="S1822" t="s">
        <v>37936</v>
      </c>
      <c r="T1822" t="s">
        <v>37937</v>
      </c>
      <c r="U1822" t="s">
        <v>37938</v>
      </c>
      <c r="V1822" t="s">
        <v>37939</v>
      </c>
      <c r="W1822" t="s">
        <v>37940</v>
      </c>
      <c r="X1822" t="s">
        <v>37941</v>
      </c>
      <c r="Y1822" t="s">
        <v>37942</v>
      </c>
    </row>
    <row r="1823" spans="1:25" x14ac:dyDescent="0.3">
      <c r="A1823">
        <v>91100</v>
      </c>
      <c r="B1823" t="s">
        <v>37943</v>
      </c>
      <c r="C1823" t="s">
        <v>37944</v>
      </c>
      <c r="D1823" t="s">
        <v>37945</v>
      </c>
      <c r="E1823" t="s">
        <v>37946</v>
      </c>
      <c r="F1823" t="s">
        <v>37947</v>
      </c>
      <c r="G1823" t="s">
        <v>37948</v>
      </c>
      <c r="H1823" t="s">
        <v>37949</v>
      </c>
      <c r="I1823" t="s">
        <v>37950</v>
      </c>
      <c r="J1823" t="s">
        <v>37951</v>
      </c>
      <c r="K1823" t="s">
        <v>37952</v>
      </c>
      <c r="L1823" t="s">
        <v>37953</v>
      </c>
      <c r="M1823" t="s">
        <v>37954</v>
      </c>
      <c r="N1823" t="s">
        <v>37955</v>
      </c>
      <c r="O1823">
        <f>-873.585722167487 -9.63007228171136 -502.134737883863</f>
        <v>-1385.3505323330614</v>
      </c>
      <c r="P1823">
        <f>-867.79727130756 -57.3609341206732 -211.825419106415</f>
        <v>-1136.9836245346482</v>
      </c>
      <c r="Q1823">
        <f>-692.497118993701 -14.2985645988829 -371.406955845816</f>
        <v>-1078.2026394383997</v>
      </c>
      <c r="R1823" t="s">
        <v>37956</v>
      </c>
      <c r="S1823" t="s">
        <v>37957</v>
      </c>
      <c r="T1823" t="s">
        <v>37958</v>
      </c>
      <c r="U1823" t="s">
        <v>37959</v>
      </c>
      <c r="V1823" t="s">
        <v>37960</v>
      </c>
      <c r="W1823" t="s">
        <v>37961</v>
      </c>
      <c r="X1823" t="s">
        <v>37962</v>
      </c>
      <c r="Y1823" t="s">
        <v>37963</v>
      </c>
    </row>
    <row r="1824" spans="1:25" x14ac:dyDescent="0.3">
      <c r="A1824">
        <v>91150</v>
      </c>
      <c r="B1824" t="s">
        <v>37964</v>
      </c>
      <c r="C1824" t="s">
        <v>37965</v>
      </c>
      <c r="D1824" t="s">
        <v>37966</v>
      </c>
      <c r="E1824" t="s">
        <v>37967</v>
      </c>
      <c r="F1824" t="s">
        <v>37968</v>
      </c>
      <c r="G1824" t="s">
        <v>37969</v>
      </c>
      <c r="H1824" t="s">
        <v>37970</v>
      </c>
      <c r="I1824" t="s">
        <v>37971</v>
      </c>
      <c r="J1824" t="s">
        <v>37972</v>
      </c>
      <c r="K1824" t="s">
        <v>37973</v>
      </c>
      <c r="L1824" t="s">
        <v>37974</v>
      </c>
      <c r="M1824" t="s">
        <v>37975</v>
      </c>
      <c r="N1824" t="s">
        <v>37976</v>
      </c>
      <c r="O1824">
        <f>-873.105493893134 -9.84947635564868 -502.078840293638</f>
        <v>-1385.0338105424207</v>
      </c>
      <c r="P1824">
        <f>-866.305467142912 -57.9057269750153 -211.845186583834</f>
        <v>-1136.0563807017613</v>
      </c>
      <c r="Q1824">
        <f>-692.359216025278 -13.5236467542841 -372.543273602987</f>
        <v>-1078.426136382549</v>
      </c>
      <c r="R1824" t="s">
        <v>37977</v>
      </c>
      <c r="S1824" t="s">
        <v>37978</v>
      </c>
      <c r="T1824" t="s">
        <v>37979</v>
      </c>
      <c r="U1824" t="s">
        <v>37980</v>
      </c>
      <c r="V1824" t="s">
        <v>37981</v>
      </c>
      <c r="W1824" t="s">
        <v>37982</v>
      </c>
      <c r="X1824" t="s">
        <v>37983</v>
      </c>
      <c r="Y1824" t="s">
        <v>37984</v>
      </c>
    </row>
    <row r="1825" spans="1:25" x14ac:dyDescent="0.3">
      <c r="A1825">
        <v>91200</v>
      </c>
      <c r="B1825" t="s">
        <v>37985</v>
      </c>
      <c r="C1825" t="s">
        <v>37986</v>
      </c>
      <c r="D1825" t="s">
        <v>37987</v>
      </c>
      <c r="E1825" t="s">
        <v>37988</v>
      </c>
      <c r="F1825" t="s">
        <v>37989</v>
      </c>
      <c r="G1825" t="s">
        <v>37990</v>
      </c>
      <c r="H1825" t="s">
        <v>37991</v>
      </c>
      <c r="I1825" t="s">
        <v>37992</v>
      </c>
      <c r="J1825" t="s">
        <v>37993</v>
      </c>
      <c r="K1825" t="s">
        <v>37994</v>
      </c>
      <c r="L1825" t="s">
        <v>37995</v>
      </c>
      <c r="M1825" t="s">
        <v>37996</v>
      </c>
      <c r="N1825" t="s">
        <v>37997</v>
      </c>
      <c r="O1825">
        <f>-871.986857702176 -10.7887347852338 -501.856501222117</f>
        <v>-1384.632093709527</v>
      </c>
      <c r="P1825">
        <f>-862.90948982289 -59.1267739811517 -211.731832176144</f>
        <v>-1133.7680959801858</v>
      </c>
      <c r="Q1825">
        <f>-691.516845048579 -12.2690409605025 -374.457923635647</f>
        <v>-1078.2438096447283</v>
      </c>
      <c r="R1825" t="s">
        <v>37998</v>
      </c>
      <c r="S1825" t="s">
        <v>37999</v>
      </c>
      <c r="T1825" t="s">
        <v>38000</v>
      </c>
      <c r="U1825" t="s">
        <v>38001</v>
      </c>
      <c r="V1825" t="s">
        <v>38002</v>
      </c>
      <c r="W1825" t="s">
        <v>38003</v>
      </c>
      <c r="X1825" t="s">
        <v>38004</v>
      </c>
      <c r="Y1825" t="s">
        <v>38005</v>
      </c>
    </row>
    <row r="1826" spans="1:25" x14ac:dyDescent="0.3">
      <c r="A1826">
        <v>91250</v>
      </c>
      <c r="B1826" t="s">
        <v>38006</v>
      </c>
      <c r="C1826" t="s">
        <v>38007</v>
      </c>
      <c r="D1826" t="s">
        <v>38008</v>
      </c>
      <c r="E1826" t="s">
        <v>38009</v>
      </c>
      <c r="F1826" t="s">
        <v>38010</v>
      </c>
      <c r="G1826" t="s">
        <v>38011</v>
      </c>
      <c r="H1826" t="s">
        <v>38012</v>
      </c>
      <c r="I1826" t="s">
        <v>38013</v>
      </c>
      <c r="J1826" t="s">
        <v>38014</v>
      </c>
      <c r="K1826" t="s">
        <v>38015</v>
      </c>
      <c r="L1826" t="s">
        <v>38016</v>
      </c>
      <c r="M1826" t="s">
        <v>38017</v>
      </c>
      <c r="N1826" t="s">
        <v>38018</v>
      </c>
      <c r="O1826">
        <f>-871.414750177772 -11.4275205876611 -501.750568320117</f>
        <v>-1384.5928390855502</v>
      </c>
      <c r="P1826">
        <f>-861.151845166517 -59.8922437750325 -211.686835756982</f>
        <v>-1132.7309246985315</v>
      </c>
      <c r="Q1826">
        <f>-690.58929878647 -12.0264113547578 -374.990602492039</f>
        <v>-1077.6063126332667</v>
      </c>
      <c r="R1826" t="s">
        <v>38019</v>
      </c>
      <c r="S1826" t="s">
        <v>38020</v>
      </c>
      <c r="T1826" t="s">
        <v>38021</v>
      </c>
      <c r="U1826" t="s">
        <v>38022</v>
      </c>
      <c r="V1826" t="s">
        <v>38023</v>
      </c>
      <c r="W1826" t="s">
        <v>38024</v>
      </c>
      <c r="X1826" t="s">
        <v>38025</v>
      </c>
      <c r="Y1826" t="s">
        <v>38026</v>
      </c>
    </row>
    <row r="1827" spans="1:25" x14ac:dyDescent="0.3">
      <c r="A1827">
        <v>91300</v>
      </c>
      <c r="B1827" t="s">
        <v>38027</v>
      </c>
      <c r="C1827" t="s">
        <v>38028</v>
      </c>
      <c r="D1827" t="s">
        <v>38029</v>
      </c>
      <c r="E1827" t="s">
        <v>38030</v>
      </c>
      <c r="F1827" t="s">
        <v>38031</v>
      </c>
      <c r="G1827" t="s">
        <v>38032</v>
      </c>
      <c r="H1827" t="s">
        <v>38033</v>
      </c>
      <c r="I1827" t="s">
        <v>38034</v>
      </c>
      <c r="J1827" t="s">
        <v>38035</v>
      </c>
      <c r="K1827" t="s">
        <v>38036</v>
      </c>
      <c r="L1827" t="s">
        <v>38037</v>
      </c>
      <c r="M1827" t="s">
        <v>38038</v>
      </c>
      <c r="N1827" t="s">
        <v>38039</v>
      </c>
      <c r="O1827">
        <f>-870.201983021909 -12.5154752938979 -501.484025377738</f>
        <v>-1384.201483693545</v>
      </c>
      <c r="P1827">
        <f>-857.623483549233 -61.2579758877507 -211.557958464562</f>
        <v>-1130.4394179015458</v>
      </c>
      <c r="Q1827">
        <f>-688.605094660392 -11.3446208757782 -375.851085873838</f>
        <v>-1075.8008014100083</v>
      </c>
      <c r="R1827" t="s">
        <v>38040</v>
      </c>
      <c r="S1827" t="s">
        <v>38041</v>
      </c>
      <c r="T1827" t="s">
        <v>38042</v>
      </c>
      <c r="U1827" t="s">
        <v>38043</v>
      </c>
      <c r="V1827" t="s">
        <v>38044</v>
      </c>
      <c r="W1827" t="s">
        <v>38045</v>
      </c>
      <c r="X1827" t="s">
        <v>38046</v>
      </c>
      <c r="Y1827" t="s">
        <v>38047</v>
      </c>
    </row>
    <row r="1828" spans="1:25" x14ac:dyDescent="0.3">
      <c r="A1828">
        <v>91350</v>
      </c>
      <c r="B1828" t="s">
        <v>38048</v>
      </c>
      <c r="C1828" t="s">
        <v>38049</v>
      </c>
      <c r="D1828" t="s">
        <v>38050</v>
      </c>
      <c r="E1828" t="s">
        <v>38051</v>
      </c>
      <c r="F1828" t="s">
        <v>38052</v>
      </c>
      <c r="G1828" t="s">
        <v>38053</v>
      </c>
      <c r="H1828" t="s">
        <v>38054</v>
      </c>
      <c r="I1828" t="s">
        <v>38055</v>
      </c>
      <c r="J1828" t="s">
        <v>38056</v>
      </c>
      <c r="K1828" t="s">
        <v>38057</v>
      </c>
      <c r="L1828" t="s">
        <v>38058</v>
      </c>
      <c r="M1828" t="s">
        <v>38059</v>
      </c>
      <c r="N1828" t="s">
        <v>38060</v>
      </c>
      <c r="O1828">
        <f>-869.521741429551 -13.1743911371568 -501.342770283026</f>
        <v>-1384.0389028497339</v>
      </c>
      <c r="P1828">
        <f>-855.481822644763 -61.809003284849 -211.465759891225</f>
        <v>-1128.756585820837</v>
      </c>
      <c r="Q1828">
        <f>-687.373154866166 -11.0773240256799 -376.440576748298</f>
        <v>-1074.8910556401438</v>
      </c>
      <c r="R1828" t="s">
        <v>38061</v>
      </c>
      <c r="S1828" t="s">
        <v>38062</v>
      </c>
      <c r="T1828" t="s">
        <v>38063</v>
      </c>
      <c r="U1828" t="s">
        <v>38064</v>
      </c>
      <c r="V1828" t="s">
        <v>38065</v>
      </c>
      <c r="W1828" t="s">
        <v>38066</v>
      </c>
      <c r="X1828" t="s">
        <v>38067</v>
      </c>
      <c r="Y1828" t="s">
        <v>38068</v>
      </c>
    </row>
    <row r="1829" spans="1:25" x14ac:dyDescent="0.3">
      <c r="A1829">
        <v>91400</v>
      </c>
      <c r="B1829" t="s">
        <v>38069</v>
      </c>
      <c r="C1829" t="s">
        <v>38070</v>
      </c>
      <c r="D1829" t="s">
        <v>38071</v>
      </c>
      <c r="E1829" t="s">
        <v>38072</v>
      </c>
      <c r="F1829" t="s">
        <v>38073</v>
      </c>
      <c r="G1829" t="s">
        <v>38074</v>
      </c>
      <c r="H1829" t="s">
        <v>38075</v>
      </c>
      <c r="I1829" t="s">
        <v>38076</v>
      </c>
      <c r="J1829" t="s">
        <v>38077</v>
      </c>
      <c r="K1829" t="s">
        <v>38078</v>
      </c>
      <c r="L1829" t="s">
        <v>38079</v>
      </c>
      <c r="M1829" t="s">
        <v>38080</v>
      </c>
      <c r="N1829" t="s">
        <v>38081</v>
      </c>
      <c r="O1829">
        <f>-868.680951048849 -14.5817225100473 -501.209014579108</f>
        <v>-1384.4716881380043</v>
      </c>
      <c r="P1829">
        <f>-851.450398821334 -62.5010353126668 -211.384713813377</f>
        <v>-1125.3361479473779</v>
      </c>
      <c r="Q1829">
        <f>-684.989688730143 -11.0141867576044 -377.790099454751</f>
        <v>-1073.7939749424984</v>
      </c>
      <c r="R1829" t="s">
        <v>38082</v>
      </c>
      <c r="S1829" t="s">
        <v>38083</v>
      </c>
      <c r="T1829" t="s">
        <v>38084</v>
      </c>
      <c r="U1829" t="s">
        <v>38085</v>
      </c>
      <c r="V1829" t="s">
        <v>38086</v>
      </c>
      <c r="W1829" t="s">
        <v>38087</v>
      </c>
      <c r="X1829" t="s">
        <v>38088</v>
      </c>
      <c r="Y1829" t="s">
        <v>38089</v>
      </c>
    </row>
    <row r="1830" spans="1:25" x14ac:dyDescent="0.3">
      <c r="A1830">
        <v>91450</v>
      </c>
      <c r="B1830" t="s">
        <v>38090</v>
      </c>
      <c r="C1830" t="s">
        <v>38091</v>
      </c>
      <c r="D1830" t="s">
        <v>38092</v>
      </c>
      <c r="E1830" t="s">
        <v>38093</v>
      </c>
      <c r="F1830" t="s">
        <v>38094</v>
      </c>
      <c r="G1830" t="s">
        <v>38095</v>
      </c>
      <c r="H1830" t="s">
        <v>38096</v>
      </c>
      <c r="I1830" t="s">
        <v>38097</v>
      </c>
      <c r="J1830" t="s">
        <v>38098</v>
      </c>
      <c r="K1830" t="s">
        <v>38099</v>
      </c>
      <c r="L1830" t="s">
        <v>38100</v>
      </c>
      <c r="M1830" t="s">
        <v>38101</v>
      </c>
      <c r="N1830" t="s">
        <v>38102</v>
      </c>
      <c r="O1830">
        <f>-868.518240805998 -14.9475774996126 -501.175590005037</f>
        <v>-1384.6414083106476</v>
      </c>
      <c r="P1830">
        <f>-850.089006982935 -62.8229870817991 -211.417826881387</f>
        <v>-1124.3298209461209</v>
      </c>
      <c r="Q1830">
        <f>-684.449051251596 -11.1286580994383 -378.57642619548</f>
        <v>-1074.1541355465142</v>
      </c>
      <c r="R1830" t="s">
        <v>38103</v>
      </c>
      <c r="S1830" t="s">
        <v>38104</v>
      </c>
      <c r="T1830" t="s">
        <v>38105</v>
      </c>
      <c r="U1830" t="s">
        <v>38106</v>
      </c>
      <c r="V1830" t="s">
        <v>38107</v>
      </c>
      <c r="W1830" t="s">
        <v>38108</v>
      </c>
      <c r="X1830" t="s">
        <v>38109</v>
      </c>
      <c r="Y1830" t="s">
        <v>38110</v>
      </c>
    </row>
    <row r="1831" spans="1:25" x14ac:dyDescent="0.3">
      <c r="A1831">
        <v>91500</v>
      </c>
      <c r="B1831" t="s">
        <v>38111</v>
      </c>
      <c r="C1831" t="s">
        <v>38112</v>
      </c>
      <c r="D1831" t="s">
        <v>38113</v>
      </c>
      <c r="E1831" t="s">
        <v>38114</v>
      </c>
      <c r="F1831" t="s">
        <v>38115</v>
      </c>
      <c r="G1831" t="s">
        <v>38116</v>
      </c>
      <c r="H1831" t="s">
        <v>38117</v>
      </c>
      <c r="I1831" t="s">
        <v>38118</v>
      </c>
      <c r="J1831" t="s">
        <v>38119</v>
      </c>
      <c r="K1831" t="s">
        <v>38120</v>
      </c>
      <c r="L1831" t="s">
        <v>38121</v>
      </c>
      <c r="M1831" t="s">
        <v>38122</v>
      </c>
      <c r="N1831" t="s">
        <v>38123</v>
      </c>
      <c r="O1831">
        <f>-867.663609229332 -15.7883938555142 -500.941541900016</f>
        <v>-1384.3935449848623</v>
      </c>
      <c r="P1831">
        <f>-847.901874826565 -63.8885225452505 -211.308914395753</f>
        <v>-1123.0993117675685</v>
      </c>
      <c r="Q1831">
        <f>-683.059973628282 -13.1791137662703 -379.554556398065</f>
        <v>-1075.7936437926173</v>
      </c>
      <c r="R1831" t="s">
        <v>38124</v>
      </c>
      <c r="S1831" t="s">
        <v>38125</v>
      </c>
      <c r="T1831" t="s">
        <v>38126</v>
      </c>
      <c r="U1831" t="s">
        <v>38127</v>
      </c>
      <c r="V1831" t="s">
        <v>38128</v>
      </c>
      <c r="W1831" t="s">
        <v>38129</v>
      </c>
      <c r="X1831" t="s">
        <v>38130</v>
      </c>
      <c r="Y1831" t="s">
        <v>38131</v>
      </c>
    </row>
    <row r="1832" spans="1:25" x14ac:dyDescent="0.3">
      <c r="A1832">
        <v>91550</v>
      </c>
      <c r="B1832" t="s">
        <v>38132</v>
      </c>
      <c r="C1832" t="s">
        <v>38133</v>
      </c>
      <c r="D1832" t="s">
        <v>38134</v>
      </c>
      <c r="E1832" t="s">
        <v>38135</v>
      </c>
      <c r="F1832" t="s">
        <v>38136</v>
      </c>
      <c r="G1832" t="s">
        <v>38137</v>
      </c>
      <c r="H1832" t="s">
        <v>38138</v>
      </c>
      <c r="I1832" t="s">
        <v>38139</v>
      </c>
      <c r="J1832" t="s">
        <v>38140</v>
      </c>
      <c r="K1832" t="s">
        <v>38141</v>
      </c>
      <c r="L1832" t="s">
        <v>38142</v>
      </c>
      <c r="M1832" t="s">
        <v>38143</v>
      </c>
      <c r="N1832" t="s">
        <v>38144</v>
      </c>
      <c r="O1832">
        <f>-867.298990936307 -16.7245781070251 -500.657742449167</f>
        <v>-1384.6813114924989</v>
      </c>
      <c r="P1832">
        <f>-846.71487302623 -64.9701999624522 -211.106624767042</f>
        <v>-1122.791697755724</v>
      </c>
      <c r="Q1832">
        <f>-682.368034852918 -14.8029358165904 -379.99800581016</f>
        <v>-1077.1689764796683</v>
      </c>
      <c r="R1832" t="s">
        <v>38145</v>
      </c>
      <c r="S1832" t="s">
        <v>38146</v>
      </c>
      <c r="T1832" t="s">
        <v>38147</v>
      </c>
      <c r="U1832" t="s">
        <v>38148</v>
      </c>
      <c r="V1832" t="s">
        <v>38149</v>
      </c>
      <c r="W1832" t="s">
        <v>38150</v>
      </c>
      <c r="X1832" t="s">
        <v>38151</v>
      </c>
      <c r="Y1832" t="s">
        <v>38152</v>
      </c>
    </row>
    <row r="1833" spans="1:25" x14ac:dyDescent="0.3">
      <c r="A1833">
        <v>91600</v>
      </c>
      <c r="B1833" t="s">
        <v>38153</v>
      </c>
      <c r="C1833" t="s">
        <v>38154</v>
      </c>
      <c r="D1833" t="s">
        <v>38155</v>
      </c>
      <c r="E1833" t="s">
        <v>38156</v>
      </c>
      <c r="F1833" t="s">
        <v>38157</v>
      </c>
      <c r="G1833" t="s">
        <v>38158</v>
      </c>
      <c r="H1833" t="s">
        <v>38159</v>
      </c>
      <c r="I1833" t="s">
        <v>38160</v>
      </c>
      <c r="J1833" t="s">
        <v>38161</v>
      </c>
      <c r="K1833" t="s">
        <v>38162</v>
      </c>
      <c r="L1833" t="s">
        <v>38163</v>
      </c>
      <c r="M1833" t="s">
        <v>38164</v>
      </c>
      <c r="N1833" t="s">
        <v>38165</v>
      </c>
      <c r="O1833">
        <f>-866.57310911824 -18.7461923186675 -499.962124668217</f>
        <v>-1385.2814261051244</v>
      </c>
      <c r="P1833">
        <f>-844.079864162938 -66.5902095925298 -210.486421036507</f>
        <v>-1121.1564947919749</v>
      </c>
      <c r="Q1833">
        <f>-681.463505518483 -16.3985938440615 -381.037384764439</f>
        <v>-1078.8994841269835</v>
      </c>
      <c r="R1833" t="s">
        <v>38166</v>
      </c>
      <c r="S1833" t="s">
        <v>38167</v>
      </c>
      <c r="T1833" t="s">
        <v>38168</v>
      </c>
      <c r="U1833" t="s">
        <v>38169</v>
      </c>
      <c r="V1833" t="s">
        <v>38170</v>
      </c>
      <c r="W1833" t="s">
        <v>38171</v>
      </c>
      <c r="X1833" t="s">
        <v>38172</v>
      </c>
      <c r="Y1833" t="s">
        <v>38173</v>
      </c>
    </row>
    <row r="1834" spans="1:25" x14ac:dyDescent="0.3">
      <c r="A1834">
        <v>91650</v>
      </c>
      <c r="B1834" t="s">
        <v>38174</v>
      </c>
      <c r="C1834" t="s">
        <v>38175</v>
      </c>
      <c r="D1834" t="s">
        <v>38176</v>
      </c>
      <c r="E1834" t="s">
        <v>38177</v>
      </c>
      <c r="F1834" t="s">
        <v>38178</v>
      </c>
      <c r="G1834" t="s">
        <v>38179</v>
      </c>
      <c r="H1834" t="s">
        <v>38180</v>
      </c>
      <c r="I1834" t="s">
        <v>38181</v>
      </c>
      <c r="J1834" t="s">
        <v>38182</v>
      </c>
      <c r="K1834" t="s">
        <v>38183</v>
      </c>
      <c r="L1834" t="s">
        <v>38184</v>
      </c>
      <c r="M1834" t="s">
        <v>38185</v>
      </c>
      <c r="N1834" t="s">
        <v>38186</v>
      </c>
      <c r="O1834">
        <f>-866.304509119654 -20.0203955446896 -499.594142703683</f>
        <v>-1385.9190473680264</v>
      </c>
      <c r="P1834">
        <f>-842.944376090718 -67.5291634658242 -210.131745145437</f>
        <v>-1120.6052847019794</v>
      </c>
      <c r="Q1834">
        <f>-681.61145135239 -17.2610152469833 -381.87473799441</f>
        <v>-1080.7472045937834</v>
      </c>
      <c r="R1834" t="s">
        <v>38187</v>
      </c>
      <c r="S1834" t="s">
        <v>38188</v>
      </c>
      <c r="T1834" t="s">
        <v>38189</v>
      </c>
      <c r="U1834" t="s">
        <v>38190</v>
      </c>
      <c r="V1834" t="s">
        <v>38191</v>
      </c>
      <c r="W1834" t="s">
        <v>38192</v>
      </c>
      <c r="X1834" t="s">
        <v>38193</v>
      </c>
      <c r="Y1834" t="s">
        <v>38194</v>
      </c>
    </row>
    <row r="1835" spans="1:25" x14ac:dyDescent="0.3">
      <c r="A1835">
        <v>91700</v>
      </c>
      <c r="B1835" t="s">
        <v>38195</v>
      </c>
      <c r="C1835" t="s">
        <v>38196</v>
      </c>
      <c r="D1835" t="s">
        <v>38197</v>
      </c>
      <c r="E1835" t="s">
        <v>38198</v>
      </c>
      <c r="F1835" t="s">
        <v>38199</v>
      </c>
      <c r="G1835" t="s">
        <v>38200</v>
      </c>
      <c r="H1835" t="s">
        <v>38201</v>
      </c>
      <c r="I1835" t="s">
        <v>38202</v>
      </c>
      <c r="J1835" t="s">
        <v>38203</v>
      </c>
      <c r="K1835" t="s">
        <v>38204</v>
      </c>
      <c r="L1835" t="s">
        <v>38205</v>
      </c>
      <c r="M1835" t="s">
        <v>38206</v>
      </c>
      <c r="N1835" t="s">
        <v>38207</v>
      </c>
      <c r="O1835">
        <f>-865.568178569759 -22.1594098927208 -499.168488015602</f>
        <v>-1386.8960764780818</v>
      </c>
      <c r="P1835">
        <f>-840.162488344168 -70.0822893785125 -209.946942038923</f>
        <v>-1120.1917197616035</v>
      </c>
      <c r="Q1835">
        <f>-681.516721173551 -18.1839219312928 -383.696421436572</f>
        <v>-1083.3970645414158</v>
      </c>
      <c r="R1835" t="s">
        <v>38208</v>
      </c>
      <c r="S1835" t="s">
        <v>38209</v>
      </c>
      <c r="T1835" t="s">
        <v>38210</v>
      </c>
      <c r="U1835" t="s">
        <v>38211</v>
      </c>
      <c r="V1835" t="s">
        <v>38212</v>
      </c>
      <c r="W1835" t="s">
        <v>38213</v>
      </c>
      <c r="X1835" t="s">
        <v>38214</v>
      </c>
      <c r="Y1835" t="s">
        <v>38215</v>
      </c>
    </row>
    <row r="1836" spans="1:25" x14ac:dyDescent="0.3">
      <c r="A1836">
        <v>91750</v>
      </c>
      <c r="B1836" t="s">
        <v>38216</v>
      </c>
      <c r="C1836" t="s">
        <v>38217</v>
      </c>
      <c r="D1836" t="s">
        <v>38218</v>
      </c>
      <c r="E1836" t="s">
        <v>38219</v>
      </c>
      <c r="F1836" t="s">
        <v>38220</v>
      </c>
      <c r="G1836" t="s">
        <v>38221</v>
      </c>
      <c r="H1836" t="s">
        <v>38222</v>
      </c>
      <c r="I1836" t="s">
        <v>38223</v>
      </c>
      <c r="J1836" t="s">
        <v>38224</v>
      </c>
      <c r="K1836" t="s">
        <v>38225</v>
      </c>
      <c r="L1836" t="s">
        <v>38226</v>
      </c>
      <c r="M1836" t="s">
        <v>38227</v>
      </c>
      <c r="N1836" t="s">
        <v>38228</v>
      </c>
      <c r="O1836">
        <f>-865.118310076013 -23.0727283418191 -499.096177955058</f>
        <v>-1387.2872163728903</v>
      </c>
      <c r="P1836">
        <f>-838.727186503804 -71.5630196059865 -210.057470267213</f>
        <v>-1120.3476763770034</v>
      </c>
      <c r="Q1836">
        <f>-681.330318184881 -18.2996353539729 -384.528253894202</f>
        <v>-1084.1582074330558</v>
      </c>
      <c r="R1836" t="s">
        <v>38229</v>
      </c>
      <c r="S1836" t="s">
        <v>38230</v>
      </c>
      <c r="T1836" t="s">
        <v>38231</v>
      </c>
      <c r="U1836" t="s">
        <v>38232</v>
      </c>
      <c r="V1836" t="s">
        <v>38233</v>
      </c>
      <c r="W1836" t="s">
        <v>38234</v>
      </c>
      <c r="X1836" t="s">
        <v>38235</v>
      </c>
      <c r="Y1836" t="s">
        <v>38236</v>
      </c>
    </row>
    <row r="1837" spans="1:25" x14ac:dyDescent="0.3">
      <c r="A1837">
        <v>91800</v>
      </c>
      <c r="B1837" t="s">
        <v>38237</v>
      </c>
      <c r="C1837" t="s">
        <v>38238</v>
      </c>
      <c r="D1837" t="s">
        <v>38239</v>
      </c>
      <c r="E1837" t="s">
        <v>38240</v>
      </c>
      <c r="F1837" t="s">
        <v>38241</v>
      </c>
      <c r="G1837" t="s">
        <v>38242</v>
      </c>
      <c r="H1837" t="s">
        <v>38243</v>
      </c>
      <c r="I1837" t="s">
        <v>38244</v>
      </c>
      <c r="J1837" t="s">
        <v>38245</v>
      </c>
      <c r="K1837" t="s">
        <v>38246</v>
      </c>
      <c r="L1837" t="s">
        <v>38247</v>
      </c>
      <c r="M1837" t="s">
        <v>38248</v>
      </c>
      <c r="N1837" t="s">
        <v>38249</v>
      </c>
      <c r="O1837">
        <f>-864.238895805725 -24.4972864272158 -499.095795699764</f>
        <v>-1387.8319779327048</v>
      </c>
      <c r="P1837">
        <f>-836.234575206545 -73.8141793366954 -210.348880928136</f>
        <v>-1120.3976354713764</v>
      </c>
      <c r="Q1837">
        <f>-680.878756454785 -17.9081580478532 -385.819508391137</f>
        <v>-1084.6064228937753</v>
      </c>
      <c r="R1837" t="s">
        <v>38250</v>
      </c>
      <c r="S1837" t="s">
        <v>38251</v>
      </c>
      <c r="T1837" t="s">
        <v>38252</v>
      </c>
      <c r="U1837" t="s">
        <v>38253</v>
      </c>
      <c r="V1837" t="s">
        <v>38254</v>
      </c>
      <c r="W1837" t="s">
        <v>38255</v>
      </c>
      <c r="X1837" t="s">
        <v>38256</v>
      </c>
      <c r="Y1837" t="s">
        <v>38257</v>
      </c>
    </row>
    <row r="1838" spans="1:25" x14ac:dyDescent="0.3">
      <c r="A1838">
        <v>91850</v>
      </c>
      <c r="B1838" t="s">
        <v>38258</v>
      </c>
      <c r="C1838" t="s">
        <v>38259</v>
      </c>
      <c r="D1838" t="s">
        <v>38260</v>
      </c>
      <c r="E1838" t="s">
        <v>38261</v>
      </c>
      <c r="F1838" t="s">
        <v>38262</v>
      </c>
      <c r="G1838" t="s">
        <v>38263</v>
      </c>
      <c r="H1838" t="s">
        <v>38264</v>
      </c>
      <c r="I1838" t="s">
        <v>38265</v>
      </c>
      <c r="J1838" t="s">
        <v>38266</v>
      </c>
      <c r="K1838" t="s">
        <v>38267</v>
      </c>
      <c r="L1838" t="s">
        <v>38268</v>
      </c>
      <c r="M1838" t="s">
        <v>38269</v>
      </c>
      <c r="N1838" t="s">
        <v>38270</v>
      </c>
      <c r="O1838">
        <f>-864.051570677911 -24.7765029566508 -499.159914483535</f>
        <v>-1387.9879881180968</v>
      </c>
      <c r="P1838">
        <f>-835.328379731905 -74.3876938485273 -210.534055258113</f>
        <v>-1120.2501288385454</v>
      </c>
      <c r="Q1838">
        <f>-680.691449911158 -17.3618664725736 -386.279119518207</f>
        <v>-1084.3324359019387</v>
      </c>
      <c r="R1838" t="s">
        <v>38271</v>
      </c>
      <c r="S1838" t="s">
        <v>38272</v>
      </c>
      <c r="T1838" t="s">
        <v>38273</v>
      </c>
      <c r="U1838" t="s">
        <v>38274</v>
      </c>
      <c r="V1838" t="s">
        <v>38275</v>
      </c>
      <c r="W1838" t="s">
        <v>38276</v>
      </c>
      <c r="X1838" t="s">
        <v>38277</v>
      </c>
      <c r="Y1838" t="s">
        <v>38278</v>
      </c>
    </row>
    <row r="1839" spans="1:25" x14ac:dyDescent="0.3">
      <c r="A1839">
        <v>91900</v>
      </c>
      <c r="B1839" t="s">
        <v>38279</v>
      </c>
      <c r="C1839" t="s">
        <v>38280</v>
      </c>
      <c r="D1839" t="s">
        <v>38281</v>
      </c>
      <c r="E1839" t="s">
        <v>38282</v>
      </c>
      <c r="F1839" t="s">
        <v>38283</v>
      </c>
      <c r="G1839" t="s">
        <v>38284</v>
      </c>
      <c r="H1839" t="s">
        <v>38285</v>
      </c>
      <c r="I1839" t="s">
        <v>38286</v>
      </c>
      <c r="J1839" t="s">
        <v>38287</v>
      </c>
      <c r="K1839" t="s">
        <v>38288</v>
      </c>
      <c r="L1839" t="s">
        <v>38289</v>
      </c>
      <c r="M1839" t="s">
        <v>38290</v>
      </c>
      <c r="N1839" t="s">
        <v>38291</v>
      </c>
      <c r="O1839">
        <f>-864.01976986376 -24.8757742874345 -499.236431648985</f>
        <v>-1388.1319758001796</v>
      </c>
      <c r="P1839">
        <f>-834.631322476597 -74.5688166016519 -210.6915665445</f>
        <v>-1119.8917056227488</v>
      </c>
      <c r="Q1839">
        <f>-680.544310200872 -16.7992002059846 -386.676636279474</f>
        <v>-1084.0201466863305</v>
      </c>
      <c r="R1839" t="s">
        <v>38292</v>
      </c>
      <c r="S1839" t="s">
        <v>38293</v>
      </c>
      <c r="T1839" t="s">
        <v>38294</v>
      </c>
      <c r="U1839" t="s">
        <v>38295</v>
      </c>
      <c r="V1839" t="s">
        <v>38296</v>
      </c>
      <c r="W1839" t="s">
        <v>38297</v>
      </c>
      <c r="X1839" t="s">
        <v>38298</v>
      </c>
      <c r="Y1839" t="s">
        <v>38299</v>
      </c>
    </row>
    <row r="1840" spans="1:25" x14ac:dyDescent="0.3">
      <c r="A1840">
        <v>91950</v>
      </c>
      <c r="B1840" t="s">
        <v>38300</v>
      </c>
      <c r="C1840" t="s">
        <v>38301</v>
      </c>
      <c r="D1840" t="s">
        <v>38302</v>
      </c>
      <c r="E1840" t="s">
        <v>38303</v>
      </c>
      <c r="F1840" t="s">
        <v>38304</v>
      </c>
      <c r="G1840" t="s">
        <v>38305</v>
      </c>
      <c r="H1840" t="s">
        <v>38306</v>
      </c>
      <c r="I1840" t="s">
        <v>38307</v>
      </c>
      <c r="J1840" t="s">
        <v>38308</v>
      </c>
      <c r="K1840" t="s">
        <v>38309</v>
      </c>
      <c r="L1840" t="s">
        <v>38310</v>
      </c>
      <c r="M1840" t="s">
        <v>38311</v>
      </c>
      <c r="N1840" t="s">
        <v>38312</v>
      </c>
      <c r="O1840">
        <f>-864.026614528001 -24.8518734448712 -499.459878747912</f>
        <v>-1388.3383667207843</v>
      </c>
      <c r="P1840">
        <f>-833.692834144587 -75.0834387895452 -211.106075189309</f>
        <v>-1119.8823481234413</v>
      </c>
      <c r="Q1840">
        <f>-680.345954123421 -15.9342658481773 -387.279055914449</f>
        <v>-1083.5592758860473</v>
      </c>
      <c r="R1840" t="s">
        <v>38313</v>
      </c>
      <c r="S1840" t="s">
        <v>38314</v>
      </c>
      <c r="T1840" t="s">
        <v>38315</v>
      </c>
      <c r="U1840" t="s">
        <v>38316</v>
      </c>
      <c r="V1840" t="s">
        <v>38317</v>
      </c>
      <c r="W1840" t="s">
        <v>38318</v>
      </c>
      <c r="X1840" t="s">
        <v>38319</v>
      </c>
      <c r="Y1840" t="s">
        <v>38320</v>
      </c>
    </row>
    <row r="1841" spans="1:25" x14ac:dyDescent="0.3">
      <c r="A1841">
        <v>92000</v>
      </c>
      <c r="B1841" t="s">
        <v>38321</v>
      </c>
      <c r="C1841" t="s">
        <v>38322</v>
      </c>
      <c r="D1841" t="s">
        <v>38323</v>
      </c>
      <c r="E1841" t="s">
        <v>38324</v>
      </c>
      <c r="F1841" t="s">
        <v>38325</v>
      </c>
      <c r="G1841" t="s">
        <v>38326</v>
      </c>
      <c r="H1841" t="s">
        <v>38327</v>
      </c>
      <c r="I1841" t="s">
        <v>38328</v>
      </c>
      <c r="J1841" t="s">
        <v>38329</v>
      </c>
      <c r="K1841" t="s">
        <v>38330</v>
      </c>
      <c r="L1841" t="s">
        <v>38331</v>
      </c>
      <c r="M1841" t="s">
        <v>38332</v>
      </c>
      <c r="N1841" t="s">
        <v>38333</v>
      </c>
      <c r="O1841">
        <f>-864.307695952695 -24.8640061307688 -499.619226148533</f>
        <v>-1388.7909282319968</v>
      </c>
      <c r="P1841">
        <f>-833.504945361791 -75.3936105820324 -211.367513640997</f>
        <v>-1120.2660695848203</v>
      </c>
      <c r="Q1841">
        <f>-680.262664624667 -15.6622777746807 -387.435223474952</f>
        <v>-1083.3601658742996</v>
      </c>
      <c r="R1841" t="s">
        <v>38334</v>
      </c>
      <c r="S1841" t="s">
        <v>38335</v>
      </c>
      <c r="T1841" t="s">
        <v>38336</v>
      </c>
      <c r="U1841" t="s">
        <v>38337</v>
      </c>
      <c r="V1841" t="s">
        <v>38338</v>
      </c>
      <c r="W1841" t="s">
        <v>38339</v>
      </c>
      <c r="X1841" t="s">
        <v>38340</v>
      </c>
      <c r="Y1841" t="s">
        <v>38341</v>
      </c>
    </row>
    <row r="1842" spans="1:25" x14ac:dyDescent="0.3">
      <c r="A1842">
        <v>92050</v>
      </c>
      <c r="B1842" t="s">
        <v>38342</v>
      </c>
      <c r="C1842" t="s">
        <v>38343</v>
      </c>
      <c r="D1842" t="s">
        <v>38344</v>
      </c>
      <c r="E1842" t="s">
        <v>38345</v>
      </c>
      <c r="F1842" t="s">
        <v>38346</v>
      </c>
      <c r="G1842" t="s">
        <v>38347</v>
      </c>
      <c r="H1842" t="s">
        <v>38348</v>
      </c>
      <c r="I1842" t="s">
        <v>38349</v>
      </c>
      <c r="J1842" t="s">
        <v>38350</v>
      </c>
      <c r="K1842" t="s">
        <v>38351</v>
      </c>
      <c r="L1842" t="s">
        <v>38352</v>
      </c>
      <c r="M1842" t="s">
        <v>38353</v>
      </c>
      <c r="N1842" t="s">
        <v>38354</v>
      </c>
      <c r="O1842">
        <f>-864.55728189443 -24.8115832599447 -499.626935219052</f>
        <v>-1388.9958003734266</v>
      </c>
      <c r="P1842">
        <f>-833.712562382427 -75.3073678566241 -211.373482848528</f>
        <v>-1120.3934130875791</v>
      </c>
      <c r="Q1842">
        <f>-680.23210851624 -15.5976674684307 -387.24091243287</f>
        <v>-1083.0706884175406</v>
      </c>
      <c r="R1842" t="s">
        <v>38355</v>
      </c>
      <c r="S1842" t="s">
        <v>38356</v>
      </c>
      <c r="T1842" t="s">
        <v>38357</v>
      </c>
      <c r="U1842" t="s">
        <v>38358</v>
      </c>
      <c r="V1842" t="s">
        <v>38359</v>
      </c>
      <c r="W1842" t="s">
        <v>38360</v>
      </c>
      <c r="X1842" t="s">
        <v>38361</v>
      </c>
      <c r="Y1842" t="s">
        <v>38362</v>
      </c>
    </row>
    <row r="1843" spans="1:25" x14ac:dyDescent="0.3">
      <c r="A1843">
        <v>92100</v>
      </c>
      <c r="B1843" t="s">
        <v>38363</v>
      </c>
      <c r="C1843" t="s">
        <v>38364</v>
      </c>
      <c r="D1843" t="s">
        <v>38365</v>
      </c>
      <c r="E1843" t="s">
        <v>38366</v>
      </c>
      <c r="F1843" t="s">
        <v>38367</v>
      </c>
      <c r="G1843" t="s">
        <v>38368</v>
      </c>
      <c r="H1843" t="s">
        <v>38369</v>
      </c>
      <c r="I1843" t="s">
        <v>38370</v>
      </c>
      <c r="J1843" t="s">
        <v>38371</v>
      </c>
      <c r="K1843" t="s">
        <v>38372</v>
      </c>
      <c r="L1843" t="s">
        <v>38373</v>
      </c>
      <c r="M1843" t="s">
        <v>38374</v>
      </c>
      <c r="N1843" t="s">
        <v>38375</v>
      </c>
      <c r="O1843">
        <f>-865.137430245522 -24.3935514075802 -499.620289550074</f>
        <v>-1389.1512712031761</v>
      </c>
      <c r="P1843">
        <f>-834.839580389999 -74.5409237307886 -211.248103385113</f>
        <v>-1120.6286075059006</v>
      </c>
      <c r="Q1843">
        <f>-680.232798264224 -15.1298162141302 -386.227820594143</f>
        <v>-1081.5904350724973</v>
      </c>
      <c r="R1843" t="s">
        <v>38376</v>
      </c>
      <c r="S1843" t="s">
        <v>38377</v>
      </c>
      <c r="T1843" t="s">
        <v>38378</v>
      </c>
      <c r="U1843" t="s">
        <v>38379</v>
      </c>
      <c r="V1843" t="s">
        <v>38380</v>
      </c>
      <c r="W1843" t="s">
        <v>38381</v>
      </c>
      <c r="X1843" t="s">
        <v>38382</v>
      </c>
      <c r="Y1843" t="s">
        <v>38383</v>
      </c>
    </row>
    <row r="1844" spans="1:25" x14ac:dyDescent="0.3">
      <c r="A1844">
        <v>92150</v>
      </c>
      <c r="B1844" t="s">
        <v>38384</v>
      </c>
      <c r="C1844" t="s">
        <v>38385</v>
      </c>
      <c r="D1844" t="s">
        <v>38386</v>
      </c>
      <c r="E1844" t="s">
        <v>38387</v>
      </c>
      <c r="F1844" t="s">
        <v>38388</v>
      </c>
      <c r="G1844" t="s">
        <v>38389</v>
      </c>
      <c r="H1844" t="s">
        <v>38390</v>
      </c>
      <c r="I1844" t="s">
        <v>38391</v>
      </c>
      <c r="J1844" t="s">
        <v>38392</v>
      </c>
      <c r="K1844" t="s">
        <v>38393</v>
      </c>
      <c r="L1844" t="s">
        <v>38394</v>
      </c>
      <c r="M1844" t="s">
        <v>38395</v>
      </c>
      <c r="N1844" t="s">
        <v>38396</v>
      </c>
      <c r="O1844">
        <f>-865.452266474087 -24.2442255239243 -499.614155577973</f>
        <v>-1389.3106475759844</v>
      </c>
      <c r="P1844">
        <f>-835.390241401691 -74.0465283933233 -211.157603654969</f>
        <v>-1120.5943734499833</v>
      </c>
      <c r="Q1844">
        <f>-680.012128800124 -14.8970135408995 -385.541605242201</f>
        <v>-1080.4507475832245</v>
      </c>
      <c r="R1844" t="s">
        <v>38397</v>
      </c>
      <c r="S1844" t="s">
        <v>38398</v>
      </c>
      <c r="T1844" t="s">
        <v>38399</v>
      </c>
      <c r="U1844" t="s">
        <v>38400</v>
      </c>
      <c r="V1844" t="s">
        <v>38401</v>
      </c>
      <c r="W1844" t="s">
        <v>38402</v>
      </c>
      <c r="X1844" t="s">
        <v>38403</v>
      </c>
      <c r="Y1844" t="s">
        <v>38404</v>
      </c>
    </row>
    <row r="1845" spans="1:25" x14ac:dyDescent="0.3">
      <c r="A1845">
        <v>92200</v>
      </c>
      <c r="B1845" t="s">
        <v>38405</v>
      </c>
      <c r="C1845" t="s">
        <v>38406</v>
      </c>
      <c r="D1845" t="s">
        <v>38407</v>
      </c>
      <c r="E1845" t="s">
        <v>38408</v>
      </c>
      <c r="F1845" t="s">
        <v>38409</v>
      </c>
      <c r="G1845" t="s">
        <v>38410</v>
      </c>
      <c r="H1845" t="s">
        <v>38411</v>
      </c>
      <c r="I1845" t="s">
        <v>38412</v>
      </c>
      <c r="J1845" t="s">
        <v>38413</v>
      </c>
      <c r="K1845" t="s">
        <v>38414</v>
      </c>
      <c r="L1845" t="s">
        <v>38415</v>
      </c>
      <c r="M1845" t="s">
        <v>38416</v>
      </c>
      <c r="N1845" t="s">
        <v>38417</v>
      </c>
      <c r="O1845">
        <f>-866.161514181331 -24.2623848893772 -499.446954889499</f>
        <v>-1389.8708539602071</v>
      </c>
      <c r="P1845">
        <f>-836.175858737487 -72.8591754956171 -210.777077656801</f>
        <v>-1119.8121118899053</v>
      </c>
      <c r="Q1845">
        <f>-678.997749901655 -14.7572430153873 -383.895706259661</f>
        <v>-1077.6506991767033</v>
      </c>
      <c r="R1845" t="s">
        <v>38418</v>
      </c>
      <c r="S1845" t="s">
        <v>38419</v>
      </c>
      <c r="T1845" t="s">
        <v>38420</v>
      </c>
      <c r="U1845" t="s">
        <v>38421</v>
      </c>
      <c r="V1845" t="s">
        <v>38422</v>
      </c>
      <c r="W1845" t="s">
        <v>38423</v>
      </c>
      <c r="X1845" t="s">
        <v>38424</v>
      </c>
      <c r="Y1845" t="s">
        <v>38425</v>
      </c>
    </row>
    <row r="1846" spans="1:25" x14ac:dyDescent="0.3">
      <c r="A1846">
        <v>92250</v>
      </c>
      <c r="B1846" t="s">
        <v>38426</v>
      </c>
      <c r="C1846" t="s">
        <v>38427</v>
      </c>
      <c r="D1846" t="s">
        <v>38428</v>
      </c>
      <c r="E1846" t="s">
        <v>38429</v>
      </c>
      <c r="F1846" t="s">
        <v>38430</v>
      </c>
      <c r="G1846" t="s">
        <v>38431</v>
      </c>
      <c r="H1846" t="s">
        <v>38432</v>
      </c>
      <c r="I1846" t="s">
        <v>38433</v>
      </c>
      <c r="J1846" t="s">
        <v>38434</v>
      </c>
      <c r="K1846" t="s">
        <v>38435</v>
      </c>
      <c r="L1846" t="s">
        <v>38436</v>
      </c>
      <c r="M1846" t="s">
        <v>38437</v>
      </c>
      <c r="N1846" t="s">
        <v>38438</v>
      </c>
      <c r="O1846">
        <f>-866.406301468076 -24.4118315541041 -499.314649013647</f>
        <v>-1390.1327820358269</v>
      </c>
      <c r="P1846">
        <f>-836.498928838565 -72.3385700518304 -210.524361103096</f>
        <v>-1119.3618599934914</v>
      </c>
      <c r="Q1846">
        <f>-678.438758150353 -15.0189022940835 -383.099645320725</f>
        <v>-1076.5573057651616</v>
      </c>
      <c r="R1846" t="s">
        <v>38439</v>
      </c>
      <c r="S1846" t="s">
        <v>38440</v>
      </c>
      <c r="T1846" t="s">
        <v>38441</v>
      </c>
      <c r="U1846" t="s">
        <v>38442</v>
      </c>
      <c r="V1846" t="s">
        <v>38443</v>
      </c>
      <c r="W1846" t="s">
        <v>38444</v>
      </c>
      <c r="X1846" t="s">
        <v>38445</v>
      </c>
      <c r="Y1846" t="s">
        <v>38446</v>
      </c>
    </row>
    <row r="1847" spans="1:25" x14ac:dyDescent="0.3">
      <c r="A1847">
        <v>92300</v>
      </c>
      <c r="B1847" t="s">
        <v>38447</v>
      </c>
      <c r="C1847" t="s">
        <v>38448</v>
      </c>
      <c r="D1847" t="s">
        <v>38449</v>
      </c>
      <c r="E1847" t="s">
        <v>38450</v>
      </c>
      <c r="F1847" t="s">
        <v>38451</v>
      </c>
      <c r="G1847" t="s">
        <v>38452</v>
      </c>
      <c r="H1847" t="s">
        <v>38453</v>
      </c>
      <c r="I1847" t="s">
        <v>38454</v>
      </c>
      <c r="J1847" t="s">
        <v>38455</v>
      </c>
      <c r="K1847" t="s">
        <v>38456</v>
      </c>
      <c r="L1847" t="s">
        <v>38457</v>
      </c>
      <c r="M1847" t="s">
        <v>38458</v>
      </c>
      <c r="N1847" t="s">
        <v>38459</v>
      </c>
      <c r="O1847">
        <f>-866.532230290818 -25.1660847880075 -499.08534960608</f>
        <v>-1390.7836646849055</v>
      </c>
      <c r="P1847">
        <f>-836.890445028595 -72.0003514299231 -210.088492996828</f>
        <v>-1118.9792894553461</v>
      </c>
      <c r="Q1847">
        <f>-677.457472196157 -15.7806960125349 -381.760469947385</f>
        <v>-1074.998638156077</v>
      </c>
      <c r="R1847" t="s">
        <v>38460</v>
      </c>
      <c r="S1847" t="s">
        <v>38461</v>
      </c>
      <c r="T1847" t="s">
        <v>38462</v>
      </c>
      <c r="U1847" t="s">
        <v>38463</v>
      </c>
      <c r="V1847" t="s">
        <v>38464</v>
      </c>
      <c r="W1847" t="s">
        <v>38465</v>
      </c>
      <c r="X1847" t="s">
        <v>38466</v>
      </c>
      <c r="Y1847" t="s">
        <v>38467</v>
      </c>
    </row>
    <row r="1848" spans="1:25" x14ac:dyDescent="0.3">
      <c r="A1848">
        <v>92350</v>
      </c>
      <c r="B1848" t="s">
        <v>38468</v>
      </c>
      <c r="C1848" t="s">
        <v>38469</v>
      </c>
      <c r="D1848" t="s">
        <v>38470</v>
      </c>
      <c r="E1848" t="s">
        <v>38471</v>
      </c>
      <c r="F1848" t="s">
        <v>38472</v>
      </c>
      <c r="G1848" t="s">
        <v>38473</v>
      </c>
      <c r="H1848" t="s">
        <v>38474</v>
      </c>
      <c r="I1848" t="s">
        <v>38475</v>
      </c>
      <c r="J1848" t="s">
        <v>38476</v>
      </c>
      <c r="K1848" t="s">
        <v>38477</v>
      </c>
      <c r="L1848" t="s">
        <v>38478</v>
      </c>
      <c r="M1848" t="s">
        <v>38479</v>
      </c>
      <c r="N1848" t="s">
        <v>38480</v>
      </c>
      <c r="O1848">
        <f>-866.524199450175 -25.5487607509367 -498.970968100785</f>
        <v>-1391.0439283018968</v>
      </c>
      <c r="P1848">
        <f>-836.93209436699 -71.9784544511497 -209.903933937433</f>
        <v>-1118.8144827555727</v>
      </c>
      <c r="Q1848">
        <f>-677.029156353718 -15.8942978658688 -381.183139000372</f>
        <v>-1074.1065932199588</v>
      </c>
      <c r="R1848" t="s">
        <v>38481</v>
      </c>
      <c r="S1848" t="s">
        <v>38482</v>
      </c>
      <c r="T1848" t="s">
        <v>38483</v>
      </c>
      <c r="U1848" t="s">
        <v>38484</v>
      </c>
      <c r="V1848" t="s">
        <v>38485</v>
      </c>
      <c r="W1848" t="s">
        <v>38486</v>
      </c>
      <c r="X1848" t="s">
        <v>38487</v>
      </c>
      <c r="Y1848" t="s">
        <v>38488</v>
      </c>
    </row>
    <row r="1849" spans="1:25" x14ac:dyDescent="0.3">
      <c r="A1849">
        <v>92400</v>
      </c>
      <c r="B1849" t="s">
        <v>38489</v>
      </c>
      <c r="C1849" t="s">
        <v>38490</v>
      </c>
      <c r="D1849" t="s">
        <v>38491</v>
      </c>
      <c r="E1849" t="s">
        <v>38492</v>
      </c>
      <c r="F1849" t="s">
        <v>38493</v>
      </c>
      <c r="G1849" t="s">
        <v>38494</v>
      </c>
      <c r="H1849" t="s">
        <v>38495</v>
      </c>
      <c r="I1849" t="s">
        <v>38496</v>
      </c>
      <c r="J1849" t="s">
        <v>38497</v>
      </c>
      <c r="K1849" t="s">
        <v>38498</v>
      </c>
      <c r="L1849" t="s">
        <v>38499</v>
      </c>
      <c r="M1849" t="s">
        <v>38500</v>
      </c>
      <c r="N1849" t="s">
        <v>38501</v>
      </c>
      <c r="O1849">
        <f>-866.639833958253 -26.2740690779265 -498.710112641617</f>
        <v>-1391.6240156777965</v>
      </c>
      <c r="P1849">
        <f>-837.009393263017 -72.0702993596217 -209.545887236578</f>
        <v>-1118.6255798592167</v>
      </c>
      <c r="Q1849">
        <f>-676.498424322135 -15.6905387080983 -380.157977415264</f>
        <v>-1072.3469404454972</v>
      </c>
      <c r="R1849" t="s">
        <v>38502</v>
      </c>
      <c r="S1849" t="s">
        <v>38503</v>
      </c>
      <c r="T1849" t="s">
        <v>38504</v>
      </c>
      <c r="U1849" t="s">
        <v>38505</v>
      </c>
      <c r="V1849" t="s">
        <v>38506</v>
      </c>
      <c r="W1849" t="s">
        <v>38507</v>
      </c>
      <c r="X1849" t="s">
        <v>38508</v>
      </c>
      <c r="Y1849" t="s">
        <v>38509</v>
      </c>
    </row>
    <row r="1850" spans="1:25" x14ac:dyDescent="0.3">
      <c r="A1850">
        <v>92450</v>
      </c>
      <c r="B1850" t="s">
        <v>38510</v>
      </c>
      <c r="C1850" t="s">
        <v>38511</v>
      </c>
      <c r="D1850" t="s">
        <v>38512</v>
      </c>
      <c r="E1850" t="s">
        <v>38513</v>
      </c>
      <c r="F1850" t="s">
        <v>38514</v>
      </c>
      <c r="G1850" t="s">
        <v>38515</v>
      </c>
      <c r="H1850" t="s">
        <v>38516</v>
      </c>
      <c r="I1850" t="s">
        <v>38517</v>
      </c>
      <c r="J1850" t="s">
        <v>38518</v>
      </c>
      <c r="K1850" t="s">
        <v>38519</v>
      </c>
      <c r="L1850" t="s">
        <v>38520</v>
      </c>
      <c r="M1850" t="s">
        <v>38521</v>
      </c>
      <c r="N1850" t="s">
        <v>38522</v>
      </c>
      <c r="O1850">
        <f>-866.767701329446 -26.7891823138143 -498.541442771197</f>
        <v>-1392.0983264144575</v>
      </c>
      <c r="P1850">
        <f>-837.08467765399 -72.3912355238983 -209.352027934743</f>
        <v>-1118.8279411126314</v>
      </c>
      <c r="Q1850">
        <f>-676.313478814038 -15.5480973858434 -379.564830975609</f>
        <v>-1071.4264071754906</v>
      </c>
      <c r="R1850" t="s">
        <v>38523</v>
      </c>
      <c r="S1850" t="s">
        <v>38524</v>
      </c>
      <c r="T1850" t="s">
        <v>38525</v>
      </c>
      <c r="U1850" t="s">
        <v>38526</v>
      </c>
      <c r="V1850" t="s">
        <v>38527</v>
      </c>
      <c r="W1850" t="s">
        <v>38528</v>
      </c>
      <c r="X1850" t="s">
        <v>38529</v>
      </c>
      <c r="Y1850" t="s">
        <v>38530</v>
      </c>
    </row>
    <row r="1851" spans="1:25" x14ac:dyDescent="0.3">
      <c r="A1851">
        <v>92500</v>
      </c>
      <c r="B1851" t="s">
        <v>38531</v>
      </c>
      <c r="C1851" t="s">
        <v>38532</v>
      </c>
      <c r="D1851" t="s">
        <v>38533</v>
      </c>
      <c r="E1851" t="s">
        <v>38534</v>
      </c>
      <c r="F1851" t="s">
        <v>38535</v>
      </c>
      <c r="G1851" t="s">
        <v>38536</v>
      </c>
      <c r="H1851" t="s">
        <v>38537</v>
      </c>
      <c r="I1851" t="s">
        <v>38538</v>
      </c>
      <c r="J1851" t="s">
        <v>38539</v>
      </c>
      <c r="K1851" t="s">
        <v>38540</v>
      </c>
      <c r="L1851" t="s">
        <v>38541</v>
      </c>
      <c r="M1851" t="s">
        <v>38542</v>
      </c>
      <c r="N1851" t="s">
        <v>38543</v>
      </c>
      <c r="O1851">
        <f>-867.208664974682 -27.8614603135306 -498.207722588662</f>
        <v>-1393.2778478768746</v>
      </c>
      <c r="P1851">
        <f>-837.189118164034 -72.7479100661837 -208.941116372437</f>
        <v>-1118.8781446026546</v>
      </c>
      <c r="Q1851">
        <f>-675.808977386369 -14.9143732778884 -378.241352699913</f>
        <v>-1068.9647033641704</v>
      </c>
      <c r="R1851" t="s">
        <v>38544</v>
      </c>
      <c r="S1851" t="s">
        <v>38545</v>
      </c>
      <c r="T1851" t="s">
        <v>38546</v>
      </c>
      <c r="U1851" t="s">
        <v>38547</v>
      </c>
      <c r="V1851" t="s">
        <v>38548</v>
      </c>
      <c r="W1851" t="s">
        <v>38549</v>
      </c>
      <c r="X1851" t="s">
        <v>38550</v>
      </c>
      <c r="Y1851" t="s">
        <v>38551</v>
      </c>
    </row>
    <row r="1852" spans="1:25" x14ac:dyDescent="0.3">
      <c r="A1852">
        <v>92550</v>
      </c>
      <c r="B1852" t="s">
        <v>38552</v>
      </c>
      <c r="C1852" t="s">
        <v>38553</v>
      </c>
      <c r="D1852" t="s">
        <v>38554</v>
      </c>
      <c r="E1852" t="s">
        <v>38555</v>
      </c>
      <c r="F1852" t="s">
        <v>38556</v>
      </c>
      <c r="G1852" t="s">
        <v>38557</v>
      </c>
      <c r="H1852" t="s">
        <v>38558</v>
      </c>
      <c r="I1852" t="s">
        <v>38559</v>
      </c>
      <c r="J1852" t="s">
        <v>38560</v>
      </c>
      <c r="K1852" t="s">
        <v>38561</v>
      </c>
      <c r="L1852" t="s">
        <v>38562</v>
      </c>
      <c r="M1852" t="s">
        <v>38563</v>
      </c>
      <c r="N1852" t="s">
        <v>38564</v>
      </c>
      <c r="O1852">
        <f>-867.322784854629 -28.4460434158418 -498.052498916142</f>
        <v>-1393.821327186613</v>
      </c>
      <c r="P1852">
        <f>-837.052222081379 -73.1684558826505 -208.786450215237</f>
        <v>-1119.0071281792666</v>
      </c>
      <c r="Q1852">
        <f>-675.511161620537 -14.24576376601 -377.556987007456</f>
        <v>-1067.313912394003</v>
      </c>
      <c r="R1852" t="s">
        <v>38565</v>
      </c>
      <c r="S1852" t="s">
        <v>38566</v>
      </c>
      <c r="T1852" t="s">
        <v>38567</v>
      </c>
      <c r="U1852" t="s">
        <v>38568</v>
      </c>
      <c r="V1852" t="s">
        <v>38569</v>
      </c>
      <c r="W1852" t="s">
        <v>38570</v>
      </c>
      <c r="X1852" t="s">
        <v>38571</v>
      </c>
      <c r="Y1852" t="s">
        <v>38572</v>
      </c>
    </row>
    <row r="1853" spans="1:25" x14ac:dyDescent="0.3">
      <c r="A1853">
        <v>92600</v>
      </c>
      <c r="B1853" t="s">
        <v>38573</v>
      </c>
      <c r="C1853" t="s">
        <v>38574</v>
      </c>
      <c r="D1853" t="s">
        <v>38575</v>
      </c>
      <c r="E1853" t="s">
        <v>38576</v>
      </c>
      <c r="F1853" t="s">
        <v>38577</v>
      </c>
      <c r="G1853" t="s">
        <v>38578</v>
      </c>
      <c r="H1853" t="s">
        <v>38579</v>
      </c>
      <c r="I1853" t="s">
        <v>38580</v>
      </c>
      <c r="J1853" t="s">
        <v>38581</v>
      </c>
      <c r="K1853" t="s">
        <v>38582</v>
      </c>
      <c r="L1853" t="s">
        <v>38583</v>
      </c>
      <c r="M1853" t="s">
        <v>38584</v>
      </c>
      <c r="N1853" t="s">
        <v>38585</v>
      </c>
      <c r="O1853">
        <f>-867.558115811324 -29.4768290262796 -497.825821527341</f>
        <v>-1394.8607663649445</v>
      </c>
      <c r="P1853">
        <f>-836.893244929915 -73.7026999448558 -208.525070747278</f>
        <v>-1119.1210156220488</v>
      </c>
      <c r="Q1853">
        <f>-675.08996611557 -12.7223159828995 -376.310842707678</f>
        <v>-1064.1231248061474</v>
      </c>
      <c r="R1853" t="s">
        <v>38586</v>
      </c>
      <c r="S1853" t="s">
        <v>38587</v>
      </c>
      <c r="T1853" t="s">
        <v>38588</v>
      </c>
      <c r="U1853" t="s">
        <v>38589</v>
      </c>
      <c r="V1853" t="s">
        <v>38590</v>
      </c>
      <c r="W1853" t="s">
        <v>38591</v>
      </c>
      <c r="X1853" t="s">
        <v>38592</v>
      </c>
      <c r="Y1853" t="s">
        <v>38593</v>
      </c>
    </row>
    <row r="1854" spans="1:25" x14ac:dyDescent="0.3">
      <c r="A1854">
        <v>92650</v>
      </c>
      <c r="B1854" t="s">
        <v>38594</v>
      </c>
      <c r="C1854" t="s">
        <v>38595</v>
      </c>
      <c r="D1854" t="s">
        <v>38596</v>
      </c>
      <c r="E1854" t="s">
        <v>38597</v>
      </c>
      <c r="F1854" t="s">
        <v>38598</v>
      </c>
      <c r="G1854" t="s">
        <v>38599</v>
      </c>
      <c r="H1854" t="s">
        <v>38600</v>
      </c>
      <c r="I1854" t="s">
        <v>38601</v>
      </c>
      <c r="J1854" t="s">
        <v>38602</v>
      </c>
      <c r="K1854" t="s">
        <v>38603</v>
      </c>
      <c r="L1854" t="s">
        <v>38604</v>
      </c>
      <c r="M1854" t="s">
        <v>38605</v>
      </c>
      <c r="N1854" t="s">
        <v>38606</v>
      </c>
      <c r="O1854">
        <f>-867.743059630397 -29.8736003406339 -497.752125743988</f>
        <v>-1395.3687857150189</v>
      </c>
      <c r="P1854">
        <f>-836.732840259289 -73.842203312083 -208.448829795061</f>
        <v>-1119.023873366433</v>
      </c>
      <c r="Q1854">
        <f>-674.614517471284 -12.1590513074339 -375.672509110467</f>
        <v>-1062.4460778891848</v>
      </c>
      <c r="R1854" t="s">
        <v>38607</v>
      </c>
      <c r="S1854" t="s">
        <v>38608</v>
      </c>
      <c r="T1854" t="s">
        <v>38609</v>
      </c>
      <c r="U1854" t="s">
        <v>38610</v>
      </c>
      <c r="V1854" t="s">
        <v>38611</v>
      </c>
      <c r="W1854" t="s">
        <v>38612</v>
      </c>
      <c r="X1854" t="s">
        <v>38613</v>
      </c>
      <c r="Y1854" t="s">
        <v>38614</v>
      </c>
    </row>
    <row r="1855" spans="1:25" x14ac:dyDescent="0.3">
      <c r="A1855">
        <v>92700</v>
      </c>
      <c r="B1855" t="s">
        <v>38615</v>
      </c>
      <c r="C1855" t="s">
        <v>38616</v>
      </c>
      <c r="D1855" t="s">
        <v>38617</v>
      </c>
      <c r="E1855" t="s">
        <v>38618</v>
      </c>
      <c r="F1855" t="s">
        <v>38619</v>
      </c>
      <c r="G1855" t="s">
        <v>38620</v>
      </c>
      <c r="H1855" t="s">
        <v>38621</v>
      </c>
      <c r="I1855" t="s">
        <v>38622</v>
      </c>
      <c r="J1855" t="s">
        <v>38623</v>
      </c>
      <c r="K1855" t="s">
        <v>38624</v>
      </c>
      <c r="L1855" t="s">
        <v>38625</v>
      </c>
      <c r="M1855" t="s">
        <v>38626</v>
      </c>
      <c r="N1855" t="s">
        <v>38627</v>
      </c>
      <c r="O1855">
        <f>-868.53465830603 -30.5363594919058 -497.612495885148</f>
        <v>-1396.6835136830839</v>
      </c>
      <c r="P1855">
        <f>-836.834536641354 -73.9080981417649 -208.294117895008</f>
        <v>-1119.036752678127</v>
      </c>
      <c r="Q1855">
        <f>-673.513335684815 -12.1523766358368 -374.316085600486</f>
        <v>-1059.981797921138</v>
      </c>
      <c r="R1855" t="s">
        <v>38628</v>
      </c>
      <c r="S1855" t="s">
        <v>38629</v>
      </c>
      <c r="T1855" t="s">
        <v>38630</v>
      </c>
      <c r="U1855" t="s">
        <v>38631</v>
      </c>
      <c r="V1855" t="s">
        <v>38632</v>
      </c>
      <c r="W1855" t="s">
        <v>38633</v>
      </c>
      <c r="X1855" t="s">
        <v>38634</v>
      </c>
      <c r="Y1855" t="s">
        <v>38635</v>
      </c>
    </row>
    <row r="1856" spans="1:25" x14ac:dyDescent="0.3">
      <c r="A1856">
        <v>92750</v>
      </c>
      <c r="B1856" t="s">
        <v>38636</v>
      </c>
      <c r="C1856" t="s">
        <v>38637</v>
      </c>
      <c r="D1856" t="s">
        <v>38638</v>
      </c>
      <c r="E1856" t="s">
        <v>38639</v>
      </c>
      <c r="F1856" t="s">
        <v>38640</v>
      </c>
      <c r="G1856" t="s">
        <v>38641</v>
      </c>
      <c r="H1856" t="s">
        <v>38642</v>
      </c>
      <c r="I1856" t="s">
        <v>38643</v>
      </c>
      <c r="J1856" t="s">
        <v>38644</v>
      </c>
      <c r="K1856" t="s">
        <v>38645</v>
      </c>
      <c r="L1856" t="s">
        <v>38646</v>
      </c>
      <c r="M1856" t="s">
        <v>38647</v>
      </c>
      <c r="N1856" t="s">
        <v>38648</v>
      </c>
      <c r="O1856">
        <f>-869.048397485215 -30.8444768302611 -497.526787430976</f>
        <v>-1397.4196617464522</v>
      </c>
      <c r="P1856">
        <f>-837.143307216892 -73.7044849610263 -208.154633144977</f>
        <v>-1119.0024253228953</v>
      </c>
      <c r="Q1856">
        <f>-673.271021724652 -12.6474852294918 -373.891674047002</f>
        <v>-1059.8101810011458</v>
      </c>
      <c r="R1856" t="s">
        <v>38649</v>
      </c>
      <c r="S1856" t="s">
        <v>38650</v>
      </c>
      <c r="T1856" t="s">
        <v>38651</v>
      </c>
      <c r="U1856" t="s">
        <v>38652</v>
      </c>
      <c r="V1856" t="s">
        <v>38653</v>
      </c>
      <c r="W1856" t="s">
        <v>38654</v>
      </c>
      <c r="X1856" t="s">
        <v>38655</v>
      </c>
      <c r="Y1856" t="s">
        <v>38656</v>
      </c>
    </row>
    <row r="1857" spans="1:25" x14ac:dyDescent="0.3">
      <c r="A1857">
        <v>92800</v>
      </c>
      <c r="B1857" t="s">
        <v>38657</v>
      </c>
      <c r="C1857" t="s">
        <v>38658</v>
      </c>
      <c r="D1857" t="s">
        <v>38659</v>
      </c>
      <c r="E1857" t="s">
        <v>38660</v>
      </c>
      <c r="F1857" t="s">
        <v>38661</v>
      </c>
      <c r="G1857" t="s">
        <v>38662</v>
      </c>
      <c r="H1857" t="s">
        <v>38663</v>
      </c>
      <c r="I1857" t="s">
        <v>38664</v>
      </c>
      <c r="J1857" t="s">
        <v>38665</v>
      </c>
      <c r="K1857" t="s">
        <v>38666</v>
      </c>
      <c r="L1857" t="s">
        <v>38667</v>
      </c>
      <c r="M1857" t="s">
        <v>38668</v>
      </c>
      <c r="N1857" t="s">
        <v>38669</v>
      </c>
      <c r="O1857">
        <f>-869.783030736117 -31.684330080504 -497.379693219188</f>
        <v>-1398.8470540358089</v>
      </c>
      <c r="P1857">
        <f>-837.563074487262 -73.782425755415 -207.930599122359</f>
        <v>-1119.2760993650361</v>
      </c>
      <c r="Q1857">
        <f>-672.438238118951 -14.3528545293511 -373.014587864734</f>
        <v>-1059.8056805130361</v>
      </c>
      <c r="R1857" t="s">
        <v>38670</v>
      </c>
      <c r="S1857" t="s">
        <v>38671</v>
      </c>
      <c r="T1857" t="s">
        <v>38672</v>
      </c>
      <c r="U1857" t="s">
        <v>38673</v>
      </c>
      <c r="V1857" t="s">
        <v>38674</v>
      </c>
      <c r="W1857" t="s">
        <v>38675</v>
      </c>
      <c r="X1857" t="s">
        <v>38676</v>
      </c>
      <c r="Y1857" t="s">
        <v>38677</v>
      </c>
    </row>
    <row r="1858" spans="1:25" x14ac:dyDescent="0.3">
      <c r="A1858">
        <v>92850</v>
      </c>
      <c r="B1858" t="s">
        <v>38678</v>
      </c>
      <c r="C1858" t="s">
        <v>38679</v>
      </c>
      <c r="D1858" t="s">
        <v>38680</v>
      </c>
      <c r="E1858" t="s">
        <v>38681</v>
      </c>
      <c r="F1858" t="s">
        <v>38682</v>
      </c>
      <c r="G1858" t="s">
        <v>38683</v>
      </c>
      <c r="H1858" t="s">
        <v>38684</v>
      </c>
      <c r="I1858" t="s">
        <v>38685</v>
      </c>
      <c r="J1858" t="s">
        <v>38686</v>
      </c>
      <c r="K1858" t="s">
        <v>38687</v>
      </c>
      <c r="L1858" t="s">
        <v>38688</v>
      </c>
      <c r="M1858" t="s">
        <v>38689</v>
      </c>
      <c r="N1858" t="s">
        <v>38690</v>
      </c>
      <c r="O1858">
        <f>-870.232788993159 -31.9997467017083 -497.289444442747</f>
        <v>-1399.5219801376143</v>
      </c>
      <c r="P1858">
        <f>-838.098472593528 -73.6302537533231 -207.763245935184</f>
        <v>-1119.491972282035</v>
      </c>
      <c r="Q1858">
        <f>-672.364157174494 -15.0663267937066 -372.54585600038</f>
        <v>-1059.9763399685808</v>
      </c>
      <c r="R1858" t="s">
        <v>38691</v>
      </c>
      <c r="S1858" t="s">
        <v>38692</v>
      </c>
      <c r="T1858" t="s">
        <v>38693</v>
      </c>
      <c r="U1858" t="s">
        <v>38694</v>
      </c>
      <c r="V1858" t="s">
        <v>38695</v>
      </c>
      <c r="W1858" t="s">
        <v>38696</v>
      </c>
      <c r="X1858" t="s">
        <v>38697</v>
      </c>
      <c r="Y1858" t="s">
        <v>38698</v>
      </c>
    </row>
    <row r="1859" spans="1:25" x14ac:dyDescent="0.3">
      <c r="A1859">
        <v>92900</v>
      </c>
      <c r="B1859" t="s">
        <v>38699</v>
      </c>
      <c r="C1859" t="s">
        <v>38700</v>
      </c>
      <c r="D1859" t="s">
        <v>38701</v>
      </c>
      <c r="E1859" t="s">
        <v>38702</v>
      </c>
      <c r="F1859" t="s">
        <v>38703</v>
      </c>
      <c r="G1859" t="s">
        <v>38704</v>
      </c>
      <c r="H1859" t="s">
        <v>38705</v>
      </c>
      <c r="I1859" t="s">
        <v>38706</v>
      </c>
      <c r="J1859" t="s">
        <v>38707</v>
      </c>
      <c r="K1859" t="s">
        <v>38708</v>
      </c>
      <c r="L1859" t="s">
        <v>38709</v>
      </c>
      <c r="M1859" t="s">
        <v>38710</v>
      </c>
      <c r="N1859" t="s">
        <v>38711</v>
      </c>
      <c r="O1859">
        <f>-870.981564325305 -32.4067806680441 -497.024620652132</f>
        <v>-1400.4129656454811</v>
      </c>
      <c r="P1859">
        <f>-839.188349509959 -73.163278725892 -207.336297349253</f>
        <v>-1119.687925585104</v>
      </c>
      <c r="Q1859">
        <f>-672.299069407118 -16.1649796119627 -371.50085275185</f>
        <v>-1059.9649017709307</v>
      </c>
      <c r="R1859" t="s">
        <v>38712</v>
      </c>
      <c r="S1859" t="s">
        <v>38713</v>
      </c>
      <c r="T1859" t="s">
        <v>38714</v>
      </c>
      <c r="U1859" t="s">
        <v>38715</v>
      </c>
      <c r="V1859" t="s">
        <v>38716</v>
      </c>
      <c r="W1859" t="s">
        <v>38717</v>
      </c>
      <c r="X1859" t="s">
        <v>38718</v>
      </c>
      <c r="Y1859" t="s">
        <v>38719</v>
      </c>
    </row>
    <row r="1860" spans="1:25" x14ac:dyDescent="0.3">
      <c r="A1860">
        <v>92950</v>
      </c>
      <c r="B1860" t="s">
        <v>38720</v>
      </c>
      <c r="C1860" t="s">
        <v>38721</v>
      </c>
      <c r="D1860" t="s">
        <v>38722</v>
      </c>
      <c r="E1860" t="s">
        <v>38723</v>
      </c>
      <c r="F1860" t="s">
        <v>38724</v>
      </c>
      <c r="G1860" t="s">
        <v>38725</v>
      </c>
      <c r="H1860" t="s">
        <v>38726</v>
      </c>
      <c r="I1860" t="s">
        <v>38727</v>
      </c>
      <c r="J1860" t="s">
        <v>38728</v>
      </c>
      <c r="K1860" t="s">
        <v>38729</v>
      </c>
      <c r="L1860" t="s">
        <v>38730</v>
      </c>
      <c r="M1860" t="s">
        <v>38731</v>
      </c>
      <c r="N1860" t="s">
        <v>38732</v>
      </c>
      <c r="O1860">
        <f>-871.101774869698 -32.5204274333273 -496.922955431742</f>
        <v>-1400.5451577347674</v>
      </c>
      <c r="P1860">
        <f>-839.612625538932 -72.8555661813477 -207.142535586853</f>
        <v>-1119.6107273071327</v>
      </c>
      <c r="Q1860">
        <f>-671.992499671939 -16.7702010571302 -370.876476524357</f>
        <v>-1059.6391772534262</v>
      </c>
      <c r="R1860" t="s">
        <v>38733</v>
      </c>
      <c r="S1860" t="s">
        <v>38734</v>
      </c>
      <c r="T1860" t="s">
        <v>38735</v>
      </c>
      <c r="U1860" t="s">
        <v>38736</v>
      </c>
      <c r="V1860" t="s">
        <v>38737</v>
      </c>
      <c r="W1860" t="s">
        <v>38738</v>
      </c>
      <c r="X1860" t="s">
        <v>38739</v>
      </c>
      <c r="Y1860" t="s">
        <v>38740</v>
      </c>
    </row>
    <row r="1861" spans="1:25" x14ac:dyDescent="0.3">
      <c r="A1861">
        <v>93000</v>
      </c>
      <c r="B1861" t="s">
        <v>38741</v>
      </c>
      <c r="C1861" t="s">
        <v>38742</v>
      </c>
      <c r="D1861" t="s">
        <v>38743</v>
      </c>
      <c r="E1861" t="s">
        <v>38744</v>
      </c>
      <c r="F1861" t="s">
        <v>38745</v>
      </c>
      <c r="G1861" t="s">
        <v>38746</v>
      </c>
      <c r="H1861" t="s">
        <v>38747</v>
      </c>
      <c r="I1861" t="s">
        <v>38748</v>
      </c>
      <c r="J1861" t="s">
        <v>38749</v>
      </c>
      <c r="K1861" t="s">
        <v>38750</v>
      </c>
      <c r="L1861" t="s">
        <v>38751</v>
      </c>
      <c r="M1861" t="s">
        <v>38752</v>
      </c>
      <c r="N1861" t="s">
        <v>38753</v>
      </c>
      <c r="O1861">
        <f>-871.103676061267 -32.3779201533016 -496.844628720903</f>
        <v>-1400.3262249354716</v>
      </c>
      <c r="P1861">
        <f>-840.403169212765 -72.1450208096549 -206.900969077638</f>
        <v>-1119.4491591000578</v>
      </c>
      <c r="Q1861">
        <f>-671.059412289815 -17.602174789416 -369.377511841266</f>
        <v>-1058.0390989204971</v>
      </c>
      <c r="R1861" t="s">
        <v>38754</v>
      </c>
      <c r="S1861" t="s">
        <v>38755</v>
      </c>
      <c r="T1861" t="s">
        <v>38756</v>
      </c>
      <c r="U1861" t="s">
        <v>38757</v>
      </c>
      <c r="V1861" t="s">
        <v>38758</v>
      </c>
      <c r="W1861" t="s">
        <v>38759</v>
      </c>
      <c r="X1861" t="s">
        <v>38760</v>
      </c>
      <c r="Y1861" t="s">
        <v>38761</v>
      </c>
    </row>
    <row r="1862" spans="1:25" x14ac:dyDescent="0.3">
      <c r="A1862">
        <v>93050</v>
      </c>
      <c r="B1862" t="s">
        <v>38762</v>
      </c>
      <c r="C1862" t="s">
        <v>38763</v>
      </c>
      <c r="D1862" t="s">
        <v>38764</v>
      </c>
      <c r="E1862" t="s">
        <v>38765</v>
      </c>
      <c r="F1862" t="s">
        <v>38766</v>
      </c>
      <c r="G1862" t="s">
        <v>38767</v>
      </c>
      <c r="H1862" t="s">
        <v>38768</v>
      </c>
      <c r="I1862" t="s">
        <v>38769</v>
      </c>
      <c r="J1862" t="s">
        <v>38770</v>
      </c>
      <c r="K1862" t="s">
        <v>38771</v>
      </c>
      <c r="L1862" t="s">
        <v>38772</v>
      </c>
      <c r="M1862" t="s">
        <v>38773</v>
      </c>
      <c r="N1862" t="s">
        <v>38774</v>
      </c>
      <c r="O1862">
        <f>-870.905508214881 -32.3621034770968 -496.838255026439</f>
        <v>-1400.1058667184168</v>
      </c>
      <c r="P1862">
        <f>-840.628753422775 -71.9409455613447 -206.82427111323</f>
        <v>-1119.3939700973497</v>
      </c>
      <c r="Q1862">
        <f>-670.45836927036 -18.0734232237487 -368.66125347607</f>
        <v>-1057.1930459701787</v>
      </c>
      <c r="R1862" t="s">
        <v>38775</v>
      </c>
      <c r="S1862" t="s">
        <v>38776</v>
      </c>
      <c r="T1862" t="s">
        <v>38777</v>
      </c>
      <c r="U1862" t="s">
        <v>38778</v>
      </c>
      <c r="V1862" t="s">
        <v>38779</v>
      </c>
      <c r="W1862" t="s">
        <v>38780</v>
      </c>
      <c r="X1862" t="s">
        <v>38781</v>
      </c>
      <c r="Y1862" t="s">
        <v>38782</v>
      </c>
    </row>
    <row r="1863" spans="1:25" x14ac:dyDescent="0.3">
      <c r="A1863">
        <v>93100</v>
      </c>
      <c r="B1863" t="s">
        <v>38783</v>
      </c>
      <c r="C1863" t="s">
        <v>38784</v>
      </c>
      <c r="D1863" t="s">
        <v>38785</v>
      </c>
      <c r="E1863" t="s">
        <v>38786</v>
      </c>
      <c r="F1863" t="s">
        <v>38787</v>
      </c>
      <c r="G1863" t="s">
        <v>38788</v>
      </c>
      <c r="H1863" t="s">
        <v>38789</v>
      </c>
      <c r="I1863" t="s">
        <v>38790</v>
      </c>
      <c r="J1863" t="s">
        <v>38791</v>
      </c>
      <c r="K1863" t="s">
        <v>38792</v>
      </c>
      <c r="L1863" t="s">
        <v>38793</v>
      </c>
      <c r="M1863" t="s">
        <v>38794</v>
      </c>
      <c r="N1863" t="s">
        <v>38795</v>
      </c>
      <c r="O1863">
        <f>-869.892155069502 -32.2598654373019 -496.758743857545</f>
        <v>-1398.9107643643488</v>
      </c>
      <c r="P1863">
        <f>-840.298524888273 -71.2188847159625 -206.590503359008</f>
        <v>-1118.1079129632435</v>
      </c>
      <c r="Q1863">
        <f>-668.621365200393 -18.6205142793438 -367.248845690557</f>
        <v>-1054.4907251702939</v>
      </c>
      <c r="R1863" t="s">
        <v>38796</v>
      </c>
      <c r="S1863" t="s">
        <v>38797</v>
      </c>
      <c r="T1863" t="s">
        <v>38798</v>
      </c>
      <c r="U1863" t="s">
        <v>38799</v>
      </c>
      <c r="V1863" t="s">
        <v>38800</v>
      </c>
      <c r="W1863" t="s">
        <v>38801</v>
      </c>
      <c r="X1863" t="s">
        <v>38802</v>
      </c>
      <c r="Y1863" t="s">
        <v>38803</v>
      </c>
    </row>
    <row r="1864" spans="1:25" x14ac:dyDescent="0.3">
      <c r="A1864">
        <v>93150</v>
      </c>
      <c r="B1864" t="s">
        <v>38804</v>
      </c>
      <c r="C1864" t="s">
        <v>38805</v>
      </c>
      <c r="D1864" t="s">
        <v>38806</v>
      </c>
      <c r="E1864" t="s">
        <v>38807</v>
      </c>
      <c r="F1864" t="s">
        <v>38808</v>
      </c>
      <c r="G1864" t="s">
        <v>38809</v>
      </c>
      <c r="H1864" t="s">
        <v>38810</v>
      </c>
      <c r="I1864" t="s">
        <v>38811</v>
      </c>
      <c r="J1864" t="s">
        <v>38812</v>
      </c>
      <c r="K1864" t="s">
        <v>38813</v>
      </c>
      <c r="L1864" t="s">
        <v>38814</v>
      </c>
      <c r="M1864" t="s">
        <v>38815</v>
      </c>
      <c r="N1864" t="s">
        <v>38816</v>
      </c>
      <c r="O1864">
        <f>-869.251606068627 -32.314511441487 -496.68644579141</f>
        <v>-1398.2525633015239</v>
      </c>
      <c r="P1864">
        <f>-840.088575431736 -70.7023177733874 -206.398343558863</f>
        <v>-1117.1892367639864</v>
      </c>
      <c r="Q1864">
        <f>-667.771775403674 -19.1493861670479 -366.710796891223</f>
        <v>-1053.631958461945</v>
      </c>
      <c r="R1864" t="s">
        <v>38817</v>
      </c>
      <c r="S1864" t="s">
        <v>38818</v>
      </c>
      <c r="T1864" t="s">
        <v>38819</v>
      </c>
      <c r="U1864" t="s">
        <v>38820</v>
      </c>
      <c r="V1864" t="s">
        <v>38821</v>
      </c>
      <c r="W1864" t="s">
        <v>38822</v>
      </c>
      <c r="X1864" t="s">
        <v>38823</v>
      </c>
      <c r="Y1864" t="s">
        <v>38824</v>
      </c>
    </row>
    <row r="1865" spans="1:25" x14ac:dyDescent="0.3">
      <c r="A1865">
        <v>93200</v>
      </c>
      <c r="B1865" t="s">
        <v>38825</v>
      </c>
      <c r="C1865" t="s">
        <v>38826</v>
      </c>
      <c r="D1865" t="s">
        <v>38827</v>
      </c>
      <c r="E1865" t="s">
        <v>38828</v>
      </c>
      <c r="F1865" t="s">
        <v>38829</v>
      </c>
      <c r="G1865" t="s">
        <v>38830</v>
      </c>
      <c r="H1865" t="s">
        <v>38831</v>
      </c>
      <c r="I1865" t="s">
        <v>38832</v>
      </c>
      <c r="J1865" t="s">
        <v>38833</v>
      </c>
      <c r="K1865" t="s">
        <v>38834</v>
      </c>
      <c r="L1865" t="s">
        <v>38835</v>
      </c>
      <c r="M1865" t="s">
        <v>38836</v>
      </c>
      <c r="N1865" t="s">
        <v>38837</v>
      </c>
      <c r="O1865">
        <f>-868.150246298716 -32.2685547614701 -496.460674456457</f>
        <v>-1396.8794755166432</v>
      </c>
      <c r="P1865">
        <f>-839.445354855555 -69.762190500596 -206.010148924987</f>
        <v>-1115.2176942811379</v>
      </c>
      <c r="Q1865">
        <f>-666.088268140041 -19.773361773854 -365.695323899453</f>
        <v>-1051.5569538133482</v>
      </c>
      <c r="R1865" t="s">
        <v>38838</v>
      </c>
      <c r="S1865" t="s">
        <v>38839</v>
      </c>
      <c r="T1865" t="s">
        <v>38840</v>
      </c>
      <c r="U1865" t="s">
        <v>38841</v>
      </c>
      <c r="V1865" t="s">
        <v>38842</v>
      </c>
      <c r="W1865" t="s">
        <v>38843</v>
      </c>
      <c r="X1865" t="s">
        <v>38844</v>
      </c>
      <c r="Y1865" t="s">
        <v>38845</v>
      </c>
    </row>
    <row r="1866" spans="1:25" x14ac:dyDescent="0.3">
      <c r="A1866">
        <v>93250</v>
      </c>
      <c r="B1866" t="s">
        <v>38846</v>
      </c>
      <c r="C1866" t="s">
        <v>38847</v>
      </c>
      <c r="D1866" t="s">
        <v>38848</v>
      </c>
      <c r="E1866" t="s">
        <v>38849</v>
      </c>
      <c r="F1866" t="s">
        <v>38850</v>
      </c>
      <c r="G1866" t="s">
        <v>38851</v>
      </c>
      <c r="H1866" t="s">
        <v>38852</v>
      </c>
      <c r="I1866" t="s">
        <v>38853</v>
      </c>
      <c r="J1866" t="s">
        <v>38854</v>
      </c>
      <c r="K1866" t="s">
        <v>38855</v>
      </c>
      <c r="L1866" t="s">
        <v>38856</v>
      </c>
      <c r="M1866" t="s">
        <v>38857</v>
      </c>
      <c r="N1866" t="s">
        <v>38858</v>
      </c>
      <c r="O1866">
        <f>-867.577521258132 -32.36844085031 -496.244271529042</f>
        <v>-1396.190233637484</v>
      </c>
      <c r="P1866">
        <f>-839.004980169689 -69.4836883671512 -205.732136450779</f>
        <v>-1114.2208049876192</v>
      </c>
      <c r="Q1866">
        <f>-665.337299704989 -20.2392187116211 -365.310903974604</f>
        <v>-1050.8874223912142</v>
      </c>
      <c r="R1866" t="s">
        <v>38859</v>
      </c>
      <c r="S1866" t="s">
        <v>38860</v>
      </c>
      <c r="T1866" t="s">
        <v>38861</v>
      </c>
      <c r="U1866" t="s">
        <v>38862</v>
      </c>
      <c r="V1866" t="s">
        <v>38863</v>
      </c>
      <c r="W1866" t="s">
        <v>38864</v>
      </c>
      <c r="X1866" t="s">
        <v>38865</v>
      </c>
      <c r="Y1866" t="s">
        <v>38866</v>
      </c>
    </row>
    <row r="1867" spans="1:25" x14ac:dyDescent="0.3">
      <c r="A1867">
        <v>93300</v>
      </c>
      <c r="B1867" t="s">
        <v>38867</v>
      </c>
      <c r="C1867" t="s">
        <v>38868</v>
      </c>
      <c r="D1867" t="s">
        <v>38869</v>
      </c>
      <c r="E1867" t="s">
        <v>38870</v>
      </c>
      <c r="F1867" t="s">
        <v>38871</v>
      </c>
      <c r="G1867" t="s">
        <v>38872</v>
      </c>
      <c r="H1867" t="s">
        <v>38873</v>
      </c>
      <c r="I1867" t="s">
        <v>38874</v>
      </c>
      <c r="J1867" t="s">
        <v>38875</v>
      </c>
      <c r="K1867" t="s">
        <v>38876</v>
      </c>
      <c r="L1867" t="s">
        <v>38877</v>
      </c>
      <c r="M1867" t="s">
        <v>38878</v>
      </c>
      <c r="N1867" t="s">
        <v>38879</v>
      </c>
      <c r="O1867">
        <f>-866.680174342907 -33.215854392964 -495.56705989571</f>
        <v>-1395.4630886315811</v>
      </c>
      <c r="P1867">
        <f>-838.200485625918 -69.2206159792188 -204.906147757379</f>
        <v>-1112.3272493625157</v>
      </c>
      <c r="Q1867">
        <f>-664.249321040122 -20.9938894816191 -364.487203108144</f>
        <v>-1049.7304136298851</v>
      </c>
      <c r="R1867" t="s">
        <v>38880</v>
      </c>
      <c r="S1867" t="s">
        <v>38881</v>
      </c>
      <c r="T1867" t="s">
        <v>38882</v>
      </c>
      <c r="U1867" t="s">
        <v>38883</v>
      </c>
      <c r="V1867" t="s">
        <v>38884</v>
      </c>
      <c r="W1867" t="s">
        <v>38885</v>
      </c>
      <c r="X1867" t="s">
        <v>38886</v>
      </c>
      <c r="Y1867" t="s">
        <v>38887</v>
      </c>
    </row>
    <row r="1868" spans="1:25" x14ac:dyDescent="0.3">
      <c r="A1868">
        <v>93350</v>
      </c>
      <c r="B1868" t="s">
        <v>38888</v>
      </c>
      <c r="C1868" t="s">
        <v>38889</v>
      </c>
      <c r="D1868" t="s">
        <v>38890</v>
      </c>
      <c r="E1868" t="s">
        <v>38891</v>
      </c>
      <c r="F1868" t="s">
        <v>38892</v>
      </c>
      <c r="G1868" t="s">
        <v>38893</v>
      </c>
      <c r="H1868" t="s">
        <v>38894</v>
      </c>
      <c r="I1868" t="s">
        <v>38895</v>
      </c>
      <c r="J1868" t="s">
        <v>38896</v>
      </c>
      <c r="K1868" t="s">
        <v>38897</v>
      </c>
      <c r="L1868" t="s">
        <v>38898</v>
      </c>
      <c r="M1868" t="s">
        <v>38899</v>
      </c>
      <c r="N1868" t="s">
        <v>38900</v>
      </c>
      <c r="O1868">
        <f>-866.153085704547 -33.577919136384 -495.285847721599</f>
        <v>-1395.0168525625299</v>
      </c>
      <c r="P1868">
        <f>-837.732912720468 -68.9085001966123 -204.536437653022</f>
        <v>-1111.1778505701022</v>
      </c>
      <c r="Q1868">
        <f>-663.710225418248 -21.3343892599396 -364.235038602662</f>
        <v>-1049.2796532808495</v>
      </c>
      <c r="R1868" t="s">
        <v>38901</v>
      </c>
      <c r="S1868" t="s">
        <v>38902</v>
      </c>
      <c r="T1868" t="s">
        <v>38903</v>
      </c>
      <c r="U1868" t="s">
        <v>38904</v>
      </c>
      <c r="V1868" t="s">
        <v>38905</v>
      </c>
      <c r="W1868" t="s">
        <v>38906</v>
      </c>
      <c r="X1868" t="s">
        <v>38907</v>
      </c>
      <c r="Y1868" t="s">
        <v>38908</v>
      </c>
    </row>
    <row r="1869" spans="1:25" x14ac:dyDescent="0.3">
      <c r="A1869">
        <v>93400</v>
      </c>
      <c r="B1869" t="s">
        <v>38909</v>
      </c>
      <c r="C1869" t="s">
        <v>38910</v>
      </c>
      <c r="D1869" t="s">
        <v>38911</v>
      </c>
      <c r="E1869" t="s">
        <v>38912</v>
      </c>
      <c r="F1869" t="s">
        <v>38913</v>
      </c>
      <c r="G1869" t="s">
        <v>38914</v>
      </c>
      <c r="H1869" t="s">
        <v>38915</v>
      </c>
      <c r="I1869" t="s">
        <v>38916</v>
      </c>
      <c r="J1869" t="s">
        <v>38917</v>
      </c>
      <c r="K1869" t="s">
        <v>38918</v>
      </c>
      <c r="L1869" t="s">
        <v>38919</v>
      </c>
      <c r="M1869" t="s">
        <v>38920</v>
      </c>
      <c r="N1869" t="s">
        <v>38921</v>
      </c>
      <c r="O1869">
        <f>-864.750245439122 -34.1359127797887 -494.95861090076</f>
        <v>-1393.8447691196707</v>
      </c>
      <c r="P1869">
        <f>-836.538425984789 -68.7046802442185 -204.097359384668</f>
        <v>-1109.3404656136754</v>
      </c>
      <c r="Q1869">
        <f>-662.160608197696 -21.8337265492469 -363.61636261647</f>
        <v>-1047.6106973634128</v>
      </c>
      <c r="R1869" t="s">
        <v>38922</v>
      </c>
      <c r="S1869" t="s">
        <v>38923</v>
      </c>
      <c r="T1869" t="s">
        <v>38924</v>
      </c>
      <c r="U1869" t="s">
        <v>38925</v>
      </c>
      <c r="V1869" t="s">
        <v>38926</v>
      </c>
      <c r="W1869" t="s">
        <v>38927</v>
      </c>
      <c r="X1869" t="s">
        <v>38928</v>
      </c>
      <c r="Y1869" t="s">
        <v>38929</v>
      </c>
    </row>
    <row r="1870" spans="1:25" x14ac:dyDescent="0.3">
      <c r="A1870">
        <v>93450</v>
      </c>
      <c r="B1870" t="s">
        <v>38930</v>
      </c>
      <c r="C1870" t="s">
        <v>38931</v>
      </c>
      <c r="D1870" t="s">
        <v>38932</v>
      </c>
      <c r="E1870" t="s">
        <v>38933</v>
      </c>
      <c r="F1870" t="s">
        <v>38934</v>
      </c>
      <c r="G1870" t="s">
        <v>38935</v>
      </c>
      <c r="H1870" t="s">
        <v>38936</v>
      </c>
      <c r="I1870" t="s">
        <v>38937</v>
      </c>
      <c r="J1870" t="s">
        <v>38938</v>
      </c>
      <c r="K1870" t="s">
        <v>38939</v>
      </c>
      <c r="L1870" t="s">
        <v>38940</v>
      </c>
      <c r="M1870" t="s">
        <v>38941</v>
      </c>
      <c r="N1870" t="s">
        <v>38942</v>
      </c>
      <c r="O1870">
        <f>-864.01489442732 -34.1626994913017 -494.849497051368</f>
        <v>-1393.0270909699898</v>
      </c>
      <c r="P1870">
        <f>-836.0648509485 -68.4084643558485 -203.924671248671</f>
        <v>-1108.3979865530196</v>
      </c>
      <c r="Q1870">
        <f>-661.351515585395 -21.9979641127256 -363.211035960699</f>
        <v>-1046.5605156588197</v>
      </c>
      <c r="R1870" t="s">
        <v>38943</v>
      </c>
      <c r="S1870" t="s">
        <v>38944</v>
      </c>
      <c r="T1870" t="s">
        <v>38945</v>
      </c>
      <c r="U1870" t="s">
        <v>38946</v>
      </c>
      <c r="V1870" t="s">
        <v>38947</v>
      </c>
      <c r="W1870" t="s">
        <v>38948</v>
      </c>
      <c r="X1870" t="s">
        <v>38949</v>
      </c>
      <c r="Y1870" t="s">
        <v>38950</v>
      </c>
    </row>
    <row r="1871" spans="1:25" x14ac:dyDescent="0.3">
      <c r="A1871">
        <v>93500</v>
      </c>
      <c r="B1871" t="s">
        <v>38951</v>
      </c>
      <c r="C1871" t="s">
        <v>38952</v>
      </c>
      <c r="D1871" t="s">
        <v>38953</v>
      </c>
      <c r="E1871" t="s">
        <v>38954</v>
      </c>
      <c r="F1871" t="s">
        <v>38955</v>
      </c>
      <c r="G1871" t="s">
        <v>38956</v>
      </c>
      <c r="H1871" t="s">
        <v>38957</v>
      </c>
      <c r="I1871" t="s">
        <v>38958</v>
      </c>
      <c r="J1871" t="s">
        <v>38959</v>
      </c>
      <c r="K1871" t="s">
        <v>38960</v>
      </c>
      <c r="L1871" t="s">
        <v>38961</v>
      </c>
      <c r="M1871" t="s">
        <v>38962</v>
      </c>
      <c r="N1871" t="s">
        <v>38963</v>
      </c>
      <c r="O1871">
        <f>-862.571909006514 -34.3736036606479 -494.540688901951</f>
        <v>-1391.4862015691128</v>
      </c>
      <c r="P1871">
        <f>-835.149340588287 -68.2005284675902 -203.516753840895</f>
        <v>-1106.8666228967722</v>
      </c>
      <c r="Q1871">
        <f>-659.832482366028 -22.8248562516155 -362.437899378739</f>
        <v>-1045.0952379963826</v>
      </c>
      <c r="R1871" t="s">
        <v>38964</v>
      </c>
      <c r="S1871" t="s">
        <v>38965</v>
      </c>
      <c r="T1871" t="s">
        <v>38966</v>
      </c>
      <c r="U1871" t="s">
        <v>38967</v>
      </c>
      <c r="V1871" t="s">
        <v>38968</v>
      </c>
      <c r="W1871" t="s">
        <v>38969</v>
      </c>
      <c r="X1871" t="s">
        <v>38970</v>
      </c>
      <c r="Y1871" t="s">
        <v>38971</v>
      </c>
    </row>
    <row r="1872" spans="1:25" x14ac:dyDescent="0.3">
      <c r="A1872">
        <v>93550</v>
      </c>
      <c r="B1872" t="s">
        <v>38972</v>
      </c>
      <c r="C1872" t="s">
        <v>38973</v>
      </c>
      <c r="D1872" t="s">
        <v>38974</v>
      </c>
      <c r="E1872" t="s">
        <v>38975</v>
      </c>
      <c r="F1872" t="s">
        <v>38976</v>
      </c>
      <c r="G1872" t="s">
        <v>38977</v>
      </c>
      <c r="H1872" t="s">
        <v>38978</v>
      </c>
      <c r="I1872" t="s">
        <v>38979</v>
      </c>
      <c r="J1872" t="s">
        <v>38980</v>
      </c>
      <c r="K1872" t="s">
        <v>38981</v>
      </c>
      <c r="L1872" t="s">
        <v>38982</v>
      </c>
      <c r="M1872" t="s">
        <v>38983</v>
      </c>
      <c r="N1872" t="s">
        <v>38984</v>
      </c>
      <c r="O1872">
        <f>-862.004858951726 -34.5100119997296 -494.228261327357</f>
        <v>-1390.7431322788125</v>
      </c>
      <c r="P1872">
        <f>-835.020986817995 -68.1009913034056 -203.135865762705</f>
        <v>-1106.2578438841056</v>
      </c>
      <c r="Q1872">
        <f>-659.449117089041 -23.3201877798151 -361.944124920692</f>
        <v>-1044.7134297895482</v>
      </c>
      <c r="R1872" t="s">
        <v>38985</v>
      </c>
      <c r="S1872" t="s">
        <v>38986</v>
      </c>
      <c r="T1872" t="s">
        <v>38987</v>
      </c>
      <c r="U1872" t="s">
        <v>38988</v>
      </c>
      <c r="V1872" t="s">
        <v>38989</v>
      </c>
      <c r="W1872" t="s">
        <v>38990</v>
      </c>
      <c r="X1872" t="s">
        <v>38991</v>
      </c>
      <c r="Y1872" t="s">
        <v>38992</v>
      </c>
    </row>
    <row r="1873" spans="1:25" x14ac:dyDescent="0.3">
      <c r="A1873">
        <v>93600</v>
      </c>
      <c r="B1873" t="s">
        <v>38993</v>
      </c>
      <c r="C1873" t="s">
        <v>38994</v>
      </c>
      <c r="D1873" t="s">
        <v>38995</v>
      </c>
      <c r="E1873" t="s">
        <v>38996</v>
      </c>
      <c r="F1873" t="s">
        <v>38997</v>
      </c>
      <c r="G1873" t="s">
        <v>38998</v>
      </c>
      <c r="H1873" t="s">
        <v>38999</v>
      </c>
      <c r="I1873" t="s">
        <v>39000</v>
      </c>
      <c r="J1873" t="s">
        <v>39001</v>
      </c>
      <c r="K1873" t="s">
        <v>39002</v>
      </c>
      <c r="L1873" t="s">
        <v>39003</v>
      </c>
      <c r="M1873" t="s">
        <v>39004</v>
      </c>
      <c r="N1873" t="s">
        <v>39005</v>
      </c>
      <c r="O1873">
        <f>-861.294202982637 -34.4983891582983 -493.418391106254</f>
        <v>-1389.2109832471892</v>
      </c>
      <c r="P1873">
        <f>-835.311299130252 -67.0771582790442 -202.120117476779</f>
        <v>-1104.5085748860752</v>
      </c>
      <c r="Q1873">
        <f>-658.97977395824 -24.1642098753591 -360.601792439881</f>
        <v>-1043.7457762734803</v>
      </c>
      <c r="R1873" t="s">
        <v>39006</v>
      </c>
      <c r="S1873" t="s">
        <v>39007</v>
      </c>
      <c r="T1873" t="s">
        <v>39008</v>
      </c>
      <c r="U1873" t="s">
        <v>39009</v>
      </c>
      <c r="V1873" t="s">
        <v>39010</v>
      </c>
      <c r="W1873" t="s">
        <v>39011</v>
      </c>
      <c r="X1873" t="s">
        <v>39012</v>
      </c>
      <c r="Y1873" t="s">
        <v>39013</v>
      </c>
    </row>
    <row r="1874" spans="1:25" x14ac:dyDescent="0.3">
      <c r="A1874">
        <v>93650</v>
      </c>
      <c r="B1874" t="s">
        <v>39014</v>
      </c>
      <c r="C1874" t="s">
        <v>39015</v>
      </c>
      <c r="D1874" t="s">
        <v>39016</v>
      </c>
      <c r="E1874" t="s">
        <v>39017</v>
      </c>
      <c r="F1874" t="s">
        <v>39018</v>
      </c>
      <c r="G1874" t="s">
        <v>39019</v>
      </c>
      <c r="H1874" t="s">
        <v>39020</v>
      </c>
      <c r="I1874" t="s">
        <v>39021</v>
      </c>
      <c r="J1874" t="s">
        <v>39022</v>
      </c>
      <c r="K1874" t="s">
        <v>39023</v>
      </c>
      <c r="L1874" t="s">
        <v>39024</v>
      </c>
      <c r="M1874" t="s">
        <v>39025</v>
      </c>
      <c r="N1874" t="s">
        <v>39026</v>
      </c>
      <c r="O1874">
        <f>-861.058980175195 -34.5751028208483 -493.060637770583</f>
        <v>-1388.6947207666262</v>
      </c>
      <c r="P1874">
        <f>-835.654463981004 -66.6737714668091 -201.657839763623</f>
        <v>-1103.9860752114362</v>
      </c>
      <c r="Q1874">
        <f>-658.925308694858 -24.7318006950036 -359.95681886368</f>
        <v>-1043.6139282535416</v>
      </c>
      <c r="R1874" t="s">
        <v>39027</v>
      </c>
      <c r="S1874" t="s">
        <v>39028</v>
      </c>
      <c r="T1874" t="s">
        <v>39029</v>
      </c>
      <c r="U1874" t="s">
        <v>39030</v>
      </c>
      <c r="V1874" t="s">
        <v>39031</v>
      </c>
      <c r="W1874" t="s">
        <v>39032</v>
      </c>
      <c r="X1874" t="s">
        <v>39033</v>
      </c>
      <c r="Y1874" t="s">
        <v>39034</v>
      </c>
    </row>
    <row r="1875" spans="1:25" x14ac:dyDescent="0.3">
      <c r="A1875">
        <v>93700</v>
      </c>
      <c r="B1875" t="s">
        <v>39035</v>
      </c>
      <c r="C1875" t="s">
        <v>39036</v>
      </c>
      <c r="D1875" t="s">
        <v>39037</v>
      </c>
      <c r="E1875" t="s">
        <v>39038</v>
      </c>
      <c r="F1875" t="s">
        <v>39039</v>
      </c>
      <c r="G1875" t="s">
        <v>39040</v>
      </c>
      <c r="H1875" t="s">
        <v>39041</v>
      </c>
      <c r="I1875" t="s">
        <v>39042</v>
      </c>
      <c r="J1875" t="s">
        <v>39043</v>
      </c>
      <c r="K1875" t="s">
        <v>39044</v>
      </c>
      <c r="L1875" t="s">
        <v>39045</v>
      </c>
      <c r="M1875" t="s">
        <v>39046</v>
      </c>
      <c r="N1875" t="s">
        <v>39047</v>
      </c>
      <c r="O1875">
        <f>-860.595272711082 -34.5690211996603 -492.528151557841</f>
        <v>-1387.6924454685832</v>
      </c>
      <c r="P1875">
        <f>-836.567168879991 -65.6462602928775 -200.898151105059</f>
        <v>-1103.1115802779275</v>
      </c>
      <c r="Q1875">
        <f>-658.811696185941 -25.804666096134 -358.589383197081</f>
        <v>-1043.2057454791561</v>
      </c>
      <c r="R1875" t="s">
        <v>39048</v>
      </c>
      <c r="S1875" t="s">
        <v>39049</v>
      </c>
      <c r="T1875" t="s">
        <v>39050</v>
      </c>
      <c r="U1875" t="s">
        <v>39051</v>
      </c>
      <c r="V1875" t="s">
        <v>39052</v>
      </c>
      <c r="W1875" t="s">
        <v>39053</v>
      </c>
      <c r="X1875" t="s">
        <v>39054</v>
      </c>
      <c r="Y1875" t="s">
        <v>39055</v>
      </c>
    </row>
    <row r="1876" spans="1:25" x14ac:dyDescent="0.3">
      <c r="A1876">
        <v>93750</v>
      </c>
      <c r="B1876" t="s">
        <v>39056</v>
      </c>
      <c r="C1876" t="s">
        <v>39057</v>
      </c>
      <c r="D1876" t="s">
        <v>39058</v>
      </c>
      <c r="E1876" t="s">
        <v>39059</v>
      </c>
      <c r="F1876" t="s">
        <v>39060</v>
      </c>
      <c r="G1876" t="s">
        <v>39061</v>
      </c>
      <c r="H1876" t="s">
        <v>39062</v>
      </c>
      <c r="I1876" t="s">
        <v>39063</v>
      </c>
      <c r="J1876" t="s">
        <v>39064</v>
      </c>
      <c r="K1876" t="s">
        <v>39065</v>
      </c>
      <c r="L1876" t="s">
        <v>39066</v>
      </c>
      <c r="M1876" t="s">
        <v>39067</v>
      </c>
      <c r="N1876" t="s">
        <v>39068</v>
      </c>
      <c r="O1876">
        <f>-860.449493397522 -34.354872389039 -492.310116706615</f>
        <v>-1387.114482493176</v>
      </c>
      <c r="P1876">
        <f>-836.925945770494 -65.3293949214954 -200.628094637965</f>
        <v>-1102.8834353299544</v>
      </c>
      <c r="Q1876">
        <f>-658.722246731448 -25.9705985878377 -357.934055717496</f>
        <v>-1042.6269010367816</v>
      </c>
      <c r="R1876" t="s">
        <v>39069</v>
      </c>
      <c r="S1876" t="s">
        <v>39070</v>
      </c>
      <c r="T1876" t="s">
        <v>39071</v>
      </c>
      <c r="U1876" t="s">
        <v>39072</v>
      </c>
      <c r="V1876" t="s">
        <v>39073</v>
      </c>
      <c r="W1876" t="s">
        <v>39074</v>
      </c>
      <c r="X1876" t="s">
        <v>39075</v>
      </c>
      <c r="Y1876" t="s">
        <v>39076</v>
      </c>
    </row>
    <row r="1877" spans="1:25" x14ac:dyDescent="0.3">
      <c r="A1877">
        <v>93800</v>
      </c>
      <c r="B1877" t="s">
        <v>39077</v>
      </c>
      <c r="C1877" t="s">
        <v>39078</v>
      </c>
      <c r="D1877" t="s">
        <v>39079</v>
      </c>
      <c r="E1877" t="s">
        <v>39080</v>
      </c>
      <c r="F1877" t="s">
        <v>39081</v>
      </c>
      <c r="G1877" t="s">
        <v>39082</v>
      </c>
      <c r="H1877" t="s">
        <v>39083</v>
      </c>
      <c r="I1877" t="s">
        <v>39084</v>
      </c>
      <c r="J1877" t="s">
        <v>39085</v>
      </c>
      <c r="K1877" t="s">
        <v>39086</v>
      </c>
      <c r="L1877" t="s">
        <v>39087</v>
      </c>
      <c r="M1877" t="s">
        <v>39088</v>
      </c>
      <c r="N1877" t="s">
        <v>39089</v>
      </c>
      <c r="O1877">
        <f>-859.833650776992 -33.6225202161036 -492.02866638067</f>
        <v>-1385.4848373737657</v>
      </c>
      <c r="P1877">
        <f>-837.149949885018 -64.1663710930898 -200.234709588149</f>
        <v>-1101.5510305662567</v>
      </c>
      <c r="Q1877">
        <f>-658.292594215527 -26.1091058877037 -357.118398945047</f>
        <v>-1041.5200990482776</v>
      </c>
      <c r="R1877" t="s">
        <v>39090</v>
      </c>
      <c r="S1877" t="s">
        <v>39091</v>
      </c>
      <c r="T1877" t="s">
        <v>39092</v>
      </c>
      <c r="U1877" t="s">
        <v>39093</v>
      </c>
      <c r="V1877" t="s">
        <v>39094</v>
      </c>
      <c r="W1877" t="s">
        <v>39095</v>
      </c>
      <c r="X1877" t="s">
        <v>39096</v>
      </c>
      <c r="Y1877" t="s">
        <v>39097</v>
      </c>
    </row>
    <row r="1878" spans="1:25" x14ac:dyDescent="0.3">
      <c r="A1878">
        <v>93850</v>
      </c>
      <c r="B1878" t="s">
        <v>39098</v>
      </c>
      <c r="C1878" t="s">
        <v>39099</v>
      </c>
      <c r="D1878" t="s">
        <v>39100</v>
      </c>
      <c r="E1878" t="s">
        <v>39101</v>
      </c>
      <c r="F1878" t="s">
        <v>39102</v>
      </c>
      <c r="G1878" t="s">
        <v>39103</v>
      </c>
      <c r="H1878" t="s">
        <v>39104</v>
      </c>
      <c r="I1878" t="s">
        <v>39105</v>
      </c>
      <c r="J1878" t="s">
        <v>39106</v>
      </c>
      <c r="K1878" t="s">
        <v>39107</v>
      </c>
      <c r="L1878" t="s">
        <v>39108</v>
      </c>
      <c r="M1878" t="s">
        <v>39109</v>
      </c>
      <c r="N1878" t="s">
        <v>39110</v>
      </c>
      <c r="O1878">
        <f>-859.426367578344 -33.2587641971895 -491.987999385719</f>
        <v>-1384.6731311612525</v>
      </c>
      <c r="P1878">
        <f>-837.020166517382 -63.6270815442394 -200.154298316475</f>
        <v>-1100.8015463780964</v>
      </c>
      <c r="Q1878">
        <f>-657.95882198253 -26.1275332693367 -356.93974239963</f>
        <v>-1041.0260976514967</v>
      </c>
      <c r="R1878" t="s">
        <v>39111</v>
      </c>
      <c r="S1878" t="s">
        <v>39112</v>
      </c>
      <c r="T1878" t="s">
        <v>39113</v>
      </c>
      <c r="U1878" t="s">
        <v>39114</v>
      </c>
      <c r="V1878" t="s">
        <v>39115</v>
      </c>
      <c r="W1878" t="s">
        <v>39116</v>
      </c>
      <c r="X1878" t="s">
        <v>39117</v>
      </c>
      <c r="Y1878" t="s">
        <v>39118</v>
      </c>
    </row>
    <row r="1879" spans="1:25" x14ac:dyDescent="0.3">
      <c r="A1879">
        <v>93900</v>
      </c>
      <c r="B1879" t="s">
        <v>39119</v>
      </c>
      <c r="C1879" t="s">
        <v>39120</v>
      </c>
      <c r="D1879" t="s">
        <v>39121</v>
      </c>
      <c r="E1879" t="s">
        <v>39122</v>
      </c>
      <c r="F1879" t="s">
        <v>39123</v>
      </c>
      <c r="G1879" t="s">
        <v>39124</v>
      </c>
      <c r="H1879" t="s">
        <v>39125</v>
      </c>
      <c r="I1879" t="s">
        <v>39126</v>
      </c>
      <c r="J1879" t="s">
        <v>39127</v>
      </c>
      <c r="K1879" t="s">
        <v>39128</v>
      </c>
      <c r="L1879" t="s">
        <v>39129</v>
      </c>
      <c r="M1879" t="s">
        <v>39130</v>
      </c>
      <c r="N1879" t="s">
        <v>39131</v>
      </c>
      <c r="O1879">
        <f>-858.455950004686 -32.4353974978026 -492.110918549085</f>
        <v>-1383.0022660515735</v>
      </c>
      <c r="P1879">
        <f>-836.883531284672 -63.0510134194174 -200.240213238914</f>
        <v>-1100.1747579430034</v>
      </c>
      <c r="Q1879">
        <f>-657.468733853231 -26.2305992477386 -356.782564515627</f>
        <v>-1040.4818976165966</v>
      </c>
      <c r="R1879" t="s">
        <v>39132</v>
      </c>
      <c r="S1879" t="s">
        <v>39133</v>
      </c>
      <c r="T1879" t="s">
        <v>39134</v>
      </c>
      <c r="U1879" t="s">
        <v>39135</v>
      </c>
      <c r="V1879" t="s">
        <v>39136</v>
      </c>
      <c r="W1879" t="s">
        <v>39137</v>
      </c>
      <c r="X1879" t="s">
        <v>39138</v>
      </c>
      <c r="Y1879" t="s">
        <v>39139</v>
      </c>
    </row>
    <row r="1880" spans="1:25" x14ac:dyDescent="0.3">
      <c r="A1880">
        <v>93950</v>
      </c>
      <c r="B1880" t="s">
        <v>39140</v>
      </c>
      <c r="C1880" t="s">
        <v>39141</v>
      </c>
      <c r="D1880" t="s">
        <v>39142</v>
      </c>
      <c r="E1880" t="s">
        <v>39143</v>
      </c>
      <c r="F1880" t="s">
        <v>39144</v>
      </c>
      <c r="G1880" t="s">
        <v>39145</v>
      </c>
      <c r="H1880" t="s">
        <v>39146</v>
      </c>
      <c r="I1880" t="s">
        <v>39147</v>
      </c>
      <c r="J1880" t="s">
        <v>39148</v>
      </c>
      <c r="K1880" t="s">
        <v>39149</v>
      </c>
      <c r="L1880" t="s">
        <v>39150</v>
      </c>
      <c r="M1880" t="s">
        <v>39151</v>
      </c>
      <c r="N1880" t="s">
        <v>39152</v>
      </c>
      <c r="O1880">
        <f>-857.795584542219 -31.8780120683814 -492.256585954743</f>
        <v>-1381.9301825653433</v>
      </c>
      <c r="P1880">
        <f>-836.652208931822 -62.7910232390232 -200.38574353181</f>
        <v>-1099.828975702655</v>
      </c>
      <c r="Q1880">
        <f>-657.043486458885 -26.0827097081315 -356.731635124279</f>
        <v>-1039.8578312912955</v>
      </c>
      <c r="R1880" t="s">
        <v>39153</v>
      </c>
      <c r="S1880" t="s">
        <v>39154</v>
      </c>
      <c r="T1880" t="s">
        <v>39155</v>
      </c>
      <c r="U1880" t="s">
        <v>39156</v>
      </c>
      <c r="V1880" t="s">
        <v>39157</v>
      </c>
      <c r="W1880" t="s">
        <v>39158</v>
      </c>
      <c r="X1880" t="s">
        <v>39159</v>
      </c>
      <c r="Y1880" t="s">
        <v>39160</v>
      </c>
    </row>
    <row r="1881" spans="1:25" x14ac:dyDescent="0.3">
      <c r="A1881">
        <v>94000</v>
      </c>
      <c r="B1881" t="s">
        <v>39161</v>
      </c>
      <c r="C1881" t="s">
        <v>39162</v>
      </c>
      <c r="D1881" t="s">
        <v>39163</v>
      </c>
      <c r="E1881" t="s">
        <v>39164</v>
      </c>
      <c r="F1881" t="s">
        <v>39165</v>
      </c>
      <c r="G1881" t="s">
        <v>39166</v>
      </c>
      <c r="H1881" t="s">
        <v>39167</v>
      </c>
      <c r="I1881" t="s">
        <v>39168</v>
      </c>
      <c r="J1881" t="s">
        <v>39169</v>
      </c>
      <c r="K1881" t="s">
        <v>39170</v>
      </c>
      <c r="L1881" t="s">
        <v>39171</v>
      </c>
      <c r="M1881" t="s">
        <v>39172</v>
      </c>
      <c r="N1881" t="s">
        <v>39173</v>
      </c>
      <c r="O1881">
        <f>-856.826773486425 -30.9932826415666 -492.50386122771</f>
        <v>-1380.3239173557017</v>
      </c>
      <c r="P1881">
        <f>-836.625585318199 -62.2988208101058 -200.608230260596</f>
        <v>-1099.5326363889008</v>
      </c>
      <c r="Q1881">
        <f>-656.471083735477 -26.4599927466934 -356.527631505262</f>
        <v>-1039.4587079874323</v>
      </c>
      <c r="R1881" t="s">
        <v>39174</v>
      </c>
      <c r="S1881" t="s">
        <v>39175</v>
      </c>
      <c r="T1881" t="s">
        <v>39176</v>
      </c>
      <c r="U1881" t="s">
        <v>39177</v>
      </c>
      <c r="V1881" t="s">
        <v>39178</v>
      </c>
      <c r="W1881" t="s">
        <v>39179</v>
      </c>
      <c r="X1881" t="s">
        <v>39180</v>
      </c>
      <c r="Y1881" t="s">
        <v>39181</v>
      </c>
    </row>
    <row r="1882" spans="1:25" x14ac:dyDescent="0.3">
      <c r="A1882">
        <v>94050</v>
      </c>
      <c r="B1882" t="s">
        <v>39182</v>
      </c>
      <c r="C1882" t="s">
        <v>39183</v>
      </c>
      <c r="D1882" t="s">
        <v>39184</v>
      </c>
      <c r="E1882" t="s">
        <v>39185</v>
      </c>
      <c r="F1882" t="s">
        <v>39186</v>
      </c>
      <c r="G1882" t="s">
        <v>39187</v>
      </c>
      <c r="H1882" t="s">
        <v>39188</v>
      </c>
      <c r="I1882" t="s">
        <v>39189</v>
      </c>
      <c r="J1882" t="s">
        <v>39190</v>
      </c>
      <c r="K1882" t="s">
        <v>39191</v>
      </c>
      <c r="L1882" t="s">
        <v>39192</v>
      </c>
      <c r="M1882" t="s">
        <v>39193</v>
      </c>
      <c r="N1882" t="s">
        <v>39194</v>
      </c>
      <c r="O1882">
        <f>-856.417009877006 -30.5670375681425 -492.616311037086</f>
        <v>-1379.6003584822345</v>
      </c>
      <c r="P1882">
        <f>-836.762213525343 -62.0100032919279 -200.69798851465</f>
        <v>-1099.4702053319209</v>
      </c>
      <c r="Q1882">
        <f>-656.321468958794 -26.7401593514055 -356.416056888739</f>
        <v>-1039.4776851989384</v>
      </c>
      <c r="R1882" t="s">
        <v>39195</v>
      </c>
      <c r="S1882" t="s">
        <v>39196</v>
      </c>
      <c r="T1882" t="s">
        <v>39197</v>
      </c>
      <c r="U1882" t="s">
        <v>39198</v>
      </c>
      <c r="V1882" t="s">
        <v>39199</v>
      </c>
      <c r="W1882" t="s">
        <v>39200</v>
      </c>
      <c r="X1882" t="s">
        <v>39201</v>
      </c>
      <c r="Y1882" t="s">
        <v>39202</v>
      </c>
    </row>
    <row r="1883" spans="1:25" x14ac:dyDescent="0.3">
      <c r="A1883">
        <v>94100</v>
      </c>
      <c r="B1883" t="s">
        <v>39203</v>
      </c>
      <c r="C1883" t="s">
        <v>39204</v>
      </c>
      <c r="D1883" t="s">
        <v>39205</v>
      </c>
      <c r="E1883" t="s">
        <v>39206</v>
      </c>
      <c r="F1883" t="s">
        <v>39207</v>
      </c>
      <c r="G1883" t="s">
        <v>39208</v>
      </c>
      <c r="H1883" t="s">
        <v>39209</v>
      </c>
      <c r="I1883" t="s">
        <v>39210</v>
      </c>
      <c r="J1883" t="s">
        <v>39211</v>
      </c>
      <c r="K1883" t="s">
        <v>39212</v>
      </c>
      <c r="L1883" t="s">
        <v>39213</v>
      </c>
      <c r="M1883" t="s">
        <v>39214</v>
      </c>
      <c r="N1883" t="s">
        <v>39215</v>
      </c>
      <c r="O1883">
        <f>-855.647698778236 -29.569287350364 -492.853020953771</f>
        <v>-1378.0700070823709</v>
      </c>
      <c r="P1883">
        <f>-837.20280600613 -61.3289405695466 -200.890188515726</f>
        <v>-1099.4219350914027</v>
      </c>
      <c r="Q1883">
        <f>-656.275615447384 -27.4530651962718 -356.352971412411</f>
        <v>-1040.0816520560668</v>
      </c>
      <c r="R1883" t="s">
        <v>39216</v>
      </c>
      <c r="S1883" t="s">
        <v>39217</v>
      </c>
      <c r="T1883" t="s">
        <v>39218</v>
      </c>
      <c r="U1883" t="s">
        <v>39219</v>
      </c>
      <c r="V1883" t="s">
        <v>39220</v>
      </c>
      <c r="W1883" t="s">
        <v>39221</v>
      </c>
      <c r="X1883" t="s">
        <v>39222</v>
      </c>
      <c r="Y1883" t="s">
        <v>39223</v>
      </c>
    </row>
    <row r="1884" spans="1:25" x14ac:dyDescent="0.3">
      <c r="A1884">
        <v>94150</v>
      </c>
      <c r="B1884" t="s">
        <v>39224</v>
      </c>
      <c r="C1884" t="s">
        <v>39225</v>
      </c>
      <c r="D1884" t="s">
        <v>39226</v>
      </c>
      <c r="E1884" t="s">
        <v>39227</v>
      </c>
      <c r="F1884" t="s">
        <v>39228</v>
      </c>
      <c r="G1884" t="s">
        <v>39229</v>
      </c>
      <c r="H1884" t="s">
        <v>39230</v>
      </c>
      <c r="I1884" t="s">
        <v>39231</v>
      </c>
      <c r="J1884" t="s">
        <v>39232</v>
      </c>
      <c r="K1884" t="s">
        <v>39233</v>
      </c>
      <c r="L1884" t="s">
        <v>39234</v>
      </c>
      <c r="M1884" t="s">
        <v>39235</v>
      </c>
      <c r="N1884" t="s">
        <v>39236</v>
      </c>
      <c r="O1884">
        <f>-855.26839255698 -28.9149228625793 -493.016282063531</f>
        <v>-1377.1995974830902</v>
      </c>
      <c r="P1884">
        <f>-837.550029412146 -60.816228169017 -201.02399393525</f>
        <v>-1099.3902515164129</v>
      </c>
      <c r="Q1884">
        <f>-656.452493454424 -27.8097069121359 -356.475171706634</f>
        <v>-1040.7373720731939</v>
      </c>
      <c r="R1884" t="s">
        <v>39237</v>
      </c>
      <c r="S1884" t="s">
        <v>39238</v>
      </c>
      <c r="T1884" t="s">
        <v>39239</v>
      </c>
      <c r="U1884" t="s">
        <v>39240</v>
      </c>
      <c r="V1884" t="s">
        <v>39241</v>
      </c>
      <c r="W1884" t="s">
        <v>39242</v>
      </c>
      <c r="X1884" t="s">
        <v>39243</v>
      </c>
      <c r="Y1884" t="s">
        <v>39244</v>
      </c>
    </row>
    <row r="1885" spans="1:25" x14ac:dyDescent="0.3">
      <c r="A1885">
        <v>94200</v>
      </c>
      <c r="B1885" t="s">
        <v>39245</v>
      </c>
      <c r="C1885" t="s">
        <v>39246</v>
      </c>
      <c r="D1885" t="s">
        <v>39247</v>
      </c>
      <c r="E1885" t="s">
        <v>39248</v>
      </c>
      <c r="F1885" t="s">
        <v>39249</v>
      </c>
      <c r="G1885" t="s">
        <v>39250</v>
      </c>
      <c r="H1885" t="s">
        <v>39251</v>
      </c>
      <c r="I1885" t="s">
        <v>39252</v>
      </c>
      <c r="J1885" t="s">
        <v>39253</v>
      </c>
      <c r="K1885" t="s">
        <v>39254</v>
      </c>
      <c r="L1885" t="s">
        <v>39255</v>
      </c>
      <c r="M1885" t="s">
        <v>39256</v>
      </c>
      <c r="N1885" t="s">
        <v>39257</v>
      </c>
      <c r="O1885">
        <f>-854.264712414934 -27.6634691334693 -493.459199296558</f>
        <v>-1375.3873808449614</v>
      </c>
      <c r="P1885">
        <f>-838.192858241017 -60.2039395969093 -201.44203619393</f>
        <v>-1099.8388340318563</v>
      </c>
      <c r="Q1885">
        <f>-656.482799463431 -28.3015914064235 -356.408467226107</f>
        <v>-1041.1928580959616</v>
      </c>
      <c r="R1885" t="s">
        <v>39258</v>
      </c>
      <c r="S1885" t="s">
        <v>39259</v>
      </c>
      <c r="T1885" t="s">
        <v>39260</v>
      </c>
      <c r="U1885" t="s">
        <v>39261</v>
      </c>
      <c r="V1885" t="s">
        <v>39262</v>
      </c>
      <c r="W1885" t="s">
        <v>39263</v>
      </c>
      <c r="X1885" t="s">
        <v>39264</v>
      </c>
      <c r="Y1885" t="s">
        <v>39265</v>
      </c>
    </row>
    <row r="1886" spans="1:25" x14ac:dyDescent="0.3">
      <c r="A1886">
        <v>94250</v>
      </c>
      <c r="B1886" t="s">
        <v>39266</v>
      </c>
      <c r="C1886" t="s">
        <v>39267</v>
      </c>
      <c r="D1886" t="s">
        <v>39268</v>
      </c>
      <c r="E1886" t="s">
        <v>39269</v>
      </c>
      <c r="F1886" t="s">
        <v>39270</v>
      </c>
      <c r="G1886" t="s">
        <v>39271</v>
      </c>
      <c r="H1886" t="s">
        <v>39272</v>
      </c>
      <c r="I1886" t="s">
        <v>39273</v>
      </c>
      <c r="J1886" t="s">
        <v>39274</v>
      </c>
      <c r="K1886" t="s">
        <v>39275</v>
      </c>
      <c r="L1886" t="s">
        <v>39276</v>
      </c>
      <c r="M1886" t="s">
        <v>39277</v>
      </c>
      <c r="N1886" t="s">
        <v>39278</v>
      </c>
      <c r="O1886">
        <f>-853.602592233775 -27.0715086382852 -493.762652678062</f>
        <v>-1374.4367535501221</v>
      </c>
      <c r="P1886">
        <f>-838.475865980071 -60.0153135164935 -201.740249979704</f>
        <v>-1100.2314294762687</v>
      </c>
      <c r="Q1886">
        <f>-656.318505478314 -28.3807371482771 -356.235357624755</f>
        <v>-1040.9346002513462</v>
      </c>
      <c r="R1886" t="s">
        <v>39279</v>
      </c>
      <c r="S1886" t="s">
        <v>39280</v>
      </c>
      <c r="T1886" t="s">
        <v>39281</v>
      </c>
      <c r="U1886" t="s">
        <v>39282</v>
      </c>
      <c r="V1886" t="s">
        <v>39283</v>
      </c>
      <c r="W1886" t="s">
        <v>39284</v>
      </c>
      <c r="X1886" t="s">
        <v>39285</v>
      </c>
      <c r="Y1886" t="s">
        <v>39286</v>
      </c>
    </row>
    <row r="1887" spans="1:25" x14ac:dyDescent="0.3">
      <c r="A1887">
        <v>94300</v>
      </c>
      <c r="B1887" t="s">
        <v>39287</v>
      </c>
      <c r="C1887" t="s">
        <v>39288</v>
      </c>
      <c r="D1887" t="s">
        <v>39289</v>
      </c>
      <c r="E1887" t="s">
        <v>39290</v>
      </c>
      <c r="F1887" t="s">
        <v>39291</v>
      </c>
      <c r="G1887" t="s">
        <v>39292</v>
      </c>
      <c r="H1887" t="s">
        <v>39293</v>
      </c>
      <c r="I1887" t="s">
        <v>39294</v>
      </c>
      <c r="J1887" t="s">
        <v>39295</v>
      </c>
      <c r="K1887" t="s">
        <v>39296</v>
      </c>
      <c r="L1887" t="s">
        <v>39297</v>
      </c>
      <c r="M1887" t="s">
        <v>39298</v>
      </c>
      <c r="N1887" t="s">
        <v>39299</v>
      </c>
      <c r="O1887">
        <f>-851.98641945312 -25.7753686819301 -494.508102026563</f>
        <v>-1372.2698901616131</v>
      </c>
      <c r="P1887">
        <f>-838.736741047011 -59.7386033731007 -202.51129619923</f>
        <v>-1100.9866406193416</v>
      </c>
      <c r="Q1887">
        <f>-655.570966869072 -27.9956873035139 -355.787407544961</f>
        <v>-1039.354061717547</v>
      </c>
      <c r="R1887" t="s">
        <v>39300</v>
      </c>
      <c r="S1887" t="s">
        <v>39301</v>
      </c>
      <c r="T1887" t="s">
        <v>39302</v>
      </c>
      <c r="U1887" t="s">
        <v>39303</v>
      </c>
      <c r="V1887" t="s">
        <v>39304</v>
      </c>
      <c r="W1887" t="s">
        <v>39305</v>
      </c>
      <c r="X1887" t="s">
        <v>39306</v>
      </c>
      <c r="Y1887" t="s">
        <v>39307</v>
      </c>
    </row>
    <row r="1888" spans="1:25" x14ac:dyDescent="0.3">
      <c r="A1888">
        <v>94350</v>
      </c>
      <c r="B1888" t="s">
        <v>39308</v>
      </c>
      <c r="C1888" t="s">
        <v>39309</v>
      </c>
      <c r="D1888" t="s">
        <v>39310</v>
      </c>
      <c r="E1888" t="s">
        <v>39311</v>
      </c>
      <c r="F1888" t="s">
        <v>39312</v>
      </c>
      <c r="G1888" t="s">
        <v>39313</v>
      </c>
      <c r="H1888" t="s">
        <v>39314</v>
      </c>
      <c r="I1888" t="s">
        <v>39315</v>
      </c>
      <c r="J1888" t="s">
        <v>39316</v>
      </c>
      <c r="K1888" t="s">
        <v>39317</v>
      </c>
      <c r="L1888" t="s">
        <v>39318</v>
      </c>
      <c r="M1888" t="s">
        <v>39319</v>
      </c>
      <c r="N1888" t="s">
        <v>39320</v>
      </c>
      <c r="O1888">
        <f>-851.035859469672 -24.9284853937261 -494.88357204497</f>
        <v>-1370.847916908368</v>
      </c>
      <c r="P1888">
        <f>-838.632977080997 -59.5472799917834 -202.926700216224</f>
        <v>-1101.1069572890044</v>
      </c>
      <c r="Q1888">
        <f>-655.040037523932 -27.4360039780622 -355.613747382226</f>
        <v>-1038.0897888842203</v>
      </c>
      <c r="R1888" t="s">
        <v>39321</v>
      </c>
      <c r="S1888" t="s">
        <v>39322</v>
      </c>
      <c r="T1888" t="s">
        <v>39323</v>
      </c>
      <c r="U1888" t="s">
        <v>39324</v>
      </c>
      <c r="V1888" t="s">
        <v>39325</v>
      </c>
      <c r="W1888" t="s">
        <v>39326</v>
      </c>
      <c r="X1888" t="s">
        <v>39327</v>
      </c>
      <c r="Y1888" t="s">
        <v>39328</v>
      </c>
    </row>
    <row r="1889" spans="1:25" x14ac:dyDescent="0.3">
      <c r="A1889">
        <v>94400</v>
      </c>
      <c r="B1889" t="s">
        <v>39329</v>
      </c>
      <c r="C1889" t="s">
        <v>39330</v>
      </c>
      <c r="D1889" t="s">
        <v>39331</v>
      </c>
      <c r="E1889" t="s">
        <v>39332</v>
      </c>
      <c r="F1889" t="s">
        <v>39333</v>
      </c>
      <c r="G1889" t="s">
        <v>39334</v>
      </c>
      <c r="H1889" t="s">
        <v>39335</v>
      </c>
      <c r="I1889" t="s">
        <v>39336</v>
      </c>
      <c r="J1889" t="s">
        <v>39337</v>
      </c>
      <c r="K1889" t="s">
        <v>39338</v>
      </c>
      <c r="L1889" t="s">
        <v>39339</v>
      </c>
      <c r="M1889" t="s">
        <v>39340</v>
      </c>
      <c r="N1889" t="s">
        <v>39341</v>
      </c>
      <c r="O1889">
        <f>-849.307112761072 -23.299655602335 -495.625559690371</f>
        <v>-1368.232328053778</v>
      </c>
      <c r="P1889">
        <f>-838.431827253648 -59.0483967205116 -203.743872878688</f>
        <v>-1101.2240968528477</v>
      </c>
      <c r="Q1889">
        <f>-654.142325985877 -26.3993607726716 -355.474688176008</f>
        <v>-1036.0163749345566</v>
      </c>
      <c r="R1889" t="s">
        <v>39342</v>
      </c>
      <c r="S1889" t="s">
        <v>39343</v>
      </c>
      <c r="T1889" t="s">
        <v>39344</v>
      </c>
      <c r="U1889" t="s">
        <v>39345</v>
      </c>
      <c r="V1889" t="s">
        <v>39346</v>
      </c>
      <c r="W1889" t="s">
        <v>39347</v>
      </c>
      <c r="X1889" t="s">
        <v>39348</v>
      </c>
      <c r="Y1889" t="s">
        <v>39349</v>
      </c>
    </row>
    <row r="1890" spans="1:25" x14ac:dyDescent="0.3">
      <c r="A1890">
        <v>94450</v>
      </c>
      <c r="B1890" t="s">
        <v>39350</v>
      </c>
      <c r="C1890" t="s">
        <v>39351</v>
      </c>
      <c r="D1890" t="s">
        <v>39352</v>
      </c>
      <c r="E1890" t="s">
        <v>39353</v>
      </c>
      <c r="F1890" t="s">
        <v>39354</v>
      </c>
      <c r="G1890" t="s">
        <v>39355</v>
      </c>
      <c r="H1890" t="s">
        <v>39356</v>
      </c>
      <c r="I1890" t="s">
        <v>39357</v>
      </c>
      <c r="J1890" t="s">
        <v>39358</v>
      </c>
      <c r="K1890" t="s">
        <v>39359</v>
      </c>
      <c r="L1890" t="s">
        <v>39360</v>
      </c>
      <c r="M1890" t="s">
        <v>39361</v>
      </c>
      <c r="N1890" t="s">
        <v>39362</v>
      </c>
      <c r="O1890">
        <f>-848.694323753592 -22.723950458661 -496.022315974636</f>
        <v>-1367.440590186889</v>
      </c>
      <c r="P1890">
        <f>-838.26563066621 -59.1268795512287 -204.205210519242</f>
        <v>-1101.5977207366807</v>
      </c>
      <c r="Q1890">
        <f>-653.814809833409 -26.1898701102232 -355.677817160136</f>
        <v>-1035.6824971037681</v>
      </c>
      <c r="R1890" t="s">
        <v>39363</v>
      </c>
      <c r="S1890" t="s">
        <v>39364</v>
      </c>
      <c r="T1890" t="s">
        <v>39365</v>
      </c>
      <c r="U1890" t="s">
        <v>39366</v>
      </c>
      <c r="V1890" t="s">
        <v>39367</v>
      </c>
      <c r="W1890" t="s">
        <v>39368</v>
      </c>
      <c r="X1890" t="s">
        <v>39369</v>
      </c>
      <c r="Y1890" t="s">
        <v>39370</v>
      </c>
    </row>
    <row r="1891" spans="1:25" x14ac:dyDescent="0.3">
      <c r="A1891">
        <v>94500</v>
      </c>
      <c r="B1891" t="s">
        <v>39371</v>
      </c>
      <c r="C1891" t="s">
        <v>39372</v>
      </c>
      <c r="D1891" t="s">
        <v>39373</v>
      </c>
      <c r="E1891" t="s">
        <v>39374</v>
      </c>
      <c r="F1891" t="s">
        <v>39375</v>
      </c>
      <c r="G1891" t="s">
        <v>39376</v>
      </c>
      <c r="H1891" t="s">
        <v>39377</v>
      </c>
      <c r="I1891" t="s">
        <v>39378</v>
      </c>
      <c r="J1891" t="s">
        <v>39379</v>
      </c>
      <c r="K1891" t="s">
        <v>39380</v>
      </c>
      <c r="L1891" t="s">
        <v>39381</v>
      </c>
      <c r="M1891" t="s">
        <v>39382</v>
      </c>
      <c r="N1891" t="s">
        <v>39383</v>
      </c>
      <c r="O1891">
        <f>-848.039444363429 -21.6903649420533 -496.82318930351</f>
        <v>-1366.5529986089923</v>
      </c>
      <c r="P1891">
        <f>-838.085450245807 -59.4407760871745 -205.160522037477</f>
        <v>-1102.6867483704586</v>
      </c>
      <c r="Q1891">
        <f>-653.542486627726 -25.9179935005714 -356.391990875743</f>
        <v>-1035.8524710040404</v>
      </c>
      <c r="R1891" t="s">
        <v>39384</v>
      </c>
      <c r="S1891" t="s">
        <v>39385</v>
      </c>
      <c r="T1891" t="s">
        <v>39386</v>
      </c>
      <c r="U1891" t="s">
        <v>39387</v>
      </c>
      <c r="V1891" t="s">
        <v>39388</v>
      </c>
      <c r="W1891" t="s">
        <v>39389</v>
      </c>
      <c r="X1891" t="s">
        <v>39390</v>
      </c>
      <c r="Y1891" t="s">
        <v>39391</v>
      </c>
    </row>
    <row r="1892" spans="1:25" x14ac:dyDescent="0.3">
      <c r="A1892">
        <v>94550</v>
      </c>
      <c r="B1892" t="s">
        <v>39392</v>
      </c>
      <c r="C1892" t="s">
        <v>39393</v>
      </c>
      <c r="D1892" t="s">
        <v>39394</v>
      </c>
      <c r="E1892" t="s">
        <v>39395</v>
      </c>
      <c r="F1892" t="s">
        <v>39396</v>
      </c>
      <c r="G1892" t="s">
        <v>39397</v>
      </c>
      <c r="H1892" t="s">
        <v>39398</v>
      </c>
      <c r="I1892" t="s">
        <v>39399</v>
      </c>
      <c r="J1892" t="s">
        <v>39400</v>
      </c>
      <c r="K1892" t="s">
        <v>39401</v>
      </c>
      <c r="L1892" t="s">
        <v>39402</v>
      </c>
      <c r="M1892" t="s">
        <v>39403</v>
      </c>
      <c r="N1892" t="s">
        <v>39404</v>
      </c>
      <c r="O1892">
        <f>-847.912155397374 -21.0698399256303 -497.174385144036</f>
        <v>-1366.1563804670404</v>
      </c>
      <c r="P1892">
        <f>-838.104678490695 -59.3646069402898 -205.577858639047</f>
        <v>-1103.0471440700319</v>
      </c>
      <c r="Q1892">
        <f>-653.588327806265 -25.6951302607199 -356.809290696155</f>
        <v>-1036.09274876314</v>
      </c>
      <c r="R1892" t="s">
        <v>39405</v>
      </c>
      <c r="S1892" t="s">
        <v>39406</v>
      </c>
      <c r="T1892" t="s">
        <v>39407</v>
      </c>
      <c r="U1892" t="s">
        <v>39408</v>
      </c>
      <c r="V1892" t="s">
        <v>39409</v>
      </c>
      <c r="W1892" t="s">
        <v>39410</v>
      </c>
      <c r="X1892" t="s">
        <v>39411</v>
      </c>
      <c r="Y1892" t="s">
        <v>39412</v>
      </c>
    </row>
    <row r="1893" spans="1:25" x14ac:dyDescent="0.3">
      <c r="A1893">
        <v>94600</v>
      </c>
      <c r="B1893" t="s">
        <v>39413</v>
      </c>
      <c r="C1893" t="s">
        <v>39414</v>
      </c>
      <c r="D1893" t="s">
        <v>39415</v>
      </c>
      <c r="E1893" t="s">
        <v>39416</v>
      </c>
      <c r="F1893" t="s">
        <v>39417</v>
      </c>
      <c r="G1893" t="s">
        <v>39418</v>
      </c>
      <c r="H1893" t="s">
        <v>39419</v>
      </c>
      <c r="I1893" t="s">
        <v>39420</v>
      </c>
      <c r="J1893" t="s">
        <v>39421</v>
      </c>
      <c r="K1893" t="s">
        <v>39422</v>
      </c>
      <c r="L1893" t="s">
        <v>39423</v>
      </c>
      <c r="M1893" t="s">
        <v>39424</v>
      </c>
      <c r="N1893" t="s">
        <v>39425</v>
      </c>
      <c r="O1893">
        <f>-847.797425782167 -20.0313973162101 -497.774086403912</f>
        <v>-1365.6029095022891</v>
      </c>
      <c r="P1893">
        <f>-838.21713461031 -59.4055441817482 -206.313958504268</f>
        <v>-1103.9366372963261</v>
      </c>
      <c r="Q1893">
        <f>-653.581869988814 -25.7413514108262 -357.401455333564</f>
        <v>-1036.7246767332042</v>
      </c>
      <c r="R1893" t="s">
        <v>39426</v>
      </c>
      <c r="S1893" t="s">
        <v>39427</v>
      </c>
      <c r="T1893" t="s">
        <v>39428</v>
      </c>
      <c r="U1893" t="s">
        <v>39429</v>
      </c>
      <c r="V1893" t="s">
        <v>39430</v>
      </c>
      <c r="W1893" t="s">
        <v>39431</v>
      </c>
      <c r="X1893" t="s">
        <v>39432</v>
      </c>
      <c r="Y1893" t="s">
        <v>39433</v>
      </c>
    </row>
    <row r="1894" spans="1:25" x14ac:dyDescent="0.3">
      <c r="A1894">
        <v>94650</v>
      </c>
      <c r="B1894" t="s">
        <v>39434</v>
      </c>
      <c r="C1894" t="s">
        <v>39435</v>
      </c>
      <c r="D1894" t="s">
        <v>39436</v>
      </c>
      <c r="E1894" t="s">
        <v>39437</v>
      </c>
      <c r="F1894" t="s">
        <v>39438</v>
      </c>
      <c r="G1894" t="s">
        <v>39439</v>
      </c>
      <c r="H1894" t="s">
        <v>39440</v>
      </c>
      <c r="I1894" t="s">
        <v>39441</v>
      </c>
      <c r="J1894" t="s">
        <v>39442</v>
      </c>
      <c r="K1894" t="s">
        <v>39443</v>
      </c>
      <c r="L1894" t="s">
        <v>39444</v>
      </c>
      <c r="M1894" t="s">
        <v>39445</v>
      </c>
      <c r="N1894" t="s">
        <v>39446</v>
      </c>
      <c r="O1894">
        <f>-847.829567587693 -19.5372323054235 -497.997988706793</f>
        <v>-1365.3647885999094</v>
      </c>
      <c r="P1894">
        <f>-838.314095445351 -59.487401462766 -206.614025033177</f>
        <v>-1104.4155219412939</v>
      </c>
      <c r="Q1894">
        <f>-653.532176289774 -25.8343594554731 -357.52444637479</f>
        <v>-1036.8909821200371</v>
      </c>
      <c r="R1894" t="s">
        <v>39447</v>
      </c>
      <c r="S1894" t="s">
        <v>39448</v>
      </c>
      <c r="T1894" t="s">
        <v>39449</v>
      </c>
      <c r="U1894" t="s">
        <v>39450</v>
      </c>
      <c r="V1894" t="s">
        <v>39451</v>
      </c>
      <c r="W1894" t="s">
        <v>39452</v>
      </c>
      <c r="X1894" t="s">
        <v>39453</v>
      </c>
      <c r="Y1894" t="s">
        <v>39454</v>
      </c>
    </row>
    <row r="1895" spans="1:25" x14ac:dyDescent="0.3">
      <c r="A1895">
        <v>94700</v>
      </c>
      <c r="B1895" t="s">
        <v>39455</v>
      </c>
      <c r="C1895" t="s">
        <v>39456</v>
      </c>
      <c r="D1895" t="s">
        <v>39457</v>
      </c>
      <c r="E1895" t="s">
        <v>39458</v>
      </c>
      <c r="F1895" t="s">
        <v>39459</v>
      </c>
      <c r="G1895" t="s">
        <v>39460</v>
      </c>
      <c r="H1895" t="s">
        <v>39461</v>
      </c>
      <c r="I1895" t="s">
        <v>39462</v>
      </c>
      <c r="J1895" t="s">
        <v>39463</v>
      </c>
      <c r="K1895" t="s">
        <v>39464</v>
      </c>
      <c r="L1895" t="s">
        <v>39465</v>
      </c>
      <c r="M1895" t="s">
        <v>39466</v>
      </c>
      <c r="N1895" t="s">
        <v>39467</v>
      </c>
      <c r="O1895">
        <f>-847.935856161889 -18.5337627631643 -498.342062970673</f>
        <v>-1364.8116818957262</v>
      </c>
      <c r="P1895">
        <f>-838.639101095427 -59.1245355543115 -207.039527487128</f>
        <v>-1104.8031641368666</v>
      </c>
      <c r="Q1895">
        <f>-653.494326452735 -25.7419164913968 -357.564924388363</f>
        <v>-1036.8011673324947</v>
      </c>
      <c r="R1895" t="s">
        <v>39468</v>
      </c>
      <c r="S1895" t="s">
        <v>39469</v>
      </c>
      <c r="T1895" t="s">
        <v>39470</v>
      </c>
      <c r="U1895" t="s">
        <v>39471</v>
      </c>
      <c r="V1895" t="s">
        <v>39472</v>
      </c>
      <c r="W1895" t="s">
        <v>39473</v>
      </c>
      <c r="X1895" t="s">
        <v>39474</v>
      </c>
      <c r="Y1895" t="s">
        <v>39475</v>
      </c>
    </row>
    <row r="1896" spans="1:25" x14ac:dyDescent="0.3">
      <c r="A1896">
        <v>94750</v>
      </c>
      <c r="B1896" t="s">
        <v>39476</v>
      </c>
      <c r="C1896" t="s">
        <v>39477</v>
      </c>
      <c r="D1896" t="s">
        <v>39478</v>
      </c>
      <c r="E1896" t="s">
        <v>39479</v>
      </c>
      <c r="F1896" t="s">
        <v>39480</v>
      </c>
      <c r="G1896" t="s">
        <v>39481</v>
      </c>
      <c r="H1896" t="s">
        <v>39482</v>
      </c>
      <c r="I1896" t="s">
        <v>39483</v>
      </c>
      <c r="J1896" t="s">
        <v>39484</v>
      </c>
      <c r="K1896" t="s">
        <v>39485</v>
      </c>
      <c r="L1896" t="s">
        <v>39486</v>
      </c>
      <c r="M1896" t="s">
        <v>39487</v>
      </c>
      <c r="N1896" t="s">
        <v>39488</v>
      </c>
      <c r="O1896">
        <f>-848.117836258184 -18.1265053824254 -498.521342692245</f>
        <v>-1364.7656843328543</v>
      </c>
      <c r="P1896">
        <f>-838.980116207332 -58.9445444253768 -207.245578220445</f>
        <v>-1105.1702388531537</v>
      </c>
      <c r="Q1896">
        <f>-653.655753261744 -25.6977998462035 -357.580154068109</f>
        <v>-1036.9337071760565</v>
      </c>
      <c r="R1896" t="s">
        <v>39489</v>
      </c>
      <c r="S1896" t="s">
        <v>39490</v>
      </c>
      <c r="T1896" t="s">
        <v>39491</v>
      </c>
      <c r="U1896" t="s">
        <v>39492</v>
      </c>
      <c r="V1896" t="s">
        <v>39493</v>
      </c>
      <c r="W1896" t="s">
        <v>39494</v>
      </c>
      <c r="X1896" t="s">
        <v>39495</v>
      </c>
      <c r="Y1896" t="s">
        <v>39496</v>
      </c>
    </row>
    <row r="1897" spans="1:25" x14ac:dyDescent="0.3">
      <c r="A1897">
        <v>94800</v>
      </c>
      <c r="B1897" t="s">
        <v>39497</v>
      </c>
      <c r="C1897" t="s">
        <v>39498</v>
      </c>
      <c r="D1897" t="s">
        <v>39499</v>
      </c>
      <c r="E1897" t="s">
        <v>39500</v>
      </c>
      <c r="F1897" t="s">
        <v>39501</v>
      </c>
      <c r="G1897" t="s">
        <v>39502</v>
      </c>
      <c r="H1897" t="s">
        <v>39503</v>
      </c>
      <c r="I1897" t="s">
        <v>39504</v>
      </c>
      <c r="J1897" t="s">
        <v>39505</v>
      </c>
      <c r="K1897" t="s">
        <v>39506</v>
      </c>
      <c r="L1897" t="s">
        <v>39507</v>
      </c>
      <c r="M1897" t="s">
        <v>39508</v>
      </c>
      <c r="N1897" t="s">
        <v>39509</v>
      </c>
      <c r="O1897">
        <f>-848.621650810602 -17.2349759708554 -498.827045462171</f>
        <v>-1364.6836722436283</v>
      </c>
      <c r="P1897">
        <f>-839.447316379806 -58.7230519773423 -207.6471438006</f>
        <v>-1105.8175121577483</v>
      </c>
      <c r="Q1897">
        <f>-653.872054512933 -25.3603162737768 -357.645957242231</f>
        <v>-1036.8783280289408</v>
      </c>
      <c r="R1897" t="s">
        <v>39510</v>
      </c>
      <c r="S1897" t="s">
        <v>39511</v>
      </c>
      <c r="T1897" t="s">
        <v>39512</v>
      </c>
      <c r="U1897" t="s">
        <v>39513</v>
      </c>
      <c r="V1897" t="s">
        <v>39514</v>
      </c>
      <c r="W1897" t="s">
        <v>39515</v>
      </c>
      <c r="X1897" t="s">
        <v>39516</v>
      </c>
      <c r="Y1897" t="s">
        <v>39517</v>
      </c>
    </row>
    <row r="1898" spans="1:25" x14ac:dyDescent="0.3">
      <c r="A1898">
        <v>94850</v>
      </c>
      <c r="B1898" t="s">
        <v>39518</v>
      </c>
      <c r="C1898" t="s">
        <v>39519</v>
      </c>
      <c r="D1898" t="s">
        <v>39520</v>
      </c>
      <c r="E1898" t="s">
        <v>39521</v>
      </c>
      <c r="F1898" t="s">
        <v>39522</v>
      </c>
      <c r="G1898" t="s">
        <v>39523</v>
      </c>
      <c r="H1898" t="s">
        <v>39524</v>
      </c>
      <c r="I1898" t="s">
        <v>39525</v>
      </c>
      <c r="J1898" t="s">
        <v>39526</v>
      </c>
      <c r="K1898" t="s">
        <v>39527</v>
      </c>
      <c r="L1898" t="s">
        <v>39528</v>
      </c>
      <c r="M1898" t="s">
        <v>39529</v>
      </c>
      <c r="N1898" t="s">
        <v>39530</v>
      </c>
      <c r="O1898">
        <f>-848.872608865401 -16.8575990546547 -498.997687322864</f>
        <v>-1364.7278952429197</v>
      </c>
      <c r="P1898">
        <f>-839.72542638075 -58.7613565494098 -207.876454645397</f>
        <v>-1106.3632375755569</v>
      </c>
      <c r="Q1898">
        <f>-654.088490599627 -25.0783387098268 -357.726895137305</f>
        <v>-1036.8937244467588</v>
      </c>
      <c r="R1898" t="s">
        <v>39531</v>
      </c>
      <c r="S1898" t="s">
        <v>39532</v>
      </c>
      <c r="T1898" t="s">
        <v>39533</v>
      </c>
      <c r="U1898" t="s">
        <v>39534</v>
      </c>
      <c r="V1898" t="s">
        <v>39535</v>
      </c>
      <c r="W1898" t="s">
        <v>39536</v>
      </c>
      <c r="X1898" t="s">
        <v>39537</v>
      </c>
      <c r="Y1898" t="s">
        <v>39538</v>
      </c>
    </row>
    <row r="1899" spans="1:25" x14ac:dyDescent="0.3">
      <c r="A1899">
        <v>94900</v>
      </c>
      <c r="B1899" t="s">
        <v>39539</v>
      </c>
      <c r="C1899" t="s">
        <v>39540</v>
      </c>
      <c r="D1899" t="s">
        <v>39541</v>
      </c>
      <c r="E1899" t="s">
        <v>39542</v>
      </c>
      <c r="F1899" t="s">
        <v>39543</v>
      </c>
      <c r="G1899" t="s">
        <v>39544</v>
      </c>
      <c r="H1899" t="s">
        <v>39545</v>
      </c>
      <c r="I1899" t="s">
        <v>39546</v>
      </c>
      <c r="J1899" t="s">
        <v>39547</v>
      </c>
      <c r="K1899" t="s">
        <v>39548</v>
      </c>
      <c r="L1899" t="s">
        <v>39549</v>
      </c>
      <c r="M1899" t="s">
        <v>39550</v>
      </c>
      <c r="N1899" t="s">
        <v>39551</v>
      </c>
      <c r="O1899">
        <f>-849.58712887696 -15.9365405709045 -499.426749144979</f>
        <v>-1364.9504185928436</v>
      </c>
      <c r="P1899">
        <f>-840.143481898927 -58.8651584254278 -208.464353816494</f>
        <v>-1107.4729941408489</v>
      </c>
      <c r="Q1899">
        <f>-654.506922791753 -24.1715377747419 -358.084582291191</f>
        <v>-1036.7630428576858</v>
      </c>
      <c r="R1899" t="s">
        <v>39552</v>
      </c>
      <c r="S1899" t="s">
        <v>39553</v>
      </c>
      <c r="T1899" t="s">
        <v>39554</v>
      </c>
      <c r="U1899" t="s">
        <v>39555</v>
      </c>
      <c r="V1899" t="s">
        <v>39556</v>
      </c>
      <c r="W1899" t="s">
        <v>39557</v>
      </c>
      <c r="X1899" t="s">
        <v>39558</v>
      </c>
      <c r="Y1899" t="s">
        <v>39559</v>
      </c>
    </row>
    <row r="1900" spans="1:25" x14ac:dyDescent="0.3">
      <c r="A1900">
        <v>94950</v>
      </c>
      <c r="B1900" t="s">
        <v>39560</v>
      </c>
      <c r="C1900" t="s">
        <v>39561</v>
      </c>
      <c r="D1900" t="s">
        <v>39562</v>
      </c>
      <c r="E1900" t="s">
        <v>39563</v>
      </c>
      <c r="F1900" t="s">
        <v>39564</v>
      </c>
      <c r="G1900" t="s">
        <v>39565</v>
      </c>
      <c r="H1900" t="s">
        <v>39566</v>
      </c>
      <c r="I1900" t="s">
        <v>39567</v>
      </c>
      <c r="J1900" t="s">
        <v>39568</v>
      </c>
      <c r="K1900" t="s">
        <v>39569</v>
      </c>
      <c r="L1900" t="s">
        <v>39570</v>
      </c>
      <c r="M1900" t="s">
        <v>39571</v>
      </c>
      <c r="N1900" t="s">
        <v>39572</v>
      </c>
      <c r="O1900">
        <f>-849.903420607244 -15.4816351430682 -499.662612009425</f>
        <v>-1365.0476677597371</v>
      </c>
      <c r="P1900">
        <f>-840.123150187901 -58.7584178803945 -208.76285970879</f>
        <v>-1107.6444277770856</v>
      </c>
      <c r="Q1900">
        <f>-654.639184032827 -23.626709440829 -358.470312272833</f>
        <v>-1036.7362057464888</v>
      </c>
      <c r="R1900" t="s">
        <v>39573</v>
      </c>
      <c r="S1900" t="s">
        <v>39574</v>
      </c>
      <c r="T1900" t="s">
        <v>39575</v>
      </c>
      <c r="U1900" t="s">
        <v>39576</v>
      </c>
      <c r="V1900" t="s">
        <v>39577</v>
      </c>
      <c r="W1900" t="s">
        <v>39578</v>
      </c>
      <c r="X1900" t="s">
        <v>39579</v>
      </c>
      <c r="Y1900" t="s">
        <v>39580</v>
      </c>
    </row>
    <row r="1901" spans="1:25" x14ac:dyDescent="0.3">
      <c r="A1901">
        <v>95000</v>
      </c>
      <c r="B1901" t="s">
        <v>39581</v>
      </c>
      <c r="C1901" t="s">
        <v>39582</v>
      </c>
      <c r="D1901" t="s">
        <v>39583</v>
      </c>
      <c r="E1901" t="s">
        <v>39584</v>
      </c>
      <c r="F1901" t="s">
        <v>39585</v>
      </c>
      <c r="G1901" t="s">
        <v>39586</v>
      </c>
      <c r="H1901" t="s">
        <v>39587</v>
      </c>
      <c r="I1901" t="s">
        <v>39588</v>
      </c>
      <c r="J1901" t="s">
        <v>39589</v>
      </c>
      <c r="K1901" t="s">
        <v>39590</v>
      </c>
      <c r="L1901" t="s">
        <v>39591</v>
      </c>
      <c r="M1901" t="s">
        <v>39592</v>
      </c>
      <c r="N1901" t="s">
        <v>39593</v>
      </c>
      <c r="O1901">
        <f>-850.553702774275 -14.6803128944307 -500.127038877399</f>
        <v>-1365.3610545461047</v>
      </c>
      <c r="P1901">
        <f>-840.074079809698 -59.0479939490178 -209.415939424673</f>
        <v>-1108.5380131833888</v>
      </c>
      <c r="Q1901">
        <f>-654.922316055493 -22.9539707464387 -359.305718955221</f>
        <v>-1037.1820057571526</v>
      </c>
      <c r="R1901" t="s">
        <v>39594</v>
      </c>
      <c r="S1901" t="s">
        <v>39595</v>
      </c>
      <c r="T1901" t="s">
        <v>39596</v>
      </c>
      <c r="U1901" t="s">
        <v>39597</v>
      </c>
      <c r="V1901" t="s">
        <v>39598</v>
      </c>
      <c r="W1901" t="s">
        <v>39599</v>
      </c>
      <c r="X1901" t="s">
        <v>39600</v>
      </c>
      <c r="Y1901" t="s">
        <v>39601</v>
      </c>
    </row>
    <row r="1902" spans="1:25" x14ac:dyDescent="0.3">
      <c r="A1902">
        <v>95050</v>
      </c>
      <c r="B1902" t="s">
        <v>39602</v>
      </c>
      <c r="C1902" t="s">
        <v>39603</v>
      </c>
      <c r="D1902" t="s">
        <v>39604</v>
      </c>
      <c r="E1902" t="s">
        <v>39605</v>
      </c>
      <c r="F1902" t="s">
        <v>39606</v>
      </c>
      <c r="G1902" t="s">
        <v>39607</v>
      </c>
      <c r="H1902" t="s">
        <v>39608</v>
      </c>
      <c r="I1902" t="s">
        <v>39609</v>
      </c>
      <c r="J1902" t="s">
        <v>39610</v>
      </c>
      <c r="K1902" t="s">
        <v>39611</v>
      </c>
      <c r="L1902" t="s">
        <v>39612</v>
      </c>
      <c r="M1902" t="s">
        <v>39613</v>
      </c>
      <c r="N1902" t="s">
        <v>39614</v>
      </c>
      <c r="O1902">
        <f>-850.930992533121 -14.3595202741858 -500.36299448254</f>
        <v>-1365.6535072898469</v>
      </c>
      <c r="P1902">
        <f>-840.09704483433 -59.2333723103882 -209.742577684213</f>
        <v>-1109.0729948289311</v>
      </c>
      <c r="Q1902">
        <f>-655.028885815618 -22.8162900587567 -359.65723797061</f>
        <v>-1037.5024138449849</v>
      </c>
      <c r="R1902" t="s">
        <v>39615</v>
      </c>
      <c r="S1902" t="s">
        <v>39616</v>
      </c>
      <c r="T1902" t="s">
        <v>39617</v>
      </c>
      <c r="U1902" t="s">
        <v>39618</v>
      </c>
      <c r="V1902" t="s">
        <v>39619</v>
      </c>
      <c r="W1902" t="s">
        <v>39620</v>
      </c>
      <c r="X1902" t="s">
        <v>39621</v>
      </c>
      <c r="Y1902" t="s">
        <v>39622</v>
      </c>
    </row>
    <row r="1903" spans="1:25" x14ac:dyDescent="0.3">
      <c r="A1903">
        <v>95100</v>
      </c>
      <c r="B1903" t="s">
        <v>39623</v>
      </c>
      <c r="C1903" t="s">
        <v>39624</v>
      </c>
      <c r="D1903" t="s">
        <v>39625</v>
      </c>
      <c r="E1903" t="s">
        <v>39626</v>
      </c>
      <c r="F1903" t="s">
        <v>39627</v>
      </c>
      <c r="G1903" t="s">
        <v>39628</v>
      </c>
      <c r="H1903" t="s">
        <v>39629</v>
      </c>
      <c r="I1903" t="s">
        <v>39630</v>
      </c>
      <c r="J1903" t="s">
        <v>39631</v>
      </c>
      <c r="K1903" t="s">
        <v>39632</v>
      </c>
      <c r="L1903" t="s">
        <v>39633</v>
      </c>
      <c r="M1903" t="s">
        <v>39634</v>
      </c>
      <c r="N1903" t="s">
        <v>39635</v>
      </c>
      <c r="O1903">
        <f>-851.479537255956 -13.499396666301 -500.95911364141</f>
        <v>-1365.9380475636669</v>
      </c>
      <c r="P1903">
        <f>-840.179877065401 -59.6743991062385 -210.560359671166</f>
        <v>-1110.4146358428056</v>
      </c>
      <c r="Q1903">
        <f>-655.189783501469 -22.0650695995887 -360.276950751755</f>
        <v>-1037.5318038528128</v>
      </c>
      <c r="R1903" t="s">
        <v>39636</v>
      </c>
      <c r="S1903" t="s">
        <v>39637</v>
      </c>
      <c r="T1903" t="s">
        <v>39638</v>
      </c>
      <c r="U1903" t="s">
        <v>39639</v>
      </c>
      <c r="V1903" t="s">
        <v>39640</v>
      </c>
      <c r="W1903" t="s">
        <v>39641</v>
      </c>
      <c r="X1903" t="s">
        <v>39642</v>
      </c>
      <c r="Y1903" t="s">
        <v>39643</v>
      </c>
    </row>
    <row r="1904" spans="1:25" x14ac:dyDescent="0.3">
      <c r="A1904">
        <v>95150</v>
      </c>
      <c r="B1904" t="s">
        <v>39644</v>
      </c>
      <c r="C1904" t="s">
        <v>39645</v>
      </c>
      <c r="D1904" t="s">
        <v>39646</v>
      </c>
      <c r="E1904" t="s">
        <v>39647</v>
      </c>
      <c r="F1904" t="s">
        <v>39648</v>
      </c>
      <c r="G1904" t="s">
        <v>39649</v>
      </c>
      <c r="H1904" t="s">
        <v>39650</v>
      </c>
      <c r="I1904" t="s">
        <v>39651</v>
      </c>
      <c r="J1904" t="s">
        <v>39652</v>
      </c>
      <c r="K1904" t="s">
        <v>39653</v>
      </c>
      <c r="L1904" t="s">
        <v>39654</v>
      </c>
      <c r="M1904" t="s">
        <v>39655</v>
      </c>
      <c r="N1904" t="s">
        <v>39656</v>
      </c>
      <c r="O1904">
        <f>-851.761430354295 -12.9474180611519 -501.363370632883</f>
        <v>-1366.07221904833</v>
      </c>
      <c r="P1904">
        <f>-840.373071326663 -59.7429480258002 -211.067540045589</f>
        <v>-1111.1835593980522</v>
      </c>
      <c r="Q1904">
        <f>-655.227542156298 -21.9066685491784 -360.534856911779</f>
        <v>-1037.6690676172555</v>
      </c>
      <c r="R1904" t="s">
        <v>39657</v>
      </c>
      <c r="S1904" t="s">
        <v>39658</v>
      </c>
      <c r="T1904" t="s">
        <v>39659</v>
      </c>
      <c r="U1904" t="s">
        <v>39660</v>
      </c>
      <c r="V1904" t="s">
        <v>39661</v>
      </c>
      <c r="W1904" t="s">
        <v>39662</v>
      </c>
      <c r="X1904" t="s">
        <v>39663</v>
      </c>
      <c r="Y1904" t="s">
        <v>39664</v>
      </c>
    </row>
    <row r="1905" spans="1:25" x14ac:dyDescent="0.3">
      <c r="A1905">
        <v>95200</v>
      </c>
      <c r="B1905" t="s">
        <v>39665</v>
      </c>
      <c r="C1905" t="s">
        <v>39666</v>
      </c>
      <c r="D1905" t="s">
        <v>39667</v>
      </c>
      <c r="E1905" t="s">
        <v>39668</v>
      </c>
      <c r="F1905" t="s">
        <v>39669</v>
      </c>
      <c r="G1905" t="s">
        <v>39670</v>
      </c>
      <c r="H1905" t="s">
        <v>39671</v>
      </c>
      <c r="I1905" t="s">
        <v>39672</v>
      </c>
      <c r="J1905" t="s">
        <v>39673</v>
      </c>
      <c r="K1905" t="s">
        <v>39674</v>
      </c>
      <c r="L1905" t="s">
        <v>39675</v>
      </c>
      <c r="M1905" t="s">
        <v>39676</v>
      </c>
      <c r="N1905" t="s">
        <v>39677</v>
      </c>
      <c r="O1905">
        <f>-852.382653101518 -11.5161754032883 -502.269381087713</f>
        <v>-1366.1682095925194</v>
      </c>
      <c r="P1905">
        <f>-840.895074097314 -59.9903217276972 -212.252976693002</f>
        <v>-1113.1383725180133</v>
      </c>
      <c r="Q1905">
        <f>-655.559813889741 -21.3185761071359 -361.270567919598</f>
        <v>-1038.148957916475</v>
      </c>
      <c r="R1905" t="s">
        <v>39678</v>
      </c>
      <c r="S1905" t="s">
        <v>39679</v>
      </c>
      <c r="T1905" t="s">
        <v>39680</v>
      </c>
      <c r="U1905" t="s">
        <v>39681</v>
      </c>
      <c r="V1905" t="s">
        <v>39682</v>
      </c>
      <c r="W1905" t="s">
        <v>39683</v>
      </c>
      <c r="X1905" t="s">
        <v>39684</v>
      </c>
      <c r="Y1905" t="s">
        <v>39685</v>
      </c>
    </row>
    <row r="1906" spans="1:25" x14ac:dyDescent="0.3">
      <c r="A1906">
        <v>95250</v>
      </c>
      <c r="B1906" t="s">
        <v>39686</v>
      </c>
      <c r="C1906" t="s">
        <v>39687</v>
      </c>
      <c r="D1906" t="s">
        <v>39688</v>
      </c>
      <c r="E1906" t="s">
        <v>39689</v>
      </c>
      <c r="F1906" t="s">
        <v>39690</v>
      </c>
      <c r="G1906" t="s">
        <v>39691</v>
      </c>
      <c r="H1906" t="s">
        <v>39692</v>
      </c>
      <c r="I1906" t="s">
        <v>39693</v>
      </c>
      <c r="J1906" t="s">
        <v>39694</v>
      </c>
      <c r="K1906" t="s">
        <v>39695</v>
      </c>
      <c r="L1906" t="s">
        <v>39696</v>
      </c>
      <c r="M1906" t="s">
        <v>39697</v>
      </c>
      <c r="N1906" t="s">
        <v>39698</v>
      </c>
      <c r="O1906">
        <f>-852.616373717162 -10.7070944917468 -502.735479670153</f>
        <v>-1366.0589478790619</v>
      </c>
      <c r="P1906">
        <f>-841.192822528104 -59.9633864040954 -212.848515637264</f>
        <v>-1114.0047245694634</v>
      </c>
      <c r="Q1906">
        <f>-655.714545820774 -21.165648294867 -361.655231332177</f>
        <v>-1038.5354254478179</v>
      </c>
      <c r="R1906" t="s">
        <v>39699</v>
      </c>
      <c r="S1906" t="s">
        <v>39700</v>
      </c>
      <c r="T1906" t="s">
        <v>39701</v>
      </c>
      <c r="U1906" t="s">
        <v>39702</v>
      </c>
      <c r="V1906" t="s">
        <v>39703</v>
      </c>
      <c r="W1906" t="s">
        <v>39704</v>
      </c>
      <c r="X1906" t="s">
        <v>39705</v>
      </c>
      <c r="Y1906" t="s">
        <v>39706</v>
      </c>
    </row>
    <row r="1907" spans="1:25" x14ac:dyDescent="0.3">
      <c r="A1907">
        <v>95300</v>
      </c>
      <c r="B1907" t="s">
        <v>39707</v>
      </c>
      <c r="C1907" t="s">
        <v>39708</v>
      </c>
      <c r="D1907" t="s">
        <v>39709</v>
      </c>
      <c r="E1907" t="s">
        <v>39710</v>
      </c>
      <c r="F1907" t="s">
        <v>39711</v>
      </c>
      <c r="G1907" t="s">
        <v>39712</v>
      </c>
      <c r="H1907" t="s">
        <v>39713</v>
      </c>
      <c r="I1907" t="s">
        <v>39714</v>
      </c>
      <c r="J1907" t="s">
        <v>39715</v>
      </c>
      <c r="K1907" t="s">
        <v>39716</v>
      </c>
      <c r="L1907" t="s">
        <v>39717</v>
      </c>
      <c r="M1907" t="s">
        <v>39718</v>
      </c>
      <c r="N1907" t="s">
        <v>39719</v>
      </c>
      <c r="O1907">
        <f>-852.925453041595 -9.97844345020985 -503.13601316393</f>
        <v>-1366.0399096557348</v>
      </c>
      <c r="P1907">
        <f>-841.467519225093 -59.8964795500644 -213.363485758251</f>
        <v>-1114.7274845334084</v>
      </c>
      <c r="Q1907">
        <f>-655.97333010322 -20.9157066068187 -362.102405785373</f>
        <v>-1038.9914424954118</v>
      </c>
      <c r="R1907" t="s">
        <v>39720</v>
      </c>
      <c r="S1907" t="s">
        <v>39721</v>
      </c>
      <c r="T1907" t="s">
        <v>39722</v>
      </c>
      <c r="U1907" t="s">
        <v>39723</v>
      </c>
      <c r="V1907" t="s">
        <v>39724</v>
      </c>
      <c r="W1907" t="s">
        <v>39725</v>
      </c>
      <c r="X1907" t="s">
        <v>39726</v>
      </c>
      <c r="Y1907" t="s">
        <v>39727</v>
      </c>
    </row>
    <row r="1908" spans="1:25" x14ac:dyDescent="0.3">
      <c r="A1908">
        <v>95350</v>
      </c>
      <c r="B1908" t="s">
        <v>39728</v>
      </c>
      <c r="C1908" t="s">
        <v>39729</v>
      </c>
      <c r="D1908" t="s">
        <v>39730</v>
      </c>
      <c r="E1908" t="s">
        <v>39731</v>
      </c>
      <c r="F1908" t="s">
        <v>39732</v>
      </c>
      <c r="G1908" t="s">
        <v>39733</v>
      </c>
      <c r="H1908" t="s">
        <v>39734</v>
      </c>
      <c r="I1908" t="s">
        <v>39735</v>
      </c>
      <c r="J1908" t="s">
        <v>39736</v>
      </c>
      <c r="K1908" t="s">
        <v>39737</v>
      </c>
      <c r="L1908" t="s">
        <v>39738</v>
      </c>
      <c r="M1908" t="s">
        <v>39739</v>
      </c>
      <c r="N1908" t="s">
        <v>39740</v>
      </c>
      <c r="O1908">
        <f>-853.263991925669 -9.22354860592122 -503.443422437171</f>
        <v>-1365.9309629687612</v>
      </c>
      <c r="P1908">
        <f>-841.602712036565 -59.6789017499136 -213.772036229902</f>
        <v>-1115.0536500163805</v>
      </c>
      <c r="Q1908">
        <f>-656.069567130892 -20.5501953264275 -362.42331553247</f>
        <v>-1039.0430779897895</v>
      </c>
      <c r="R1908" t="s">
        <v>39741</v>
      </c>
      <c r="S1908" t="s">
        <v>39742</v>
      </c>
      <c r="T1908" t="s">
        <v>39743</v>
      </c>
      <c r="U1908" t="s">
        <v>39744</v>
      </c>
      <c r="V1908" t="s">
        <v>39745</v>
      </c>
      <c r="W1908" t="s">
        <v>39746</v>
      </c>
      <c r="X1908" t="s">
        <v>39747</v>
      </c>
      <c r="Y1908" t="s">
        <v>39748</v>
      </c>
    </row>
    <row r="1909" spans="1:25" x14ac:dyDescent="0.3">
      <c r="A1909">
        <v>95400</v>
      </c>
      <c r="B1909" t="s">
        <v>39749</v>
      </c>
      <c r="C1909" t="s">
        <v>39750</v>
      </c>
      <c r="D1909" t="s">
        <v>39751</v>
      </c>
      <c r="E1909" t="s">
        <v>39752</v>
      </c>
      <c r="F1909" t="s">
        <v>39753</v>
      </c>
      <c r="G1909" t="s">
        <v>39754</v>
      </c>
      <c r="H1909" t="s">
        <v>39755</v>
      </c>
      <c r="I1909" t="s">
        <v>39756</v>
      </c>
      <c r="J1909" t="s">
        <v>39757</v>
      </c>
      <c r="K1909" t="s">
        <v>39758</v>
      </c>
      <c r="L1909" t="s">
        <v>39759</v>
      </c>
      <c r="M1909" t="s">
        <v>39760</v>
      </c>
      <c r="N1909" t="s">
        <v>39761</v>
      </c>
      <c r="O1909">
        <f>-854.341263579799 -7.52991219009755 -504.027485800218</f>
        <v>-1365.8986615701147</v>
      </c>
      <c r="P1909">
        <f>-842.241941230638 -59.0171521870602 -214.555755936465</f>
        <v>-1115.8148493541632</v>
      </c>
      <c r="Q1909">
        <f>-656.60509166936 -20.1337201384122 -363.142236676226</f>
        <v>-1039.8810484839983</v>
      </c>
      <c r="R1909" t="s">
        <v>39762</v>
      </c>
      <c r="S1909" t="s">
        <v>39763</v>
      </c>
      <c r="T1909" t="s">
        <v>39764</v>
      </c>
      <c r="U1909" t="s">
        <v>39765</v>
      </c>
      <c r="V1909" t="s">
        <v>39766</v>
      </c>
      <c r="W1909" t="s">
        <v>39767</v>
      </c>
      <c r="X1909" t="s">
        <v>39768</v>
      </c>
      <c r="Y1909" t="s">
        <v>39769</v>
      </c>
    </row>
    <row r="1910" spans="1:25" x14ac:dyDescent="0.3">
      <c r="A1910">
        <v>95450</v>
      </c>
      <c r="B1910" t="s">
        <v>39770</v>
      </c>
      <c r="C1910" t="s">
        <v>39771</v>
      </c>
      <c r="D1910" t="s">
        <v>39772</v>
      </c>
      <c r="E1910" t="s">
        <v>39773</v>
      </c>
      <c r="F1910" t="s">
        <v>39774</v>
      </c>
      <c r="G1910" t="s">
        <v>39775</v>
      </c>
      <c r="H1910" t="s">
        <v>39776</v>
      </c>
      <c r="I1910" t="s">
        <v>39777</v>
      </c>
      <c r="J1910" t="s">
        <v>39778</v>
      </c>
      <c r="K1910" t="s">
        <v>39779</v>
      </c>
      <c r="L1910" t="s">
        <v>39780</v>
      </c>
      <c r="M1910" t="s">
        <v>39781</v>
      </c>
      <c r="N1910" t="s">
        <v>39782</v>
      </c>
      <c r="O1910">
        <f>-854.51927943921 -6.98293107449399 -504.181113709416</f>
        <v>-1365.6833242231201</v>
      </c>
      <c r="P1910">
        <f>-842.260202045905 -58.7268311526093 -214.761971429581</f>
        <v>-1115.7490046280952</v>
      </c>
      <c r="Q1910">
        <f>-656.582682918157 -19.878770105463 -363.30661291847</f>
        <v>-1039.7680659420901</v>
      </c>
      <c r="R1910" t="s">
        <v>39783</v>
      </c>
      <c r="S1910" t="s">
        <v>39784</v>
      </c>
      <c r="T1910" t="s">
        <v>39785</v>
      </c>
      <c r="U1910" t="s">
        <v>39786</v>
      </c>
      <c r="V1910" t="s">
        <v>39787</v>
      </c>
      <c r="W1910" t="s">
        <v>39788</v>
      </c>
      <c r="X1910" t="s">
        <v>39789</v>
      </c>
      <c r="Y1910" t="s">
        <v>39790</v>
      </c>
    </row>
    <row r="1911" spans="1:25" x14ac:dyDescent="0.3">
      <c r="A1911">
        <v>95500</v>
      </c>
      <c r="B1911" t="s">
        <v>39791</v>
      </c>
      <c r="C1911" t="s">
        <v>39792</v>
      </c>
      <c r="D1911" t="s">
        <v>39793</v>
      </c>
      <c r="E1911" t="s">
        <v>39794</v>
      </c>
      <c r="F1911" t="s">
        <v>39795</v>
      </c>
      <c r="G1911" t="s">
        <v>39796</v>
      </c>
      <c r="H1911" t="s">
        <v>39797</v>
      </c>
      <c r="I1911" t="s">
        <v>39798</v>
      </c>
      <c r="J1911" t="s">
        <v>39799</v>
      </c>
      <c r="K1911" t="s">
        <v>39800</v>
      </c>
      <c r="L1911" t="s">
        <v>39801</v>
      </c>
      <c r="M1911" t="s">
        <v>39802</v>
      </c>
      <c r="N1911" t="s">
        <v>39803</v>
      </c>
      <c r="O1911">
        <f>-854.635351755982 -6.41729853744846 -504.502672509762</f>
        <v>-1365.5553228031924</v>
      </c>
      <c r="P1911">
        <f>-842.167443813081 -58.6894360962483 -215.187283982566</f>
        <v>-1116.0441638918953</v>
      </c>
      <c r="Q1911">
        <f>-656.362255383183 -19.6929778440631 -363.533278735078</f>
        <v>-1039.588511962324</v>
      </c>
      <c r="R1911" t="s">
        <v>39804</v>
      </c>
      <c r="S1911" t="s">
        <v>39805</v>
      </c>
      <c r="T1911" t="s">
        <v>39806</v>
      </c>
      <c r="U1911" t="s">
        <v>39807</v>
      </c>
      <c r="V1911" t="s">
        <v>39808</v>
      </c>
      <c r="W1911" t="s">
        <v>39809</v>
      </c>
      <c r="X1911" t="s">
        <v>39810</v>
      </c>
      <c r="Y1911" t="s">
        <v>39811</v>
      </c>
    </row>
    <row r="1912" spans="1:25" x14ac:dyDescent="0.3">
      <c r="A1912">
        <v>95550</v>
      </c>
      <c r="B1912" t="s">
        <v>39812</v>
      </c>
      <c r="C1912" t="s">
        <v>39813</v>
      </c>
      <c r="D1912" t="s">
        <v>39814</v>
      </c>
      <c r="E1912" t="s">
        <v>39815</v>
      </c>
      <c r="F1912" t="s">
        <v>39816</v>
      </c>
      <c r="G1912" t="s">
        <v>39817</v>
      </c>
      <c r="H1912" t="s">
        <v>39818</v>
      </c>
      <c r="I1912" t="s">
        <v>39819</v>
      </c>
      <c r="J1912" t="s">
        <v>39820</v>
      </c>
      <c r="K1912" t="s">
        <v>39821</v>
      </c>
      <c r="L1912" t="s">
        <v>39822</v>
      </c>
      <c r="M1912" t="s">
        <v>39823</v>
      </c>
      <c r="N1912" t="s">
        <v>39824</v>
      </c>
      <c r="O1912">
        <f>-854.773970777259 -6.06420508611609 -504.714889664384</f>
        <v>-1365.5530655277591</v>
      </c>
      <c r="P1912">
        <f>-842.13592807107 -58.5756911757762 -215.450186041809</f>
        <v>-1116.1618052886552</v>
      </c>
      <c r="Q1912">
        <f>-656.230513423463 -19.3203975394931 -363.602447878113</f>
        <v>-1039.1533588410691</v>
      </c>
      <c r="R1912" t="s">
        <v>39825</v>
      </c>
      <c r="S1912" t="s">
        <v>39826</v>
      </c>
      <c r="T1912" t="s">
        <v>39827</v>
      </c>
      <c r="U1912" t="s">
        <v>39828</v>
      </c>
      <c r="V1912" t="s">
        <v>39829</v>
      </c>
      <c r="W1912" t="s">
        <v>39830</v>
      </c>
      <c r="X1912" t="s">
        <v>39831</v>
      </c>
      <c r="Y1912" t="s">
        <v>39832</v>
      </c>
    </row>
    <row r="1913" spans="1:25" x14ac:dyDescent="0.3">
      <c r="A1913">
        <v>95600</v>
      </c>
      <c r="B1913" t="s">
        <v>39833</v>
      </c>
      <c r="C1913" t="s">
        <v>39834</v>
      </c>
      <c r="D1913" t="s">
        <v>39835</v>
      </c>
      <c r="E1913" t="s">
        <v>39836</v>
      </c>
      <c r="F1913" t="s">
        <v>39837</v>
      </c>
      <c r="G1913" t="s">
        <v>39838</v>
      </c>
      <c r="H1913" t="s">
        <v>39839</v>
      </c>
      <c r="I1913" t="s">
        <v>39840</v>
      </c>
      <c r="J1913" t="s">
        <v>39841</v>
      </c>
      <c r="K1913" t="s">
        <v>39842</v>
      </c>
      <c r="L1913" t="s">
        <v>39843</v>
      </c>
      <c r="M1913" t="s">
        <v>39844</v>
      </c>
      <c r="N1913" t="s">
        <v>39845</v>
      </c>
      <c r="O1913">
        <f>-855.176026211725 -5.27534585055355 -505.094339534198</f>
        <v>-1365.5457115964766</v>
      </c>
      <c r="P1913">
        <f>-841.950346524545 -58.3833115671939 -215.964753505794</f>
        <v>-1116.298411597533</v>
      </c>
      <c r="Q1913">
        <f>-655.779732641866 -18.8693632506161 -363.714736827612</f>
        <v>-1038.363832720094</v>
      </c>
      <c r="R1913" t="s">
        <v>39846</v>
      </c>
      <c r="S1913" t="s">
        <v>39847</v>
      </c>
      <c r="T1913" t="s">
        <v>39848</v>
      </c>
      <c r="U1913" t="s">
        <v>39849</v>
      </c>
      <c r="V1913" t="s">
        <v>39850</v>
      </c>
      <c r="W1913" t="s">
        <v>39851</v>
      </c>
      <c r="X1913" t="s">
        <v>39852</v>
      </c>
      <c r="Y1913" t="s">
        <v>39853</v>
      </c>
    </row>
    <row r="1914" spans="1:25" x14ac:dyDescent="0.3">
      <c r="A1914">
        <v>95650</v>
      </c>
      <c r="B1914" t="s">
        <v>39854</v>
      </c>
      <c r="C1914" t="s">
        <v>39855</v>
      </c>
      <c r="D1914" t="s">
        <v>39856</v>
      </c>
      <c r="E1914" t="s">
        <v>39857</v>
      </c>
      <c r="F1914" t="s">
        <v>39858</v>
      </c>
      <c r="G1914" t="s">
        <v>39859</v>
      </c>
      <c r="H1914" t="s">
        <v>39860</v>
      </c>
      <c r="I1914" t="s">
        <v>39861</v>
      </c>
      <c r="J1914" t="s">
        <v>39862</v>
      </c>
      <c r="K1914" t="s">
        <v>39863</v>
      </c>
      <c r="L1914" t="s">
        <v>39864</v>
      </c>
      <c r="M1914" t="s">
        <v>39865</v>
      </c>
      <c r="N1914" t="s">
        <v>39866</v>
      </c>
      <c r="O1914">
        <f>-855.530091943264 -5.02591470236803 -505.250313343722</f>
        <v>-1365.8063199893541</v>
      </c>
      <c r="P1914">
        <f>-842.002467624572 -58.3083289164513 -216.166972575265</f>
        <v>-1116.4777691162883</v>
      </c>
      <c r="Q1914">
        <f>-655.713186572229 -19.0128921688492 -363.825109652951</f>
        <v>-1038.5511883940294</v>
      </c>
      <c r="R1914" t="s">
        <v>39867</v>
      </c>
      <c r="S1914" t="s">
        <v>39868</v>
      </c>
      <c r="T1914" t="s">
        <v>39869</v>
      </c>
      <c r="U1914" t="s">
        <v>39870</v>
      </c>
      <c r="V1914" t="s">
        <v>39871</v>
      </c>
      <c r="W1914" t="s">
        <v>39872</v>
      </c>
      <c r="X1914" t="s">
        <v>39873</v>
      </c>
      <c r="Y1914" t="s">
        <v>39874</v>
      </c>
    </row>
    <row r="1915" spans="1:25" x14ac:dyDescent="0.3">
      <c r="A1915">
        <v>95700</v>
      </c>
      <c r="B1915" t="s">
        <v>39875</v>
      </c>
      <c r="C1915" t="s">
        <v>39876</v>
      </c>
      <c r="D1915" t="s">
        <v>39877</v>
      </c>
      <c r="E1915" t="s">
        <v>39878</v>
      </c>
      <c r="F1915" t="s">
        <v>39879</v>
      </c>
      <c r="G1915" t="s">
        <v>39880</v>
      </c>
      <c r="H1915" t="s">
        <v>39881</v>
      </c>
      <c r="I1915" t="s">
        <v>39882</v>
      </c>
      <c r="J1915" t="s">
        <v>39883</v>
      </c>
      <c r="K1915" t="s">
        <v>39884</v>
      </c>
      <c r="L1915" t="s">
        <v>39885</v>
      </c>
      <c r="M1915" t="s">
        <v>39886</v>
      </c>
      <c r="N1915" t="s">
        <v>39887</v>
      </c>
      <c r="O1915">
        <f>-855.889542706771 -4.58267947748391 -505.652871047426</f>
        <v>-1366.1250932316809</v>
      </c>
      <c r="P1915">
        <f>-841.86469004572 -58.2443510077621 -216.663295154207</f>
        <v>-1116.772336207689</v>
      </c>
      <c r="Q1915">
        <f>-655.324651977567 -19.6695130571929 -364.195431166719</f>
        <v>-1039.1895962014789</v>
      </c>
      <c r="R1915" t="s">
        <v>39888</v>
      </c>
      <c r="S1915" t="s">
        <v>39889</v>
      </c>
      <c r="T1915" t="s">
        <v>39890</v>
      </c>
      <c r="U1915" t="s">
        <v>39891</v>
      </c>
      <c r="V1915" t="s">
        <v>39892</v>
      </c>
      <c r="W1915" t="s">
        <v>39893</v>
      </c>
      <c r="X1915" t="s">
        <v>39894</v>
      </c>
      <c r="Y1915" t="s">
        <v>39895</v>
      </c>
    </row>
    <row r="1916" spans="1:25" x14ac:dyDescent="0.3">
      <c r="A1916">
        <v>95750</v>
      </c>
      <c r="B1916" t="s">
        <v>39896</v>
      </c>
      <c r="C1916" t="s">
        <v>39897</v>
      </c>
      <c r="D1916" t="s">
        <v>39898</v>
      </c>
      <c r="E1916" t="s">
        <v>39899</v>
      </c>
      <c r="F1916" t="s">
        <v>39900</v>
      </c>
      <c r="G1916" t="s">
        <v>39901</v>
      </c>
      <c r="H1916" t="s">
        <v>39902</v>
      </c>
      <c r="I1916" t="s">
        <v>39903</v>
      </c>
      <c r="J1916" t="s">
        <v>39904</v>
      </c>
      <c r="K1916" t="s">
        <v>39905</v>
      </c>
      <c r="L1916" t="s">
        <v>39906</v>
      </c>
      <c r="M1916" t="s">
        <v>39907</v>
      </c>
      <c r="N1916" t="s">
        <v>39908</v>
      </c>
      <c r="O1916">
        <f>-856.226736678604 -4.37308056317306 -505.839740382081</f>
        <v>-1366.439557623858</v>
      </c>
      <c r="P1916">
        <f>-841.824216353548 -58.3064117417885 -216.919408256217</f>
        <v>-1117.0500363515534</v>
      </c>
      <c r="Q1916">
        <f>-655.163429576684 -20.1443574489826 -364.40585551093</f>
        <v>-1039.7136425365966</v>
      </c>
      <c r="R1916" t="s">
        <v>39909</v>
      </c>
      <c r="S1916" t="s">
        <v>39910</v>
      </c>
      <c r="T1916" t="s">
        <v>39911</v>
      </c>
      <c r="U1916" t="s">
        <v>39912</v>
      </c>
      <c r="V1916" t="s">
        <v>39913</v>
      </c>
      <c r="W1916" t="s">
        <v>39914</v>
      </c>
      <c r="X1916" t="s">
        <v>39915</v>
      </c>
      <c r="Y1916" t="s">
        <v>39916</v>
      </c>
    </row>
    <row r="1917" spans="1:25" x14ac:dyDescent="0.3">
      <c r="A1917">
        <v>95800</v>
      </c>
      <c r="B1917" t="s">
        <v>39917</v>
      </c>
      <c r="C1917" t="s">
        <v>39918</v>
      </c>
      <c r="D1917" t="s">
        <v>39919</v>
      </c>
      <c r="E1917" t="s">
        <v>39920</v>
      </c>
      <c r="F1917" t="s">
        <v>39921</v>
      </c>
      <c r="G1917" t="s">
        <v>39922</v>
      </c>
      <c r="H1917" t="s">
        <v>39923</v>
      </c>
      <c r="I1917" t="s">
        <v>39924</v>
      </c>
      <c r="J1917" t="s">
        <v>39925</v>
      </c>
      <c r="K1917" t="s">
        <v>39926</v>
      </c>
      <c r="L1917" t="s">
        <v>39927</v>
      </c>
      <c r="M1917" t="s">
        <v>39928</v>
      </c>
      <c r="N1917" t="s">
        <v>39929</v>
      </c>
      <c r="O1917">
        <f>-857.093109486961 -3.99501643078793 -506.186095293901</f>
        <v>-1367.27422121165</v>
      </c>
      <c r="P1917">
        <f>-841.995107019146 -58.5318192034506 -217.414741667308</f>
        <v>-1117.9416678899045</v>
      </c>
      <c r="Q1917">
        <f>-655.025272652265 -21.0784451755321 -364.691255733332</f>
        <v>-1040.7949735611292</v>
      </c>
      <c r="R1917" t="s">
        <v>39930</v>
      </c>
      <c r="S1917" t="s">
        <v>39931</v>
      </c>
      <c r="T1917" t="s">
        <v>39932</v>
      </c>
      <c r="U1917" t="s">
        <v>39933</v>
      </c>
      <c r="V1917" t="s">
        <v>39934</v>
      </c>
      <c r="W1917" t="s">
        <v>39935</v>
      </c>
      <c r="X1917" t="s">
        <v>39936</v>
      </c>
      <c r="Y1917" t="s">
        <v>39937</v>
      </c>
    </row>
    <row r="1918" spans="1:25" x14ac:dyDescent="0.3">
      <c r="A1918">
        <v>95850</v>
      </c>
      <c r="B1918" t="s">
        <v>39938</v>
      </c>
      <c r="C1918" t="s">
        <v>39939</v>
      </c>
      <c r="D1918" t="s">
        <v>39940</v>
      </c>
      <c r="E1918" t="s">
        <v>39941</v>
      </c>
      <c r="F1918" t="s">
        <v>39942</v>
      </c>
      <c r="G1918" t="s">
        <v>39943</v>
      </c>
      <c r="H1918" t="s">
        <v>39944</v>
      </c>
      <c r="I1918" t="s">
        <v>39945</v>
      </c>
      <c r="J1918" t="s">
        <v>39946</v>
      </c>
      <c r="K1918" t="s">
        <v>39947</v>
      </c>
      <c r="L1918" t="s">
        <v>39948</v>
      </c>
      <c r="M1918" t="s">
        <v>39949</v>
      </c>
      <c r="N1918" t="s">
        <v>39950</v>
      </c>
      <c r="O1918">
        <f>-857.529785299114 -3.78448703320009 -506.392847803146</f>
        <v>-1367.7071201354602</v>
      </c>
      <c r="P1918">
        <f>-842.103113683285 -58.6664025012039 -217.704093663539</f>
        <v>-1118.473609848028</v>
      </c>
      <c r="Q1918">
        <f>-654.962438015878 -21.373973010845 -364.804508207133</f>
        <v>-1041.140919233856</v>
      </c>
      <c r="R1918" t="s">
        <v>39951</v>
      </c>
      <c r="S1918" t="s">
        <v>39952</v>
      </c>
      <c r="T1918" t="s">
        <v>39953</v>
      </c>
      <c r="U1918" t="s">
        <v>39954</v>
      </c>
      <c r="V1918" t="s">
        <v>39955</v>
      </c>
      <c r="W1918" t="s">
        <v>39956</v>
      </c>
      <c r="X1918" t="s">
        <v>39957</v>
      </c>
      <c r="Y1918" t="s">
        <v>39958</v>
      </c>
    </row>
    <row r="1919" spans="1:25" x14ac:dyDescent="0.3">
      <c r="A1919">
        <v>95900</v>
      </c>
      <c r="B1919" t="s">
        <v>39959</v>
      </c>
      <c r="C1919" t="s">
        <v>39960</v>
      </c>
      <c r="D1919" t="s">
        <v>39961</v>
      </c>
      <c r="E1919" t="s">
        <v>39962</v>
      </c>
      <c r="F1919" t="s">
        <v>39963</v>
      </c>
      <c r="G1919" t="s">
        <v>39964</v>
      </c>
      <c r="H1919" t="s">
        <v>39965</v>
      </c>
      <c r="I1919" t="s">
        <v>39966</v>
      </c>
      <c r="J1919" t="s">
        <v>39967</v>
      </c>
      <c r="K1919" t="s">
        <v>39968</v>
      </c>
      <c r="L1919" t="s">
        <v>39969</v>
      </c>
      <c r="M1919" t="s">
        <v>39970</v>
      </c>
      <c r="N1919" t="s">
        <v>39971</v>
      </c>
      <c r="O1919">
        <f>-858.324338063865 -3.56774801200845 -506.844193773045</f>
        <v>-1368.7362798489185</v>
      </c>
      <c r="P1919">
        <f>-842.395983434001 -59.4151836046187 -218.367981299433</f>
        <v>-1120.1791483380528</v>
      </c>
      <c r="Q1919">
        <f>-654.981498502197 -21.8893202893041 -365.059937791992</f>
        <v>-1041.9307565834931</v>
      </c>
      <c r="R1919" t="s">
        <v>39972</v>
      </c>
      <c r="S1919" t="s">
        <v>39973</v>
      </c>
      <c r="T1919" t="s">
        <v>39974</v>
      </c>
      <c r="U1919" t="s">
        <v>39975</v>
      </c>
      <c r="V1919" t="s">
        <v>39976</v>
      </c>
      <c r="W1919" t="s">
        <v>39977</v>
      </c>
      <c r="X1919" t="s">
        <v>39978</v>
      </c>
      <c r="Y1919" t="s">
        <v>39979</v>
      </c>
    </row>
    <row r="1920" spans="1:25" x14ac:dyDescent="0.3">
      <c r="A1920">
        <v>95950</v>
      </c>
      <c r="B1920" t="s">
        <v>39980</v>
      </c>
      <c r="C1920" t="s">
        <v>39981</v>
      </c>
      <c r="D1920" t="s">
        <v>39982</v>
      </c>
      <c r="E1920" t="s">
        <v>39983</v>
      </c>
      <c r="F1920" t="s">
        <v>39984</v>
      </c>
      <c r="G1920" t="s">
        <v>39985</v>
      </c>
      <c r="H1920" t="s">
        <v>39986</v>
      </c>
      <c r="I1920" t="s">
        <v>39987</v>
      </c>
      <c r="J1920" t="s">
        <v>39988</v>
      </c>
      <c r="K1920" t="s">
        <v>39989</v>
      </c>
      <c r="L1920" t="s">
        <v>39990</v>
      </c>
      <c r="M1920" t="s">
        <v>39991</v>
      </c>
      <c r="N1920" t="s">
        <v>39992</v>
      </c>
      <c r="O1920">
        <f>-858.701401593096 -3.32656378372303 -507.078213866885</f>
        <v>-1369.106179243704</v>
      </c>
      <c r="P1920">
        <f>-842.540726636762 -59.7918893354404 -218.735176974335</f>
        <v>-1121.0677929465373</v>
      </c>
      <c r="Q1920">
        <f>-655.038490721038 -21.8263961570833 -365.201334784979</f>
        <v>-1042.0662216631004</v>
      </c>
      <c r="R1920" t="s">
        <v>39993</v>
      </c>
      <c r="S1920" t="s">
        <v>39994</v>
      </c>
      <c r="T1920" t="s">
        <v>39995</v>
      </c>
      <c r="U1920" t="s">
        <v>39996</v>
      </c>
      <c r="V1920" t="s">
        <v>39997</v>
      </c>
      <c r="W1920" t="s">
        <v>39998</v>
      </c>
      <c r="X1920" t="s">
        <v>39999</v>
      </c>
      <c r="Y1920" t="s">
        <v>40000</v>
      </c>
    </row>
    <row r="1921" spans="1:25" x14ac:dyDescent="0.3">
      <c r="A1921">
        <v>96000</v>
      </c>
      <c r="B1921" t="s">
        <v>40001</v>
      </c>
      <c r="C1921" t="s">
        <v>40002</v>
      </c>
      <c r="D1921" t="s">
        <v>40003</v>
      </c>
      <c r="E1921" t="s">
        <v>40004</v>
      </c>
      <c r="F1921" t="s">
        <v>40005</v>
      </c>
      <c r="G1921" t="s">
        <v>40006</v>
      </c>
      <c r="H1921" t="s">
        <v>40007</v>
      </c>
      <c r="I1921" t="s">
        <v>40008</v>
      </c>
      <c r="J1921" t="s">
        <v>40009</v>
      </c>
      <c r="K1921" t="s">
        <v>40010</v>
      </c>
      <c r="L1921" t="s">
        <v>40011</v>
      </c>
      <c r="M1921" t="s">
        <v>40012</v>
      </c>
      <c r="N1921" t="s">
        <v>40013</v>
      </c>
      <c r="O1921">
        <f>-859.764635223213 -2.00265371078694 -507.493440237755</f>
        <v>-1369.260729171755</v>
      </c>
      <c r="P1921">
        <f>-843.088691322431 -59.6916050286345 -219.421997005013</f>
        <v>-1122.2022933560786</v>
      </c>
      <c r="Q1921">
        <f>-655.670640193514 -20.7308446035722 -365.73479080072</f>
        <v>-1042.1362755978062</v>
      </c>
      <c r="R1921" t="s">
        <v>40014</v>
      </c>
      <c r="S1921" t="s">
        <v>40015</v>
      </c>
      <c r="T1921" t="s">
        <v>40016</v>
      </c>
      <c r="U1921" t="s">
        <v>40017</v>
      </c>
      <c r="V1921" t="s">
        <v>40018</v>
      </c>
      <c r="W1921" t="s">
        <v>40019</v>
      </c>
      <c r="X1921" t="s">
        <v>40020</v>
      </c>
      <c r="Y1921" t="s">
        <v>40021</v>
      </c>
    </row>
    <row r="1922" spans="1:25" x14ac:dyDescent="0.3">
      <c r="A1922">
        <v>96050</v>
      </c>
      <c r="B1922" t="s">
        <v>40022</v>
      </c>
      <c r="C1922" t="s">
        <v>40023</v>
      </c>
      <c r="D1922" t="s">
        <v>40024</v>
      </c>
      <c r="E1922" t="s">
        <v>40025</v>
      </c>
      <c r="F1922" t="s">
        <v>40026</v>
      </c>
      <c r="G1922" t="s">
        <v>40027</v>
      </c>
      <c r="H1922" t="s">
        <v>40028</v>
      </c>
      <c r="I1922" t="s">
        <v>40029</v>
      </c>
      <c r="J1922" t="s">
        <v>40030</v>
      </c>
      <c r="K1922" t="s">
        <v>40031</v>
      </c>
      <c r="L1922" t="s">
        <v>40032</v>
      </c>
      <c r="M1922" t="s">
        <v>40033</v>
      </c>
      <c r="N1922" t="s">
        <v>40034</v>
      </c>
      <c r="O1922">
        <f>-860.437660246015 -1.09077428167348 -507.712843236295</f>
        <v>-1369.2412777639834</v>
      </c>
      <c r="P1922">
        <f>-843.493567826341 -59.3494150268011 -219.771750401797</f>
        <v>-1122.614733254939</v>
      </c>
      <c r="Q1922">
        <f>-656.158172337295 -20.0664022879755 -366.104184633084</f>
        <v>-1042.3287592583545</v>
      </c>
      <c r="R1922" t="s">
        <v>40035</v>
      </c>
      <c r="S1922" t="s">
        <v>40036</v>
      </c>
      <c r="T1922" t="s">
        <v>40037</v>
      </c>
      <c r="U1922" t="s">
        <v>40038</v>
      </c>
      <c r="V1922" t="s">
        <v>40039</v>
      </c>
      <c r="W1922" t="s">
        <v>40040</v>
      </c>
      <c r="X1922" t="s">
        <v>40041</v>
      </c>
      <c r="Y1922" t="s">
        <v>40042</v>
      </c>
    </row>
    <row r="1923" spans="1:25" x14ac:dyDescent="0.3">
      <c r="A1923">
        <v>96100</v>
      </c>
      <c r="B1923" t="s">
        <v>40043</v>
      </c>
      <c r="C1923" t="s">
        <v>40044</v>
      </c>
      <c r="D1923" t="s">
        <v>40045</v>
      </c>
      <c r="E1923" t="s">
        <v>40046</v>
      </c>
      <c r="F1923" t="s">
        <v>40047</v>
      </c>
      <c r="G1923" t="s">
        <v>40048</v>
      </c>
      <c r="H1923" t="s">
        <v>40049</v>
      </c>
      <c r="I1923" t="s">
        <v>40050</v>
      </c>
      <c r="J1923" t="s">
        <v>40051</v>
      </c>
      <c r="K1923" t="s">
        <v>40052</v>
      </c>
      <c r="L1923" t="s">
        <v>40053</v>
      </c>
      <c r="M1923" t="s">
        <v>40054</v>
      </c>
      <c r="N1923" t="s">
        <v>40055</v>
      </c>
      <c r="O1923" t="s">
        <v>40056</v>
      </c>
      <c r="P1923">
        <f>-844.579300459613 -58.4178147031962 -220.491352121436</f>
        <v>-1123.4884672842452</v>
      </c>
      <c r="Q1923">
        <f>-657.355502675192 -18.9700590505045 -366.922142241938</f>
        <v>-1043.2477039676346</v>
      </c>
      <c r="R1923" t="s">
        <v>40057</v>
      </c>
      <c r="S1923" t="s">
        <v>40058</v>
      </c>
      <c r="T1923" t="s">
        <v>40059</v>
      </c>
      <c r="U1923" t="s">
        <v>40060</v>
      </c>
      <c r="V1923" t="s">
        <v>40061</v>
      </c>
      <c r="W1923" t="s">
        <v>40062</v>
      </c>
      <c r="X1923" t="s">
        <v>40063</v>
      </c>
      <c r="Y1923" t="s">
        <v>40064</v>
      </c>
    </row>
    <row r="1924" spans="1:25" x14ac:dyDescent="0.3">
      <c r="A1924">
        <v>96150</v>
      </c>
      <c r="B1924" t="s">
        <v>40065</v>
      </c>
      <c r="C1924" t="s">
        <v>40066</v>
      </c>
      <c r="D1924" t="s">
        <v>40067</v>
      </c>
      <c r="E1924" t="s">
        <v>40068</v>
      </c>
      <c r="F1924" t="s">
        <v>40069</v>
      </c>
      <c r="G1924" t="s">
        <v>40070</v>
      </c>
      <c r="H1924" t="s">
        <v>40071</v>
      </c>
      <c r="I1924" t="s">
        <v>40072</v>
      </c>
      <c r="J1924" t="s">
        <v>40073</v>
      </c>
      <c r="K1924" t="s">
        <v>40074</v>
      </c>
      <c r="L1924" t="s">
        <v>40075</v>
      </c>
      <c r="M1924" t="s">
        <v>40076</v>
      </c>
      <c r="N1924" t="s">
        <v>40077</v>
      </c>
      <c r="O1924" t="s">
        <v>40078</v>
      </c>
      <c r="P1924">
        <f>-845.237377312104 -57.9370608908241 -220.808883045113</f>
        <v>-1123.983321248041</v>
      </c>
      <c r="Q1924">
        <f>-657.9932389445 -18.5404259722022 -367.227406554916</f>
        <v>-1043.7610714716184</v>
      </c>
      <c r="R1924" t="s">
        <v>40079</v>
      </c>
      <c r="S1924" t="s">
        <v>40080</v>
      </c>
      <c r="T1924" t="s">
        <v>40081</v>
      </c>
      <c r="U1924" t="s">
        <v>40082</v>
      </c>
      <c r="V1924" t="s">
        <v>40083</v>
      </c>
      <c r="W1924" t="s">
        <v>40084</v>
      </c>
      <c r="X1924" t="s">
        <v>40085</v>
      </c>
      <c r="Y1924" t="s">
        <v>40086</v>
      </c>
    </row>
    <row r="1925" spans="1:25" x14ac:dyDescent="0.3">
      <c r="A1925">
        <v>96200</v>
      </c>
      <c r="B1925" t="s">
        <v>40087</v>
      </c>
      <c r="C1925" t="s">
        <v>40088</v>
      </c>
      <c r="D1925" t="s">
        <v>40089</v>
      </c>
      <c r="E1925" t="s">
        <v>40090</v>
      </c>
      <c r="F1925" t="s">
        <v>40091</v>
      </c>
      <c r="G1925" t="s">
        <v>40092</v>
      </c>
      <c r="H1925" t="s">
        <v>40093</v>
      </c>
      <c r="I1925" t="s">
        <v>40094</v>
      </c>
      <c r="J1925" t="s">
        <v>40095</v>
      </c>
      <c r="K1925" t="s">
        <v>40096</v>
      </c>
      <c r="L1925" t="s">
        <v>40097</v>
      </c>
      <c r="M1925" t="s">
        <v>40098</v>
      </c>
      <c r="N1925" t="s">
        <v>40099</v>
      </c>
      <c r="O1925" t="s">
        <v>40100</v>
      </c>
      <c r="P1925">
        <f>-846.225831283137 -56.8107983220675 -221.375845651504</f>
        <v>-1124.4124752567086</v>
      </c>
      <c r="Q1925">
        <f>-658.725892831035 -17.7965077056697 -367.569038069086</f>
        <v>-1044.0914386057907</v>
      </c>
      <c r="R1925" t="s">
        <v>40101</v>
      </c>
      <c r="S1925" t="s">
        <v>40102</v>
      </c>
      <c r="T1925" t="s">
        <v>40103</v>
      </c>
      <c r="U1925" t="s">
        <v>40104</v>
      </c>
      <c r="V1925" t="s">
        <v>40105</v>
      </c>
      <c r="W1925" t="s">
        <v>40106</v>
      </c>
      <c r="X1925" t="s">
        <v>40107</v>
      </c>
      <c r="Y1925" t="s">
        <v>40108</v>
      </c>
    </row>
    <row r="1926" spans="1:25" x14ac:dyDescent="0.3">
      <c r="A1926">
        <v>96250</v>
      </c>
      <c r="B1926" t="s">
        <v>40109</v>
      </c>
      <c r="C1926" t="s">
        <v>40110</v>
      </c>
      <c r="D1926" t="s">
        <v>40111</v>
      </c>
      <c r="E1926" t="s">
        <v>40112</v>
      </c>
      <c r="F1926" t="s">
        <v>40113</v>
      </c>
      <c r="G1926" t="s">
        <v>40114</v>
      </c>
      <c r="H1926" t="s">
        <v>40115</v>
      </c>
      <c r="I1926" t="s">
        <v>40116</v>
      </c>
      <c r="J1926" t="s">
        <v>40117</v>
      </c>
      <c r="K1926" t="s">
        <v>40118</v>
      </c>
      <c r="L1926" t="s">
        <v>40119</v>
      </c>
      <c r="M1926" t="s">
        <v>40120</v>
      </c>
      <c r="N1926" t="s">
        <v>40121</v>
      </c>
      <c r="O1926" t="s">
        <v>40122</v>
      </c>
      <c r="P1926">
        <f>-846.470661738879 -56.2282966509576 -221.63222655683</f>
        <v>-1124.3311849466668</v>
      </c>
      <c r="Q1926">
        <f>-658.811688240763 -17.4136403534148 -367.674842264325</f>
        <v>-1043.9001708585029</v>
      </c>
      <c r="R1926" t="s">
        <v>40123</v>
      </c>
      <c r="S1926" t="s">
        <v>40124</v>
      </c>
      <c r="T1926" t="s">
        <v>40125</v>
      </c>
      <c r="U1926" t="s">
        <v>40126</v>
      </c>
      <c r="V1926" t="s">
        <v>40127</v>
      </c>
      <c r="W1926" t="s">
        <v>40128</v>
      </c>
      <c r="X1926" t="s">
        <v>40129</v>
      </c>
      <c r="Y1926" t="s">
        <v>40130</v>
      </c>
    </row>
    <row r="1927" spans="1:25" x14ac:dyDescent="0.3">
      <c r="A1927">
        <v>96300</v>
      </c>
      <c r="B1927" t="s">
        <v>40131</v>
      </c>
      <c r="C1927" t="s">
        <v>40132</v>
      </c>
      <c r="D1927" t="s">
        <v>40133</v>
      </c>
      <c r="E1927" t="s">
        <v>40134</v>
      </c>
      <c r="F1927" t="s">
        <v>40135</v>
      </c>
      <c r="G1927" t="s">
        <v>40136</v>
      </c>
      <c r="H1927" t="s">
        <v>40137</v>
      </c>
      <c r="I1927" t="s">
        <v>40138</v>
      </c>
      <c r="J1927" t="s">
        <v>40139</v>
      </c>
      <c r="K1927" t="s">
        <v>40140</v>
      </c>
      <c r="L1927" t="s">
        <v>40141</v>
      </c>
      <c r="M1927" t="s">
        <v>40142</v>
      </c>
      <c r="N1927" t="s">
        <v>40143</v>
      </c>
      <c r="O1927" t="s">
        <v>40144</v>
      </c>
      <c r="P1927">
        <f>-846.886288057395 -54.5130203281287 -221.81963453789</f>
        <v>-1123.2189429234136</v>
      </c>
      <c r="Q1927">
        <f>-659.100526445787 -16.1157150925328 -367.809330149408</f>
        <v>-1043.0255716877277</v>
      </c>
      <c r="R1927" t="s">
        <v>40145</v>
      </c>
      <c r="S1927" t="s">
        <v>40146</v>
      </c>
      <c r="T1927" t="s">
        <v>40147</v>
      </c>
      <c r="U1927" t="s">
        <v>40148</v>
      </c>
      <c r="V1927" t="s">
        <v>40149</v>
      </c>
      <c r="W1927" t="s">
        <v>40150</v>
      </c>
      <c r="X1927" t="s">
        <v>40151</v>
      </c>
      <c r="Y1927" t="s">
        <v>40152</v>
      </c>
    </row>
    <row r="1928" spans="1:25" x14ac:dyDescent="0.3">
      <c r="A1928">
        <v>96350</v>
      </c>
      <c r="B1928" t="s">
        <v>40153</v>
      </c>
      <c r="C1928" t="s">
        <v>40154</v>
      </c>
      <c r="D1928" t="s">
        <v>40155</v>
      </c>
      <c r="E1928" t="s">
        <v>40156</v>
      </c>
      <c r="F1928" t="s">
        <v>40157</v>
      </c>
      <c r="G1928" t="s">
        <v>40158</v>
      </c>
      <c r="H1928" t="s">
        <v>40159</v>
      </c>
      <c r="I1928" t="s">
        <v>40160</v>
      </c>
      <c r="J1928" t="s">
        <v>40161</v>
      </c>
      <c r="K1928" t="s">
        <v>40162</v>
      </c>
      <c r="L1928" t="s">
        <v>40163</v>
      </c>
      <c r="M1928" t="s">
        <v>40164</v>
      </c>
      <c r="N1928" t="s">
        <v>40165</v>
      </c>
      <c r="O1928" t="s">
        <v>40166</v>
      </c>
      <c r="P1928">
        <f>-847.228625889973 -53.675018606245 -221.77388144069</f>
        <v>-1122.6775259369081</v>
      </c>
      <c r="Q1928">
        <f>-659.375287150109 -15.6150197438615 -367.765157023075</f>
        <v>-1042.7554639170455</v>
      </c>
      <c r="R1928" t="s">
        <v>40167</v>
      </c>
      <c r="S1928" t="s">
        <v>40168</v>
      </c>
      <c r="T1928" t="s">
        <v>40169</v>
      </c>
      <c r="U1928" t="s">
        <v>40170</v>
      </c>
      <c r="V1928" t="s">
        <v>40171</v>
      </c>
      <c r="W1928" t="s">
        <v>40172</v>
      </c>
      <c r="X1928" t="s">
        <v>40173</v>
      </c>
      <c r="Y1928" t="s">
        <v>40174</v>
      </c>
    </row>
    <row r="1929" spans="1:25" x14ac:dyDescent="0.3">
      <c r="A1929">
        <v>96400</v>
      </c>
      <c r="B1929" t="s">
        <v>40175</v>
      </c>
      <c r="C1929" t="s">
        <v>40176</v>
      </c>
      <c r="D1929" t="s">
        <v>40177</v>
      </c>
      <c r="E1929" t="s">
        <v>40178</v>
      </c>
      <c r="F1929" t="s">
        <v>40179</v>
      </c>
      <c r="G1929" t="s">
        <v>40180</v>
      </c>
      <c r="H1929" t="s">
        <v>40181</v>
      </c>
      <c r="I1929" t="s">
        <v>40182</v>
      </c>
      <c r="J1929" t="s">
        <v>40183</v>
      </c>
      <c r="K1929" t="s">
        <v>40184</v>
      </c>
      <c r="L1929" t="s">
        <v>40185</v>
      </c>
      <c r="M1929" t="s">
        <v>40186</v>
      </c>
      <c r="N1929" t="s">
        <v>40187</v>
      </c>
      <c r="O1929" t="s">
        <v>40188</v>
      </c>
      <c r="P1929">
        <f>-847.579756572978 -52.4172905122414 -221.700191386171</f>
        <v>-1121.6972384713904</v>
      </c>
      <c r="Q1929">
        <f>-659.451613553702 -15.0656321938 -367.520298766082</f>
        <v>-1042.037544513584</v>
      </c>
      <c r="R1929" t="s">
        <v>40189</v>
      </c>
      <c r="S1929" t="s">
        <v>40190</v>
      </c>
      <c r="T1929" t="s">
        <v>40191</v>
      </c>
      <c r="U1929" t="s">
        <v>40192</v>
      </c>
      <c r="V1929" t="s">
        <v>40193</v>
      </c>
      <c r="W1929" t="s">
        <v>40194</v>
      </c>
      <c r="X1929" t="s">
        <v>40195</v>
      </c>
      <c r="Y1929" t="s">
        <v>40196</v>
      </c>
    </row>
    <row r="1930" spans="1:25" x14ac:dyDescent="0.3">
      <c r="A1930">
        <v>96450</v>
      </c>
      <c r="B1930" t="s">
        <v>40197</v>
      </c>
      <c r="C1930" t="s">
        <v>40198</v>
      </c>
      <c r="D1930" t="s">
        <v>40199</v>
      </c>
      <c r="E1930" t="s">
        <v>40200</v>
      </c>
      <c r="F1930" t="s">
        <v>40201</v>
      </c>
      <c r="G1930" t="s">
        <v>40202</v>
      </c>
      <c r="H1930" t="s">
        <v>40203</v>
      </c>
      <c r="I1930" t="s">
        <v>40204</v>
      </c>
      <c r="J1930" t="s">
        <v>40205</v>
      </c>
      <c r="K1930" t="s">
        <v>40206</v>
      </c>
      <c r="L1930" t="s">
        <v>40207</v>
      </c>
      <c r="M1930" t="s">
        <v>40208</v>
      </c>
      <c r="N1930" t="s">
        <v>40209</v>
      </c>
      <c r="O1930" t="s">
        <v>40210</v>
      </c>
      <c r="P1930">
        <f>-847.642473602381 -51.7868847966877 -221.64386841147</f>
        <v>-1121.0732268105387</v>
      </c>
      <c r="Q1930">
        <f>-659.337934410833 -14.8706745011559 -367.347346960599</f>
        <v>-1041.5559558725879</v>
      </c>
      <c r="R1930" t="s">
        <v>40211</v>
      </c>
      <c r="S1930" t="s">
        <v>40212</v>
      </c>
      <c r="T1930" t="s">
        <v>40213</v>
      </c>
      <c r="U1930" t="s">
        <v>40214</v>
      </c>
      <c r="V1930" t="s">
        <v>40215</v>
      </c>
      <c r="W1930" t="s">
        <v>40216</v>
      </c>
      <c r="X1930" t="s">
        <v>40217</v>
      </c>
      <c r="Y1930" t="s">
        <v>40218</v>
      </c>
    </row>
    <row r="1931" spans="1:25" x14ac:dyDescent="0.3">
      <c r="A1931">
        <v>96500</v>
      </c>
      <c r="B1931" t="s">
        <v>40219</v>
      </c>
      <c r="C1931" t="s">
        <v>40220</v>
      </c>
      <c r="D1931" t="s">
        <v>40221</v>
      </c>
      <c r="E1931" t="s">
        <v>40222</v>
      </c>
      <c r="F1931" t="s">
        <v>40223</v>
      </c>
      <c r="G1931" t="s">
        <v>40224</v>
      </c>
      <c r="H1931" t="s">
        <v>40225</v>
      </c>
      <c r="I1931" t="s">
        <v>40226</v>
      </c>
      <c r="J1931" t="s">
        <v>40227</v>
      </c>
      <c r="K1931" t="s">
        <v>40228</v>
      </c>
      <c r="L1931" t="s">
        <v>40229</v>
      </c>
      <c r="M1931" t="s">
        <v>40230</v>
      </c>
      <c r="N1931" t="s">
        <v>40231</v>
      </c>
      <c r="O1931" t="s">
        <v>40232</v>
      </c>
      <c r="P1931">
        <f>-847.564037510228 -51.0063360165468 -221.511837999964</f>
        <v>-1120.0822115267388</v>
      </c>
      <c r="Q1931">
        <f>-659.170395862996 -14.6095928222585 -367.230673629047</f>
        <v>-1041.0106623143015</v>
      </c>
      <c r="R1931" t="s">
        <v>40233</v>
      </c>
      <c r="S1931" t="s">
        <v>40234</v>
      </c>
      <c r="T1931" t="s">
        <v>40235</v>
      </c>
      <c r="U1931" t="s">
        <v>40236</v>
      </c>
      <c r="V1931" t="s">
        <v>40237</v>
      </c>
      <c r="W1931" t="s">
        <v>40238</v>
      </c>
      <c r="X1931" t="s">
        <v>40239</v>
      </c>
      <c r="Y1931" t="s">
        <v>40240</v>
      </c>
    </row>
    <row r="1932" spans="1:25" x14ac:dyDescent="0.3">
      <c r="A1932">
        <v>96550</v>
      </c>
      <c r="B1932" t="s">
        <v>40219</v>
      </c>
      <c r="C1932" t="s">
        <v>40220</v>
      </c>
      <c r="D1932" t="s">
        <v>40221</v>
      </c>
      <c r="E1932" t="s">
        <v>40222</v>
      </c>
      <c r="F1932" t="s">
        <v>40223</v>
      </c>
      <c r="G1932" t="s">
        <v>40224</v>
      </c>
      <c r="H1932" t="s">
        <v>40225</v>
      </c>
      <c r="I1932" t="s">
        <v>40226</v>
      </c>
      <c r="J1932" t="s">
        <v>40227</v>
      </c>
      <c r="K1932" t="s">
        <v>40228</v>
      </c>
      <c r="L1932" t="s">
        <v>40229</v>
      </c>
      <c r="M1932" t="s">
        <v>40230</v>
      </c>
      <c r="N1932" t="s">
        <v>40231</v>
      </c>
      <c r="O1932" t="s">
        <v>40232</v>
      </c>
      <c r="P1932">
        <f>-847.564037510228 -51.0063360165468 -221.511837999964</f>
        <v>-1120.0822115267388</v>
      </c>
      <c r="Q1932">
        <f>-659.170395862996 -14.6095928222585 -367.230673629047</f>
        <v>-1041.0106623143015</v>
      </c>
      <c r="R1932" t="s">
        <v>40233</v>
      </c>
      <c r="S1932" t="s">
        <v>40234</v>
      </c>
      <c r="T1932" t="s">
        <v>40235</v>
      </c>
      <c r="U1932" t="s">
        <v>40236</v>
      </c>
      <c r="V1932" t="s">
        <v>40237</v>
      </c>
      <c r="W1932" t="s">
        <v>40238</v>
      </c>
      <c r="X1932" t="s">
        <v>40239</v>
      </c>
      <c r="Y1932" t="s">
        <v>40240</v>
      </c>
    </row>
    <row r="1933" spans="1:25" x14ac:dyDescent="0.3">
      <c r="A1933">
        <v>96600</v>
      </c>
      <c r="B1933" t="s">
        <v>40241</v>
      </c>
      <c r="C1933" t="s">
        <v>40242</v>
      </c>
      <c r="D1933" t="s">
        <v>40243</v>
      </c>
      <c r="E1933" t="s">
        <v>40244</v>
      </c>
      <c r="F1933" t="s">
        <v>40245</v>
      </c>
      <c r="G1933" t="s">
        <v>40246</v>
      </c>
      <c r="H1933" t="s">
        <v>40247</v>
      </c>
      <c r="I1933" t="s">
        <v>40248</v>
      </c>
      <c r="J1933" t="s">
        <v>40249</v>
      </c>
      <c r="K1933" t="s">
        <v>40250</v>
      </c>
      <c r="L1933" t="s">
        <v>40251</v>
      </c>
      <c r="M1933" t="s">
        <v>40252</v>
      </c>
      <c r="N1933" t="s">
        <v>40253</v>
      </c>
      <c r="O1933" t="s">
        <v>40254</v>
      </c>
      <c r="P1933">
        <f>-847.407183302746 -49.2900938687533 -221.074767833188</f>
        <v>-1117.7720450046872</v>
      </c>
      <c r="Q1933">
        <f>-659.049172724869 -13.8528906731867 -367.076097371567</f>
        <v>-1039.9781607696227</v>
      </c>
      <c r="R1933" t="s">
        <v>40255</v>
      </c>
      <c r="S1933" t="s">
        <v>40256</v>
      </c>
      <c r="T1933" t="s">
        <v>40257</v>
      </c>
      <c r="U1933" t="s">
        <v>40258</v>
      </c>
      <c r="V1933" t="s">
        <v>40259</v>
      </c>
      <c r="W1933" t="s">
        <v>40260</v>
      </c>
      <c r="X1933" t="s">
        <v>40261</v>
      </c>
      <c r="Y1933" t="s">
        <v>40262</v>
      </c>
    </row>
    <row r="1934" spans="1:25" x14ac:dyDescent="0.3">
      <c r="A1934">
        <v>96650</v>
      </c>
      <c r="B1934" t="s">
        <v>40263</v>
      </c>
      <c r="C1934" t="s">
        <v>40264</v>
      </c>
      <c r="D1934" t="s">
        <v>40265</v>
      </c>
      <c r="E1934" t="s">
        <v>40266</v>
      </c>
      <c r="F1934" t="s">
        <v>40267</v>
      </c>
      <c r="G1934" t="s">
        <v>40268</v>
      </c>
      <c r="H1934" t="s">
        <v>40269</v>
      </c>
      <c r="I1934" t="s">
        <v>40270</v>
      </c>
      <c r="J1934" t="s">
        <v>40271</v>
      </c>
      <c r="K1934" t="s">
        <v>40272</v>
      </c>
      <c r="L1934" t="s">
        <v>40273</v>
      </c>
      <c r="M1934" t="s">
        <v>40274</v>
      </c>
      <c r="N1934" t="s">
        <v>40275</v>
      </c>
      <c r="O1934" t="s">
        <v>40276</v>
      </c>
      <c r="P1934">
        <f>-847.028498545294 -46.9129839123616 -220.364071093226</f>
        <v>-1114.3055535508815</v>
      </c>
      <c r="Q1934">
        <f>-658.467391812539 -12.8978573513978 -366.441268730677</f>
        <v>-1037.8065178946138</v>
      </c>
      <c r="R1934" t="s">
        <v>40277</v>
      </c>
      <c r="S1934" t="s">
        <v>40278</v>
      </c>
      <c r="T1934" t="s">
        <v>40279</v>
      </c>
      <c r="U1934" t="s">
        <v>40280</v>
      </c>
      <c r="V1934" t="s">
        <v>40281</v>
      </c>
      <c r="W1934" t="s">
        <v>40282</v>
      </c>
      <c r="X1934" t="s">
        <v>40283</v>
      </c>
      <c r="Y1934" t="s">
        <v>40284</v>
      </c>
    </row>
    <row r="1935" spans="1:25" x14ac:dyDescent="0.3">
      <c r="A1935">
        <v>96700</v>
      </c>
      <c r="B1935" t="s">
        <v>40285</v>
      </c>
      <c r="C1935" t="s">
        <v>40286</v>
      </c>
      <c r="D1935" t="s">
        <v>40287</v>
      </c>
      <c r="E1935" t="s">
        <v>40288</v>
      </c>
      <c r="F1935" t="s">
        <v>40289</v>
      </c>
      <c r="G1935" t="s">
        <v>40290</v>
      </c>
      <c r="H1935" t="s">
        <v>40291</v>
      </c>
      <c r="I1935" t="s">
        <v>40292</v>
      </c>
      <c r="J1935" t="s">
        <v>40293</v>
      </c>
      <c r="K1935" t="s">
        <v>40294</v>
      </c>
      <c r="L1935" t="s">
        <v>40295</v>
      </c>
      <c r="M1935" t="s">
        <v>40296</v>
      </c>
      <c r="N1935" t="s">
        <v>40297</v>
      </c>
      <c r="O1935" t="s">
        <v>40298</v>
      </c>
      <c r="P1935">
        <f>-846.768099316413 -45.1542153400358 -219.764391203165</f>
        <v>-1111.6867058596138</v>
      </c>
      <c r="Q1935">
        <f>-657.960825248098 -12.10524515934 -365.745476240655</f>
        <v>-1035.8115466480931</v>
      </c>
      <c r="R1935" t="s">
        <v>40299</v>
      </c>
      <c r="S1935" t="s">
        <v>40300</v>
      </c>
      <c r="T1935" t="s">
        <v>40301</v>
      </c>
      <c r="U1935" t="s">
        <v>40302</v>
      </c>
      <c r="V1935" t="s">
        <v>40303</v>
      </c>
      <c r="W1935" t="s">
        <v>40304</v>
      </c>
      <c r="X1935" t="s">
        <v>40305</v>
      </c>
      <c r="Y1935" t="s">
        <v>40306</v>
      </c>
    </row>
    <row r="1936" spans="1:25" x14ac:dyDescent="0.3">
      <c r="A1936">
        <v>96750</v>
      </c>
      <c r="B1936" t="s">
        <v>40307</v>
      </c>
      <c r="C1936" t="s">
        <v>40308</v>
      </c>
      <c r="D1936" t="s">
        <v>40309</v>
      </c>
      <c r="E1936" t="s">
        <v>40310</v>
      </c>
      <c r="F1936" t="s">
        <v>40311</v>
      </c>
      <c r="G1936" t="s">
        <v>40312</v>
      </c>
      <c r="H1936" t="s">
        <v>40313</v>
      </c>
      <c r="I1936" t="s">
        <v>40314</v>
      </c>
      <c r="J1936" t="s">
        <v>40315</v>
      </c>
      <c r="K1936" t="s">
        <v>40316</v>
      </c>
      <c r="L1936" t="s">
        <v>40317</v>
      </c>
      <c r="M1936" t="s">
        <v>40318</v>
      </c>
      <c r="N1936" t="s">
        <v>40319</v>
      </c>
      <c r="O1936" t="s">
        <v>40320</v>
      </c>
      <c r="P1936">
        <f>-846.602268215677 -44.3594745868666 -219.381257693033</f>
        <v>-1110.3430004955765</v>
      </c>
      <c r="Q1936">
        <f>-657.717702063887 -11.8631568040869 -365.386251493292</f>
        <v>-1034.9671103612659</v>
      </c>
      <c r="R1936" t="s">
        <v>40321</v>
      </c>
      <c r="S1936" t="s">
        <v>40322</v>
      </c>
      <c r="T1936" t="s">
        <v>40323</v>
      </c>
      <c r="U1936" t="s">
        <v>40324</v>
      </c>
      <c r="V1936" t="s">
        <v>40325</v>
      </c>
      <c r="W1936" t="s">
        <v>40326</v>
      </c>
      <c r="X1936" t="s">
        <v>40327</v>
      </c>
      <c r="Y1936" t="s">
        <v>40328</v>
      </c>
    </row>
    <row r="1937" spans="1:25" x14ac:dyDescent="0.3">
      <c r="A1937">
        <v>96800</v>
      </c>
      <c r="B1937" t="s">
        <v>40329</v>
      </c>
      <c r="C1937" t="s">
        <v>40330</v>
      </c>
      <c r="D1937" t="s">
        <v>40331</v>
      </c>
      <c r="E1937" t="s">
        <v>40332</v>
      </c>
      <c r="F1937" t="s">
        <v>40333</v>
      </c>
      <c r="G1937" t="s">
        <v>40334</v>
      </c>
      <c r="H1937" t="s">
        <v>40335</v>
      </c>
      <c r="I1937" t="s">
        <v>40336</v>
      </c>
      <c r="J1937" t="s">
        <v>40337</v>
      </c>
      <c r="K1937" t="s">
        <v>40338</v>
      </c>
      <c r="L1937" t="s">
        <v>40339</v>
      </c>
      <c r="M1937" t="s">
        <v>40340</v>
      </c>
      <c r="N1937" t="s">
        <v>40341</v>
      </c>
      <c r="O1937" t="s">
        <v>40342</v>
      </c>
      <c r="P1937">
        <f>-846.458100974797 -42.6951480407572 -218.518263854156</f>
        <v>-1107.6715128697103</v>
      </c>
      <c r="Q1937">
        <f>-657.395302334323 -11.2259552473593 -364.517606719185</f>
        <v>-1033.1388643008672</v>
      </c>
      <c r="R1937" t="s">
        <v>40343</v>
      </c>
      <c r="S1937" t="s">
        <v>40344</v>
      </c>
      <c r="T1937" t="s">
        <v>40345</v>
      </c>
      <c r="U1937" t="s">
        <v>40346</v>
      </c>
      <c r="V1937" t="s">
        <v>40347</v>
      </c>
      <c r="W1937" t="s">
        <v>40348</v>
      </c>
      <c r="X1937" t="s">
        <v>40349</v>
      </c>
      <c r="Y1937" t="s">
        <v>40350</v>
      </c>
    </row>
    <row r="1938" spans="1:25" x14ac:dyDescent="0.3">
      <c r="A1938">
        <v>96850</v>
      </c>
      <c r="B1938" t="s">
        <v>40351</v>
      </c>
      <c r="C1938" t="s">
        <v>40352</v>
      </c>
      <c r="D1938" t="s">
        <v>40353</v>
      </c>
      <c r="E1938" t="s">
        <v>40354</v>
      </c>
      <c r="F1938" t="s">
        <v>40355</v>
      </c>
      <c r="G1938" t="s">
        <v>40356</v>
      </c>
      <c r="H1938" t="s">
        <v>40357</v>
      </c>
      <c r="I1938" t="s">
        <v>40358</v>
      </c>
      <c r="J1938" t="s">
        <v>40359</v>
      </c>
      <c r="K1938" t="s">
        <v>40360</v>
      </c>
      <c r="L1938" t="s">
        <v>40361</v>
      </c>
      <c r="M1938" t="s">
        <v>40362</v>
      </c>
      <c r="N1938" t="s">
        <v>40363</v>
      </c>
      <c r="O1938" t="s">
        <v>40364</v>
      </c>
      <c r="P1938">
        <f>-846.350132208522 -41.9817467877456 -218.079806727496</f>
        <v>-1106.4116857237636</v>
      </c>
      <c r="Q1938">
        <f>-657.113205885279 -11.1848322126125 -363.996857549289</f>
        <v>-1032.2948956471805</v>
      </c>
      <c r="R1938" t="s">
        <v>40365</v>
      </c>
      <c r="S1938" t="s">
        <v>40366</v>
      </c>
      <c r="T1938" t="s">
        <v>40367</v>
      </c>
      <c r="U1938" t="s">
        <v>40368</v>
      </c>
      <c r="V1938" t="s">
        <v>40369</v>
      </c>
      <c r="W1938" t="s">
        <v>40370</v>
      </c>
      <c r="X1938" t="s">
        <v>40371</v>
      </c>
      <c r="Y1938" t="s">
        <v>40372</v>
      </c>
    </row>
    <row r="1939" spans="1:25" x14ac:dyDescent="0.3">
      <c r="A1939">
        <v>96900</v>
      </c>
      <c r="B1939" t="s">
        <v>40373</v>
      </c>
      <c r="C1939" t="s">
        <v>40374</v>
      </c>
      <c r="D1939" t="s">
        <v>40375</v>
      </c>
      <c r="E1939" t="s">
        <v>40376</v>
      </c>
      <c r="F1939" t="s">
        <v>40377</v>
      </c>
      <c r="G1939" t="s">
        <v>40378</v>
      </c>
      <c r="H1939" t="s">
        <v>40379</v>
      </c>
      <c r="I1939" t="s">
        <v>40380</v>
      </c>
      <c r="J1939" t="s">
        <v>40381</v>
      </c>
      <c r="K1939" t="s">
        <v>40382</v>
      </c>
      <c r="L1939" t="s">
        <v>40383</v>
      </c>
      <c r="M1939" t="s">
        <v>40384</v>
      </c>
      <c r="N1939" t="s">
        <v>40385</v>
      </c>
      <c r="O1939" t="s">
        <v>40386</v>
      </c>
      <c r="P1939">
        <f>-846.131984450705 -40.6586028542315 -217.066162077017</f>
        <v>-1103.8567493819535</v>
      </c>
      <c r="Q1939">
        <f>-656.42064958962 -10.9929969187538 -362.601230172139</f>
        <v>-1030.0148766805128</v>
      </c>
      <c r="R1939" t="s">
        <v>40387</v>
      </c>
      <c r="S1939" t="s">
        <v>40388</v>
      </c>
      <c r="T1939" t="s">
        <v>40389</v>
      </c>
      <c r="U1939" t="s">
        <v>40390</v>
      </c>
      <c r="V1939" t="s">
        <v>40391</v>
      </c>
      <c r="W1939" t="s">
        <v>40392</v>
      </c>
      <c r="X1939" t="s">
        <v>40393</v>
      </c>
      <c r="Y1939" t="s">
        <v>40394</v>
      </c>
    </row>
    <row r="1940" spans="1:25" x14ac:dyDescent="0.3">
      <c r="A1940">
        <v>96950</v>
      </c>
      <c r="B1940" t="s">
        <v>40395</v>
      </c>
      <c r="C1940" t="s">
        <v>40396</v>
      </c>
      <c r="D1940" t="s">
        <v>40397</v>
      </c>
      <c r="E1940" t="s">
        <v>40398</v>
      </c>
      <c r="F1940" t="s">
        <v>40399</v>
      </c>
      <c r="G1940" t="s">
        <v>40400</v>
      </c>
      <c r="H1940" t="s">
        <v>40401</v>
      </c>
      <c r="I1940" t="s">
        <v>40402</v>
      </c>
      <c r="J1940" t="s">
        <v>40403</v>
      </c>
      <c r="K1940" t="s">
        <v>40404</v>
      </c>
      <c r="L1940" t="s">
        <v>40405</v>
      </c>
      <c r="M1940" t="s">
        <v>40406</v>
      </c>
      <c r="N1940" t="s">
        <v>40407</v>
      </c>
      <c r="O1940" t="s">
        <v>40408</v>
      </c>
      <c r="P1940">
        <f>-845.990522650001 -39.8574314817101 -216.432962283405</f>
        <v>-1102.2809164151163</v>
      </c>
      <c r="Q1940">
        <f>-656.11093559124 -10.8760566547066 -361.886340865322</f>
        <v>-1028.8733331112687</v>
      </c>
      <c r="R1940" t="s">
        <v>40409</v>
      </c>
      <c r="S1940" t="s">
        <v>40410</v>
      </c>
      <c r="T1940" t="s">
        <v>40411</v>
      </c>
      <c r="U1940" t="s">
        <v>40412</v>
      </c>
      <c r="V1940" t="s">
        <v>40413</v>
      </c>
      <c r="W1940" t="s">
        <v>40414</v>
      </c>
      <c r="X1940" t="s">
        <v>40415</v>
      </c>
      <c r="Y1940" t="s">
        <v>40416</v>
      </c>
    </row>
    <row r="1941" spans="1:25" x14ac:dyDescent="0.3">
      <c r="A1941">
        <v>97000</v>
      </c>
      <c r="B1941" t="s">
        <v>40417</v>
      </c>
      <c r="C1941" t="s">
        <v>40418</v>
      </c>
      <c r="D1941" t="s">
        <v>40419</v>
      </c>
      <c r="E1941" t="s">
        <v>40420</v>
      </c>
      <c r="F1941" t="s">
        <v>40421</v>
      </c>
      <c r="G1941" t="s">
        <v>40422</v>
      </c>
      <c r="H1941" t="s">
        <v>40423</v>
      </c>
      <c r="I1941" t="s">
        <v>40424</v>
      </c>
      <c r="J1941" t="s">
        <v>40425</v>
      </c>
      <c r="K1941" t="s">
        <v>40426</v>
      </c>
      <c r="L1941" t="s">
        <v>40427</v>
      </c>
      <c r="M1941" t="s">
        <v>40428</v>
      </c>
      <c r="N1941" t="s">
        <v>40429</v>
      </c>
      <c r="O1941" t="s">
        <v>40430</v>
      </c>
      <c r="P1941">
        <f>-845.455318622099 -38.4911801586152 -215.086531299086</f>
        <v>-1099.0330300798</v>
      </c>
      <c r="Q1941">
        <f>-655.090348728825 -11.2614543954696 -360.243477477785</f>
        <v>-1026.5952806020796</v>
      </c>
      <c r="R1941" t="s">
        <v>40431</v>
      </c>
      <c r="S1941" t="s">
        <v>40432</v>
      </c>
      <c r="T1941" t="s">
        <v>40433</v>
      </c>
      <c r="U1941" t="s">
        <v>40434</v>
      </c>
      <c r="V1941" t="s">
        <v>40435</v>
      </c>
      <c r="W1941" t="s">
        <v>40436</v>
      </c>
      <c r="X1941" t="s">
        <v>40437</v>
      </c>
      <c r="Y1941" t="s">
        <v>40438</v>
      </c>
    </row>
    <row r="1942" spans="1:25" x14ac:dyDescent="0.3">
      <c r="A1942">
        <v>97050</v>
      </c>
      <c r="B1942" t="s">
        <v>40439</v>
      </c>
      <c r="C1942" t="s">
        <v>40440</v>
      </c>
      <c r="D1942" t="s">
        <v>40441</v>
      </c>
      <c r="E1942" t="s">
        <v>40442</v>
      </c>
      <c r="F1942" t="s">
        <v>40443</v>
      </c>
      <c r="G1942" t="s">
        <v>40444</v>
      </c>
      <c r="H1942" t="s">
        <v>40445</v>
      </c>
      <c r="I1942" t="s">
        <v>40446</v>
      </c>
      <c r="J1942" t="s">
        <v>40447</v>
      </c>
      <c r="K1942" t="s">
        <v>40448</v>
      </c>
      <c r="L1942" t="s">
        <v>40449</v>
      </c>
      <c r="M1942" t="s">
        <v>40450</v>
      </c>
      <c r="N1942" t="s">
        <v>40451</v>
      </c>
      <c r="O1942" t="s">
        <v>40452</v>
      </c>
      <c r="P1942">
        <f>-845.175366786177 -37.995114112477 -214.452677295338</f>
        <v>-1097.6231581939921</v>
      </c>
      <c r="Q1942">
        <f>-654.491383404348 -11.8068780365511 -359.382505957699</f>
        <v>-1025.6807673985982</v>
      </c>
      <c r="R1942" t="s">
        <v>40453</v>
      </c>
      <c r="S1942" t="s">
        <v>40454</v>
      </c>
      <c r="T1942" t="s">
        <v>40455</v>
      </c>
      <c r="U1942" t="s">
        <v>40456</v>
      </c>
      <c r="V1942" t="s">
        <v>40457</v>
      </c>
      <c r="W1942" t="s">
        <v>40458</v>
      </c>
      <c r="X1942" t="s">
        <v>40459</v>
      </c>
      <c r="Y1942" t="s">
        <v>40460</v>
      </c>
    </row>
    <row r="1943" spans="1:25" x14ac:dyDescent="0.3">
      <c r="A1943">
        <v>97100</v>
      </c>
      <c r="B1943" t="s">
        <v>40461</v>
      </c>
      <c r="C1943" t="s">
        <v>40462</v>
      </c>
      <c r="D1943" t="s">
        <v>40463</v>
      </c>
      <c r="E1943" t="s">
        <v>40464</v>
      </c>
      <c r="F1943" t="s">
        <v>40465</v>
      </c>
      <c r="G1943" t="s">
        <v>40466</v>
      </c>
      <c r="H1943" t="s">
        <v>40467</v>
      </c>
      <c r="I1943" t="s">
        <v>40468</v>
      </c>
      <c r="J1943" t="s">
        <v>40469</v>
      </c>
      <c r="K1943" t="s">
        <v>40470</v>
      </c>
      <c r="L1943" t="s">
        <v>40471</v>
      </c>
      <c r="M1943" t="s">
        <v>40472</v>
      </c>
      <c r="N1943" t="s">
        <v>40473</v>
      </c>
      <c r="O1943" t="s">
        <v>40474</v>
      </c>
      <c r="P1943">
        <f>-844.682415022642 -37.0400547828676 -213.061742896408</f>
        <v>-1094.7842127019176</v>
      </c>
      <c r="Q1943">
        <f>-653.191434297725 -13.4037924058352 -357.365014302044</f>
        <v>-1023.9602410056043</v>
      </c>
      <c r="R1943" t="s">
        <v>40475</v>
      </c>
      <c r="S1943" t="s">
        <v>40476</v>
      </c>
      <c r="T1943" t="s">
        <v>40477</v>
      </c>
      <c r="U1943" t="s">
        <v>40478</v>
      </c>
      <c r="V1943" t="s">
        <v>40479</v>
      </c>
      <c r="W1943" t="s">
        <v>40480</v>
      </c>
      <c r="X1943" t="s">
        <v>40481</v>
      </c>
      <c r="Y1943" t="s">
        <v>40482</v>
      </c>
    </row>
    <row r="1944" spans="1:25" x14ac:dyDescent="0.3">
      <c r="A1944">
        <v>97150</v>
      </c>
      <c r="B1944" t="s">
        <v>40483</v>
      </c>
      <c r="C1944" t="s">
        <v>40484</v>
      </c>
      <c r="D1944" t="s">
        <v>40485</v>
      </c>
      <c r="E1944" t="s">
        <v>40486</v>
      </c>
      <c r="F1944" t="s">
        <v>40487</v>
      </c>
      <c r="G1944" t="s">
        <v>40488</v>
      </c>
      <c r="H1944" t="s">
        <v>40489</v>
      </c>
      <c r="I1944" t="s">
        <v>40490</v>
      </c>
      <c r="J1944" t="s">
        <v>40491</v>
      </c>
      <c r="K1944" t="s">
        <v>40492</v>
      </c>
      <c r="L1944" t="s">
        <v>40493</v>
      </c>
      <c r="M1944" t="s">
        <v>40494</v>
      </c>
      <c r="N1944" t="s">
        <v>40495</v>
      </c>
      <c r="O1944" t="s">
        <v>40496</v>
      </c>
      <c r="P1944">
        <f>-844.636806171832 -36.5036578075774 -212.269424660433</f>
        <v>-1093.4098886398424</v>
      </c>
      <c r="Q1944">
        <f>-652.785477920737 -14.0046462336918 -356.275530587515</f>
        <v>-1023.0656547419437</v>
      </c>
      <c r="R1944" t="s">
        <v>40497</v>
      </c>
      <c r="S1944" t="s">
        <v>40498</v>
      </c>
      <c r="T1944" t="s">
        <v>40499</v>
      </c>
      <c r="U1944" t="s">
        <v>40500</v>
      </c>
      <c r="V1944" t="s">
        <v>40501</v>
      </c>
      <c r="W1944" t="s">
        <v>40502</v>
      </c>
      <c r="X1944" t="s">
        <v>40503</v>
      </c>
      <c r="Y1944" t="s">
        <v>40504</v>
      </c>
    </row>
    <row r="1945" spans="1:25" x14ac:dyDescent="0.3">
      <c r="A1945">
        <v>97200</v>
      </c>
      <c r="B1945" t="s">
        <v>40505</v>
      </c>
      <c r="C1945" t="s">
        <v>40506</v>
      </c>
      <c r="D1945" t="s">
        <v>40507</v>
      </c>
      <c r="E1945" t="s">
        <v>40508</v>
      </c>
      <c r="F1945" t="s">
        <v>40509</v>
      </c>
      <c r="G1945" t="s">
        <v>40510</v>
      </c>
      <c r="H1945" t="s">
        <v>40511</v>
      </c>
      <c r="I1945" t="s">
        <v>40512</v>
      </c>
      <c r="J1945" t="s">
        <v>40513</v>
      </c>
      <c r="K1945" t="s">
        <v>40514</v>
      </c>
      <c r="L1945" t="s">
        <v>40515</v>
      </c>
      <c r="M1945" t="s">
        <v>40516</v>
      </c>
      <c r="N1945" t="s">
        <v>40517</v>
      </c>
      <c r="O1945" t="s">
        <v>40518</v>
      </c>
      <c r="P1945">
        <f>-844.91125977034 -35.1634706333139 -210.580793458352</f>
        <v>-1090.6555238620058</v>
      </c>
      <c r="Q1945">
        <f>-652.332807707671 -15.3336740255227 -354.00759347373</f>
        <v>-1021.6740752069237</v>
      </c>
      <c r="R1945" t="s">
        <v>40519</v>
      </c>
      <c r="S1945" t="s">
        <v>40520</v>
      </c>
      <c r="T1945" t="s">
        <v>40521</v>
      </c>
      <c r="U1945" t="s">
        <v>40522</v>
      </c>
      <c r="V1945" t="s">
        <v>40523</v>
      </c>
      <c r="W1945" t="s">
        <v>40524</v>
      </c>
      <c r="X1945" t="s">
        <v>40525</v>
      </c>
      <c r="Y1945" t="s">
        <v>40526</v>
      </c>
    </row>
    <row r="1946" spans="1:25" x14ac:dyDescent="0.3">
      <c r="A1946">
        <v>97250</v>
      </c>
      <c r="B1946" t="s">
        <v>40527</v>
      </c>
      <c r="C1946" t="s">
        <v>40528</v>
      </c>
      <c r="D1946" t="s">
        <v>40529</v>
      </c>
      <c r="E1946" t="s">
        <v>40530</v>
      </c>
      <c r="F1946" t="s">
        <v>40531</v>
      </c>
      <c r="G1946" t="s">
        <v>40532</v>
      </c>
      <c r="H1946" t="s">
        <v>40533</v>
      </c>
      <c r="I1946" t="s">
        <v>40534</v>
      </c>
      <c r="J1946" t="s">
        <v>40535</v>
      </c>
      <c r="K1946" t="s">
        <v>40536</v>
      </c>
      <c r="L1946" t="s">
        <v>40537</v>
      </c>
      <c r="M1946" t="s">
        <v>40538</v>
      </c>
      <c r="N1946" t="s">
        <v>40539</v>
      </c>
      <c r="O1946" t="s">
        <v>40540</v>
      </c>
      <c r="P1946">
        <f>-845.13712472084 -34.4220879901914 -209.714105784415</f>
        <v>-1089.2733184954463</v>
      </c>
      <c r="Q1946">
        <f>-652.144974374787 -16.1023023483017 -352.785310726028</f>
        <v>-1021.0325874491167</v>
      </c>
      <c r="R1946" t="s">
        <v>40541</v>
      </c>
      <c r="S1946" t="s">
        <v>40542</v>
      </c>
      <c r="T1946" t="s">
        <v>40543</v>
      </c>
      <c r="U1946" t="s">
        <v>40544</v>
      </c>
      <c r="V1946" t="s">
        <v>40545</v>
      </c>
      <c r="W1946" t="s">
        <v>40546</v>
      </c>
      <c r="X1946" t="s">
        <v>40547</v>
      </c>
      <c r="Y1946" t="s">
        <v>40548</v>
      </c>
    </row>
    <row r="1947" spans="1:25" x14ac:dyDescent="0.3">
      <c r="A1947">
        <v>97300</v>
      </c>
      <c r="B1947" t="s">
        <v>40549</v>
      </c>
      <c r="C1947" t="s">
        <v>40550</v>
      </c>
      <c r="D1947" t="s">
        <v>40551</v>
      </c>
      <c r="E1947" t="s">
        <v>40552</v>
      </c>
      <c r="F1947" t="s">
        <v>40553</v>
      </c>
      <c r="G1947" t="s">
        <v>40554</v>
      </c>
      <c r="H1947" t="s">
        <v>40555</v>
      </c>
      <c r="I1947" t="s">
        <v>40556</v>
      </c>
      <c r="J1947" t="s">
        <v>40557</v>
      </c>
      <c r="K1947" t="s">
        <v>40558</v>
      </c>
      <c r="L1947" t="s">
        <v>40559</v>
      </c>
      <c r="M1947" t="s">
        <v>40560</v>
      </c>
      <c r="N1947" t="s">
        <v>40561</v>
      </c>
      <c r="O1947" t="s">
        <v>40562</v>
      </c>
      <c r="P1947">
        <f>-845.648208873054 -33.0239172969614 -207.999072644745</f>
        <v>-1086.6711988147604</v>
      </c>
      <c r="Q1947">
        <f>-651.684857329843 -17.37087583534 -350.069727343299</f>
        <v>-1019.1254605084821</v>
      </c>
      <c r="R1947" t="s">
        <v>40563</v>
      </c>
      <c r="S1947" t="s">
        <v>40564</v>
      </c>
      <c r="T1947" t="s">
        <v>40565</v>
      </c>
      <c r="U1947" t="s">
        <v>40566</v>
      </c>
      <c r="V1947" t="s">
        <v>40567</v>
      </c>
      <c r="W1947" t="s">
        <v>40568</v>
      </c>
      <c r="X1947" t="s">
        <v>40569</v>
      </c>
      <c r="Y1947" t="s">
        <v>40570</v>
      </c>
    </row>
    <row r="1948" spans="1:25" x14ac:dyDescent="0.3">
      <c r="A1948">
        <v>97350</v>
      </c>
      <c r="B1948" t="s">
        <v>40571</v>
      </c>
      <c r="C1948" t="s">
        <v>40572</v>
      </c>
      <c r="D1948" t="s">
        <v>40573</v>
      </c>
      <c r="E1948" t="s">
        <v>40574</v>
      </c>
      <c r="F1948" t="s">
        <v>40575</v>
      </c>
      <c r="G1948" t="s">
        <v>40576</v>
      </c>
      <c r="H1948" t="s">
        <v>40577</v>
      </c>
      <c r="I1948" t="s">
        <v>40578</v>
      </c>
      <c r="J1948" t="s">
        <v>40579</v>
      </c>
      <c r="K1948" t="s">
        <v>40580</v>
      </c>
      <c r="L1948" t="s">
        <v>40581</v>
      </c>
      <c r="M1948" t="s">
        <v>40582</v>
      </c>
      <c r="N1948" t="s">
        <v>40583</v>
      </c>
      <c r="O1948" t="s">
        <v>40584</v>
      </c>
      <c r="P1948">
        <f>-846.14749992116 -32.3061318766904 -207.134350660204</f>
        <v>-1085.5879824580545</v>
      </c>
      <c r="Q1948">
        <f>-651.68148223243 -17.9643758608345 -348.655282733586</f>
        <v>-1018.3011408268504</v>
      </c>
      <c r="R1948" t="s">
        <v>40585</v>
      </c>
      <c r="S1948" t="s">
        <v>40586</v>
      </c>
      <c r="T1948" t="s">
        <v>40587</v>
      </c>
      <c r="U1948" t="s">
        <v>40588</v>
      </c>
      <c r="V1948" t="s">
        <v>40589</v>
      </c>
      <c r="W1948" t="s">
        <v>40590</v>
      </c>
      <c r="X1948" t="s">
        <v>40591</v>
      </c>
      <c r="Y1948" t="s">
        <v>40592</v>
      </c>
    </row>
    <row r="1949" spans="1:25" x14ac:dyDescent="0.3">
      <c r="A1949">
        <v>97400</v>
      </c>
      <c r="B1949" t="s">
        <v>40593</v>
      </c>
      <c r="C1949" t="s">
        <v>40594</v>
      </c>
      <c r="D1949" t="s">
        <v>40595</v>
      </c>
      <c r="E1949" t="s">
        <v>40596</v>
      </c>
      <c r="F1949" t="s">
        <v>40597</v>
      </c>
      <c r="G1949" t="s">
        <v>40598</v>
      </c>
      <c r="H1949" t="s">
        <v>40599</v>
      </c>
      <c r="I1949" t="s">
        <v>40600</v>
      </c>
      <c r="J1949" t="s">
        <v>40601</v>
      </c>
      <c r="K1949" t="s">
        <v>40602</v>
      </c>
      <c r="L1949" t="s">
        <v>40603</v>
      </c>
      <c r="M1949" t="s">
        <v>40604</v>
      </c>
      <c r="N1949" t="s">
        <v>40605</v>
      </c>
      <c r="O1949" t="s">
        <v>40606</v>
      </c>
      <c r="P1949">
        <f>-847.14474266675 -31.1606051619324 -205.297195599957</f>
        <v>-1083.6025434286394</v>
      </c>
      <c r="Q1949">
        <f>-651.935155701197 -19.2835798856258 -346.020308072156</f>
        <v>-1017.2390436589789</v>
      </c>
      <c r="R1949" t="s">
        <v>40607</v>
      </c>
      <c r="S1949" t="s">
        <v>40608</v>
      </c>
      <c r="T1949" t="s">
        <v>40609</v>
      </c>
      <c r="U1949" t="s">
        <v>40610</v>
      </c>
      <c r="V1949" t="s">
        <v>40611</v>
      </c>
      <c r="W1949" t="s">
        <v>40612</v>
      </c>
      <c r="X1949" t="s">
        <v>40613</v>
      </c>
      <c r="Y1949" t="s">
        <v>40614</v>
      </c>
    </row>
    <row r="1950" spans="1:25" x14ac:dyDescent="0.3">
      <c r="A1950">
        <v>97450</v>
      </c>
      <c r="B1950" t="s">
        <v>40615</v>
      </c>
      <c r="C1950" t="s">
        <v>40616</v>
      </c>
      <c r="D1950" t="s">
        <v>40617</v>
      </c>
      <c r="E1950" t="s">
        <v>40618</v>
      </c>
      <c r="F1950" t="s">
        <v>40619</v>
      </c>
      <c r="G1950" t="s">
        <v>40620</v>
      </c>
      <c r="H1950" t="s">
        <v>40621</v>
      </c>
      <c r="I1950" t="s">
        <v>40622</v>
      </c>
      <c r="J1950" t="s">
        <v>40623</v>
      </c>
      <c r="K1950" t="s">
        <v>40624</v>
      </c>
      <c r="L1950" t="s">
        <v>40625</v>
      </c>
      <c r="M1950" t="s">
        <v>40626</v>
      </c>
      <c r="N1950" t="s">
        <v>40627</v>
      </c>
      <c r="O1950" t="s">
        <v>40628</v>
      </c>
      <c r="P1950">
        <f>-847.668738049309 -30.700843690769 -204.408572632661</f>
        <v>-1082.778154372739</v>
      </c>
      <c r="Q1950">
        <f>-652.146479405714 -20.0062232997107 -344.792042526757</f>
        <v>-1016.9447452321816</v>
      </c>
      <c r="R1950" t="s">
        <v>40629</v>
      </c>
      <c r="S1950" t="s">
        <v>40630</v>
      </c>
      <c r="T1950" t="s">
        <v>40631</v>
      </c>
      <c r="U1950" t="s">
        <v>40632</v>
      </c>
      <c r="V1950" t="s">
        <v>40633</v>
      </c>
      <c r="W1950" t="s">
        <v>40634</v>
      </c>
      <c r="X1950" t="s">
        <v>40635</v>
      </c>
      <c r="Y1950" t="s">
        <v>40636</v>
      </c>
    </row>
    <row r="1951" spans="1:25" x14ac:dyDescent="0.3">
      <c r="A1951">
        <v>97500</v>
      </c>
      <c r="B1951" t="s">
        <v>40637</v>
      </c>
      <c r="C1951" t="s">
        <v>40638</v>
      </c>
      <c r="D1951" t="s">
        <v>40639</v>
      </c>
      <c r="E1951" t="s">
        <v>40640</v>
      </c>
      <c r="F1951" t="s">
        <v>40641</v>
      </c>
      <c r="G1951" t="s">
        <v>40642</v>
      </c>
      <c r="H1951" t="s">
        <v>40643</v>
      </c>
      <c r="I1951" t="s">
        <v>40644</v>
      </c>
      <c r="J1951" t="s">
        <v>40645</v>
      </c>
      <c r="K1951" t="s">
        <v>40646</v>
      </c>
      <c r="L1951" t="s">
        <v>40647</v>
      </c>
      <c r="M1951" t="s">
        <v>40648</v>
      </c>
      <c r="N1951" t="s">
        <v>40649</v>
      </c>
      <c r="O1951" t="s">
        <v>40650</v>
      </c>
      <c r="P1951">
        <f>-848.712744697352 -29.6482687305397 -202.501536542794</f>
        <v>-1080.8625499706857</v>
      </c>
      <c r="Q1951">
        <f>-652.81480713154 -21.3191457137773 -342.521127215666</f>
        <v>-1016.6550800609832</v>
      </c>
      <c r="R1951" t="s">
        <v>40651</v>
      </c>
      <c r="S1951" t="s">
        <v>40652</v>
      </c>
      <c r="T1951" t="s">
        <v>40653</v>
      </c>
      <c r="U1951" t="s">
        <v>40654</v>
      </c>
      <c r="V1951" t="s">
        <v>40655</v>
      </c>
      <c r="W1951" t="s">
        <v>40656</v>
      </c>
      <c r="X1951" t="s">
        <v>40657</v>
      </c>
      <c r="Y1951" t="s">
        <v>40658</v>
      </c>
    </row>
    <row r="1952" spans="1:25" x14ac:dyDescent="0.3">
      <c r="A1952">
        <v>97550</v>
      </c>
      <c r="B1952" t="s">
        <v>40659</v>
      </c>
      <c r="C1952" t="s">
        <v>40660</v>
      </c>
      <c r="D1952" t="s">
        <v>40661</v>
      </c>
      <c r="E1952" t="s">
        <v>40662</v>
      </c>
      <c r="F1952" t="s">
        <v>40663</v>
      </c>
      <c r="G1952" t="s">
        <v>40664</v>
      </c>
      <c r="H1952" t="s">
        <v>40665</v>
      </c>
      <c r="I1952" t="s">
        <v>40666</v>
      </c>
      <c r="J1952" t="s">
        <v>40667</v>
      </c>
      <c r="K1952" t="s">
        <v>40668</v>
      </c>
      <c r="L1952" t="s">
        <v>40669</v>
      </c>
      <c r="M1952" t="s">
        <v>40670</v>
      </c>
      <c r="N1952" t="s">
        <v>40671</v>
      </c>
      <c r="O1952" t="s">
        <v>40672</v>
      </c>
      <c r="P1952">
        <f>-849.37054650581 -29.018311841447 -201.471029291971</f>
        <v>-1079.859887639228</v>
      </c>
      <c r="Q1952">
        <f>-653.335939808836 -21.9798302110794 -341.370052991627</f>
        <v>-1016.6858230115424</v>
      </c>
      <c r="R1952" t="s">
        <v>40673</v>
      </c>
      <c r="S1952" t="s">
        <v>40674</v>
      </c>
      <c r="T1952" t="s">
        <v>40675</v>
      </c>
      <c r="U1952" t="s">
        <v>40676</v>
      </c>
      <c r="V1952" t="s">
        <v>40677</v>
      </c>
      <c r="W1952" t="s">
        <v>40678</v>
      </c>
      <c r="X1952" t="s">
        <v>40679</v>
      </c>
      <c r="Y1952" t="s">
        <v>40680</v>
      </c>
    </row>
    <row r="1953" spans="1:25" x14ac:dyDescent="0.3">
      <c r="A1953">
        <v>97600</v>
      </c>
      <c r="B1953" t="s">
        <v>40681</v>
      </c>
      <c r="C1953" t="s">
        <v>40682</v>
      </c>
      <c r="D1953" t="s">
        <v>40683</v>
      </c>
      <c r="E1953" t="s">
        <v>40684</v>
      </c>
      <c r="F1953" t="s">
        <v>40685</v>
      </c>
      <c r="G1953" t="s">
        <v>40686</v>
      </c>
      <c r="H1953" t="s">
        <v>40687</v>
      </c>
      <c r="I1953" t="s">
        <v>40688</v>
      </c>
      <c r="J1953" t="s">
        <v>40689</v>
      </c>
      <c r="K1953" t="s">
        <v>40690</v>
      </c>
      <c r="L1953" t="s">
        <v>40691</v>
      </c>
      <c r="M1953" t="s">
        <v>40692</v>
      </c>
      <c r="N1953" t="s">
        <v>40693</v>
      </c>
      <c r="O1953">
        <f>-851.82311197166 -2.00401546786816 -492.401368962621</f>
        <v>-1346.2284964021492</v>
      </c>
      <c r="P1953">
        <f>-851.062650220977 -27.6616540197479 -199.259201071538</f>
        <v>-1077.9835053122629</v>
      </c>
      <c r="Q1953">
        <f>-654.650343282207 -23.5313295276546 -338.744147767736</f>
        <v>-1016.9258205775977</v>
      </c>
      <c r="R1953" t="s">
        <v>40694</v>
      </c>
      <c r="S1953" t="s">
        <v>40695</v>
      </c>
      <c r="T1953" t="s">
        <v>40696</v>
      </c>
      <c r="U1953" t="s">
        <v>40697</v>
      </c>
      <c r="V1953" t="s">
        <v>40698</v>
      </c>
      <c r="W1953" t="s">
        <v>40699</v>
      </c>
      <c r="X1953" t="s">
        <v>40700</v>
      </c>
      <c r="Y1953" t="s">
        <v>40701</v>
      </c>
    </row>
    <row r="1954" spans="1:25" x14ac:dyDescent="0.3">
      <c r="A1954">
        <v>97650</v>
      </c>
      <c r="B1954" t="s">
        <v>40702</v>
      </c>
      <c r="C1954" t="s">
        <v>40703</v>
      </c>
      <c r="D1954" t="s">
        <v>40704</v>
      </c>
      <c r="E1954" t="s">
        <v>40705</v>
      </c>
      <c r="F1954" t="s">
        <v>40706</v>
      </c>
      <c r="G1954" t="s">
        <v>40707</v>
      </c>
      <c r="H1954" t="s">
        <v>40708</v>
      </c>
      <c r="I1954" t="s">
        <v>40709</v>
      </c>
      <c r="J1954" t="s">
        <v>40710</v>
      </c>
      <c r="K1954" t="s">
        <v>40711</v>
      </c>
      <c r="L1954" t="s">
        <v>40712</v>
      </c>
      <c r="M1954" t="s">
        <v>40713</v>
      </c>
      <c r="N1954" t="s">
        <v>40714</v>
      </c>
      <c r="O1954">
        <f>-852.551160798677 -4.36588248750832 -490.245467392006</f>
        <v>-1347.1625106781912</v>
      </c>
      <c r="P1954">
        <f>-853.43767310165 -26.1402744180709 -196.78976665037</f>
        <v>-1076.3677141700909</v>
      </c>
      <c r="Q1954">
        <f>-656.077769245885 -25.7921275576027 -334.991726949377</f>
        <v>-1016.8616237528647</v>
      </c>
      <c r="R1954" t="s">
        <v>40715</v>
      </c>
      <c r="S1954" t="s">
        <v>40716</v>
      </c>
      <c r="T1954" t="s">
        <v>40717</v>
      </c>
      <c r="U1954" t="s">
        <v>40718</v>
      </c>
      <c r="V1954" t="s">
        <v>40719</v>
      </c>
      <c r="W1954" t="s">
        <v>40720</v>
      </c>
      <c r="X1954" t="s">
        <v>40721</v>
      </c>
      <c r="Y1954" t="s">
        <v>40722</v>
      </c>
    </row>
    <row r="1955" spans="1:25" x14ac:dyDescent="0.3">
      <c r="A1955">
        <v>97700</v>
      </c>
      <c r="B1955" t="s">
        <v>40723</v>
      </c>
      <c r="C1955" t="s">
        <v>40724</v>
      </c>
      <c r="D1955" t="s">
        <v>40725</v>
      </c>
      <c r="E1955" t="s">
        <v>40726</v>
      </c>
      <c r="F1955" t="s">
        <v>40727</v>
      </c>
      <c r="G1955" t="s">
        <v>40728</v>
      </c>
      <c r="H1955" t="s">
        <v>40729</v>
      </c>
      <c r="I1955" t="s">
        <v>40730</v>
      </c>
      <c r="J1955" t="s">
        <v>40731</v>
      </c>
      <c r="K1955" t="s">
        <v>40732</v>
      </c>
      <c r="L1955" t="s">
        <v>40733</v>
      </c>
      <c r="M1955" t="s">
        <v>40734</v>
      </c>
      <c r="N1955" t="s">
        <v>40735</v>
      </c>
      <c r="O1955">
        <f>-853.188303326046 -5.39313376856626 -489.114746249649</f>
        <v>-1347.6961833442613</v>
      </c>
      <c r="P1955">
        <f>-855.067635168275 -25.0371903902483 -195.513248267638</f>
        <v>-1075.6180738261614</v>
      </c>
      <c r="Q1955">
        <f>-656.942595170515 -27.39422275887 -332.596312210532</f>
        <v>-1016.933130139917</v>
      </c>
      <c r="R1955" t="s">
        <v>40736</v>
      </c>
      <c r="S1955" t="s">
        <v>40737</v>
      </c>
      <c r="T1955" t="s">
        <v>40738</v>
      </c>
      <c r="U1955" t="s">
        <v>40739</v>
      </c>
      <c r="V1955" t="s">
        <v>40740</v>
      </c>
      <c r="W1955" t="s">
        <v>40741</v>
      </c>
      <c r="X1955" t="s">
        <v>40742</v>
      </c>
      <c r="Y1955" t="s">
        <v>40743</v>
      </c>
    </row>
    <row r="1956" spans="1:25" x14ac:dyDescent="0.3">
      <c r="A1956">
        <v>97750</v>
      </c>
      <c r="B1956" t="s">
        <v>40744</v>
      </c>
      <c r="C1956" t="s">
        <v>40745</v>
      </c>
      <c r="D1956" t="s">
        <v>40746</v>
      </c>
      <c r="E1956" t="s">
        <v>40747</v>
      </c>
      <c r="F1956" t="s">
        <v>40748</v>
      </c>
      <c r="G1956" t="s">
        <v>40749</v>
      </c>
      <c r="H1956" t="s">
        <v>40750</v>
      </c>
      <c r="I1956" t="s">
        <v>40751</v>
      </c>
      <c r="J1956" t="s">
        <v>40752</v>
      </c>
      <c r="K1956" t="s">
        <v>40753</v>
      </c>
      <c r="L1956" t="s">
        <v>40754</v>
      </c>
      <c r="M1956" t="s">
        <v>40755</v>
      </c>
      <c r="N1956" t="s">
        <v>40756</v>
      </c>
      <c r="O1956">
        <f>-853.758733760071 -6.55943692503297 -488.012407289594</f>
        <v>-1348.3305779746979</v>
      </c>
      <c r="P1956">
        <f>-856.775113357038 -24.0582284292477 -194.284750896278</f>
        <v>-1075.1180926825637</v>
      </c>
      <c r="Q1956">
        <f>-657.929637543191 -29.3170086210894 -330.23950334131</f>
        <v>-1017.4861495055904</v>
      </c>
      <c r="R1956" t="s">
        <v>40757</v>
      </c>
      <c r="S1956" t="s">
        <v>40758</v>
      </c>
      <c r="T1956" t="s">
        <v>40759</v>
      </c>
      <c r="U1956" t="s">
        <v>40760</v>
      </c>
      <c r="V1956" t="s">
        <v>40761</v>
      </c>
      <c r="W1956" t="s">
        <v>40762</v>
      </c>
      <c r="X1956" t="s">
        <v>40763</v>
      </c>
      <c r="Y1956" t="s">
        <v>40764</v>
      </c>
    </row>
    <row r="1957" spans="1:25" x14ac:dyDescent="0.3">
      <c r="A1957">
        <v>97800</v>
      </c>
      <c r="B1957" t="s">
        <v>40765</v>
      </c>
      <c r="C1957" t="s">
        <v>40766</v>
      </c>
      <c r="D1957" t="s">
        <v>40767</v>
      </c>
      <c r="E1957" t="s">
        <v>40768</v>
      </c>
      <c r="F1957" t="s">
        <v>40769</v>
      </c>
      <c r="G1957" t="s">
        <v>40770</v>
      </c>
      <c r="H1957" t="s">
        <v>40771</v>
      </c>
      <c r="I1957" t="s">
        <v>40772</v>
      </c>
      <c r="J1957" t="s">
        <v>40773</v>
      </c>
      <c r="K1957" t="s">
        <v>40774</v>
      </c>
      <c r="L1957" t="s">
        <v>40775</v>
      </c>
      <c r="M1957" t="s">
        <v>40776</v>
      </c>
      <c r="N1957" t="s">
        <v>40777</v>
      </c>
      <c r="O1957">
        <f>-854.935848143584 -9.18662421743102 -485.974112449245</f>
        <v>-1350.0965848102601</v>
      </c>
      <c r="P1957">
        <f>-860.708483956865 -22.4287438949818 -192.065168306933</f>
        <v>-1075.2023961587799</v>
      </c>
      <c r="Q1957">
        <f>-660.34552885931 -34.3347724807113 -325.345844363251</f>
        <v>-1020.0261457032723</v>
      </c>
      <c r="R1957" t="s">
        <v>40778</v>
      </c>
      <c r="S1957" t="s">
        <v>40779</v>
      </c>
      <c r="T1957" t="s">
        <v>40780</v>
      </c>
      <c r="U1957" t="s">
        <v>40781</v>
      </c>
      <c r="V1957" t="s">
        <v>40782</v>
      </c>
      <c r="W1957" t="s">
        <v>40783</v>
      </c>
      <c r="X1957" t="s">
        <v>40784</v>
      </c>
      <c r="Y1957" t="s">
        <v>40785</v>
      </c>
    </row>
    <row r="1958" spans="1:25" x14ac:dyDescent="0.3">
      <c r="A1958">
        <v>97850</v>
      </c>
      <c r="B1958" t="s">
        <v>40786</v>
      </c>
      <c r="C1958" t="s">
        <v>40787</v>
      </c>
      <c r="D1958" t="s">
        <v>40788</v>
      </c>
      <c r="E1958" t="s">
        <v>40789</v>
      </c>
      <c r="F1958" t="s">
        <v>40790</v>
      </c>
      <c r="G1958" t="s">
        <v>40791</v>
      </c>
      <c r="H1958" t="s">
        <v>40792</v>
      </c>
      <c r="I1958" t="s">
        <v>40793</v>
      </c>
      <c r="J1958" t="s">
        <v>40794</v>
      </c>
      <c r="K1958" t="s">
        <v>40795</v>
      </c>
      <c r="L1958" t="s">
        <v>40796</v>
      </c>
      <c r="M1958" t="s">
        <v>40797</v>
      </c>
      <c r="N1958" t="s">
        <v>40798</v>
      </c>
      <c r="O1958">
        <f>-855.501416999982 -10.5662214682839 -485.027038066271</f>
        <v>-1351.0946765345368</v>
      </c>
      <c r="P1958">
        <f>-862.661338674131 -21.8586288444926 -191.06712121949</f>
        <v>-1075.5870887381136</v>
      </c>
      <c r="Q1958">
        <f>-661.739123619688 -37.0031958415723 -323.172520999509</f>
        <v>-1021.9148404607693</v>
      </c>
      <c r="R1958" t="s">
        <v>40799</v>
      </c>
      <c r="S1958" t="s">
        <v>40800</v>
      </c>
      <c r="T1958" t="s">
        <v>40801</v>
      </c>
      <c r="U1958" t="s">
        <v>40802</v>
      </c>
      <c r="V1958" t="s">
        <v>40803</v>
      </c>
      <c r="W1958" t="s">
        <v>40804</v>
      </c>
      <c r="X1958" t="s">
        <v>40805</v>
      </c>
      <c r="Y1958" t="s">
        <v>40806</v>
      </c>
    </row>
    <row r="1959" spans="1:25" x14ac:dyDescent="0.3">
      <c r="A1959">
        <v>97900</v>
      </c>
      <c r="B1959" t="s">
        <v>40807</v>
      </c>
      <c r="C1959" t="s">
        <v>40808</v>
      </c>
      <c r="D1959" t="s">
        <v>40809</v>
      </c>
      <c r="E1959" t="s">
        <v>40810</v>
      </c>
      <c r="F1959" t="s">
        <v>40811</v>
      </c>
      <c r="G1959" t="s">
        <v>40812</v>
      </c>
      <c r="H1959" t="s">
        <v>40813</v>
      </c>
      <c r="I1959" t="s">
        <v>40814</v>
      </c>
      <c r="J1959" t="s">
        <v>40815</v>
      </c>
      <c r="K1959" t="s">
        <v>40816</v>
      </c>
      <c r="L1959" t="s">
        <v>40817</v>
      </c>
      <c r="M1959" t="s">
        <v>40818</v>
      </c>
      <c r="N1959" t="s">
        <v>40819</v>
      </c>
      <c r="O1959">
        <f>-856.743609320016 -13.2593605061493 -483.353601951785</f>
        <v>-1353.3565717779502</v>
      </c>
      <c r="P1959">
        <f>-866.548212280003 -20.9372274027105 -189.353346667509</f>
        <v>-1076.8387863502226</v>
      </c>
      <c r="Q1959">
        <f>-664.545522811446 -42.050545390267 -318.968135751379</f>
        <v>-1025.5642039530919</v>
      </c>
      <c r="R1959" t="s">
        <v>40820</v>
      </c>
      <c r="S1959" t="s">
        <v>40821</v>
      </c>
      <c r="T1959" t="s">
        <v>40822</v>
      </c>
      <c r="U1959" t="s">
        <v>40823</v>
      </c>
      <c r="V1959" t="s">
        <v>40824</v>
      </c>
      <c r="W1959" t="s">
        <v>40825</v>
      </c>
      <c r="X1959" t="s">
        <v>40826</v>
      </c>
      <c r="Y1959" t="s">
        <v>40827</v>
      </c>
    </row>
    <row r="1960" spans="1:25" x14ac:dyDescent="0.3">
      <c r="A1960">
        <v>97950</v>
      </c>
      <c r="B1960" t="s">
        <v>40828</v>
      </c>
      <c r="C1960" t="s">
        <v>40829</v>
      </c>
      <c r="D1960" t="s">
        <v>40830</v>
      </c>
      <c r="E1960" t="s">
        <v>40831</v>
      </c>
      <c r="F1960" t="s">
        <v>40832</v>
      </c>
      <c r="G1960" t="s">
        <v>40833</v>
      </c>
      <c r="H1960" t="s">
        <v>40834</v>
      </c>
      <c r="I1960" t="s">
        <v>40835</v>
      </c>
      <c r="J1960" t="s">
        <v>40836</v>
      </c>
      <c r="K1960" t="s">
        <v>40837</v>
      </c>
      <c r="L1960" t="s">
        <v>40838</v>
      </c>
      <c r="M1960" t="s">
        <v>40839</v>
      </c>
      <c r="N1960" t="s">
        <v>40840</v>
      </c>
      <c r="O1960">
        <f>-857.676344187147 -14.6496202489616 -482.545308764557</f>
        <v>-1354.8712732006657</v>
      </c>
      <c r="P1960">
        <f>-868.662721203984 -20.5964997225565 -188.546749672998</f>
        <v>-1077.8059705995386</v>
      </c>
      <c r="Q1960">
        <f>-666.178072650813 -44.5166431613015 -316.9163932445</f>
        <v>-1027.6111090566146</v>
      </c>
      <c r="R1960" t="s">
        <v>40841</v>
      </c>
      <c r="S1960" t="s">
        <v>40842</v>
      </c>
      <c r="T1960" t="s">
        <v>40843</v>
      </c>
      <c r="U1960" t="s">
        <v>40844</v>
      </c>
      <c r="V1960" t="s">
        <v>40845</v>
      </c>
      <c r="W1960" t="s">
        <v>40846</v>
      </c>
      <c r="X1960" t="s">
        <v>40847</v>
      </c>
      <c r="Y1960" t="s">
        <v>40848</v>
      </c>
    </row>
    <row r="1961" spans="1:25" x14ac:dyDescent="0.3">
      <c r="A1961">
        <v>98000</v>
      </c>
      <c r="B1961" t="s">
        <v>40849</v>
      </c>
      <c r="C1961" t="s">
        <v>40850</v>
      </c>
      <c r="D1961" t="s">
        <v>40851</v>
      </c>
      <c r="E1961" t="s">
        <v>40852</v>
      </c>
      <c r="F1961" t="s">
        <v>40853</v>
      </c>
      <c r="G1961" t="s">
        <v>40854</v>
      </c>
      <c r="H1961" t="s">
        <v>40855</v>
      </c>
      <c r="I1961" t="s">
        <v>40856</v>
      </c>
      <c r="J1961" t="s">
        <v>40857</v>
      </c>
      <c r="K1961" t="s">
        <v>40858</v>
      </c>
      <c r="L1961" t="s">
        <v>40859</v>
      </c>
      <c r="M1961" t="s">
        <v>40860</v>
      </c>
      <c r="N1961" t="s">
        <v>40861</v>
      </c>
      <c r="O1961">
        <f>-859.80091291194 -16.9880968167899 -480.868514224014</f>
        <v>-1357.657523952744</v>
      </c>
      <c r="P1961">
        <f>-872.503544402367 -19.740562616752 -186.89199960734</f>
        <v>-1079.136106626459</v>
      </c>
      <c r="Q1961">
        <f>-668.95504360322 -48.5939113814834 -312.535607927873</f>
        <v>-1030.0845629125765</v>
      </c>
      <c r="R1961" t="s">
        <v>40862</v>
      </c>
      <c r="S1961" t="s">
        <v>40863</v>
      </c>
      <c r="T1961" t="s">
        <v>40864</v>
      </c>
      <c r="U1961" t="s">
        <v>40865</v>
      </c>
      <c r="V1961" t="s">
        <v>40866</v>
      </c>
      <c r="W1961" t="s">
        <v>40867</v>
      </c>
      <c r="X1961" t="s">
        <v>40868</v>
      </c>
      <c r="Y1961" t="s">
        <v>40869</v>
      </c>
    </row>
    <row r="1962" spans="1:25" x14ac:dyDescent="0.3">
      <c r="A1962">
        <v>98050</v>
      </c>
      <c r="B1962" t="s">
        <v>40870</v>
      </c>
      <c r="C1962" t="s">
        <v>40871</v>
      </c>
      <c r="D1962" t="s">
        <v>40872</v>
      </c>
      <c r="E1962" t="s">
        <v>40873</v>
      </c>
      <c r="F1962" t="s">
        <v>40874</v>
      </c>
      <c r="G1962" t="s">
        <v>40875</v>
      </c>
      <c r="H1962" t="s">
        <v>40876</v>
      </c>
      <c r="I1962" t="s">
        <v>40877</v>
      </c>
      <c r="J1962" t="s">
        <v>40878</v>
      </c>
      <c r="K1962" t="s">
        <v>40879</v>
      </c>
      <c r="L1962" t="s">
        <v>40880</v>
      </c>
      <c r="M1962" t="s">
        <v>40881</v>
      </c>
      <c r="N1962" t="s">
        <v>40882</v>
      </c>
      <c r="O1962">
        <f>-860.768857246703 -18.280562567847 -480.136886053892</f>
        <v>-1359.1863058684421</v>
      </c>
      <c r="P1962">
        <f>-874.075511193665 -19.4387933340231 -186.17635147032</f>
        <v>-1079.690655998008</v>
      </c>
      <c r="Q1962">
        <f>-670.014100096044 -50.5622178018443 -310.438349666082</f>
        <v>-1031.0146675639703</v>
      </c>
      <c r="R1962" t="s">
        <v>40883</v>
      </c>
      <c r="S1962" t="s">
        <v>40884</v>
      </c>
      <c r="T1962" t="s">
        <v>40885</v>
      </c>
      <c r="U1962" t="s">
        <v>40886</v>
      </c>
      <c r="V1962" t="s">
        <v>40887</v>
      </c>
      <c r="W1962" t="s">
        <v>40888</v>
      </c>
      <c r="X1962" t="s">
        <v>40889</v>
      </c>
      <c r="Y1962" t="s">
        <v>40890</v>
      </c>
    </row>
    <row r="1963" spans="1:25" x14ac:dyDescent="0.3">
      <c r="A1963">
        <v>98100</v>
      </c>
      <c r="B1963" t="s">
        <v>40891</v>
      </c>
      <c r="C1963" t="s">
        <v>40892</v>
      </c>
      <c r="D1963" t="s">
        <v>40893</v>
      </c>
      <c r="E1963" t="s">
        <v>40894</v>
      </c>
      <c r="F1963" t="s">
        <v>40895</v>
      </c>
      <c r="G1963" t="s">
        <v>40896</v>
      </c>
      <c r="H1963" t="s">
        <v>40897</v>
      </c>
      <c r="I1963" t="s">
        <v>40898</v>
      </c>
      <c r="J1963" t="s">
        <v>40899</v>
      </c>
      <c r="K1963" t="s">
        <v>40900</v>
      </c>
      <c r="L1963" t="s">
        <v>40901</v>
      </c>
      <c r="M1963" t="s">
        <v>40902</v>
      </c>
      <c r="N1963" t="s">
        <v>40903</v>
      </c>
      <c r="O1963">
        <f>-863.319045261491 -21.0968993495703 -478.873405872112</f>
        <v>-1363.2893504831734</v>
      </c>
      <c r="P1963">
        <f>-878.13782838744 -18.6933780467421 -184.992801903114</f>
        <v>-1081.8240083372962</v>
      </c>
      <c r="Q1963">
        <f>-673.247189373707 -54.5088679486053 -306.598417951569</f>
        <v>-1034.3544752738812</v>
      </c>
      <c r="R1963" t="s">
        <v>40904</v>
      </c>
      <c r="S1963" t="s">
        <v>40905</v>
      </c>
      <c r="T1963" t="s">
        <v>40906</v>
      </c>
      <c r="U1963" t="s">
        <v>40907</v>
      </c>
      <c r="V1963" t="s">
        <v>40908</v>
      </c>
      <c r="W1963" t="s">
        <v>40909</v>
      </c>
      <c r="X1963" t="s">
        <v>40910</v>
      </c>
      <c r="Y1963" t="s">
        <v>40911</v>
      </c>
    </row>
    <row r="1964" spans="1:25" x14ac:dyDescent="0.3">
      <c r="A1964">
        <v>98150</v>
      </c>
      <c r="B1964" t="s">
        <v>40912</v>
      </c>
      <c r="C1964" t="s">
        <v>40913</v>
      </c>
      <c r="D1964" t="s">
        <v>40914</v>
      </c>
      <c r="E1964" t="s">
        <v>40915</v>
      </c>
      <c r="F1964" t="s">
        <v>40916</v>
      </c>
      <c r="G1964" t="s">
        <v>40917</v>
      </c>
      <c r="H1964" t="s">
        <v>40918</v>
      </c>
      <c r="I1964" t="s">
        <v>40919</v>
      </c>
      <c r="J1964" t="s">
        <v>40920</v>
      </c>
      <c r="K1964" t="s">
        <v>40921</v>
      </c>
      <c r="L1964" t="s">
        <v>40922</v>
      </c>
      <c r="M1964" t="s">
        <v>40923</v>
      </c>
      <c r="N1964" t="s">
        <v>40924</v>
      </c>
      <c r="O1964">
        <f>-864.96710740907 -22.3850319129429 -478.257527185989</f>
        <v>-1365.6096665080017</v>
      </c>
      <c r="P1964">
        <f>-880.35553381585 -18.4414467238057 -184.422716490469</f>
        <v>-1083.2196970301247</v>
      </c>
      <c r="Q1964">
        <f>-675.223000014146 -56.211725631186 -305.02493270844</f>
        <v>-1036.4596583537721</v>
      </c>
      <c r="R1964" t="s">
        <v>40925</v>
      </c>
      <c r="S1964" t="s">
        <v>40926</v>
      </c>
      <c r="T1964" t="s">
        <v>40927</v>
      </c>
      <c r="U1964" t="s">
        <v>40928</v>
      </c>
      <c r="V1964" t="s">
        <v>40929</v>
      </c>
      <c r="W1964" t="s">
        <v>40930</v>
      </c>
      <c r="X1964" t="s">
        <v>40931</v>
      </c>
      <c r="Y1964" t="s">
        <v>40932</v>
      </c>
    </row>
    <row r="1965" spans="1:25" x14ac:dyDescent="0.3">
      <c r="A1965">
        <v>98200</v>
      </c>
      <c r="B1965" t="s">
        <v>40933</v>
      </c>
      <c r="C1965" t="s">
        <v>40934</v>
      </c>
      <c r="D1965" t="s">
        <v>40935</v>
      </c>
      <c r="E1965" t="s">
        <v>40936</v>
      </c>
      <c r="F1965" t="s">
        <v>40937</v>
      </c>
      <c r="G1965" t="s">
        <v>40938</v>
      </c>
      <c r="H1965" t="s">
        <v>40939</v>
      </c>
      <c r="I1965" t="s">
        <v>40940</v>
      </c>
      <c r="J1965" t="s">
        <v>40941</v>
      </c>
      <c r="K1965" t="s">
        <v>40942</v>
      </c>
      <c r="L1965" t="s">
        <v>40943</v>
      </c>
      <c r="M1965" t="s">
        <v>40944</v>
      </c>
      <c r="N1965" t="s">
        <v>40945</v>
      </c>
      <c r="O1965">
        <f>-868.856605697873 -23.9844665818687 -477.463480823591</f>
        <v>-1370.3045531033326</v>
      </c>
      <c r="P1965">
        <f>-884.5948449813 -18.0023186429894 -183.681729617078</f>
        <v>-1086.2788932413673</v>
      </c>
      <c r="Q1965">
        <f>-679.020502635117 -59.5993822921594 -302.25558562929</f>
        <v>-1040.8754705565664</v>
      </c>
      <c r="R1965" t="s">
        <v>40946</v>
      </c>
      <c r="S1965" t="s">
        <v>40947</v>
      </c>
      <c r="T1965" t="s">
        <v>40948</v>
      </c>
      <c r="U1965" t="s">
        <v>40949</v>
      </c>
      <c r="V1965" t="s">
        <v>40950</v>
      </c>
      <c r="W1965" t="s">
        <v>40951</v>
      </c>
      <c r="X1965" t="s">
        <v>40952</v>
      </c>
      <c r="Y1965" t="s">
        <v>40953</v>
      </c>
    </row>
    <row r="1966" spans="1:25" x14ac:dyDescent="0.3">
      <c r="A1966">
        <v>98250</v>
      </c>
      <c r="B1966" t="s">
        <v>40954</v>
      </c>
      <c r="C1966" t="s">
        <v>40955</v>
      </c>
      <c r="D1966" t="s">
        <v>40956</v>
      </c>
      <c r="E1966" t="s">
        <v>40957</v>
      </c>
      <c r="F1966" t="s">
        <v>40958</v>
      </c>
      <c r="G1966" t="s">
        <v>40959</v>
      </c>
      <c r="H1966" t="s">
        <v>40960</v>
      </c>
      <c r="I1966" t="s">
        <v>40961</v>
      </c>
      <c r="J1966" t="s">
        <v>40962</v>
      </c>
      <c r="K1966" t="s">
        <v>40963</v>
      </c>
      <c r="L1966" t="s">
        <v>40964</v>
      </c>
      <c r="M1966" t="s">
        <v>40965</v>
      </c>
      <c r="N1966" t="s">
        <v>40966</v>
      </c>
      <c r="O1966">
        <f>-871.040800795511 -24.133965342076 -477.198772130168</f>
        <v>-1372.3735382677551</v>
      </c>
      <c r="P1966">
        <f>-887.29133816557 -17.2820553584302 -183.463849260826</f>
        <v>-1088.037242784826</v>
      </c>
      <c r="Q1966">
        <f>-681.625346993462 -61.1212355887149 -301.067126024673</f>
        <v>-1043.8137086068498</v>
      </c>
      <c r="R1966" t="s">
        <v>40967</v>
      </c>
      <c r="S1966" t="s">
        <v>40968</v>
      </c>
      <c r="T1966" t="s">
        <v>40969</v>
      </c>
      <c r="U1966" t="s">
        <v>40970</v>
      </c>
      <c r="V1966" t="s">
        <v>40971</v>
      </c>
      <c r="W1966" t="s">
        <v>40972</v>
      </c>
      <c r="X1966" t="s">
        <v>40973</v>
      </c>
      <c r="Y1966" t="s">
        <v>40974</v>
      </c>
    </row>
    <row r="1967" spans="1:25" x14ac:dyDescent="0.3">
      <c r="A1967">
        <v>98300</v>
      </c>
      <c r="B1967" t="s">
        <v>40975</v>
      </c>
      <c r="C1967" t="s">
        <v>40976</v>
      </c>
      <c r="D1967" t="s">
        <v>40977</v>
      </c>
      <c r="E1967" t="s">
        <v>40978</v>
      </c>
      <c r="F1967" t="s">
        <v>40979</v>
      </c>
      <c r="G1967" t="s">
        <v>40980</v>
      </c>
      <c r="H1967" t="s">
        <v>40981</v>
      </c>
      <c r="I1967" t="s">
        <v>40982</v>
      </c>
      <c r="J1967" t="s">
        <v>40983</v>
      </c>
      <c r="K1967" t="s">
        <v>40984</v>
      </c>
      <c r="L1967" t="s">
        <v>40985</v>
      </c>
      <c r="M1967" t="s">
        <v>40986</v>
      </c>
      <c r="N1967" t="s">
        <v>40987</v>
      </c>
      <c r="O1967">
        <f>-874.369046739545 -25.0104816281146 -476.686225482798</f>
        <v>-1376.0657538504574</v>
      </c>
      <c r="P1967">
        <f>-892.730154255154 -16.8260047975409 -183.109851153664</f>
        <v>-1092.666010206359</v>
      </c>
      <c r="Q1967">
        <f>-686.972414117161 -65.1378915648936 -298.784202336966</f>
        <v>-1050.8945080190206</v>
      </c>
      <c r="R1967" t="s">
        <v>40988</v>
      </c>
      <c r="S1967" t="s">
        <v>40989</v>
      </c>
      <c r="T1967" t="s">
        <v>40990</v>
      </c>
      <c r="U1967" t="s">
        <v>40991</v>
      </c>
      <c r="V1967" t="s">
        <v>40992</v>
      </c>
      <c r="W1967" t="s">
        <v>40993</v>
      </c>
      <c r="X1967" t="s">
        <v>40994</v>
      </c>
      <c r="Y1967" t="s">
        <v>40995</v>
      </c>
    </row>
    <row r="1968" spans="1:25" x14ac:dyDescent="0.3">
      <c r="A1968">
        <v>98350</v>
      </c>
      <c r="B1968" t="s">
        <v>40996</v>
      </c>
      <c r="C1968" t="s">
        <v>40997</v>
      </c>
      <c r="D1968" t="s">
        <v>40998</v>
      </c>
      <c r="E1968" t="s">
        <v>40999</v>
      </c>
      <c r="F1968" t="s">
        <v>41000</v>
      </c>
      <c r="G1968" t="s">
        <v>41001</v>
      </c>
      <c r="H1968" t="s">
        <v>41002</v>
      </c>
      <c r="I1968" t="s">
        <v>41003</v>
      </c>
      <c r="J1968" t="s">
        <v>41004</v>
      </c>
      <c r="K1968" t="s">
        <v>41005</v>
      </c>
      <c r="L1968" t="s">
        <v>41006</v>
      </c>
      <c r="M1968" t="s">
        <v>41007</v>
      </c>
      <c r="N1968" t="s">
        <v>41008</v>
      </c>
      <c r="O1968">
        <f>-875.662773361504 -25.4545327850528 -476.564201376771</f>
        <v>-1377.6815075233278</v>
      </c>
      <c r="P1968">
        <f>-894.973822710541 -16.677710748384 -183.065861657039</f>
        <v>-1094.7173951159639</v>
      </c>
      <c r="Q1968">
        <f>-689.225400195814 -67.4716683212482 -297.689138328123</f>
        <v>-1054.3862068451854</v>
      </c>
      <c r="R1968" t="s">
        <v>41009</v>
      </c>
      <c r="S1968" t="s">
        <v>41010</v>
      </c>
      <c r="T1968" t="s">
        <v>41011</v>
      </c>
      <c r="U1968" t="s">
        <v>41012</v>
      </c>
      <c r="V1968" t="s">
        <v>41013</v>
      </c>
      <c r="W1968" t="s">
        <v>41014</v>
      </c>
      <c r="X1968" t="s">
        <v>41015</v>
      </c>
      <c r="Y1968" t="s">
        <v>41016</v>
      </c>
    </row>
    <row r="1969" spans="1:25" x14ac:dyDescent="0.3">
      <c r="A1969">
        <v>98400</v>
      </c>
      <c r="B1969" t="s">
        <v>41017</v>
      </c>
      <c r="C1969" t="s">
        <v>41018</v>
      </c>
      <c r="D1969" t="s">
        <v>41019</v>
      </c>
      <c r="E1969" t="s">
        <v>41020</v>
      </c>
      <c r="F1969" t="s">
        <v>41021</v>
      </c>
      <c r="G1969" t="s">
        <v>41022</v>
      </c>
      <c r="H1969" t="s">
        <v>41023</v>
      </c>
      <c r="I1969" t="s">
        <v>41024</v>
      </c>
      <c r="J1969" t="s">
        <v>41025</v>
      </c>
      <c r="K1969" t="s">
        <v>41026</v>
      </c>
      <c r="L1969" t="s">
        <v>41027</v>
      </c>
      <c r="M1969" t="s">
        <v>41028</v>
      </c>
      <c r="N1969" t="s">
        <v>41029</v>
      </c>
      <c r="O1969">
        <f>-877.939046698132 -26.0683404075617 -476.356172054482</f>
        <v>-1380.3635591601756</v>
      </c>
      <c r="P1969">
        <f>-898.870178581744 -15.9204402798978 -183.013078168544</f>
        <v>-1097.8036970301857</v>
      </c>
      <c r="Q1969">
        <f>-693.34850178589 -71.6674669345971 -295.725015520954</f>
        <v>-1060.7409842414411</v>
      </c>
      <c r="R1969" t="s">
        <v>41030</v>
      </c>
      <c r="S1969" t="s">
        <v>41031</v>
      </c>
      <c r="T1969" t="s">
        <v>41032</v>
      </c>
      <c r="U1969" t="s">
        <v>41033</v>
      </c>
      <c r="V1969" t="s">
        <v>41034</v>
      </c>
      <c r="W1969" t="s">
        <v>41035</v>
      </c>
      <c r="X1969" t="s">
        <v>41036</v>
      </c>
      <c r="Y1969" t="s">
        <v>41037</v>
      </c>
    </row>
    <row r="1970" spans="1:25" x14ac:dyDescent="0.3">
      <c r="A1970">
        <v>98450</v>
      </c>
      <c r="B1970" t="s">
        <v>41038</v>
      </c>
      <c r="C1970" t="s">
        <v>41039</v>
      </c>
      <c r="D1970" t="s">
        <v>41040</v>
      </c>
      <c r="E1970" t="s">
        <v>41041</v>
      </c>
      <c r="F1970" t="s">
        <v>41042</v>
      </c>
      <c r="G1970" t="s">
        <v>41043</v>
      </c>
      <c r="H1970" t="s">
        <v>41044</v>
      </c>
      <c r="I1970" t="s">
        <v>41045</v>
      </c>
      <c r="J1970" t="s">
        <v>41046</v>
      </c>
      <c r="K1970" t="s">
        <v>41047</v>
      </c>
      <c r="L1970" t="s">
        <v>41048</v>
      </c>
      <c r="M1970" t="s">
        <v>41049</v>
      </c>
      <c r="N1970" t="s">
        <v>41050</v>
      </c>
      <c r="O1970">
        <f>-878.464536951131 -26.5594918719435 -476.138516316933</f>
        <v>-1381.1625451400075</v>
      </c>
      <c r="P1970">
        <f>-900.397518128603 -15.8424043711993 -182.88891638061</f>
        <v>-1099.1288388804123</v>
      </c>
      <c r="Q1970">
        <f>-694.948732478221 -73.775328412851 -294.627363658854</f>
        <v>-1063.3514245499259</v>
      </c>
      <c r="R1970" t="s">
        <v>41051</v>
      </c>
      <c r="S1970" t="s">
        <v>41052</v>
      </c>
      <c r="T1970" t="s">
        <v>41053</v>
      </c>
      <c r="U1970" t="s">
        <v>41054</v>
      </c>
      <c r="V1970" t="s">
        <v>41055</v>
      </c>
      <c r="W1970" t="s">
        <v>41056</v>
      </c>
      <c r="X1970" t="s">
        <v>41057</v>
      </c>
      <c r="Y1970" t="s">
        <v>41058</v>
      </c>
    </row>
    <row r="1971" spans="1:25" x14ac:dyDescent="0.3">
      <c r="A1971">
        <v>98500</v>
      </c>
      <c r="B1971" t="s">
        <v>41059</v>
      </c>
      <c r="C1971" t="s">
        <v>41060</v>
      </c>
      <c r="D1971" t="s">
        <v>41061</v>
      </c>
      <c r="E1971" t="s">
        <v>41062</v>
      </c>
      <c r="F1971" t="s">
        <v>41063</v>
      </c>
      <c r="G1971" t="s">
        <v>41064</v>
      </c>
      <c r="H1971" t="s">
        <v>41065</v>
      </c>
      <c r="I1971" t="s">
        <v>41066</v>
      </c>
      <c r="J1971" t="s">
        <v>41067</v>
      </c>
      <c r="K1971" t="s">
        <v>41068</v>
      </c>
      <c r="L1971" t="s">
        <v>41069</v>
      </c>
      <c r="M1971" t="s">
        <v>41070</v>
      </c>
      <c r="N1971" t="s">
        <v>41071</v>
      </c>
      <c r="O1971">
        <f>-877.829439398394 -28.139836544663 -475.760472271189</f>
        <v>-1381.729748214246</v>
      </c>
      <c r="P1971">
        <f>-901.989895962254 -15.821068384611 -182.749001889027</f>
        <v>-1100.5599662358918</v>
      </c>
      <c r="Q1971">
        <f>-696.545539314927 -78.10958222209 -292.127089020535</f>
        <v>-1066.7822105575519</v>
      </c>
      <c r="R1971" t="s">
        <v>41072</v>
      </c>
      <c r="S1971" t="s">
        <v>41073</v>
      </c>
      <c r="T1971" t="s">
        <v>41074</v>
      </c>
      <c r="U1971" t="s">
        <v>41075</v>
      </c>
      <c r="V1971" t="s">
        <v>41076</v>
      </c>
      <c r="W1971" t="s">
        <v>41077</v>
      </c>
      <c r="X1971" t="s">
        <v>41078</v>
      </c>
      <c r="Y1971" t="s">
        <v>41079</v>
      </c>
    </row>
    <row r="1972" spans="1:25" x14ac:dyDescent="0.3">
      <c r="A1972">
        <v>98550</v>
      </c>
      <c r="B1972" t="s">
        <v>41080</v>
      </c>
      <c r="C1972" t="s">
        <v>41081</v>
      </c>
      <c r="D1972" t="s">
        <v>41082</v>
      </c>
      <c r="E1972" t="s">
        <v>41083</v>
      </c>
      <c r="F1972" t="s">
        <v>41084</v>
      </c>
      <c r="G1972" t="s">
        <v>41085</v>
      </c>
      <c r="H1972" t="s">
        <v>41086</v>
      </c>
      <c r="I1972" t="s">
        <v>41087</v>
      </c>
      <c r="J1972" t="s">
        <v>41088</v>
      </c>
      <c r="K1972" t="s">
        <v>41089</v>
      </c>
      <c r="L1972" t="s">
        <v>41090</v>
      </c>
      <c r="M1972" t="s">
        <v>41091</v>
      </c>
      <c r="N1972" t="s">
        <v>41092</v>
      </c>
      <c r="O1972">
        <f>-877.177215810813 -29.1868888189938 -475.683293399108</f>
        <v>-1382.0473980289148</v>
      </c>
      <c r="P1972">
        <f>-902.23993798756 -15.9627196145243 -182.787145420042</f>
        <v>-1100.9898030221264</v>
      </c>
      <c r="Q1972">
        <f>-696.675822996108 -80.4056397800257 -290.682050048162</f>
        <v>-1067.7635128242957</v>
      </c>
      <c r="R1972" t="s">
        <v>41093</v>
      </c>
      <c r="S1972" t="s">
        <v>41094</v>
      </c>
      <c r="T1972" t="s">
        <v>41095</v>
      </c>
      <c r="U1972" t="s">
        <v>41096</v>
      </c>
      <c r="V1972" t="s">
        <v>41097</v>
      </c>
      <c r="W1972" t="s">
        <v>41098</v>
      </c>
      <c r="X1972" t="s">
        <v>41099</v>
      </c>
      <c r="Y1972" t="s">
        <v>41100</v>
      </c>
    </row>
    <row r="1973" spans="1:25" x14ac:dyDescent="0.3">
      <c r="A1973">
        <v>98600</v>
      </c>
      <c r="B1973" t="s">
        <v>41101</v>
      </c>
      <c r="C1973" t="s">
        <v>41102</v>
      </c>
      <c r="D1973" t="s">
        <v>41103</v>
      </c>
      <c r="E1973" t="s">
        <v>41104</v>
      </c>
      <c r="F1973" t="s">
        <v>41105</v>
      </c>
      <c r="G1973" t="s">
        <v>41106</v>
      </c>
      <c r="H1973" t="s">
        <v>41107</v>
      </c>
      <c r="I1973" t="s">
        <v>41108</v>
      </c>
      <c r="J1973" t="s">
        <v>41109</v>
      </c>
      <c r="K1973" t="s">
        <v>41110</v>
      </c>
      <c r="L1973" t="s">
        <v>41111</v>
      </c>
      <c r="M1973" t="s">
        <v>41112</v>
      </c>
      <c r="N1973" t="s">
        <v>41113</v>
      </c>
      <c r="O1973">
        <f>-876.399506779445 -31.1811085481081 -475.516267419404</f>
        <v>-1383.0968827469571</v>
      </c>
      <c r="P1973">
        <f>-902.711344446006 -16.7240993558125 -182.78788543255</f>
        <v>-1102.2233292343685</v>
      </c>
      <c r="Q1973">
        <f>-696.429685454821 -84.2700688778211 -287.364741998675</f>
        <v>-1068.0644963313171</v>
      </c>
      <c r="R1973" t="s">
        <v>41114</v>
      </c>
      <c r="S1973" t="s">
        <v>41115</v>
      </c>
      <c r="T1973" t="s">
        <v>41116</v>
      </c>
      <c r="U1973" t="s">
        <v>41117</v>
      </c>
      <c r="V1973" t="s">
        <v>41118</v>
      </c>
      <c r="W1973" t="s">
        <v>41119</v>
      </c>
      <c r="X1973" t="s">
        <v>41120</v>
      </c>
      <c r="Y1973" t="s">
        <v>41121</v>
      </c>
    </row>
    <row r="1974" spans="1:25" x14ac:dyDescent="0.3">
      <c r="A1974">
        <v>98650</v>
      </c>
      <c r="B1974" t="s">
        <v>41122</v>
      </c>
      <c r="C1974" t="s">
        <v>41123</v>
      </c>
      <c r="D1974" t="s">
        <v>41124</v>
      </c>
      <c r="E1974" t="s">
        <v>41125</v>
      </c>
      <c r="F1974" t="s">
        <v>41126</v>
      </c>
      <c r="G1974" t="s">
        <v>41127</v>
      </c>
      <c r="H1974" t="s">
        <v>41128</v>
      </c>
      <c r="I1974" t="s">
        <v>41129</v>
      </c>
      <c r="J1974" t="s">
        <v>41130</v>
      </c>
      <c r="K1974" t="s">
        <v>41131</v>
      </c>
      <c r="L1974" t="s">
        <v>41132</v>
      </c>
      <c r="M1974" t="s">
        <v>41133</v>
      </c>
      <c r="N1974" t="s">
        <v>41134</v>
      </c>
      <c r="O1974">
        <f>-876.030685971537 -32.1926059650827 -475.264864797797</f>
        <v>-1383.4881567344166</v>
      </c>
      <c r="P1974">
        <f>-902.655386312032 -16.7760688849098 -182.613730819174</f>
        <v>-1102.0451860161158</v>
      </c>
      <c r="Q1974">
        <f>-695.864230791019 -85.6494434783922 -285.301482232088</f>
        <v>-1066.8151565014991</v>
      </c>
      <c r="R1974" t="s">
        <v>41135</v>
      </c>
      <c r="S1974" t="s">
        <v>41136</v>
      </c>
      <c r="T1974" t="s">
        <v>41137</v>
      </c>
      <c r="U1974" t="s">
        <v>41138</v>
      </c>
      <c r="V1974" t="s">
        <v>41139</v>
      </c>
      <c r="W1974" t="s">
        <v>41140</v>
      </c>
      <c r="X1974" t="s">
        <v>41141</v>
      </c>
      <c r="Y1974" t="s">
        <v>41142</v>
      </c>
    </row>
    <row r="1975" spans="1:25" x14ac:dyDescent="0.3">
      <c r="A1975">
        <v>98700</v>
      </c>
      <c r="B1975" t="s">
        <v>41143</v>
      </c>
      <c r="C1975" t="s">
        <v>41144</v>
      </c>
      <c r="D1975" t="s">
        <v>41145</v>
      </c>
      <c r="E1975" t="s">
        <v>41146</v>
      </c>
      <c r="F1975" t="s">
        <v>41147</v>
      </c>
      <c r="G1975" t="s">
        <v>41148</v>
      </c>
      <c r="H1975" t="s">
        <v>41149</v>
      </c>
      <c r="I1975" t="s">
        <v>41150</v>
      </c>
      <c r="J1975" t="s">
        <v>41151</v>
      </c>
      <c r="K1975" t="s">
        <v>41152</v>
      </c>
      <c r="L1975" t="s">
        <v>41153</v>
      </c>
      <c r="M1975" t="s">
        <v>41154</v>
      </c>
      <c r="N1975" t="s">
        <v>41155</v>
      </c>
      <c r="O1975">
        <f>-875.44876889817 -34.1269455075749 -474.387351701295</f>
        <v>-1383.9630661070398</v>
      </c>
      <c r="P1975">
        <f>-902.406289045629 -15.4296302690459 -181.957894374</f>
        <v>-1099.7938136886748</v>
      </c>
      <c r="Q1975">
        <f>-694.411012640574 -87.4509854555708 -279.946483684797</f>
        <v>-1061.8084817809417</v>
      </c>
      <c r="R1975" t="s">
        <v>41156</v>
      </c>
      <c r="S1975" t="s">
        <v>41157</v>
      </c>
      <c r="T1975" t="s">
        <v>41158</v>
      </c>
      <c r="U1975" t="s">
        <v>41159</v>
      </c>
      <c r="V1975" t="s">
        <v>41160</v>
      </c>
      <c r="W1975" t="s">
        <v>41161</v>
      </c>
      <c r="X1975" t="s">
        <v>41162</v>
      </c>
      <c r="Y1975" t="s">
        <v>41163</v>
      </c>
    </row>
    <row r="1976" spans="1:25" x14ac:dyDescent="0.3">
      <c r="A1976">
        <v>98750</v>
      </c>
      <c r="B1976" t="s">
        <v>41164</v>
      </c>
      <c r="C1976" t="s">
        <v>41165</v>
      </c>
      <c r="D1976" t="s">
        <v>41166</v>
      </c>
      <c r="E1976" t="s">
        <v>41167</v>
      </c>
      <c r="F1976" t="s">
        <v>41168</v>
      </c>
      <c r="G1976" t="s">
        <v>41169</v>
      </c>
      <c r="H1976" t="s">
        <v>41170</v>
      </c>
      <c r="I1976" t="s">
        <v>41171</v>
      </c>
      <c r="J1976" t="s">
        <v>41172</v>
      </c>
      <c r="K1976" t="s">
        <v>41173</v>
      </c>
      <c r="L1976" t="s">
        <v>41174</v>
      </c>
      <c r="M1976" t="s">
        <v>41175</v>
      </c>
      <c r="N1976" t="s">
        <v>41176</v>
      </c>
      <c r="O1976">
        <f>-875.421433618267 -34.646155652079 -473.841822316242</f>
        <v>-1383.9094115865878</v>
      </c>
      <c r="P1976">
        <f>-902.878721206906 -14.5892733156502 -181.549051253662</f>
        <v>-1099.0170457762181</v>
      </c>
      <c r="Q1976">
        <f>-693.690849962498 -87.5523304479227 -276.24741361587</f>
        <v>-1057.4905940262906</v>
      </c>
      <c r="R1976" t="s">
        <v>41177</v>
      </c>
      <c r="S1976" t="s">
        <v>41178</v>
      </c>
      <c r="T1976" t="s">
        <v>41179</v>
      </c>
      <c r="U1976" t="s">
        <v>41180</v>
      </c>
      <c r="V1976" t="s">
        <v>41181</v>
      </c>
      <c r="W1976" t="s">
        <v>41182</v>
      </c>
      <c r="X1976" t="s">
        <v>41183</v>
      </c>
      <c r="Y1976" t="s">
        <v>41184</v>
      </c>
    </row>
    <row r="1977" spans="1:25" x14ac:dyDescent="0.3">
      <c r="A1977">
        <v>98800</v>
      </c>
      <c r="B1977" t="s">
        <v>41185</v>
      </c>
      <c r="C1977" t="s">
        <v>41186</v>
      </c>
      <c r="D1977" t="s">
        <v>41187</v>
      </c>
      <c r="E1977" t="s">
        <v>41188</v>
      </c>
      <c r="F1977" t="s">
        <v>41189</v>
      </c>
      <c r="G1977" t="s">
        <v>41190</v>
      </c>
      <c r="H1977" t="s">
        <v>41191</v>
      </c>
      <c r="I1977" t="s">
        <v>41192</v>
      </c>
      <c r="J1977" t="s">
        <v>41193</v>
      </c>
      <c r="K1977" t="s">
        <v>41194</v>
      </c>
      <c r="L1977" t="s">
        <v>41195</v>
      </c>
      <c r="M1977" t="s">
        <v>41196</v>
      </c>
      <c r="N1977" t="s">
        <v>41197</v>
      </c>
      <c r="O1977">
        <f>-875.492082993478 -34.9567905352196 -472.623276526925</f>
        <v>-1383.0721500556226</v>
      </c>
      <c r="P1977">
        <f>-905.690566352894 -12.0364582856928 -180.811920590276</f>
        <v>-1098.5389452288628</v>
      </c>
      <c r="Q1977">
        <f>-693.572000679953 -86.1144170896932 -267.811817412157</f>
        <v>-1047.4982351818032</v>
      </c>
      <c r="R1977" t="s">
        <v>41198</v>
      </c>
      <c r="S1977" t="s">
        <v>41199</v>
      </c>
      <c r="T1977" t="s">
        <v>41200</v>
      </c>
      <c r="U1977" t="s">
        <v>41201</v>
      </c>
      <c r="V1977" t="s">
        <v>41202</v>
      </c>
      <c r="W1977" t="s">
        <v>41203</v>
      </c>
      <c r="X1977" t="s">
        <v>41204</v>
      </c>
      <c r="Y1977" t="s">
        <v>41205</v>
      </c>
    </row>
    <row r="1978" spans="1:25" x14ac:dyDescent="0.3">
      <c r="A1978">
        <v>98850</v>
      </c>
      <c r="B1978" t="s">
        <v>41206</v>
      </c>
      <c r="C1978" t="s">
        <v>41207</v>
      </c>
      <c r="D1978" t="s">
        <v>41208</v>
      </c>
      <c r="E1978" t="s">
        <v>41209</v>
      </c>
      <c r="F1978" t="s">
        <v>41210</v>
      </c>
      <c r="G1978" t="s">
        <v>41211</v>
      </c>
      <c r="H1978" t="s">
        <v>41212</v>
      </c>
      <c r="I1978" t="s">
        <v>41213</v>
      </c>
      <c r="J1978" t="s">
        <v>41214</v>
      </c>
      <c r="K1978" t="s">
        <v>41215</v>
      </c>
      <c r="L1978" t="s">
        <v>41216</v>
      </c>
      <c r="M1978" t="s">
        <v>41217</v>
      </c>
      <c r="N1978" t="s">
        <v>41218</v>
      </c>
      <c r="O1978">
        <f>-875.849319674131 -35.2651704490204 -471.626549374548</f>
        <v>-1382.7410394976994</v>
      </c>
      <c r="P1978">
        <f>-907.666501642091 -10.4660783029221 -180.140861499916</f>
        <v>-1098.2734414449292</v>
      </c>
      <c r="Q1978">
        <f>-694.40898283694 -84.7740427955614 -264.107949768152</f>
        <v>-1043.2909754006535</v>
      </c>
      <c r="R1978" t="s">
        <v>41219</v>
      </c>
      <c r="S1978" t="s">
        <v>41220</v>
      </c>
      <c r="T1978" t="s">
        <v>41221</v>
      </c>
      <c r="U1978" t="s">
        <v>41222</v>
      </c>
      <c r="V1978" t="s">
        <v>41223</v>
      </c>
      <c r="W1978" t="s">
        <v>41224</v>
      </c>
      <c r="X1978" t="s">
        <v>41225</v>
      </c>
      <c r="Y1978" t="s">
        <v>41226</v>
      </c>
    </row>
    <row r="1979" spans="1:25" x14ac:dyDescent="0.3">
      <c r="A1979">
        <v>98900</v>
      </c>
      <c r="B1979" t="s">
        <v>41227</v>
      </c>
      <c r="C1979" t="s">
        <v>41228</v>
      </c>
      <c r="D1979" t="s">
        <v>41229</v>
      </c>
      <c r="E1979" t="s">
        <v>41230</v>
      </c>
      <c r="F1979" t="s">
        <v>41231</v>
      </c>
      <c r="G1979" t="s">
        <v>41232</v>
      </c>
      <c r="H1979" t="s">
        <v>41233</v>
      </c>
      <c r="I1979" t="s">
        <v>41234</v>
      </c>
      <c r="J1979" t="s">
        <v>41235</v>
      </c>
      <c r="K1979" t="s">
        <v>41236</v>
      </c>
      <c r="L1979" t="s">
        <v>41237</v>
      </c>
      <c r="M1979" t="s">
        <v>41238</v>
      </c>
      <c r="N1979" t="s">
        <v>41239</v>
      </c>
      <c r="O1979">
        <f>-877.101598350915 -35.9746444032576 -468.992580988002</f>
        <v>-1382.0688237421746</v>
      </c>
      <c r="P1979">
        <f>-911.797329244618 -6.8309943051504 -178.238370166275</f>
        <v>-1096.8666937160433</v>
      </c>
      <c r="Q1979">
        <f>-697.091150201911 -81.9802419120811 -257.640307249043</f>
        <v>-1036.711699363035</v>
      </c>
      <c r="R1979" t="s">
        <v>41240</v>
      </c>
      <c r="S1979" t="s">
        <v>41241</v>
      </c>
      <c r="T1979" t="s">
        <v>41242</v>
      </c>
      <c r="U1979" t="s">
        <v>41243</v>
      </c>
      <c r="V1979" t="s">
        <v>41244</v>
      </c>
      <c r="W1979" t="s">
        <v>41245</v>
      </c>
      <c r="X1979" t="s">
        <v>41246</v>
      </c>
      <c r="Y1979" t="s">
        <v>41247</v>
      </c>
    </row>
    <row r="1980" spans="1:25" x14ac:dyDescent="0.3">
      <c r="A1980">
        <v>98950</v>
      </c>
      <c r="B1980" t="s">
        <v>41248</v>
      </c>
      <c r="C1980" t="s">
        <v>41249</v>
      </c>
      <c r="D1980" t="s">
        <v>41250</v>
      </c>
      <c r="E1980" t="s">
        <v>41251</v>
      </c>
      <c r="F1980" t="s">
        <v>41252</v>
      </c>
      <c r="G1980" t="s">
        <v>41253</v>
      </c>
      <c r="H1980" t="s">
        <v>41254</v>
      </c>
      <c r="I1980" t="s">
        <v>41255</v>
      </c>
      <c r="J1980" t="s">
        <v>41256</v>
      </c>
      <c r="K1980" t="s">
        <v>41257</v>
      </c>
      <c r="L1980" t="s">
        <v>41258</v>
      </c>
      <c r="M1980" t="s">
        <v>41259</v>
      </c>
      <c r="N1980" t="s">
        <v>41260</v>
      </c>
      <c r="O1980">
        <f>-877.188609733958 -36.5708100510672 -467.650787476756</f>
        <v>-1381.4102072617811</v>
      </c>
      <c r="P1980">
        <f>-913.513688220226 -4.96761194819192 -177.352733939859</f>
        <v>-1095.8340341082769</v>
      </c>
      <c r="Q1980">
        <f>-698.387142034304 -80.8647535104435 -254.884173843458</f>
        <v>-1034.1360693882054</v>
      </c>
      <c r="R1980" t="s">
        <v>41261</v>
      </c>
      <c r="S1980" t="s">
        <v>41262</v>
      </c>
      <c r="T1980" t="s">
        <v>41263</v>
      </c>
      <c r="U1980" t="s">
        <v>41264</v>
      </c>
      <c r="V1980" t="s">
        <v>41265</v>
      </c>
      <c r="W1980" t="s">
        <v>41266</v>
      </c>
      <c r="X1980" t="s">
        <v>41267</v>
      </c>
      <c r="Y1980" t="s">
        <v>41268</v>
      </c>
    </row>
    <row r="1981" spans="1:25" x14ac:dyDescent="0.3">
      <c r="A1981">
        <v>99000</v>
      </c>
      <c r="B1981" t="s">
        <v>41269</v>
      </c>
      <c r="C1981" t="s">
        <v>41270</v>
      </c>
      <c r="D1981" t="s">
        <v>41271</v>
      </c>
      <c r="E1981" t="s">
        <v>41272</v>
      </c>
      <c r="F1981" t="s">
        <v>41273</v>
      </c>
      <c r="G1981" t="s">
        <v>41274</v>
      </c>
      <c r="H1981" t="s">
        <v>41275</v>
      </c>
      <c r="I1981" t="s">
        <v>41276</v>
      </c>
      <c r="J1981" t="s">
        <v>41277</v>
      </c>
      <c r="K1981" t="s">
        <v>41278</v>
      </c>
      <c r="L1981" t="s">
        <v>41279</v>
      </c>
      <c r="M1981" t="s">
        <v>41280</v>
      </c>
      <c r="N1981" t="s">
        <v>41281</v>
      </c>
      <c r="O1981">
        <f>-876.049231724489 -38.1099109765726 -465.44900139458</f>
        <v>-1379.6081440956416</v>
      </c>
      <c r="P1981">
        <f>-915.917282862908 -3.05400720406033 -176.013743632103</f>
        <v>-1094.9850336990712</v>
      </c>
      <c r="Q1981">
        <f>-699.990331383864 -79.7659647993776 -250.456456569644</f>
        <v>-1030.2127527528855</v>
      </c>
      <c r="R1981" t="s">
        <v>41282</v>
      </c>
      <c r="S1981" t="s">
        <v>41283</v>
      </c>
      <c r="T1981" t="s">
        <v>41284</v>
      </c>
      <c r="U1981" t="s">
        <v>41285</v>
      </c>
      <c r="V1981" t="s">
        <v>41286</v>
      </c>
      <c r="W1981" t="s">
        <v>41287</v>
      </c>
      <c r="X1981" t="s">
        <v>41288</v>
      </c>
      <c r="Y1981" t="s">
        <v>41289</v>
      </c>
    </row>
    <row r="1982" spans="1:25" x14ac:dyDescent="0.3">
      <c r="A1982">
        <v>99050</v>
      </c>
      <c r="B1982" t="s">
        <v>41290</v>
      </c>
      <c r="C1982" t="s">
        <v>41291</v>
      </c>
      <c r="D1982" t="s">
        <v>41292</v>
      </c>
      <c r="E1982" t="s">
        <v>41293</v>
      </c>
      <c r="F1982" t="s">
        <v>41294</v>
      </c>
      <c r="G1982" t="s">
        <v>41295</v>
      </c>
      <c r="H1982" t="s">
        <v>41296</v>
      </c>
      <c r="I1982" t="s">
        <v>41297</v>
      </c>
      <c r="J1982" t="s">
        <v>41298</v>
      </c>
      <c r="K1982" t="s">
        <v>41299</v>
      </c>
      <c r="L1982" t="s">
        <v>41300</v>
      </c>
      <c r="M1982" t="s">
        <v>41301</v>
      </c>
      <c r="N1982" t="s">
        <v>41302</v>
      </c>
      <c r="O1982">
        <f>-875.251477127645 -38.5443297390491 -464.541116061247</f>
        <v>-1378.336922927941</v>
      </c>
      <c r="P1982">
        <f>-916.666258090893 -1.96212305160361 -175.512063318211</f>
        <v>-1094.1404444607076</v>
      </c>
      <c r="Q1982">
        <f>-700.465825313819 -79.3020044799418 -248.496513747529</f>
        <v>-1028.2643435412899</v>
      </c>
      <c r="R1982" t="s">
        <v>41303</v>
      </c>
      <c r="S1982" t="s">
        <v>41304</v>
      </c>
      <c r="T1982" t="s">
        <v>41305</v>
      </c>
      <c r="U1982" t="s">
        <v>41306</v>
      </c>
      <c r="V1982" t="s">
        <v>41307</v>
      </c>
      <c r="W1982" t="s">
        <v>41308</v>
      </c>
      <c r="X1982" t="s">
        <v>41309</v>
      </c>
      <c r="Y1982" t="s">
        <v>41310</v>
      </c>
    </row>
    <row r="1983" spans="1:25" x14ac:dyDescent="0.3">
      <c r="A1983">
        <v>99100</v>
      </c>
      <c r="B1983" t="s">
        <v>41311</v>
      </c>
      <c r="C1983" t="s">
        <v>41312</v>
      </c>
      <c r="D1983" t="s">
        <v>41313</v>
      </c>
      <c r="E1983" t="s">
        <v>41314</v>
      </c>
      <c r="F1983" t="s">
        <v>41315</v>
      </c>
      <c r="G1983" t="s">
        <v>41316</v>
      </c>
      <c r="H1983" t="s">
        <v>41317</v>
      </c>
      <c r="I1983" t="s">
        <v>41318</v>
      </c>
      <c r="J1983" t="s">
        <v>41319</v>
      </c>
      <c r="K1983" t="s">
        <v>41320</v>
      </c>
      <c r="L1983" t="s">
        <v>41321</v>
      </c>
      <c r="M1983" t="s">
        <v>41322</v>
      </c>
      <c r="N1983" t="s">
        <v>41323</v>
      </c>
      <c r="O1983">
        <f>-873.328211840793 -38.8968809377257 -463.235316160608</f>
        <v>-1375.4604089391266</v>
      </c>
      <c r="P1983">
        <f>-916.764056289118 -0.303506216260757 -174.765100003034</f>
        <v>-1091.8326625084128</v>
      </c>
      <c r="Q1983">
        <f>-700.062599750062 -78.3214094064595 -245.507625903467</f>
        <v>-1023.8916350599884</v>
      </c>
      <c r="R1983" t="s">
        <v>41324</v>
      </c>
      <c r="S1983" t="s">
        <v>41325</v>
      </c>
      <c r="T1983" t="s">
        <v>41326</v>
      </c>
      <c r="U1983" t="s">
        <v>41327</v>
      </c>
      <c r="V1983" t="s">
        <v>41328</v>
      </c>
      <c r="W1983" t="s">
        <v>41329</v>
      </c>
      <c r="X1983" t="s">
        <v>41330</v>
      </c>
      <c r="Y1983" t="s">
        <v>41331</v>
      </c>
    </row>
    <row r="1984" spans="1:25" x14ac:dyDescent="0.3">
      <c r="A1984">
        <v>99150</v>
      </c>
      <c r="B1984" t="s">
        <v>41332</v>
      </c>
      <c r="C1984" t="s">
        <v>41333</v>
      </c>
      <c r="D1984" t="s">
        <v>41334</v>
      </c>
      <c r="E1984" t="s">
        <v>41335</v>
      </c>
      <c r="F1984" t="s">
        <v>41336</v>
      </c>
      <c r="G1984" t="s">
        <v>41337</v>
      </c>
      <c r="H1984" t="s">
        <v>41338</v>
      </c>
      <c r="I1984" t="s">
        <v>41339</v>
      </c>
      <c r="J1984" t="s">
        <v>41340</v>
      </c>
      <c r="K1984" t="s">
        <v>41341</v>
      </c>
      <c r="L1984" t="s">
        <v>41342</v>
      </c>
      <c r="M1984" t="s">
        <v>41343</v>
      </c>
      <c r="N1984" t="s">
        <v>41344</v>
      </c>
      <c r="O1984">
        <f>-872.294525679274 -38.7125275290089 -462.93321803776</f>
        <v>-1373.9402712460428</v>
      </c>
      <c r="P1984" t="s">
        <v>41345</v>
      </c>
      <c r="Q1984">
        <f>-699.608074336218 -77.5820533589645 -244.437039781407</f>
        <v>-1021.6271674765894</v>
      </c>
      <c r="R1984" t="s">
        <v>41346</v>
      </c>
      <c r="S1984" t="s">
        <v>41347</v>
      </c>
      <c r="T1984" t="s">
        <v>41348</v>
      </c>
      <c r="U1984" t="s">
        <v>41349</v>
      </c>
      <c r="V1984" t="s">
        <v>41350</v>
      </c>
      <c r="W1984" t="s">
        <v>41351</v>
      </c>
      <c r="X1984" t="s">
        <v>41352</v>
      </c>
      <c r="Y1984" t="s">
        <v>41353</v>
      </c>
    </row>
    <row r="1985" spans="1:25" x14ac:dyDescent="0.3">
      <c r="A1985">
        <v>99200</v>
      </c>
      <c r="B1985" t="s">
        <v>41354</v>
      </c>
      <c r="C1985" t="s">
        <v>41355</v>
      </c>
      <c r="D1985" t="s">
        <v>41356</v>
      </c>
      <c r="E1985" t="s">
        <v>41357</v>
      </c>
      <c r="F1985" t="s">
        <v>41358</v>
      </c>
      <c r="G1985" t="s">
        <v>41359</v>
      </c>
      <c r="H1985" t="s">
        <v>41360</v>
      </c>
      <c r="I1985" t="s">
        <v>41361</v>
      </c>
      <c r="J1985" t="s">
        <v>41362</v>
      </c>
      <c r="K1985" t="s">
        <v>41363</v>
      </c>
      <c r="L1985" t="s">
        <v>41364</v>
      </c>
      <c r="M1985" t="s">
        <v>41365</v>
      </c>
      <c r="N1985" t="s">
        <v>41366</v>
      </c>
      <c r="O1985">
        <f>-869.980698065264 -38.3591710881003 -462.697448870376</f>
        <v>-1371.0373180237402</v>
      </c>
      <c r="P1985" t="s">
        <v>41367</v>
      </c>
      <c r="Q1985">
        <f>-698.417144815983 -76.3363853422154 -243.221396076835</f>
        <v>-1017.9749262350333</v>
      </c>
      <c r="R1985" t="s">
        <v>41368</v>
      </c>
      <c r="S1985" t="s">
        <v>41369</v>
      </c>
      <c r="T1985" t="s">
        <v>41370</v>
      </c>
      <c r="U1985" t="s">
        <v>41371</v>
      </c>
      <c r="V1985" t="s">
        <v>41372</v>
      </c>
      <c r="W1985" t="s">
        <v>41373</v>
      </c>
      <c r="X1985" t="s">
        <v>41374</v>
      </c>
      <c r="Y1985" t="s">
        <v>41375</v>
      </c>
    </row>
    <row r="1986" spans="1:25" x14ac:dyDescent="0.3">
      <c r="A1986">
        <v>99250</v>
      </c>
      <c r="B1986" t="s">
        <v>41376</v>
      </c>
      <c r="C1986" t="s">
        <v>41377</v>
      </c>
      <c r="D1986" t="s">
        <v>41378</v>
      </c>
      <c r="E1986" t="s">
        <v>41379</v>
      </c>
      <c r="F1986" t="s">
        <v>41380</v>
      </c>
      <c r="G1986" t="s">
        <v>41381</v>
      </c>
      <c r="H1986" t="s">
        <v>41382</v>
      </c>
      <c r="I1986" t="s">
        <v>41383</v>
      </c>
      <c r="J1986" t="s">
        <v>41384</v>
      </c>
      <c r="K1986" t="s">
        <v>41385</v>
      </c>
      <c r="L1986" t="s">
        <v>41386</v>
      </c>
      <c r="M1986" t="s">
        <v>41387</v>
      </c>
      <c r="N1986" t="s">
        <v>41388</v>
      </c>
      <c r="O1986">
        <f>-868.698160209864 -38.1933709566745 -462.650032713266</f>
        <v>-1369.5415638798045</v>
      </c>
      <c r="P1986" t="s">
        <v>41389</v>
      </c>
      <c r="Q1986">
        <f>-697.62781354688 -75.7844317252814 -242.902139433267</f>
        <v>-1016.3143847054284</v>
      </c>
      <c r="R1986" t="s">
        <v>41390</v>
      </c>
      <c r="S1986" t="s">
        <v>41391</v>
      </c>
      <c r="T1986" t="s">
        <v>41392</v>
      </c>
      <c r="U1986" t="s">
        <v>41393</v>
      </c>
      <c r="V1986" t="s">
        <v>41394</v>
      </c>
      <c r="W1986" t="s">
        <v>41395</v>
      </c>
      <c r="X1986" t="s">
        <v>41396</v>
      </c>
      <c r="Y1986" t="s">
        <v>41397</v>
      </c>
    </row>
    <row r="1987" spans="1:25" x14ac:dyDescent="0.3">
      <c r="A1987">
        <v>99300</v>
      </c>
      <c r="B1987" t="s">
        <v>41398</v>
      </c>
      <c r="C1987" t="s">
        <v>41399</v>
      </c>
      <c r="D1987" t="s">
        <v>41400</v>
      </c>
      <c r="E1987" t="s">
        <v>41401</v>
      </c>
      <c r="F1987" t="s">
        <v>41402</v>
      </c>
      <c r="G1987" t="s">
        <v>41403</v>
      </c>
      <c r="H1987" t="s">
        <v>41404</v>
      </c>
      <c r="I1987" t="s">
        <v>41405</v>
      </c>
      <c r="J1987" t="s">
        <v>41406</v>
      </c>
      <c r="K1987" t="s">
        <v>41407</v>
      </c>
      <c r="L1987" t="s">
        <v>41408</v>
      </c>
      <c r="M1987" t="s">
        <v>41409</v>
      </c>
      <c r="N1987" t="s">
        <v>41410</v>
      </c>
      <c r="O1987">
        <f>-865.977465192756 -38.3075485345885 -462.570282138075</f>
        <v>-1366.8552958654195</v>
      </c>
      <c r="P1987" t="s">
        <v>41411</v>
      </c>
      <c r="Q1987">
        <f>-695.59756308149 -75.4423354616802 -242.935370440303</f>
        <v>-1013.9752689834731</v>
      </c>
      <c r="R1987" t="s">
        <v>41412</v>
      </c>
      <c r="S1987" t="s">
        <v>41413</v>
      </c>
      <c r="T1987" t="s">
        <v>41414</v>
      </c>
      <c r="U1987" t="s">
        <v>41415</v>
      </c>
      <c r="V1987" t="s">
        <v>41416</v>
      </c>
      <c r="W1987" t="s">
        <v>41417</v>
      </c>
      <c r="X1987" t="s">
        <v>41418</v>
      </c>
      <c r="Y1987" t="s">
        <v>41419</v>
      </c>
    </row>
    <row r="1988" spans="1:25" x14ac:dyDescent="0.3">
      <c r="A1988">
        <v>99350</v>
      </c>
      <c r="B1988" t="s">
        <v>41420</v>
      </c>
      <c r="C1988" t="s">
        <v>41421</v>
      </c>
      <c r="D1988" t="s">
        <v>41422</v>
      </c>
      <c r="E1988" t="s">
        <v>41423</v>
      </c>
      <c r="F1988" t="s">
        <v>41424</v>
      </c>
      <c r="G1988" t="s">
        <v>41425</v>
      </c>
      <c r="H1988" t="s">
        <v>41426</v>
      </c>
      <c r="I1988" t="s">
        <v>41427</v>
      </c>
      <c r="J1988" t="s">
        <v>41428</v>
      </c>
      <c r="K1988" t="s">
        <v>41429</v>
      </c>
      <c r="L1988" t="s">
        <v>41430</v>
      </c>
      <c r="M1988" t="s">
        <v>41431</v>
      </c>
      <c r="N1988" t="s">
        <v>41432</v>
      </c>
      <c r="O1988">
        <f>-864.709040290152 -38.6991665638284 -462.583906446191</f>
        <v>-1365.9921133001712</v>
      </c>
      <c r="P1988">
        <f>-912.901470049557 -0.032558461221015 -174.879802910655</f>
        <v>-1087.813831421433</v>
      </c>
      <c r="Q1988">
        <f>-694.566544904542 -75.8081348158587 -242.987513938222</f>
        <v>-1013.3621936586227</v>
      </c>
      <c r="R1988" t="s">
        <v>41433</v>
      </c>
      <c r="S1988" t="s">
        <v>41434</v>
      </c>
      <c r="T1988" t="s">
        <v>41435</v>
      </c>
      <c r="U1988" t="s">
        <v>41436</v>
      </c>
      <c r="V1988" t="s">
        <v>41437</v>
      </c>
      <c r="W1988" t="s">
        <v>41438</v>
      </c>
      <c r="X1988" t="s">
        <v>41439</v>
      </c>
      <c r="Y1988" t="s">
        <v>41440</v>
      </c>
    </row>
    <row r="1989" spans="1:25" x14ac:dyDescent="0.3">
      <c r="A1989">
        <v>99400</v>
      </c>
      <c r="B1989" t="s">
        <v>41441</v>
      </c>
      <c r="C1989" t="s">
        <v>41442</v>
      </c>
      <c r="D1989" t="s">
        <v>41443</v>
      </c>
      <c r="E1989" t="s">
        <v>41444</v>
      </c>
      <c r="F1989" t="s">
        <v>41445</v>
      </c>
      <c r="G1989" t="s">
        <v>41446</v>
      </c>
      <c r="H1989" t="s">
        <v>41447</v>
      </c>
      <c r="I1989" t="s">
        <v>41448</v>
      </c>
      <c r="J1989" t="s">
        <v>41449</v>
      </c>
      <c r="K1989" t="s">
        <v>41450</v>
      </c>
      <c r="L1989" t="s">
        <v>41451</v>
      </c>
      <c r="M1989" t="s">
        <v>41452</v>
      </c>
      <c r="N1989" t="s">
        <v>41453</v>
      </c>
      <c r="O1989">
        <f>-861.955267547393 -39.4104618890731 -462.637963024769</f>
        <v>-1364.003692461235</v>
      </c>
      <c r="P1989">
        <f>-910.468826731479 -1.23810456865476 -174.921935528452</f>
        <v>-1086.6288668285858</v>
      </c>
      <c r="Q1989">
        <f>-692.037937055753 -76.4939287974105 -243.299091813086</f>
        <v>-1011.8309576662494</v>
      </c>
      <c r="R1989" t="s">
        <v>41454</v>
      </c>
      <c r="S1989" t="s">
        <v>41455</v>
      </c>
      <c r="T1989" t="s">
        <v>41456</v>
      </c>
      <c r="U1989" t="s">
        <v>41457</v>
      </c>
      <c r="V1989" t="s">
        <v>41458</v>
      </c>
      <c r="W1989" t="s">
        <v>41459</v>
      </c>
      <c r="X1989" t="s">
        <v>41460</v>
      </c>
      <c r="Y1989" t="s">
        <v>41461</v>
      </c>
    </row>
    <row r="1990" spans="1:25" x14ac:dyDescent="0.3">
      <c r="A1990">
        <v>99450</v>
      </c>
      <c r="B1990" t="s">
        <v>41462</v>
      </c>
      <c r="C1990" t="s">
        <v>41463</v>
      </c>
      <c r="D1990" t="s">
        <v>41464</v>
      </c>
      <c r="E1990" t="s">
        <v>41465</v>
      </c>
      <c r="F1990" t="s">
        <v>41466</v>
      </c>
      <c r="G1990" t="s">
        <v>41467</v>
      </c>
      <c r="H1990" t="s">
        <v>41468</v>
      </c>
      <c r="I1990" t="s">
        <v>41469</v>
      </c>
      <c r="J1990" t="s">
        <v>41470</v>
      </c>
      <c r="K1990" t="s">
        <v>41471</v>
      </c>
      <c r="L1990" t="s">
        <v>41472</v>
      </c>
      <c r="M1990" t="s">
        <v>41473</v>
      </c>
      <c r="N1990" t="s">
        <v>41474</v>
      </c>
      <c r="O1990">
        <f>-860.555460490616 -39.6211804606451 -462.691383957337</f>
        <v>-1362.868024908598</v>
      </c>
      <c r="P1990">
        <f>-909.270234200301 -1.66543286877231 -174.980631693048</f>
        <v>-1085.9162987621214</v>
      </c>
      <c r="Q1990">
        <f>-690.736265204987 -76.5193092894926 -243.469924632827</f>
        <v>-1010.7254991273066</v>
      </c>
      <c r="R1990" t="s">
        <v>41475</v>
      </c>
      <c r="S1990" t="s">
        <v>41476</v>
      </c>
      <c r="T1990" t="s">
        <v>41477</v>
      </c>
      <c r="U1990" t="s">
        <v>41478</v>
      </c>
      <c r="V1990" t="s">
        <v>41479</v>
      </c>
      <c r="W1990" t="s">
        <v>41480</v>
      </c>
      <c r="X1990" t="s">
        <v>41481</v>
      </c>
      <c r="Y1990" t="s">
        <v>41482</v>
      </c>
    </row>
    <row r="1991" spans="1:25" x14ac:dyDescent="0.3">
      <c r="A1991">
        <v>99500</v>
      </c>
      <c r="B1991" t="s">
        <v>41483</v>
      </c>
      <c r="C1991" t="s">
        <v>41484</v>
      </c>
      <c r="D1991" t="s">
        <v>41485</v>
      </c>
      <c r="E1991" t="s">
        <v>41486</v>
      </c>
      <c r="F1991" t="s">
        <v>41487</v>
      </c>
      <c r="G1991" t="s">
        <v>41488</v>
      </c>
      <c r="H1991" t="s">
        <v>41489</v>
      </c>
      <c r="I1991" t="s">
        <v>41490</v>
      </c>
      <c r="J1991" t="s">
        <v>41491</v>
      </c>
      <c r="K1991" t="s">
        <v>41492</v>
      </c>
      <c r="L1991" t="s">
        <v>41493</v>
      </c>
      <c r="M1991" t="s">
        <v>41494</v>
      </c>
      <c r="N1991" t="s">
        <v>41495</v>
      </c>
      <c r="O1991">
        <f>-857.686500906754 -40.1517274800422 -462.641104704324</f>
        <v>-1360.4793330911202</v>
      </c>
      <c r="P1991">
        <f>-906.975618170886 -2.45246574005296 -174.994558307385</f>
        <v>-1084.422642218324</v>
      </c>
      <c r="Q1991">
        <f>-688.145729033459 -76.4057212234422 -243.516544115652</f>
        <v>-1008.0679943725532</v>
      </c>
      <c r="R1991" t="s">
        <v>41496</v>
      </c>
      <c r="S1991" t="s">
        <v>41497</v>
      </c>
      <c r="T1991" t="s">
        <v>41498</v>
      </c>
      <c r="U1991" t="s">
        <v>41499</v>
      </c>
      <c r="V1991" t="s">
        <v>41500</v>
      </c>
      <c r="W1991" t="s">
        <v>41501</v>
      </c>
      <c r="X1991" t="s">
        <v>41502</v>
      </c>
      <c r="Y1991" t="s">
        <v>41503</v>
      </c>
    </row>
    <row r="1992" spans="1:25" x14ac:dyDescent="0.3">
      <c r="A1992">
        <v>99550</v>
      </c>
      <c r="B1992" t="s">
        <v>41504</v>
      </c>
      <c r="C1992" t="s">
        <v>41505</v>
      </c>
      <c r="D1992" t="s">
        <v>41506</v>
      </c>
      <c r="E1992" t="s">
        <v>41507</v>
      </c>
      <c r="F1992" t="s">
        <v>41508</v>
      </c>
      <c r="G1992" t="s">
        <v>41509</v>
      </c>
      <c r="H1992" t="s">
        <v>41510</v>
      </c>
      <c r="I1992" t="s">
        <v>41511</v>
      </c>
      <c r="J1992" t="s">
        <v>41512</v>
      </c>
      <c r="K1992" t="s">
        <v>41513</v>
      </c>
      <c r="L1992" t="s">
        <v>41514</v>
      </c>
      <c r="M1992" t="s">
        <v>41515</v>
      </c>
      <c r="N1992" t="s">
        <v>41516</v>
      </c>
      <c r="O1992">
        <f>-856.234730563452 -40.4855865382031 -462.560890855848</f>
        <v>-1359.2812079575031</v>
      </c>
      <c r="P1992">
        <f>-905.770956430186 -2.82235514158992 -174.952114400662</f>
        <v>-1083.5454259724379</v>
      </c>
      <c r="Q1992">
        <f>-686.789287306058 -76.3580413294837 -243.438648021269</f>
        <v>-1006.5859766568108</v>
      </c>
      <c r="R1992" t="s">
        <v>41517</v>
      </c>
      <c r="S1992" t="s">
        <v>41518</v>
      </c>
      <c r="T1992" t="s">
        <v>41519</v>
      </c>
      <c r="U1992" t="s">
        <v>41520</v>
      </c>
      <c r="V1992" t="s">
        <v>41521</v>
      </c>
      <c r="W1992" t="s">
        <v>41522</v>
      </c>
      <c r="X1992" t="s">
        <v>41523</v>
      </c>
      <c r="Y1992" t="s">
        <v>41524</v>
      </c>
    </row>
    <row r="1993" spans="1:25" x14ac:dyDescent="0.3">
      <c r="A1993">
        <v>99600</v>
      </c>
      <c r="B1993" t="s">
        <v>41525</v>
      </c>
      <c r="C1993" t="s">
        <v>41526</v>
      </c>
      <c r="D1993" t="s">
        <v>41527</v>
      </c>
      <c r="E1993" t="s">
        <v>41528</v>
      </c>
      <c r="F1993" t="s">
        <v>41529</v>
      </c>
      <c r="G1993" t="s">
        <v>41530</v>
      </c>
      <c r="H1993" t="s">
        <v>41531</v>
      </c>
      <c r="I1993" t="s">
        <v>41532</v>
      </c>
      <c r="J1993" t="s">
        <v>41533</v>
      </c>
      <c r="K1993" t="s">
        <v>41534</v>
      </c>
      <c r="L1993" t="s">
        <v>41535</v>
      </c>
      <c r="M1993" t="s">
        <v>41536</v>
      </c>
      <c r="N1993" t="s">
        <v>41537</v>
      </c>
      <c r="O1993">
        <f>-853.526643508062 -41.0116329689558 -462.338200724413</f>
        <v>-1356.8764772014308</v>
      </c>
      <c r="P1993">
        <f>-903.300485666772 -3.20572035156283 -174.789238363596</f>
        <v>-1081.2954443819308</v>
      </c>
      <c r="Q1993">
        <f>-684.055361783185 -76.1363844313421 -243.079577220951</f>
        <v>-1003.2713234354782</v>
      </c>
      <c r="R1993" t="s">
        <v>41538</v>
      </c>
      <c r="S1993" t="s">
        <v>41539</v>
      </c>
      <c r="T1993" t="s">
        <v>41540</v>
      </c>
      <c r="U1993" t="s">
        <v>41541</v>
      </c>
      <c r="V1993" t="s">
        <v>41542</v>
      </c>
      <c r="W1993" t="s">
        <v>41543</v>
      </c>
      <c r="X1993" t="s">
        <v>41544</v>
      </c>
      <c r="Y1993" t="s">
        <v>41545</v>
      </c>
    </row>
    <row r="1994" spans="1:25" x14ac:dyDescent="0.3">
      <c r="A1994">
        <v>99650</v>
      </c>
      <c r="B1994" t="s">
        <v>41546</v>
      </c>
      <c r="C1994" t="s">
        <v>41547</v>
      </c>
      <c r="D1994" t="s">
        <v>41548</v>
      </c>
      <c r="E1994" t="s">
        <v>41549</v>
      </c>
      <c r="F1994" t="s">
        <v>41550</v>
      </c>
      <c r="G1994" t="s">
        <v>41551</v>
      </c>
      <c r="H1994" t="s">
        <v>41552</v>
      </c>
      <c r="I1994" t="s">
        <v>41553</v>
      </c>
      <c r="J1994" t="s">
        <v>41554</v>
      </c>
      <c r="K1994" t="s">
        <v>41555</v>
      </c>
      <c r="L1994" t="s">
        <v>41556</v>
      </c>
      <c r="M1994" t="s">
        <v>41557</v>
      </c>
      <c r="N1994" t="s">
        <v>41558</v>
      </c>
      <c r="O1994">
        <f>-852.267044929506 -41.2143028018777 -462.168336819595</f>
        <v>-1355.6496845509787</v>
      </c>
      <c r="P1994">
        <f>-902.190095650478 -3.27056289629991 -174.663221163377</f>
        <v>-1080.1238797101551</v>
      </c>
      <c r="Q1994">
        <f>-682.833429449267 -75.9580515547377 -242.854530621044</f>
        <v>-1001.6460116250487</v>
      </c>
      <c r="R1994" t="s">
        <v>41559</v>
      </c>
      <c r="S1994" t="s">
        <v>41560</v>
      </c>
      <c r="T1994" t="s">
        <v>41561</v>
      </c>
      <c r="U1994" t="s">
        <v>41562</v>
      </c>
      <c r="V1994" t="s">
        <v>41563</v>
      </c>
      <c r="W1994" t="s">
        <v>41564</v>
      </c>
      <c r="X1994" t="s">
        <v>41565</v>
      </c>
      <c r="Y1994" t="s">
        <v>41566</v>
      </c>
    </row>
    <row r="1995" spans="1:25" x14ac:dyDescent="0.3">
      <c r="A1995">
        <v>99700</v>
      </c>
      <c r="B1995" t="s">
        <v>41567</v>
      </c>
      <c r="C1995" t="s">
        <v>41568</v>
      </c>
      <c r="D1995" t="s">
        <v>41569</v>
      </c>
      <c r="E1995" t="s">
        <v>41570</v>
      </c>
      <c r="F1995" t="s">
        <v>41571</v>
      </c>
      <c r="G1995" t="s">
        <v>41572</v>
      </c>
      <c r="H1995" t="s">
        <v>41573</v>
      </c>
      <c r="I1995" t="s">
        <v>41574</v>
      </c>
      <c r="J1995" t="s">
        <v>41575</v>
      </c>
      <c r="K1995" t="s">
        <v>41576</v>
      </c>
      <c r="L1995" t="s">
        <v>41577</v>
      </c>
      <c r="M1995" t="s">
        <v>41578</v>
      </c>
      <c r="N1995" t="s">
        <v>41579</v>
      </c>
      <c r="O1995">
        <f>-849.98362111424 -41.860292256054 -461.630124344791</f>
        <v>-1353.4740377150849</v>
      </c>
      <c r="P1995">
        <f>-900.499332864191 -3.45738904436939 -174.289616984106</f>
        <v>-1078.2463388926665</v>
      </c>
      <c r="Q1995">
        <f>-681.036403122322 -76.0051815728511 -242.287306199433</f>
        <v>-999.32889089460616</v>
      </c>
      <c r="R1995" t="s">
        <v>41580</v>
      </c>
      <c r="S1995" t="s">
        <v>41581</v>
      </c>
      <c r="T1995" t="s">
        <v>41582</v>
      </c>
      <c r="U1995" t="s">
        <v>41583</v>
      </c>
      <c r="V1995" t="s">
        <v>41584</v>
      </c>
      <c r="W1995" t="s">
        <v>41585</v>
      </c>
      <c r="X1995" t="s">
        <v>41586</v>
      </c>
      <c r="Y1995" t="s">
        <v>41587</v>
      </c>
    </row>
    <row r="1996" spans="1:25" x14ac:dyDescent="0.3">
      <c r="A1996">
        <v>99750</v>
      </c>
      <c r="B1996" t="s">
        <v>41588</v>
      </c>
      <c r="C1996" t="s">
        <v>41589</v>
      </c>
      <c r="D1996" t="s">
        <v>41590</v>
      </c>
      <c r="E1996" t="s">
        <v>41591</v>
      </c>
      <c r="F1996" t="s">
        <v>41592</v>
      </c>
      <c r="G1996" t="s">
        <v>41593</v>
      </c>
      <c r="H1996" t="s">
        <v>41594</v>
      </c>
      <c r="I1996" t="s">
        <v>41595</v>
      </c>
      <c r="J1996" t="s">
        <v>41596</v>
      </c>
      <c r="K1996" t="s">
        <v>41597</v>
      </c>
      <c r="L1996" t="s">
        <v>41598</v>
      </c>
      <c r="M1996" t="s">
        <v>41599</v>
      </c>
      <c r="N1996" t="s">
        <v>41600</v>
      </c>
      <c r="O1996">
        <f>-849.069090310106 -42.0584298569008 -461.25282370471</f>
        <v>-1352.3803438717168</v>
      </c>
      <c r="P1996">
        <f>-900.010963835053 -3.14071342878378 -174.056854674439</f>
        <v>-1077.2085319382757</v>
      </c>
      <c r="Q1996">
        <f>-680.565680825908 -75.8658870558158 -241.921184607577</f>
        <v>-998.35275248930088</v>
      </c>
      <c r="R1996" t="s">
        <v>41601</v>
      </c>
      <c r="S1996" t="s">
        <v>41602</v>
      </c>
      <c r="T1996" t="s">
        <v>41603</v>
      </c>
      <c r="U1996" t="s">
        <v>41604</v>
      </c>
      <c r="V1996" t="s">
        <v>41605</v>
      </c>
      <c r="W1996" t="s">
        <v>41606</v>
      </c>
      <c r="X1996" t="s">
        <v>41607</v>
      </c>
      <c r="Y1996" t="s">
        <v>41608</v>
      </c>
    </row>
    <row r="1997" spans="1:25" x14ac:dyDescent="0.3">
      <c r="A1997">
        <v>99800</v>
      </c>
      <c r="B1997" t="s">
        <v>41609</v>
      </c>
      <c r="C1997" t="s">
        <v>41610</v>
      </c>
      <c r="D1997" t="s">
        <v>41611</v>
      </c>
      <c r="E1997" t="s">
        <v>41612</v>
      </c>
      <c r="F1997" t="s">
        <v>41613</v>
      </c>
      <c r="G1997" t="s">
        <v>41614</v>
      </c>
      <c r="H1997" t="s">
        <v>41615</v>
      </c>
      <c r="I1997" t="s">
        <v>41616</v>
      </c>
      <c r="J1997" t="s">
        <v>41617</v>
      </c>
      <c r="K1997" t="s">
        <v>41618</v>
      </c>
      <c r="L1997" t="s">
        <v>41619</v>
      </c>
      <c r="M1997" t="s">
        <v>41620</v>
      </c>
      <c r="N1997" t="s">
        <v>41621</v>
      </c>
      <c r="O1997">
        <f>-847.74222936616 -42.4789804554428 -460.437318267841</f>
        <v>-1350.6585280894437</v>
      </c>
      <c r="P1997">
        <f>-899.766239603871 -2.77666918633531 -173.542927207476</f>
        <v>-1076.0858359976824</v>
      </c>
      <c r="Q1997">
        <f>-680.219397089709 -75.9658003416032 -240.57536773838</f>
        <v>-996.7605651696922</v>
      </c>
      <c r="R1997" t="s">
        <v>41622</v>
      </c>
      <c r="S1997" t="s">
        <v>41623</v>
      </c>
      <c r="T1997" t="s">
        <v>41624</v>
      </c>
      <c r="U1997" t="s">
        <v>41625</v>
      </c>
      <c r="V1997" t="s">
        <v>41626</v>
      </c>
      <c r="W1997" t="s">
        <v>41627</v>
      </c>
      <c r="X1997" t="s">
        <v>41628</v>
      </c>
      <c r="Y1997" t="s">
        <v>41629</v>
      </c>
    </row>
    <row r="1998" spans="1:25" x14ac:dyDescent="0.3">
      <c r="A1998">
        <v>99850</v>
      </c>
      <c r="B1998" t="s">
        <v>41630</v>
      </c>
      <c r="C1998" t="s">
        <v>41631</v>
      </c>
      <c r="D1998" t="s">
        <v>41632</v>
      </c>
      <c r="E1998" t="s">
        <v>41633</v>
      </c>
      <c r="F1998" t="s">
        <v>41634</v>
      </c>
      <c r="G1998" t="s">
        <v>41635</v>
      </c>
      <c r="H1998" t="s">
        <v>41636</v>
      </c>
      <c r="I1998" t="s">
        <v>41637</v>
      </c>
      <c r="J1998" t="s">
        <v>41638</v>
      </c>
      <c r="K1998" t="s">
        <v>41639</v>
      </c>
      <c r="L1998" t="s">
        <v>41640</v>
      </c>
      <c r="M1998" t="s">
        <v>41641</v>
      </c>
      <c r="N1998" t="s">
        <v>41642</v>
      </c>
      <c r="O1998">
        <f>-847.348454184851 -42.6754335908975 -460.392766546362</f>
        <v>-1350.4166543221104</v>
      </c>
      <c r="P1998">
        <f>-899.754489392582 -3.10992824745972 -173.548764309338</f>
        <v>-1076.4131819493796</v>
      </c>
      <c r="Q1998">
        <f>-680.020698064334 -76.1907178272136 -240.086140508651</f>
        <v>-996.29755640019857</v>
      </c>
      <c r="R1998" t="s">
        <v>41643</v>
      </c>
      <c r="S1998" t="s">
        <v>41644</v>
      </c>
      <c r="T1998" t="s">
        <v>41645</v>
      </c>
      <c r="U1998" t="s">
        <v>41646</v>
      </c>
      <c r="V1998" t="s">
        <v>41647</v>
      </c>
      <c r="W1998" t="s">
        <v>41648</v>
      </c>
      <c r="X1998" t="s">
        <v>41649</v>
      </c>
      <c r="Y1998" t="s">
        <v>41650</v>
      </c>
    </row>
    <row r="1999" spans="1:25" x14ac:dyDescent="0.3">
      <c r="A1999">
        <v>99900</v>
      </c>
      <c r="B1999" t="s">
        <v>41651</v>
      </c>
      <c r="C1999" t="s">
        <v>41652</v>
      </c>
      <c r="D1999" t="s">
        <v>41653</v>
      </c>
      <c r="E1999" t="s">
        <v>41654</v>
      </c>
      <c r="F1999" t="s">
        <v>41655</v>
      </c>
      <c r="G1999" t="s">
        <v>41656</v>
      </c>
      <c r="H1999" t="s">
        <v>41657</v>
      </c>
      <c r="I1999" t="s">
        <v>41658</v>
      </c>
      <c r="J1999" t="s">
        <v>41659</v>
      </c>
      <c r="K1999" t="s">
        <v>41660</v>
      </c>
      <c r="L1999" t="s">
        <v>41661</v>
      </c>
      <c r="M1999" t="s">
        <v>41662</v>
      </c>
      <c r="N1999" t="s">
        <v>41663</v>
      </c>
      <c r="O1999">
        <f>-847.743200749081 -42.0485807619773 -461.447477572873</f>
        <v>-1351.2392590839313</v>
      </c>
      <c r="P1999">
        <f>-900.061653264762 -3.4037110411864 -174.462124150588</f>
        <v>-1077.9274884565364</v>
      </c>
      <c r="Q1999">
        <f>-680.185305715504 -76.9174000018413 -240.043832897454</f>
        <v>-997.14653861479928</v>
      </c>
      <c r="R1999" t="s">
        <v>41664</v>
      </c>
      <c r="S1999" t="s">
        <v>41665</v>
      </c>
      <c r="T1999" t="s">
        <v>41666</v>
      </c>
      <c r="U1999" t="s">
        <v>41667</v>
      </c>
      <c r="V1999" t="s">
        <v>41668</v>
      </c>
      <c r="W1999" t="s">
        <v>41669</v>
      </c>
      <c r="X1999" t="s">
        <v>41670</v>
      </c>
      <c r="Y1999" t="s">
        <v>41671</v>
      </c>
    </row>
    <row r="2000" spans="1:25" x14ac:dyDescent="0.3">
      <c r="A2000">
        <v>99950</v>
      </c>
      <c r="B2000" t="s">
        <v>41672</v>
      </c>
      <c r="C2000" t="s">
        <v>41673</v>
      </c>
      <c r="D2000" t="s">
        <v>41674</v>
      </c>
      <c r="E2000" t="s">
        <v>41675</v>
      </c>
      <c r="F2000" t="s">
        <v>41676</v>
      </c>
      <c r="G2000" t="s">
        <v>41677</v>
      </c>
      <c r="H2000" t="s">
        <v>41678</v>
      </c>
      <c r="I2000" t="s">
        <v>41679</v>
      </c>
      <c r="J2000" t="s">
        <v>41680</v>
      </c>
      <c r="K2000" t="s">
        <v>41681</v>
      </c>
      <c r="L2000" t="s">
        <v>41682</v>
      </c>
      <c r="M2000" t="s">
        <v>41683</v>
      </c>
      <c r="N2000" t="s">
        <v>41684</v>
      </c>
      <c r="O2000">
        <f>-847.750043989859 -41.579788990769 -462.14436335745</f>
        <v>-1351.4741963380779</v>
      </c>
      <c r="P2000">
        <f>-900.699843208587 -3.87056211347408 -175.150395817554</f>
        <v>-1079.7208011396151</v>
      </c>
      <c r="Q2000">
        <f>-680.640364145534 -77.3068547565299 -240.202918129716</f>
        <v>-998.15013703177988</v>
      </c>
      <c r="R2000" t="s">
        <v>41685</v>
      </c>
      <c r="S2000" t="s">
        <v>41686</v>
      </c>
      <c r="T2000" t="s">
        <v>41687</v>
      </c>
      <c r="U2000" t="s">
        <v>41688</v>
      </c>
      <c r="V2000" t="s">
        <v>41689</v>
      </c>
      <c r="W2000" t="s">
        <v>41690</v>
      </c>
      <c r="X2000" t="s">
        <v>41691</v>
      </c>
      <c r="Y2000" t="s">
        <v>41692</v>
      </c>
    </row>
    <row r="2001" spans="1:25" x14ac:dyDescent="0.3">
      <c r="A2001">
        <v>100000</v>
      </c>
      <c r="B2001" t="s">
        <v>41693</v>
      </c>
      <c r="C2001" t="s">
        <v>41694</v>
      </c>
      <c r="D2001" t="s">
        <v>41695</v>
      </c>
      <c r="E2001" t="s">
        <v>41696</v>
      </c>
      <c r="F2001" t="s">
        <v>41697</v>
      </c>
      <c r="G2001" t="s">
        <v>41698</v>
      </c>
      <c r="H2001" t="s">
        <v>41699</v>
      </c>
      <c r="I2001" t="s">
        <v>41700</v>
      </c>
      <c r="J2001" t="s">
        <v>41701</v>
      </c>
      <c r="K2001" t="s">
        <v>41702</v>
      </c>
      <c r="L2001" t="s">
        <v>41703</v>
      </c>
      <c r="M2001" t="s">
        <v>41704</v>
      </c>
      <c r="N2001" t="s">
        <v>41705</v>
      </c>
      <c r="O2001">
        <f>-848.541935501141 -40.3413061139233 -463.835348238709</f>
        <v>-1352.7185898537732</v>
      </c>
      <c r="P2001">
        <f>-901.157349219127 -5.73858256143512 -176.388692277443</f>
        <v>-1083.2846240580052</v>
      </c>
      <c r="Q2001">
        <f>-680.817910766233 -77.8372502696745 -241.987526536649</f>
        <v>-1000.6426875725565</v>
      </c>
      <c r="R2001" t="s">
        <v>41706</v>
      </c>
      <c r="S2001" t="s">
        <v>41707</v>
      </c>
      <c r="T2001" t="s">
        <v>41708</v>
      </c>
      <c r="U2001" t="s">
        <v>41709</v>
      </c>
      <c r="V2001" t="s">
        <v>41710</v>
      </c>
      <c r="W2001" t="s">
        <v>41711</v>
      </c>
      <c r="X2001" t="s">
        <v>41712</v>
      </c>
      <c r="Y2001" t="s">
        <v>41713</v>
      </c>
    </row>
    <row r="2002" spans="1:25" x14ac:dyDescent="0.3">
      <c r="A2002">
        <v>100050</v>
      </c>
      <c r="B2002" t="s">
        <v>41714</v>
      </c>
      <c r="C2002" t="s">
        <v>41715</v>
      </c>
      <c r="D2002" t="s">
        <v>41716</v>
      </c>
      <c r="E2002" t="s">
        <v>41717</v>
      </c>
      <c r="F2002" t="s">
        <v>41718</v>
      </c>
      <c r="G2002" t="s">
        <v>41719</v>
      </c>
      <c r="H2002" t="s">
        <v>41720</v>
      </c>
      <c r="I2002" t="s">
        <v>41721</v>
      </c>
      <c r="J2002" t="s">
        <v>41722</v>
      </c>
      <c r="K2002" t="s">
        <v>41723</v>
      </c>
      <c r="L2002" t="s">
        <v>41724</v>
      </c>
      <c r="M2002" t="s">
        <v>41725</v>
      </c>
      <c r="N2002" t="s">
        <v>41726</v>
      </c>
      <c r="O2002">
        <f>-849.234091324646 -39.8519123287585 -464.646244248523</f>
        <v>-1353.7322479019276</v>
      </c>
      <c r="P2002">
        <f>-900.963244861261 -6.86187864890735 -176.849568578313</f>
        <v>-1084.6746920884814</v>
      </c>
      <c r="Q2002">
        <f>-680.604280053725 -78.1186762415746 -243.29717003133</f>
        <v>-1002.0201263266296</v>
      </c>
      <c r="R2002" t="s">
        <v>41727</v>
      </c>
      <c r="S2002" t="s">
        <v>41728</v>
      </c>
      <c r="T2002" t="s">
        <v>41729</v>
      </c>
      <c r="U2002" t="s">
        <v>41730</v>
      </c>
      <c r="V2002" t="s">
        <v>41731</v>
      </c>
      <c r="W2002" t="s">
        <v>41732</v>
      </c>
      <c r="X2002" t="s">
        <v>41733</v>
      </c>
      <c r="Y2002" t="s">
        <v>41734</v>
      </c>
    </row>
    <row r="2003" spans="1:25" x14ac:dyDescent="0.3">
      <c r="A2003">
        <v>100100</v>
      </c>
      <c r="B2003" t="s">
        <v>41735</v>
      </c>
      <c r="C2003" t="s">
        <v>41736</v>
      </c>
      <c r="D2003" t="s">
        <v>41737</v>
      </c>
      <c r="E2003" t="s">
        <v>41738</v>
      </c>
      <c r="F2003" t="s">
        <v>41739</v>
      </c>
      <c r="G2003" t="s">
        <v>41740</v>
      </c>
      <c r="H2003" t="s">
        <v>41741</v>
      </c>
      <c r="I2003" t="s">
        <v>41742</v>
      </c>
      <c r="J2003" t="s">
        <v>41743</v>
      </c>
      <c r="K2003" t="s">
        <v>41744</v>
      </c>
      <c r="L2003" t="s">
        <v>41745</v>
      </c>
      <c r="M2003" t="s">
        <v>41746</v>
      </c>
      <c r="N2003" t="s">
        <v>41747</v>
      </c>
      <c r="O2003">
        <f>-851.332642880159 -39.3854324192507 -465.871481971276</f>
        <v>-1356.5895572706859</v>
      </c>
      <c r="P2003">
        <f>-900.912496417186 -8.22851007360759 -177.49278590994</f>
        <v>-1086.6337924007337</v>
      </c>
      <c r="Q2003">
        <f>-681.383385659932 -79.8102408904963 -246.296864592906</f>
        <v>-1007.4904911433342</v>
      </c>
      <c r="R2003" t="s">
        <v>41748</v>
      </c>
      <c r="S2003" t="s">
        <v>41749</v>
      </c>
      <c r="T2003" t="s">
        <v>41750</v>
      </c>
      <c r="U2003" t="s">
        <v>41751</v>
      </c>
      <c r="V2003" t="s">
        <v>41752</v>
      </c>
      <c r="W2003" t="s">
        <v>41753</v>
      </c>
      <c r="X2003" t="s">
        <v>41754</v>
      </c>
      <c r="Y2003" t="s">
        <v>41755</v>
      </c>
    </row>
    <row r="2004" spans="1:25" x14ac:dyDescent="0.3">
      <c r="A2004">
        <v>100150</v>
      </c>
      <c r="B2004" t="s">
        <v>41756</v>
      </c>
      <c r="C2004" t="s">
        <v>41757</v>
      </c>
      <c r="D2004" t="s">
        <v>41758</v>
      </c>
      <c r="E2004" t="s">
        <v>41759</v>
      </c>
      <c r="F2004" t="s">
        <v>41760</v>
      </c>
      <c r="G2004" t="s">
        <v>41761</v>
      </c>
      <c r="H2004" t="s">
        <v>41762</v>
      </c>
      <c r="I2004" t="s">
        <v>41763</v>
      </c>
      <c r="J2004" t="s">
        <v>41764</v>
      </c>
      <c r="K2004" t="s">
        <v>41765</v>
      </c>
      <c r="L2004" t="s">
        <v>41766</v>
      </c>
      <c r="M2004" t="s">
        <v>41767</v>
      </c>
      <c r="N2004" t="s">
        <v>41768</v>
      </c>
      <c r="O2004">
        <f>-852.357536483275 -39.4753195498963 -466.358976471722</f>
        <v>-1358.1918325048932</v>
      </c>
      <c r="P2004">
        <f>-900.822088630993 -9.62070158886672 -177.653172032033</f>
        <v>-1088.0959622518926</v>
      </c>
      <c r="Q2004">
        <f>-681.599657981062 -81.0007101609003 -247.633317387353</f>
        <v>-1010.2336855293154</v>
      </c>
      <c r="R2004" t="s">
        <v>41769</v>
      </c>
      <c r="S2004" t="s">
        <v>41770</v>
      </c>
      <c r="T2004" t="s">
        <v>41771</v>
      </c>
      <c r="U2004" t="s">
        <v>41772</v>
      </c>
      <c r="V2004" t="s">
        <v>41773</v>
      </c>
      <c r="W2004" t="s">
        <v>41774</v>
      </c>
      <c r="X2004" t="s">
        <v>41775</v>
      </c>
      <c r="Y2004" t="s">
        <v>41776</v>
      </c>
    </row>
    <row r="2005" spans="1:25" x14ac:dyDescent="0.3">
      <c r="A2005">
        <v>100200</v>
      </c>
      <c r="B2005" t="s">
        <v>41777</v>
      </c>
      <c r="C2005" t="s">
        <v>41778</v>
      </c>
      <c r="D2005" t="s">
        <v>41779</v>
      </c>
      <c r="E2005" t="s">
        <v>41780</v>
      </c>
      <c r="F2005" t="s">
        <v>41781</v>
      </c>
      <c r="G2005" t="s">
        <v>41782</v>
      </c>
      <c r="H2005" t="s">
        <v>41783</v>
      </c>
      <c r="I2005" t="s">
        <v>41784</v>
      </c>
      <c r="J2005" t="s">
        <v>41785</v>
      </c>
      <c r="K2005" t="s">
        <v>41786</v>
      </c>
      <c r="L2005" t="s">
        <v>41787</v>
      </c>
      <c r="M2005" t="s">
        <v>41788</v>
      </c>
      <c r="N2005" t="s">
        <v>41789</v>
      </c>
      <c r="O2005">
        <f>-854.114266663534 -38.4809639345731 -467.289296796634</f>
        <v>-1359.8845273947411</v>
      </c>
      <c r="P2005">
        <f>-900.216612151475 -12.4353868461467 -177.82871900479</f>
        <v>-1090.4807180024118</v>
      </c>
      <c r="Q2005">
        <f>-681.239290408994 -81.9487968405499 -250.407639792681</f>
        <v>-1013.5957270422249</v>
      </c>
      <c r="R2005" t="s">
        <v>41790</v>
      </c>
      <c r="S2005" t="s">
        <v>41791</v>
      </c>
      <c r="T2005" t="s">
        <v>41792</v>
      </c>
      <c r="U2005" t="s">
        <v>41793</v>
      </c>
      <c r="V2005" t="s">
        <v>41794</v>
      </c>
      <c r="W2005" t="s">
        <v>41795</v>
      </c>
      <c r="X2005" t="s">
        <v>41796</v>
      </c>
      <c r="Y2005" t="s">
        <v>41797</v>
      </c>
    </row>
    <row r="2006" spans="1:25" x14ac:dyDescent="0.3">
      <c r="A2006">
        <v>100250</v>
      </c>
      <c r="B2006" t="s">
        <v>41798</v>
      </c>
      <c r="C2006" t="s">
        <v>41799</v>
      </c>
      <c r="D2006" t="s">
        <v>41800</v>
      </c>
      <c r="E2006" t="s">
        <v>41801</v>
      </c>
      <c r="F2006" t="s">
        <v>41802</v>
      </c>
      <c r="G2006" t="s">
        <v>41803</v>
      </c>
      <c r="H2006" t="s">
        <v>41804</v>
      </c>
      <c r="I2006" t="s">
        <v>41805</v>
      </c>
      <c r="J2006" t="s">
        <v>41806</v>
      </c>
      <c r="K2006" t="s">
        <v>41807</v>
      </c>
      <c r="L2006" t="s">
        <v>41808</v>
      </c>
      <c r="M2006" t="s">
        <v>41809</v>
      </c>
      <c r="N2006" t="s">
        <v>41810</v>
      </c>
      <c r="O2006">
        <f>-853.810907406221 -38.0308958224214 -467.818058065871</f>
        <v>-1359.6598612945133</v>
      </c>
      <c r="P2006">
        <f>-898.737935467035 -13.8465763415484 -178.011370673758</f>
        <v>-1090.5958824823413</v>
      </c>
      <c r="Q2006">
        <f>-679.895276334228 -82.2707508846472 -252.01738216363</f>
        <v>-1014.1834093825053</v>
      </c>
      <c r="R2006" t="s">
        <v>41811</v>
      </c>
      <c r="S2006" t="s">
        <v>41812</v>
      </c>
      <c r="T2006" t="s">
        <v>41813</v>
      </c>
      <c r="U2006" t="s">
        <v>41814</v>
      </c>
      <c r="V2006" t="s">
        <v>41815</v>
      </c>
      <c r="W2006" t="s">
        <v>41816</v>
      </c>
      <c r="X2006" t="s">
        <v>41817</v>
      </c>
      <c r="Y2006" t="s">
        <v>41818</v>
      </c>
    </row>
    <row r="2007" spans="1:25" x14ac:dyDescent="0.3">
      <c r="A2007">
        <v>100300</v>
      </c>
      <c r="B2007" t="s">
        <v>41819</v>
      </c>
      <c r="C2007" t="s">
        <v>41820</v>
      </c>
      <c r="D2007" t="s">
        <v>41821</v>
      </c>
      <c r="E2007" t="s">
        <v>41822</v>
      </c>
      <c r="F2007" t="s">
        <v>41823</v>
      </c>
      <c r="G2007" t="s">
        <v>41824</v>
      </c>
      <c r="H2007" t="s">
        <v>41825</v>
      </c>
      <c r="I2007" t="s">
        <v>41826</v>
      </c>
      <c r="J2007" t="s">
        <v>41827</v>
      </c>
      <c r="K2007" t="s">
        <v>41828</v>
      </c>
      <c r="L2007" t="s">
        <v>41829</v>
      </c>
      <c r="M2007" t="s">
        <v>41830</v>
      </c>
      <c r="N2007" t="s">
        <v>41831</v>
      </c>
      <c r="O2007">
        <f>-851.616304961197 -42.7235010025365 -467.764669067965</f>
        <v>-1362.1044750316985</v>
      </c>
      <c r="P2007">
        <f>-894.09753205704 -23.0685869542003 -177.247557128777</f>
        <v>-1094.4136761400173</v>
      </c>
      <c r="Q2007">
        <f>-675.672621144246 -88.0588696867494 -255.463519805331</f>
        <v>-1019.1950106363264</v>
      </c>
      <c r="R2007" t="s">
        <v>41832</v>
      </c>
      <c r="S2007" t="s">
        <v>41833</v>
      </c>
      <c r="T2007" t="s">
        <v>41834</v>
      </c>
      <c r="U2007" t="s">
        <v>41835</v>
      </c>
      <c r="V2007" t="s">
        <v>41836</v>
      </c>
      <c r="W2007" t="s">
        <v>41837</v>
      </c>
      <c r="X2007" t="s">
        <v>41838</v>
      </c>
      <c r="Y2007" t="s">
        <v>41839</v>
      </c>
    </row>
    <row r="2008" spans="1:25" x14ac:dyDescent="0.3">
      <c r="A2008">
        <v>100350</v>
      </c>
      <c r="B2008" t="s">
        <v>41840</v>
      </c>
      <c r="C2008" t="s">
        <v>41841</v>
      </c>
      <c r="D2008" t="s">
        <v>41842</v>
      </c>
      <c r="E2008" t="s">
        <v>41843</v>
      </c>
      <c r="F2008" t="s">
        <v>41844</v>
      </c>
      <c r="G2008" t="s">
        <v>41845</v>
      </c>
      <c r="H2008" t="s">
        <v>41846</v>
      </c>
      <c r="I2008" t="s">
        <v>41847</v>
      </c>
      <c r="J2008" t="s">
        <v>41848</v>
      </c>
      <c r="K2008" t="s">
        <v>41849</v>
      </c>
      <c r="L2008" t="s">
        <v>41850</v>
      </c>
      <c r="M2008" t="s">
        <v>41851</v>
      </c>
      <c r="N2008" t="s">
        <v>41852</v>
      </c>
      <c r="O2008">
        <f>-850.490356253442 -45.2006392219712 -467.901520339083</f>
        <v>-1363.5925158144962</v>
      </c>
      <c r="P2008">
        <f>-892.304282406962 -27.9854979867023 -177.132759932292</f>
        <v>-1097.4225403259563</v>
      </c>
      <c r="Q2008">
        <f>-674.09744585908 -90.8719452792395 -257.643405301726</f>
        <v>-1022.6127964400455</v>
      </c>
      <c r="R2008" t="s">
        <v>41853</v>
      </c>
      <c r="S2008" t="s">
        <v>41854</v>
      </c>
      <c r="T2008" t="s">
        <v>41855</v>
      </c>
      <c r="U2008" t="s">
        <v>41856</v>
      </c>
      <c r="V2008" t="s">
        <v>41857</v>
      </c>
      <c r="W2008" t="s">
        <v>41858</v>
      </c>
      <c r="X2008" t="s">
        <v>41859</v>
      </c>
      <c r="Y2008" t="s">
        <v>41860</v>
      </c>
    </row>
    <row r="2009" spans="1:25" x14ac:dyDescent="0.3">
      <c r="A2009">
        <v>100400</v>
      </c>
      <c r="B2009" t="s">
        <v>41861</v>
      </c>
      <c r="C2009" t="s">
        <v>41862</v>
      </c>
      <c r="D2009" t="s">
        <v>41863</v>
      </c>
      <c r="E2009" t="s">
        <v>41864</v>
      </c>
      <c r="F2009" t="s">
        <v>41865</v>
      </c>
      <c r="G2009" t="s">
        <v>41866</v>
      </c>
      <c r="H2009" t="s">
        <v>41867</v>
      </c>
      <c r="I2009" t="s">
        <v>41868</v>
      </c>
      <c r="J2009" t="s">
        <v>41869</v>
      </c>
      <c r="K2009" t="s">
        <v>41870</v>
      </c>
      <c r="L2009" t="s">
        <v>41871</v>
      </c>
      <c r="M2009" t="s">
        <v>41872</v>
      </c>
      <c r="N2009" t="s">
        <v>41873</v>
      </c>
      <c r="O2009">
        <f>-842.193217272044 -52.5044624896686 -467.627170220314</f>
        <v>-1362.3248499820265</v>
      </c>
      <c r="P2009">
        <f>-885.856744876504 -40.157710874962 -176.882884368207</f>
        <v>-1102.8973401196731</v>
      </c>
      <c r="Q2009">
        <f>-668.001697629033 -96.5363429948 -262.972892692934</f>
        <v>-1027.510933316767</v>
      </c>
      <c r="R2009" t="s">
        <v>41874</v>
      </c>
      <c r="S2009" t="s">
        <v>41875</v>
      </c>
      <c r="T2009" t="s">
        <v>41876</v>
      </c>
      <c r="U2009" t="s">
        <v>41877</v>
      </c>
      <c r="V2009" t="s">
        <v>41878</v>
      </c>
      <c r="W2009" t="s">
        <v>41879</v>
      </c>
      <c r="X2009" t="s">
        <v>41880</v>
      </c>
      <c r="Y2009" t="s">
        <v>41881</v>
      </c>
    </row>
    <row r="2010" spans="1:25" x14ac:dyDescent="0.3">
      <c r="A2010">
        <v>100450</v>
      </c>
      <c r="B2010" t="s">
        <v>41882</v>
      </c>
      <c r="C2010" t="s">
        <v>41883</v>
      </c>
      <c r="D2010" t="s">
        <v>41884</v>
      </c>
      <c r="E2010" t="s">
        <v>41885</v>
      </c>
      <c r="F2010" t="s">
        <v>41886</v>
      </c>
      <c r="G2010" t="s">
        <v>41887</v>
      </c>
      <c r="H2010" t="s">
        <v>41888</v>
      </c>
      <c r="I2010" t="s">
        <v>41889</v>
      </c>
      <c r="J2010" t="s">
        <v>41890</v>
      </c>
      <c r="K2010" t="s">
        <v>41891</v>
      </c>
      <c r="L2010" t="s">
        <v>41892</v>
      </c>
      <c r="M2010" t="s">
        <v>41893</v>
      </c>
      <c r="N2010" t="s">
        <v>41894</v>
      </c>
      <c r="O2010">
        <f>-834.188258512619 -59.0488630571779 -466.474603293764</f>
        <v>-1359.7117248635609</v>
      </c>
      <c r="P2010">
        <f>-880.767567671899 -48.5823557927472 -176.109377060071</f>
        <v>-1105.4593005247173</v>
      </c>
      <c r="Q2010">
        <f>-663.170966674292 -101.000209969266 -265.299788969578</f>
        <v>-1029.4709656131361</v>
      </c>
      <c r="R2010" t="s">
        <v>41895</v>
      </c>
      <c r="S2010" t="s">
        <v>41896</v>
      </c>
      <c r="T2010" t="s">
        <v>41897</v>
      </c>
      <c r="U2010" t="s">
        <v>41898</v>
      </c>
      <c r="V2010" t="s">
        <v>41899</v>
      </c>
      <c r="W2010" t="s">
        <v>41900</v>
      </c>
      <c r="X2010" t="s">
        <v>41901</v>
      </c>
      <c r="Y2010" t="s">
        <v>41902</v>
      </c>
    </row>
    <row r="2011" spans="1:25" x14ac:dyDescent="0.3">
      <c r="A2011">
        <v>100500</v>
      </c>
      <c r="B2011" t="s">
        <v>41903</v>
      </c>
      <c r="C2011" t="s">
        <v>41904</v>
      </c>
      <c r="D2011" t="s">
        <v>41905</v>
      </c>
      <c r="E2011" t="s">
        <v>41906</v>
      </c>
      <c r="F2011" t="s">
        <v>41907</v>
      </c>
      <c r="G2011" t="s">
        <v>41908</v>
      </c>
      <c r="H2011" t="s">
        <v>41909</v>
      </c>
      <c r="I2011" t="s">
        <v>41910</v>
      </c>
      <c r="J2011" t="s">
        <v>41911</v>
      </c>
      <c r="K2011" t="s">
        <v>41912</v>
      </c>
      <c r="L2011" t="s">
        <v>41913</v>
      </c>
      <c r="M2011" t="s">
        <v>41914</v>
      </c>
      <c r="N2011" t="s">
        <v>41915</v>
      </c>
      <c r="O2011">
        <f>-810.173045783599 -75.5898962811257 -462.409652602903</f>
        <v>-1348.1725946676277</v>
      </c>
      <c r="P2011">
        <f>-865.971328358403 -67.8104243674479 -173.589113356913</f>
        <v>-1107.3708660827638</v>
      </c>
      <c r="Q2011">
        <f>-648.873683298048 -111.039749410242 -268.723907801985</f>
        <v>-1028.637340510275</v>
      </c>
      <c r="R2011" t="s">
        <v>41916</v>
      </c>
      <c r="S2011" t="s">
        <v>41917</v>
      </c>
      <c r="T2011" t="s">
        <v>41918</v>
      </c>
      <c r="U2011" t="s">
        <v>41919</v>
      </c>
      <c r="V2011" t="s">
        <v>41920</v>
      </c>
      <c r="W2011" t="s">
        <v>41921</v>
      </c>
      <c r="X2011" t="s">
        <v>41922</v>
      </c>
      <c r="Y2011" t="s">
        <v>41923</v>
      </c>
    </row>
    <row r="2012" spans="1:25" x14ac:dyDescent="0.3">
      <c r="A2012">
        <v>100550</v>
      </c>
      <c r="B2012" t="s">
        <v>41924</v>
      </c>
      <c r="C2012" t="s">
        <v>41925</v>
      </c>
      <c r="D2012" t="s">
        <v>41926</v>
      </c>
      <c r="E2012" t="s">
        <v>41927</v>
      </c>
      <c r="F2012" t="s">
        <v>41928</v>
      </c>
      <c r="G2012" t="s">
        <v>41929</v>
      </c>
      <c r="H2012" t="s">
        <v>41930</v>
      </c>
      <c r="I2012" t="s">
        <v>41931</v>
      </c>
      <c r="J2012" t="s">
        <v>41932</v>
      </c>
      <c r="K2012" t="s">
        <v>41933</v>
      </c>
      <c r="L2012" t="s">
        <v>41934</v>
      </c>
      <c r="M2012" t="s">
        <v>41935</v>
      </c>
      <c r="N2012" t="s">
        <v>41936</v>
      </c>
      <c r="O2012">
        <f>-795.107976815249 -83.5092656935731 -459.951016864251</f>
        <v>-1338.568259373073</v>
      </c>
      <c r="P2012">
        <f>-856.424325826807 -77.2542719339795 -172.214260838853</f>
        <v>-1105.8928585996396</v>
      </c>
      <c r="Q2012">
        <f>-639.312394131541 -115.016601186874 -269.617032033947</f>
        <v>-1023.9460273523621</v>
      </c>
      <c r="R2012" t="s">
        <v>41937</v>
      </c>
      <c r="S2012" t="s">
        <v>41938</v>
      </c>
      <c r="T2012" t="s">
        <v>41939</v>
      </c>
      <c r="U2012" t="s">
        <v>41940</v>
      </c>
      <c r="V2012" t="s">
        <v>41941</v>
      </c>
      <c r="W2012" t="s">
        <v>41942</v>
      </c>
      <c r="X2012" t="s">
        <v>41943</v>
      </c>
      <c r="Y2012" t="s">
        <v>41944</v>
      </c>
    </row>
    <row r="2013" spans="1:25" x14ac:dyDescent="0.3">
      <c r="A2013">
        <v>100600</v>
      </c>
      <c r="B2013" t="s">
        <v>41945</v>
      </c>
      <c r="C2013" t="s">
        <v>41946</v>
      </c>
      <c r="D2013" t="s">
        <v>41947</v>
      </c>
      <c r="E2013" t="s">
        <v>41948</v>
      </c>
      <c r="F2013" t="s">
        <v>41949</v>
      </c>
      <c r="G2013" t="s">
        <v>41950</v>
      </c>
      <c r="H2013" t="s">
        <v>41951</v>
      </c>
      <c r="I2013" t="s">
        <v>41952</v>
      </c>
      <c r="J2013" t="s">
        <v>41953</v>
      </c>
      <c r="K2013" t="s">
        <v>41954</v>
      </c>
      <c r="L2013" t="s">
        <v>41955</v>
      </c>
      <c r="M2013" t="s">
        <v>41956</v>
      </c>
      <c r="N2013" t="s">
        <v>41957</v>
      </c>
      <c r="O2013">
        <f>-762.37776828937 -97.8367290852493 -454.905644511329</f>
        <v>-1315.1201418859482</v>
      </c>
      <c r="P2013">
        <f>-834.506322522521 -95.4804197983206 -169.628377767952</f>
        <v>-1099.6151200887937</v>
      </c>
      <c r="Q2013">
        <f>-617.250946370823 -118.002953284688 -271.332657099207</f>
        <v>-1006.586556754718</v>
      </c>
      <c r="R2013" t="s">
        <v>41958</v>
      </c>
      <c r="S2013" t="s">
        <v>41959</v>
      </c>
      <c r="T2013" t="s">
        <v>41960</v>
      </c>
      <c r="U2013" t="s">
        <v>41961</v>
      </c>
      <c r="V2013" t="s">
        <v>41962</v>
      </c>
      <c r="W2013" t="s">
        <v>41963</v>
      </c>
      <c r="X2013" t="s">
        <v>41964</v>
      </c>
      <c r="Y2013" t="s">
        <v>41965</v>
      </c>
    </row>
    <row r="2014" spans="1:25" x14ac:dyDescent="0.3">
      <c r="A2014">
        <v>100650</v>
      </c>
      <c r="B2014" t="s">
        <v>41966</v>
      </c>
      <c r="C2014" t="s">
        <v>41967</v>
      </c>
      <c r="D2014" t="s">
        <v>41968</v>
      </c>
      <c r="E2014" t="s">
        <v>41969</v>
      </c>
      <c r="F2014" t="s">
        <v>41970</v>
      </c>
      <c r="G2014" t="s">
        <v>41971</v>
      </c>
      <c r="H2014" t="s">
        <v>41972</v>
      </c>
      <c r="I2014" t="s">
        <v>41973</v>
      </c>
      <c r="J2014" t="s">
        <v>41974</v>
      </c>
      <c r="K2014" t="s">
        <v>41975</v>
      </c>
      <c r="L2014" t="s">
        <v>41976</v>
      </c>
      <c r="M2014" t="s">
        <v>41977</v>
      </c>
      <c r="N2014" t="s">
        <v>41978</v>
      </c>
      <c r="O2014">
        <f>-744.291678333248 -104.810257308227 -452.137885704777</f>
        <v>-1301.239821346252</v>
      </c>
      <c r="P2014">
        <f>-822.039360705395 -104.392017212334 -168.331039643567</f>
        <v>-1094.7624175612959</v>
      </c>
      <c r="Q2014">
        <f>-605.220433975704 -117.454881286349 -272.589180571066</f>
        <v>-995.2644958331191</v>
      </c>
      <c r="R2014" t="s">
        <v>41979</v>
      </c>
      <c r="S2014" t="s">
        <v>41980</v>
      </c>
      <c r="T2014" t="s">
        <v>41981</v>
      </c>
      <c r="U2014" t="s">
        <v>41982</v>
      </c>
      <c r="V2014" t="s">
        <v>41983</v>
      </c>
      <c r="W2014" t="s">
        <v>41984</v>
      </c>
      <c r="X2014" t="s">
        <v>41985</v>
      </c>
      <c r="Y2014" t="s">
        <v>41986</v>
      </c>
    </row>
    <row r="2015" spans="1:25" x14ac:dyDescent="0.3">
      <c r="A2015">
        <v>100700</v>
      </c>
      <c r="B2015" t="s">
        <v>41987</v>
      </c>
      <c r="C2015" t="s">
        <v>41988</v>
      </c>
      <c r="D2015" t="s">
        <v>41989</v>
      </c>
      <c r="E2015" t="s">
        <v>41990</v>
      </c>
      <c r="F2015" t="s">
        <v>41991</v>
      </c>
      <c r="G2015" t="s">
        <v>41992</v>
      </c>
      <c r="H2015" t="s">
        <v>41993</v>
      </c>
      <c r="I2015" t="s">
        <v>41994</v>
      </c>
      <c r="J2015" t="s">
        <v>41995</v>
      </c>
      <c r="K2015" t="s">
        <v>41996</v>
      </c>
      <c r="L2015" t="s">
        <v>41997</v>
      </c>
      <c r="M2015" t="s">
        <v>41998</v>
      </c>
      <c r="N2015" t="s">
        <v>41999</v>
      </c>
      <c r="O2015">
        <f>-706.349050868661 -118.158614136588 -445.658268271296</f>
        <v>-1270.165933276545</v>
      </c>
      <c r="P2015">
        <f>-794.933102756399 -121.659687910461 -165.066475802314</f>
        <v>-1081.6592664691739</v>
      </c>
      <c r="Q2015">
        <f>-580.612702437415 -110.827365171924 -274.612102537576</f>
        <v>-966.05217014691505</v>
      </c>
      <c r="R2015" t="s">
        <v>42000</v>
      </c>
      <c r="S2015" t="s">
        <v>42001</v>
      </c>
      <c r="T2015" t="s">
        <v>42002</v>
      </c>
      <c r="U2015" t="s">
        <v>42003</v>
      </c>
      <c r="V2015" t="s">
        <v>42004</v>
      </c>
      <c r="W2015" t="s">
        <v>42005</v>
      </c>
      <c r="X2015" t="s">
        <v>42006</v>
      </c>
      <c r="Y2015" t="s">
        <v>42007</v>
      </c>
    </row>
    <row r="2016" spans="1:25" x14ac:dyDescent="0.3">
      <c r="A2016">
        <v>100750</v>
      </c>
      <c r="B2016" t="s">
        <v>42008</v>
      </c>
      <c r="C2016" t="s">
        <v>42009</v>
      </c>
      <c r="D2016" t="s">
        <v>42010</v>
      </c>
      <c r="E2016" t="s">
        <v>42011</v>
      </c>
      <c r="F2016" t="s">
        <v>42012</v>
      </c>
      <c r="G2016" t="s">
        <v>42013</v>
      </c>
      <c r="H2016" t="s">
        <v>42014</v>
      </c>
      <c r="I2016">
        <f>-580.042683916641 -2.15803899179355 -604.892396321342</f>
        <v>-1187.0931192297764</v>
      </c>
      <c r="J2016" t="s">
        <v>42015</v>
      </c>
      <c r="K2016" t="s">
        <v>42016</v>
      </c>
      <c r="L2016" t="s">
        <v>42017</v>
      </c>
      <c r="M2016" t="s">
        <v>42018</v>
      </c>
      <c r="N2016" t="s">
        <v>42019</v>
      </c>
      <c r="O2016">
        <f>-685.860901558969 -124.06515217057 -442.269114533426</f>
        <v>-1252.1951682629651</v>
      </c>
      <c r="P2016">
        <f>-780.066422585819 -129.133312482153 -163.538289209898</f>
        <v>-1072.7380242778711</v>
      </c>
      <c r="Q2016">
        <f>-567.780738985169 -104.761239473467 -274.856322343068</f>
        <v>-947.39830080170395</v>
      </c>
      <c r="R2016" t="s">
        <v>42020</v>
      </c>
      <c r="S2016" t="s">
        <v>42021</v>
      </c>
      <c r="T2016" t="s">
        <v>42022</v>
      </c>
      <c r="U2016" t="s">
        <v>42023</v>
      </c>
      <c r="V2016" t="s">
        <v>42024</v>
      </c>
      <c r="W2016" t="s">
        <v>42025</v>
      </c>
      <c r="X2016" t="s">
        <v>42026</v>
      </c>
      <c r="Y2016" t="s">
        <v>42027</v>
      </c>
    </row>
    <row r="2017" spans="1:25" x14ac:dyDescent="0.3">
      <c r="A2017">
        <v>100800</v>
      </c>
      <c r="B2017" t="s">
        <v>42028</v>
      </c>
      <c r="C2017" t="s">
        <v>42029</v>
      </c>
      <c r="D2017" t="s">
        <v>42030</v>
      </c>
      <c r="E2017" t="s">
        <v>42031</v>
      </c>
      <c r="F2017" t="s">
        <v>42032</v>
      </c>
      <c r="G2017" t="s">
        <v>42033</v>
      </c>
      <c r="H2017" t="s">
        <v>42034</v>
      </c>
      <c r="I2017">
        <f>-535.463479008349 -9.97522183123101 -595.946935321626</f>
        <v>-1141.3856361612061</v>
      </c>
      <c r="J2017" t="s">
        <v>42035</v>
      </c>
      <c r="K2017" t="s">
        <v>42036</v>
      </c>
      <c r="L2017" t="s">
        <v>42037</v>
      </c>
      <c r="M2017" t="s">
        <v>42038</v>
      </c>
      <c r="N2017">
        <f>-622.148328342416 -8.67288463676323 -487.881156904971</f>
        <v>-1118.7023698841504</v>
      </c>
      <c r="O2017">
        <f>-640.8016830581 -134.182755642167 -435.133846443122</f>
        <v>-1210.1182851433891</v>
      </c>
      <c r="P2017">
        <f>-747.718147207515 -142.297545608394 -161.100652374006</f>
        <v>-1051.1163451899149</v>
      </c>
      <c r="Q2017">
        <f>-540.386966745727 -90.5072845109739 -272.376937660205</f>
        <v>-903.27118891690588</v>
      </c>
      <c r="R2017" t="s">
        <v>42039</v>
      </c>
      <c r="S2017" t="s">
        <v>42040</v>
      </c>
      <c r="T2017" t="s">
        <v>42041</v>
      </c>
      <c r="U2017" t="s">
        <v>42042</v>
      </c>
      <c r="V2017">
        <f>-735.007584271724 -8.3239012687477 -57.3832614777249</f>
        <v>-800.71474701819659</v>
      </c>
      <c r="W2017" t="s">
        <v>42043</v>
      </c>
      <c r="X2017" t="s">
        <v>42044</v>
      </c>
      <c r="Y2017" t="s">
        <v>42045</v>
      </c>
    </row>
    <row r="2018" spans="1:25" x14ac:dyDescent="0.3">
      <c r="A2018">
        <v>100850</v>
      </c>
      <c r="B2018" t="s">
        <v>42046</v>
      </c>
      <c r="C2018" t="s">
        <v>42047</v>
      </c>
      <c r="D2018" t="s">
        <v>42048</v>
      </c>
      <c r="E2018" t="s">
        <v>42049</v>
      </c>
      <c r="F2018" t="s">
        <v>42050</v>
      </c>
      <c r="G2018" t="s">
        <v>42051</v>
      </c>
      <c r="H2018" t="s">
        <v>42052</v>
      </c>
      <c r="I2018">
        <f>-515.171597712069 -15.2007217588189 -590.180251470307</f>
        <v>-1120.552570941195</v>
      </c>
      <c r="J2018" t="s">
        <v>42053</v>
      </c>
      <c r="K2018" t="s">
        <v>42054</v>
      </c>
      <c r="L2018" t="s">
        <v>42055</v>
      </c>
      <c r="M2018" t="s">
        <v>42056</v>
      </c>
      <c r="N2018">
        <f>-603.604481940218 -15.0512156873206 -483.523923331217</f>
        <v>-1102.1796209587555</v>
      </c>
      <c r="O2018">
        <f>-619.281721473081 -140.637333437011 -430.076991589581</f>
        <v>-1189.996046499673</v>
      </c>
      <c r="P2018">
        <f>-733.165090419462 -150.730035625802 -158.931591711765</f>
        <v>-1042.826717757029</v>
      </c>
      <c r="Q2018">
        <f>-528.574284445392 -86.3478698220633 -268.696396790713</f>
        <v>-883.61855105816835</v>
      </c>
      <c r="R2018" t="s">
        <v>42057</v>
      </c>
      <c r="S2018" t="s">
        <v>42058</v>
      </c>
      <c r="T2018" t="s">
        <v>42059</v>
      </c>
      <c r="U2018" t="s">
        <v>42060</v>
      </c>
      <c r="V2018">
        <f>-727.748450788096 -16.0689496729774 -55.4194493687572</f>
        <v>-799.23684982983059</v>
      </c>
      <c r="W2018" t="s">
        <v>42061</v>
      </c>
      <c r="X2018" t="s">
        <v>42062</v>
      </c>
      <c r="Y2018" t="s">
        <v>42063</v>
      </c>
    </row>
    <row r="2019" spans="1:25" x14ac:dyDescent="0.3">
      <c r="A2019">
        <v>100900</v>
      </c>
      <c r="B2019" t="s">
        <v>42064</v>
      </c>
      <c r="C2019" t="s">
        <v>42065</v>
      </c>
      <c r="D2019" t="s">
        <v>42066</v>
      </c>
      <c r="E2019" t="s">
        <v>42067</v>
      </c>
      <c r="F2019" t="s">
        <v>42068</v>
      </c>
      <c r="G2019" t="s">
        <v>42069</v>
      </c>
      <c r="H2019">
        <f>-571.926034835924 -12.7145092548326 -531.13383664798</f>
        <v>-1115.7743807387367</v>
      </c>
      <c r="I2019">
        <f>-508.350041519294 -26.3287173141525 -582.881329843354</f>
        <v>-1117.5600886768007</v>
      </c>
      <c r="J2019" t="s">
        <v>42070</v>
      </c>
      <c r="K2019" t="s">
        <v>42071</v>
      </c>
      <c r="L2019" t="s">
        <v>42072</v>
      </c>
      <c r="M2019" t="s">
        <v>42073</v>
      </c>
      <c r="N2019">
        <f>-600.042835895885 -29.3248776552346 -479.106422778144</f>
        <v>-1108.4741363292635</v>
      </c>
      <c r="O2019">
        <f>-608.89092641834 -155.25710295603 -424.589417276886</f>
        <v>-1188.7374466512561</v>
      </c>
      <c r="P2019">
        <f>-735.315425751394 -170.116239882997 -159.283424470189</f>
        <v>-1064.71509010458</v>
      </c>
      <c r="Q2019">
        <f>-535.770767830087 -83.4151731183358 -262.800404087603</f>
        <v>-881.9863450360258</v>
      </c>
      <c r="R2019" t="s">
        <v>42074</v>
      </c>
      <c r="S2019" t="s">
        <v>42075</v>
      </c>
      <c r="T2019" t="s">
        <v>42076</v>
      </c>
      <c r="U2019" t="s">
        <v>42077</v>
      </c>
      <c r="V2019">
        <f>-725.747522358443 -31.6944662375977 -55.8026355322132</f>
        <v>-813.24462412825392</v>
      </c>
      <c r="W2019" t="s">
        <v>42078</v>
      </c>
      <c r="X2019" t="s">
        <v>42079</v>
      </c>
      <c r="Y2019" t="s">
        <v>42080</v>
      </c>
    </row>
    <row r="2020" spans="1:25" x14ac:dyDescent="0.3">
      <c r="A2020">
        <v>100950</v>
      </c>
      <c r="B2020" t="s">
        <v>42081</v>
      </c>
      <c r="C2020" t="s">
        <v>42082</v>
      </c>
      <c r="D2020" t="s">
        <v>42083</v>
      </c>
      <c r="E2020" t="s">
        <v>42084</v>
      </c>
      <c r="F2020" t="s">
        <v>42085</v>
      </c>
      <c r="G2020" t="s">
        <v>42086</v>
      </c>
      <c r="H2020">
        <f>-568.334104755342 -16.9482076330391 -530.368047378617</f>
        <v>-1115.650359766998</v>
      </c>
      <c r="I2020">
        <f>-503.767730913404 -29.0978535134377 -581.246327001561</f>
        <v>-1114.1119114284027</v>
      </c>
      <c r="J2020" t="s">
        <v>42087</v>
      </c>
      <c r="K2020" t="s">
        <v>42088</v>
      </c>
      <c r="L2020" t="s">
        <v>42089</v>
      </c>
      <c r="M2020" t="s">
        <v>42090</v>
      </c>
      <c r="N2020">
        <f>-596.589123784964 -34.1663405179434 -478.613957378942</f>
        <v>-1109.3694216818494</v>
      </c>
      <c r="O2020">
        <f>-601.92029724442 -160.210224133227 -423.820760165964</f>
        <v>-1185.951281543611</v>
      </c>
      <c r="P2020">
        <f>-733.743011897264 -177.230812971697 -161.286606280796</f>
        <v>-1072.2604311497569</v>
      </c>
      <c r="Q2020">
        <f>-537.014594755949 -80.5586231518339 -261.302832960989</f>
        <v>-878.87605086877193</v>
      </c>
      <c r="R2020" t="s">
        <v>42091</v>
      </c>
      <c r="S2020" t="s">
        <v>42092</v>
      </c>
      <c r="T2020" t="s">
        <v>42093</v>
      </c>
      <c r="U2020" t="s">
        <v>42094</v>
      </c>
      <c r="V2020">
        <f>-723.981896140417 -36.3952706049115 -56.7322158599993</f>
        <v>-817.10938260532782</v>
      </c>
      <c r="W2020" t="s">
        <v>42095</v>
      </c>
      <c r="X2020" t="s">
        <v>42096</v>
      </c>
      <c r="Y2020" t="s">
        <v>42097</v>
      </c>
    </row>
    <row r="2021" spans="1:25" x14ac:dyDescent="0.3">
      <c r="A2021">
        <v>101000</v>
      </c>
      <c r="B2021" t="s">
        <v>42098</v>
      </c>
      <c r="C2021" t="s">
        <v>42099</v>
      </c>
      <c r="D2021" t="s">
        <v>42100</v>
      </c>
      <c r="E2021" t="s">
        <v>42101</v>
      </c>
      <c r="F2021" t="s">
        <v>42102</v>
      </c>
      <c r="G2021">
        <f>-623.175413094494 -4.03779388609428 -431.387444588436</f>
        <v>-1058.6006515690242</v>
      </c>
      <c r="H2021">
        <f>-550.820082318065 -22.4791736923967 -531.114172723996</f>
        <v>-1104.4134287344577</v>
      </c>
      <c r="I2021">
        <f>-485.137787855998 -31.9891708853493 -581.118557930118</f>
        <v>-1098.2455166714653</v>
      </c>
      <c r="J2021" t="s">
        <v>42103</v>
      </c>
      <c r="K2021" t="s">
        <v>42104</v>
      </c>
      <c r="L2021" t="s">
        <v>42105</v>
      </c>
      <c r="M2021" t="s">
        <v>42106</v>
      </c>
      <c r="N2021">
        <f>-578.792055902137 -40.7056832395199 -479.551842494835</f>
        <v>-1099.0495816364919</v>
      </c>
      <c r="O2021">
        <f>-578.411582474437 -166.398912015344 -423.872285807466</f>
        <v>-1168.6827802972471</v>
      </c>
      <c r="P2021">
        <f>-717.098737200305 -188.150170104211 -165.252894642642</f>
        <v>-1070.5018019471581</v>
      </c>
      <c r="Q2021">
        <f>-526.544907020142 -75.4117725773981 -260.280124648235</f>
        <v>-862.23680424577515</v>
      </c>
      <c r="R2021" t="s">
        <v>42107</v>
      </c>
      <c r="S2021" t="s">
        <v>42108</v>
      </c>
      <c r="T2021" t="s">
        <v>42109</v>
      </c>
      <c r="U2021" t="s">
        <v>42110</v>
      </c>
      <c r="V2021">
        <f>-710.875683745732 -45.2850964513616 -58.5743432280347</f>
        <v>-814.73512342512822</v>
      </c>
      <c r="W2021" t="s">
        <v>42111</v>
      </c>
      <c r="X2021" t="s">
        <v>42112</v>
      </c>
      <c r="Y2021" t="s">
        <v>42113</v>
      </c>
    </row>
    <row r="2022" spans="1:25" x14ac:dyDescent="0.3">
      <c r="A2022">
        <v>101050</v>
      </c>
      <c r="B2022" t="s">
        <v>42114</v>
      </c>
      <c r="C2022" t="s">
        <v>42115</v>
      </c>
      <c r="D2022" t="s">
        <v>42116</v>
      </c>
      <c r="E2022" t="s">
        <v>42117</v>
      </c>
      <c r="F2022" t="s">
        <v>42118</v>
      </c>
      <c r="G2022">
        <f>-614.457393055659 -6.90540200003352 -432.093566260049</f>
        <v>-1053.4563613157416</v>
      </c>
      <c r="H2022">
        <f>-541.573672229905 -24.2211237798101 -531.637025592231</f>
        <v>-1097.431821601946</v>
      </c>
      <c r="I2022">
        <f>-475.637755734232 -32.6864753263048 -581.495191330404</f>
        <v>-1089.8194223909409</v>
      </c>
      <c r="J2022" t="s">
        <v>42119</v>
      </c>
      <c r="K2022" t="s">
        <v>42120</v>
      </c>
      <c r="L2022" t="s">
        <v>42121</v>
      </c>
      <c r="M2022" t="s">
        <v>42122</v>
      </c>
      <c r="N2022">
        <f>-569.350294677653 -42.8658699252887 -480.118717628052</f>
        <v>-1092.3348822309938</v>
      </c>
      <c r="O2022">
        <f>-566.962575249457 -168.458786038416 -424.29121094914</f>
        <v>-1159.7125722370129</v>
      </c>
      <c r="P2022">
        <f>-707.165534316579 -193.094437944898 -166.750213294273</f>
        <v>-1067.01018555575</v>
      </c>
      <c r="Q2022">
        <f>-519.363733692244 -74.5326047756996 -260.155059745682</f>
        <v>-854.05139821362559</v>
      </c>
      <c r="R2022" t="s">
        <v>42123</v>
      </c>
      <c r="S2022" t="s">
        <v>42124</v>
      </c>
      <c r="T2022" t="s">
        <v>42125</v>
      </c>
      <c r="U2022" t="s">
        <v>42126</v>
      </c>
      <c r="V2022">
        <f>-704.777885975021 -48.3483976646908 -59.0796656526412</f>
        <v>-812.20594929235301</v>
      </c>
      <c r="W2022" t="s">
        <v>42127</v>
      </c>
      <c r="X2022" t="s">
        <v>42128</v>
      </c>
      <c r="Y2022" t="s">
        <v>42129</v>
      </c>
    </row>
    <row r="2023" spans="1:25" x14ac:dyDescent="0.3">
      <c r="A2023">
        <v>101100</v>
      </c>
      <c r="B2023" t="s">
        <v>42130</v>
      </c>
      <c r="C2023" t="s">
        <v>42131</v>
      </c>
      <c r="D2023" t="s">
        <v>42132</v>
      </c>
      <c r="E2023" t="s">
        <v>42133</v>
      </c>
      <c r="F2023" t="s">
        <v>42134</v>
      </c>
      <c r="G2023">
        <f>-607.013622764044 -9.38983585978031 -432.550455226951</f>
        <v>-1048.9539138507753</v>
      </c>
      <c r="H2023">
        <f>-533.822504121886 -25.7156832819915 -532.035963134454</f>
        <v>-1091.5741505383317</v>
      </c>
      <c r="I2023">
        <f>-467.770885053219 -33.3040581314885 -581.881826763249</f>
        <v>-1082.9567699479564</v>
      </c>
      <c r="J2023" t="s">
        <v>42135</v>
      </c>
      <c r="K2023" t="s">
        <v>42136</v>
      </c>
      <c r="L2023" t="s">
        <v>42137</v>
      </c>
      <c r="M2023" t="s">
        <v>42138</v>
      </c>
      <c r="N2023">
        <f>-561.3833111153 -44.7348817554423 -480.538414242189</f>
        <v>-1086.6566071129314</v>
      </c>
      <c r="O2023">
        <f>-557.321917091439 -170.340656043761 -424.79998783607</f>
        <v>-1152.46256097127</v>
      </c>
      <c r="P2023">
        <f>-698.862422508389 -197.039242806831 -168.197621895867</f>
        <v>-1064.0992872110871</v>
      </c>
      <c r="Q2023">
        <f>-513.293429994408 -74.2573937869788 -260.607622256628</f>
        <v>-848.15844603801486</v>
      </c>
      <c r="R2023" t="s">
        <v>42139</v>
      </c>
      <c r="S2023" t="s">
        <v>42140</v>
      </c>
      <c r="T2023" t="s">
        <v>42141</v>
      </c>
      <c r="U2023" t="s">
        <v>42142</v>
      </c>
      <c r="V2023">
        <f>-699.138477652845 -51.1793000896232 -59.2996754830313</f>
        <v>-809.6174532254995</v>
      </c>
      <c r="W2023" t="s">
        <v>42143</v>
      </c>
      <c r="X2023" t="s">
        <v>42144</v>
      </c>
      <c r="Y2023" t="s">
        <v>42145</v>
      </c>
    </row>
    <row r="2024" spans="1:25" x14ac:dyDescent="0.3">
      <c r="A2024">
        <v>101150</v>
      </c>
      <c r="B2024" t="s">
        <v>42146</v>
      </c>
      <c r="C2024" t="s">
        <v>42147</v>
      </c>
      <c r="D2024" t="s">
        <v>42148</v>
      </c>
      <c r="E2024" t="s">
        <v>42149</v>
      </c>
      <c r="F2024">
        <f>-648.936648066688 -1.12662510901146 -358.177499641</f>
        <v>-1008.2407728166995</v>
      </c>
      <c r="G2024">
        <f>-601.53457498323 -11.050862995377 -432.962458530695</f>
        <v>-1045.5478965093021</v>
      </c>
      <c r="H2024">
        <f>-528.323218138158 -26.4808327454521 -532.575864118837</f>
        <v>-1087.379915002447</v>
      </c>
      <c r="I2024">
        <f>-462.284858853543 -33.3332457708962 -582.545895020038</f>
        <v>-1078.1639996444771</v>
      </c>
      <c r="J2024" t="s">
        <v>42150</v>
      </c>
      <c r="K2024" t="s">
        <v>42151</v>
      </c>
      <c r="L2024" t="s">
        <v>42152</v>
      </c>
      <c r="M2024" t="s">
        <v>42153</v>
      </c>
      <c r="N2024">
        <f>-555.604168739045 -45.8527508877819 -481.060911901365</f>
        <v>-1082.5178315281919</v>
      </c>
      <c r="O2024">
        <f>-550.237082747699 -171.499783856932 -425.524838267557</f>
        <v>-1147.2617048721881</v>
      </c>
      <c r="P2024">
        <f>-692.86051786632 -199.337996497234 -169.644391051979</f>
        <v>-1061.8429054155331</v>
      </c>
      <c r="Q2024">
        <f>-508.756862099591 -74.005180973282 -261.559144909939</f>
        <v>-844.32118798281203</v>
      </c>
      <c r="R2024" t="s">
        <v>42154</v>
      </c>
      <c r="S2024" t="s">
        <v>42155</v>
      </c>
      <c r="T2024" t="s">
        <v>42156</v>
      </c>
      <c r="U2024" t="s">
        <v>42157</v>
      </c>
      <c r="V2024">
        <f>-694.433465319098 -52.8245525282023 -59.3534785913837</f>
        <v>-806.61149643868396</v>
      </c>
      <c r="W2024" t="s">
        <v>42158</v>
      </c>
      <c r="X2024" t="s">
        <v>42159</v>
      </c>
      <c r="Y2024" t="s">
        <v>42160</v>
      </c>
    </row>
    <row r="2025" spans="1:25" x14ac:dyDescent="0.3">
      <c r="A2025">
        <v>101200</v>
      </c>
      <c r="B2025" t="s">
        <v>42161</v>
      </c>
      <c r="C2025" t="s">
        <v>42162</v>
      </c>
      <c r="D2025" t="s">
        <v>42163</v>
      </c>
      <c r="E2025" t="s">
        <v>42164</v>
      </c>
      <c r="F2025">
        <f>-644.282097386651 -3.1675199067754 -358.600292030419</f>
        <v>-1006.0499093238454</v>
      </c>
      <c r="G2025">
        <f>-597.03056166189 -12.5985671689596 -433.544268366196</f>
        <v>-1043.1733971970457</v>
      </c>
      <c r="H2025">
        <f>-524.08151239882 -27.1615776617177 -533.480012807831</f>
        <v>-1084.7231028683686</v>
      </c>
      <c r="I2025">
        <f>-458.188440312993 -33.3840066253097 -583.72364671151</f>
        <v>-1075.2960936498127</v>
      </c>
      <c r="J2025" t="s">
        <v>42165</v>
      </c>
      <c r="K2025" t="s">
        <v>42166</v>
      </c>
      <c r="L2025" t="s">
        <v>42167</v>
      </c>
      <c r="M2025" t="s">
        <v>42168</v>
      </c>
      <c r="N2025">
        <f>-551.00125437429 -46.8932517625362 -481.911718896114</f>
        <v>-1079.8062250329403</v>
      </c>
      <c r="O2025">
        <f>-544.564287866164 -172.587960960172 -426.627148857806</f>
        <v>-1143.7793976841422</v>
      </c>
      <c r="P2025">
        <f>-687.588612481811 -201.275627634808 -171.064326987184</f>
        <v>-1059.9285671038028</v>
      </c>
      <c r="Q2025">
        <f>-504.5024757602 -74.3673727587993 -262.85015268611</f>
        <v>-841.72000120510938</v>
      </c>
      <c r="R2025" t="s">
        <v>42169</v>
      </c>
      <c r="S2025" t="s">
        <v>42170</v>
      </c>
      <c r="T2025" t="s">
        <v>42171</v>
      </c>
      <c r="U2025" t="s">
        <v>42172</v>
      </c>
      <c r="V2025">
        <f>-689.317468837802 -54.7850877202566 -59.3033107174602</f>
        <v>-803.40586727551886</v>
      </c>
      <c r="W2025" t="s">
        <v>42173</v>
      </c>
      <c r="X2025" t="s">
        <v>42174</v>
      </c>
      <c r="Y2025" t="s">
        <v>42175</v>
      </c>
    </row>
    <row r="2026" spans="1:25" x14ac:dyDescent="0.3">
      <c r="A2026">
        <v>101250</v>
      </c>
      <c r="B2026" t="s">
        <v>42176</v>
      </c>
      <c r="C2026" t="s">
        <v>42177</v>
      </c>
      <c r="D2026" t="s">
        <v>42178</v>
      </c>
      <c r="E2026" t="s">
        <v>42179</v>
      </c>
      <c r="F2026">
        <f>-635.655830494363 -6.88215380961219 -359.995334734444</f>
        <v>-1002.5333190384192</v>
      </c>
      <c r="G2026">
        <f>-589.49426086789 -15.3799875497216 -435.726126062406</f>
        <v>-1040.6003744800178</v>
      </c>
      <c r="H2026">
        <f>-518.220670492675 -28.2856456458235 -537.088455468818</f>
        <v>-1083.5947716073165</v>
      </c>
      <c r="I2026">
        <f>-453.164423371043 -33.2663471064716 -588.546298667865</f>
        <v>-1074.9770691453796</v>
      </c>
      <c r="J2026" t="s">
        <v>42180</v>
      </c>
      <c r="K2026" t="s">
        <v>42181</v>
      </c>
      <c r="L2026" t="s">
        <v>42182</v>
      </c>
      <c r="M2026" t="s">
        <v>42183</v>
      </c>
      <c r="N2026">
        <f>-544.007981307799 -48.7619890161373 -485.232434156439</f>
        <v>-1078.0024044803754</v>
      </c>
      <c r="O2026">
        <f>-535.684781572453 -174.850569744828 -431.119428125619</f>
        <v>-1141.6547794429</v>
      </c>
      <c r="P2026">
        <f>-677.051848597832 -204.739898052552 -174.773652473344</f>
        <v>-1056.565399123728</v>
      </c>
      <c r="Q2026">
        <f>-495.314349720806 -75.9776313709528 -266.657191584857</f>
        <v>-837.94917267661572</v>
      </c>
      <c r="R2026" t="s">
        <v>42184</v>
      </c>
      <c r="S2026" t="s">
        <v>42185</v>
      </c>
      <c r="T2026" t="s">
        <v>42186</v>
      </c>
      <c r="U2026" t="s">
        <v>42187</v>
      </c>
      <c r="V2026">
        <f>-679.17376948875 -58.2949163809162 -59.4839814284743</f>
        <v>-796.95266729814057</v>
      </c>
      <c r="W2026" t="s">
        <v>42188</v>
      </c>
      <c r="X2026" t="s">
        <v>42189</v>
      </c>
      <c r="Y2026" t="s">
        <v>42190</v>
      </c>
    </row>
    <row r="2027" spans="1:25" x14ac:dyDescent="0.3">
      <c r="A2027">
        <v>101300</v>
      </c>
      <c r="B2027" t="s">
        <v>42191</v>
      </c>
      <c r="C2027" t="s">
        <v>42192</v>
      </c>
      <c r="D2027" t="s">
        <v>42193</v>
      </c>
      <c r="E2027" t="s">
        <v>42194</v>
      </c>
      <c r="F2027">
        <f>-634.625802970332 -5.64057795334111 -360.677306910676</f>
        <v>-1000.943687834349</v>
      </c>
      <c r="G2027">
        <f>-589.383444682589 -13.5932927718104 -437.019496689812</f>
        <v>-1039.9962341442115</v>
      </c>
      <c r="H2027">
        <f>-519.449673781315 -25.6053495921979 -539.419555982329</f>
        <v>-1084.4745793558418</v>
      </c>
      <c r="I2027">
        <f>-455.134193492422 -30.040508804304 -591.849368620818</f>
        <v>-1077.0240709175441</v>
      </c>
      <c r="J2027" t="s">
        <v>42195</v>
      </c>
      <c r="K2027" t="s">
        <v>42196</v>
      </c>
      <c r="L2027" t="s">
        <v>42197</v>
      </c>
      <c r="M2027" t="s">
        <v>42198</v>
      </c>
      <c r="N2027">
        <f>-544.516947182053 -46.5229170923478 -487.386831974574</f>
        <v>-1078.4266962489748</v>
      </c>
      <c r="O2027">
        <f>-535.460390192857 -172.908827764616 -434.095289541007</f>
        <v>-1142.4645074984801</v>
      </c>
      <c r="P2027">
        <f>-674.500357769542 -203.95341185499 -176.61649147661</f>
        <v>-1055.070261101142</v>
      </c>
      <c r="Q2027">
        <f>-493.111727130533 -74.5315940342116 -268.262633575994</f>
        <v>-835.90595474073848</v>
      </c>
      <c r="R2027" t="s">
        <v>42199</v>
      </c>
      <c r="S2027" t="s">
        <v>42200</v>
      </c>
      <c r="T2027" t="s">
        <v>42201</v>
      </c>
      <c r="U2027" t="s">
        <v>42202</v>
      </c>
      <c r="V2027">
        <f>-676.349489578269 -57.8832922195134 -59.6277223192831</f>
        <v>-793.86050411706537</v>
      </c>
      <c r="W2027" t="s">
        <v>42203</v>
      </c>
      <c r="X2027" t="s">
        <v>42204</v>
      </c>
      <c r="Y2027" t="s">
        <v>42205</v>
      </c>
    </row>
    <row r="2028" spans="1:25" x14ac:dyDescent="0.3">
      <c r="A2028">
        <v>101350</v>
      </c>
      <c r="B2028" t="s">
        <v>42206</v>
      </c>
      <c r="C2028" t="s">
        <v>42207</v>
      </c>
      <c r="D2028" t="s">
        <v>42208</v>
      </c>
      <c r="E2028" t="s">
        <v>42209</v>
      </c>
      <c r="F2028">
        <f>-634.841301124411 -4.62173442308313 -360.984584977875</f>
        <v>-1000.4476205253691</v>
      </c>
      <c r="G2028">
        <f>-590.171702349683 -12.294754343498 -437.691739776782</f>
        <v>-1040.1581964699631</v>
      </c>
      <c r="H2028">
        <f>-521.041277873981 -23.851618541908 -540.687945466089</f>
        <v>-1085.5808418819779</v>
      </c>
      <c r="I2028">
        <f>-457.209818308719 -28.0006280207308 -593.72912196047</f>
        <v>-1078.9395682899199</v>
      </c>
      <c r="J2028" t="s">
        <v>42210</v>
      </c>
      <c r="K2028" t="s">
        <v>42211</v>
      </c>
      <c r="L2028" t="s">
        <v>42212</v>
      </c>
      <c r="M2028" t="s">
        <v>42213</v>
      </c>
      <c r="N2028">
        <f>-545.715990118223 -45.0055544657741 -488.563346236417</f>
        <v>-1079.2848908204141</v>
      </c>
      <c r="O2028">
        <f>-536.307923821169 -171.572561046106 -435.755194528986</f>
        <v>-1143.6356793962609</v>
      </c>
      <c r="P2028">
        <f>-673.672461485047 -203.274913702903 -177.458605015115</f>
        <v>-1054.4059802030649</v>
      </c>
      <c r="Q2028">
        <f>-492.618218216835 -73.3419629098023 -269.042739558328</f>
        <v>-835.00292068496526</v>
      </c>
      <c r="R2028" t="s">
        <v>42214</v>
      </c>
      <c r="S2028" t="s">
        <v>42215</v>
      </c>
      <c r="T2028" t="s">
        <v>42216</v>
      </c>
      <c r="U2028" t="s">
        <v>42217</v>
      </c>
      <c r="V2028">
        <f>-674.729905405311 -58.1007304147536 -59.5790011777056</f>
        <v>-792.40963699777012</v>
      </c>
      <c r="W2028" t="s">
        <v>42218</v>
      </c>
      <c r="X2028" t="s">
        <v>42219</v>
      </c>
      <c r="Y2028" t="s">
        <v>42220</v>
      </c>
    </row>
    <row r="2029" spans="1:25" x14ac:dyDescent="0.3">
      <c r="A2029">
        <v>101400</v>
      </c>
      <c r="B2029" t="s">
        <v>42221</v>
      </c>
      <c r="C2029" t="s">
        <v>42222</v>
      </c>
      <c r="D2029" t="s">
        <v>42223</v>
      </c>
      <c r="E2029" t="s">
        <v>42224</v>
      </c>
      <c r="F2029">
        <f>-638.678197150047 -0.582667423465409 -361.707739671241</f>
        <v>-1000.9686042447534</v>
      </c>
      <c r="G2029">
        <f>-595.533129557049 -7.60403961314023 -439.344473423706</f>
        <v>-1042.4816425938952</v>
      </c>
      <c r="H2029">
        <f>-528.530999071236 -18.0974985363473 -543.849958911245</f>
        <v>-1090.4784565188284</v>
      </c>
      <c r="I2029">
        <f>-466.123001934734 -21.5583974644119 -598.606728963218</f>
        <v>-1086.2881283623638</v>
      </c>
      <c r="J2029" t="s">
        <v>42225</v>
      </c>
      <c r="K2029" t="s">
        <v>42226</v>
      </c>
      <c r="L2029" t="s">
        <v>42227</v>
      </c>
      <c r="M2029" t="s">
        <v>42228</v>
      </c>
      <c r="N2029">
        <f>-552.208524051503 -39.8147523515352 -491.495003218076</f>
        <v>-1083.5182796211143</v>
      </c>
      <c r="O2029">
        <f>-542.18399969563 -166.859678653655 -439.956534937987</f>
        <v>-1149.0002132872719</v>
      </c>
      <c r="P2029">
        <f>-675.277068007355 -199.813426283895 -179.588676741233</f>
        <v>-1054.6791710324831</v>
      </c>
      <c r="Q2029">
        <f>-494.272218521835 -69.7353832331939 -271.064419959807</f>
        <v>-835.07202171483596</v>
      </c>
      <c r="R2029" t="s">
        <v>42229</v>
      </c>
      <c r="S2029" t="s">
        <v>42230</v>
      </c>
      <c r="T2029" t="s">
        <v>42231</v>
      </c>
      <c r="U2029" t="s">
        <v>42232</v>
      </c>
      <c r="V2029">
        <f>-674.868427740476 -55.4484089485836 -59.575925490118</f>
        <v>-789.89276217917768</v>
      </c>
      <c r="W2029" t="s">
        <v>42233</v>
      </c>
      <c r="X2029" t="s">
        <v>42234</v>
      </c>
      <c r="Y2029" t="s">
        <v>42235</v>
      </c>
    </row>
    <row r="2030" spans="1:25" x14ac:dyDescent="0.3">
      <c r="A2030">
        <v>101450</v>
      </c>
      <c r="B2030" t="s">
        <v>42236</v>
      </c>
      <c r="C2030" t="s">
        <v>42237</v>
      </c>
      <c r="D2030" t="s">
        <v>42238</v>
      </c>
      <c r="E2030" t="s">
        <v>42239</v>
      </c>
      <c r="F2030" t="s">
        <v>42240</v>
      </c>
      <c r="G2030">
        <f>-599.969025224981 -3.94055704554648 -440.283357233773</f>
        <v>-1044.1929395043005</v>
      </c>
      <c r="H2030">
        <f>-534.237211416624 -13.9328364325784 -545.641403379071</f>
        <v>-1093.8114512282732</v>
      </c>
      <c r="I2030">
        <f>-472.768473545834 -17.0495619612298 -601.470575680802</f>
        <v>-1091.2886111878659</v>
      </c>
      <c r="J2030" t="s">
        <v>42241</v>
      </c>
      <c r="K2030" t="s">
        <v>42242</v>
      </c>
      <c r="L2030" t="s">
        <v>42243</v>
      </c>
      <c r="M2030" t="s">
        <v>42244</v>
      </c>
      <c r="N2030">
        <f>-557.345161926212 -35.9240813451959 -493.146446128792</f>
        <v>-1086.4156894001999</v>
      </c>
      <c r="O2030">
        <f>-547.002240792672 -163.243147934075 -442.363947360654</f>
        <v>-1152.6093360874011</v>
      </c>
      <c r="P2030">
        <f>-677.397634466861 -197.044025318698 -180.742662726064</f>
        <v>-1055.1843225116229</v>
      </c>
      <c r="Q2030">
        <f>-496.446404037119 -67.1155831341518 -272.536782527432</f>
        <v>-836.09876969870288</v>
      </c>
      <c r="R2030" t="s">
        <v>42245</v>
      </c>
      <c r="S2030" t="s">
        <v>42246</v>
      </c>
      <c r="T2030" t="s">
        <v>42247</v>
      </c>
      <c r="U2030" t="s">
        <v>42248</v>
      </c>
      <c r="V2030">
        <f>-675.906904244482 -52.631356468333 -59.6484844294429</f>
        <v>-788.18674514225791</v>
      </c>
      <c r="W2030" t="s">
        <v>42249</v>
      </c>
      <c r="X2030" t="s">
        <v>42250</v>
      </c>
      <c r="Y2030" t="s">
        <v>42251</v>
      </c>
    </row>
    <row r="2031" spans="1:25" x14ac:dyDescent="0.3">
      <c r="A2031">
        <v>101500</v>
      </c>
      <c r="B2031" t="s">
        <v>42252</v>
      </c>
      <c r="C2031" t="s">
        <v>42253</v>
      </c>
      <c r="D2031" t="s">
        <v>42254</v>
      </c>
      <c r="E2031" t="s">
        <v>42255</v>
      </c>
      <c r="F2031" t="s">
        <v>42256</v>
      </c>
      <c r="G2031" t="s">
        <v>42257</v>
      </c>
      <c r="H2031">
        <f>-549.175741408259 -3.06663073888831 -549.398455423742</f>
        <v>-1101.6408275708893</v>
      </c>
      <c r="I2031">
        <f>-489.930925013836 -5.56965679293489 -607.612066589595</f>
        <v>-1103.1126483963658</v>
      </c>
      <c r="J2031" t="s">
        <v>42258</v>
      </c>
      <c r="K2031" t="s">
        <v>42259</v>
      </c>
      <c r="L2031" t="s">
        <v>42260</v>
      </c>
      <c r="M2031" t="s">
        <v>42261</v>
      </c>
      <c r="N2031">
        <f>-571.027981309414 -25.5948424284625 -496.594359285695</f>
        <v>-1093.2171830235716</v>
      </c>
      <c r="O2031">
        <f>-560.310557992441 -153.591887289214 -447.628161788476</f>
        <v>-1161.5306070701311</v>
      </c>
      <c r="P2031">
        <f>-684.225774742218 -188.63648413702 -183.037723550013</f>
        <v>-1055.8999824292512</v>
      </c>
      <c r="Q2031">
        <f>-502.605327339019 -60.3428925312021 -275.804495806489</f>
        <v>-838.75271567671007</v>
      </c>
      <c r="R2031" t="s">
        <v>42262</v>
      </c>
      <c r="S2031" t="s">
        <v>42263</v>
      </c>
      <c r="T2031" t="s">
        <v>42264</v>
      </c>
      <c r="U2031" t="s">
        <v>42265</v>
      </c>
      <c r="V2031">
        <f>-679.12005238187 -45.7430668806123 -59.807854848601</f>
        <v>-784.6709741110833</v>
      </c>
      <c r="W2031" t="s">
        <v>42266</v>
      </c>
      <c r="X2031" t="s">
        <v>42267</v>
      </c>
      <c r="Y2031" t="s">
        <v>42268</v>
      </c>
    </row>
    <row r="2032" spans="1:25" x14ac:dyDescent="0.3">
      <c r="A2032">
        <v>101550</v>
      </c>
      <c r="B2032" t="s">
        <v>42269</v>
      </c>
      <c r="C2032" t="s">
        <v>42270</v>
      </c>
      <c r="D2032" t="s">
        <v>42271</v>
      </c>
      <c r="E2032" t="s">
        <v>42272</v>
      </c>
      <c r="F2032" t="s">
        <v>42273</v>
      </c>
      <c r="G2032" t="s">
        <v>42274</v>
      </c>
      <c r="H2032" t="s">
        <v>42275</v>
      </c>
      <c r="I2032" t="s">
        <v>42276</v>
      </c>
      <c r="J2032" t="s">
        <v>42277</v>
      </c>
      <c r="K2032" t="s">
        <v>42278</v>
      </c>
      <c r="L2032" t="s">
        <v>42279</v>
      </c>
      <c r="M2032" t="s">
        <v>42280</v>
      </c>
      <c r="N2032">
        <f>-579.488742748091 -19.0164418747518 -498.495217233209</f>
        <v>-1097.0004018560517</v>
      </c>
      <c r="O2032">
        <f>-568.784433982888 -147.426459662451 -450.598927890014</f>
        <v>-1166.809821535353</v>
      </c>
      <c r="P2032">
        <f>-688.867707445158 -183.391672506754 -184.370156598839</f>
        <v>-1056.629536550751</v>
      </c>
      <c r="Q2032">
        <f>-506.736836113078 -56.3191660355101 -277.814545412966</f>
        <v>-840.87054756155419</v>
      </c>
      <c r="R2032" t="s">
        <v>42281</v>
      </c>
      <c r="S2032" t="s">
        <v>42282</v>
      </c>
      <c r="T2032" t="s">
        <v>42283</v>
      </c>
      <c r="U2032" t="s">
        <v>42284</v>
      </c>
      <c r="V2032">
        <f>-681.24758814015 -41.1476143757366 -59.9128371513582</f>
        <v>-782.30803966724477</v>
      </c>
      <c r="W2032" t="s">
        <v>42285</v>
      </c>
      <c r="X2032" t="s">
        <v>42286</v>
      </c>
      <c r="Y2032" t="s">
        <v>42287</v>
      </c>
    </row>
    <row r="2033" spans="1:25" x14ac:dyDescent="0.3">
      <c r="A2033">
        <v>101600</v>
      </c>
      <c r="B2033" t="s">
        <v>42288</v>
      </c>
      <c r="C2033" t="s">
        <v>42289</v>
      </c>
      <c r="D2033" t="s">
        <v>42290</v>
      </c>
      <c r="E2033" t="s">
        <v>42291</v>
      </c>
      <c r="F2033" t="s">
        <v>42292</v>
      </c>
      <c r="G2033" t="s">
        <v>42293</v>
      </c>
      <c r="H2033" t="s">
        <v>42294</v>
      </c>
      <c r="I2033" t="s">
        <v>42295</v>
      </c>
      <c r="J2033" t="s">
        <v>42296</v>
      </c>
      <c r="K2033" t="s">
        <v>42297</v>
      </c>
      <c r="L2033" t="s">
        <v>42298</v>
      </c>
      <c r="M2033" t="s">
        <v>42299</v>
      </c>
      <c r="N2033">
        <f>-598.875947353131 -4.6466612207887 -501.968656708273</f>
        <v>-1105.4912652821927</v>
      </c>
      <c r="O2033">
        <f>-588.951814564924 -133.995398040449 -456.529469445579</f>
        <v>-1179.4766820509521</v>
      </c>
      <c r="P2033">
        <f>-700.872803088493 -170.619789278265 -186.856486828087</f>
        <v>-1058.349079194845</v>
      </c>
      <c r="Q2033">
        <f>-516.687307029508 -47.6762146883584 -281.785453187778</f>
        <v>-846.14897490564442</v>
      </c>
      <c r="R2033" t="s">
        <v>42300</v>
      </c>
      <c r="S2033" t="s">
        <v>42301</v>
      </c>
      <c r="T2033" t="s">
        <v>42302</v>
      </c>
      <c r="U2033" t="s">
        <v>42303</v>
      </c>
      <c r="V2033">
        <f>-687.253302511169 -31.2950541550999 -59.7246177815476</f>
        <v>-778.27297444781652</v>
      </c>
      <c r="W2033" t="s">
        <v>42304</v>
      </c>
      <c r="X2033" t="s">
        <v>42305</v>
      </c>
      <c r="Y2033" t="s">
        <v>42306</v>
      </c>
    </row>
    <row r="2034" spans="1:25" x14ac:dyDescent="0.3">
      <c r="A2034">
        <v>101650</v>
      </c>
      <c r="B2034" t="s">
        <v>42307</v>
      </c>
      <c r="C2034" t="s">
        <v>42308</v>
      </c>
      <c r="D2034" t="s">
        <v>42309</v>
      </c>
      <c r="E2034" t="s">
        <v>42310</v>
      </c>
      <c r="F2034" t="s">
        <v>42311</v>
      </c>
      <c r="G2034" t="s">
        <v>42312</v>
      </c>
      <c r="H2034" t="s">
        <v>42313</v>
      </c>
      <c r="I2034" t="s">
        <v>42314</v>
      </c>
      <c r="J2034" t="s">
        <v>42315</v>
      </c>
      <c r="K2034" t="s">
        <v>42316</v>
      </c>
      <c r="L2034" t="s">
        <v>42317</v>
      </c>
      <c r="M2034" t="s">
        <v>42318</v>
      </c>
      <c r="N2034" t="s">
        <v>42319</v>
      </c>
      <c r="O2034">
        <f>-600.90678034495 -127.371132789364 -458.987822872308</f>
        <v>-1187.2657360066219</v>
      </c>
      <c r="P2034">
        <f>-708.799282547526 -164.099465897408 -187.692071051467</f>
        <v>-1060.5908194964009</v>
      </c>
      <c r="Q2034">
        <f>-523.418646893806 -43.7663660351704 -283.633701160474</f>
        <v>-850.8187140894504</v>
      </c>
      <c r="R2034" t="s">
        <v>42320</v>
      </c>
      <c r="S2034" t="s">
        <v>42321</v>
      </c>
      <c r="T2034" t="s">
        <v>42322</v>
      </c>
      <c r="U2034" t="s">
        <v>42323</v>
      </c>
      <c r="V2034">
        <f>-691.036679394681 -26.4313833319052 -59.1973783742026</f>
        <v>-776.66544110078871</v>
      </c>
      <c r="W2034" t="s">
        <v>42324</v>
      </c>
      <c r="X2034" t="s">
        <v>42325</v>
      </c>
      <c r="Y2034" t="s">
        <v>42326</v>
      </c>
    </row>
    <row r="2035" spans="1:25" x14ac:dyDescent="0.3">
      <c r="A2035">
        <v>101700</v>
      </c>
      <c r="B2035" t="s">
        <v>42327</v>
      </c>
      <c r="C2035" t="s">
        <v>42328</v>
      </c>
      <c r="D2035" t="s">
        <v>42329</v>
      </c>
      <c r="E2035" t="s">
        <v>42330</v>
      </c>
      <c r="F2035" t="s">
        <v>42331</v>
      </c>
      <c r="G2035" t="s">
        <v>42332</v>
      </c>
      <c r="H2035" t="s">
        <v>42333</v>
      </c>
      <c r="I2035" t="s">
        <v>42334</v>
      </c>
      <c r="J2035" t="s">
        <v>42335</v>
      </c>
      <c r="K2035" t="s">
        <v>42336</v>
      </c>
      <c r="L2035" t="s">
        <v>42337</v>
      </c>
      <c r="M2035" t="s">
        <v>42338</v>
      </c>
      <c r="N2035" t="s">
        <v>42339</v>
      </c>
      <c r="O2035">
        <f>-628.351319254472 -112.098541679721 -462.193450403571</f>
        <v>-1202.6433113377639</v>
      </c>
      <c r="P2035">
        <f>-728.594033017908 -148.113914914864 -187.884370038086</f>
        <v>-1064.5923179708579</v>
      </c>
      <c r="Q2035">
        <f>-539.072053145601 -35.8835469447431 -285.53988734654</f>
        <v>-860.4954874368841</v>
      </c>
      <c r="R2035" t="s">
        <v>42340</v>
      </c>
      <c r="S2035" t="s">
        <v>42341</v>
      </c>
      <c r="T2035" t="s">
        <v>42342</v>
      </c>
      <c r="U2035" t="s">
        <v>42343</v>
      </c>
      <c r="V2035">
        <f>-700.868287241206 -14.4210123735993 -57.0672084946358</f>
        <v>-772.35650810944105</v>
      </c>
      <c r="W2035" t="s">
        <v>42344</v>
      </c>
      <c r="X2035" t="s">
        <v>42345</v>
      </c>
      <c r="Y2035" t="s">
        <v>42346</v>
      </c>
    </row>
    <row r="2036" spans="1:25" x14ac:dyDescent="0.3">
      <c r="A2036">
        <v>101750</v>
      </c>
      <c r="B2036" t="s">
        <v>42347</v>
      </c>
      <c r="C2036" t="s">
        <v>42348</v>
      </c>
      <c r="D2036" t="s">
        <v>42349</v>
      </c>
      <c r="E2036" t="s">
        <v>42350</v>
      </c>
      <c r="F2036" t="s">
        <v>42351</v>
      </c>
      <c r="G2036" t="s">
        <v>42352</v>
      </c>
      <c r="H2036" t="s">
        <v>42353</v>
      </c>
      <c r="I2036" t="s">
        <v>42354</v>
      </c>
      <c r="J2036" t="s">
        <v>42355</v>
      </c>
      <c r="K2036" t="s">
        <v>42356</v>
      </c>
      <c r="L2036" t="s">
        <v>42357</v>
      </c>
      <c r="M2036" t="s">
        <v>42358</v>
      </c>
      <c r="N2036" t="s">
        <v>42359</v>
      </c>
      <c r="O2036">
        <f>-642.897985780763 -102.769468546706 -462.955224549244</f>
        <v>-1208.6226788767131</v>
      </c>
      <c r="P2036">
        <f>-739.872077725616 -137.949782498793 -187.365641381405</f>
        <v>-1065.1875016058138</v>
      </c>
      <c r="Q2036">
        <f>-547.408285341976 -31.4632119222433 -285.697638662253</f>
        <v>-864.56913592647231</v>
      </c>
      <c r="R2036" t="s">
        <v>42360</v>
      </c>
      <c r="S2036" t="s">
        <v>42361</v>
      </c>
      <c r="T2036" t="s">
        <v>42362</v>
      </c>
      <c r="U2036" t="s">
        <v>42363</v>
      </c>
      <c r="V2036">
        <f>-706.902337235641 -6.81777189907643 -55.733598760767</f>
        <v>-769.4537078954844</v>
      </c>
      <c r="W2036" t="s">
        <v>42364</v>
      </c>
      <c r="X2036" t="s">
        <v>42365</v>
      </c>
      <c r="Y2036" t="s">
        <v>42366</v>
      </c>
    </row>
    <row r="2037" spans="1:25" x14ac:dyDescent="0.3">
      <c r="A2037">
        <v>101800</v>
      </c>
      <c r="B2037" t="s">
        <v>42367</v>
      </c>
      <c r="C2037" t="s">
        <v>42368</v>
      </c>
      <c r="D2037" t="s">
        <v>42369</v>
      </c>
      <c r="E2037" t="s">
        <v>42370</v>
      </c>
      <c r="F2037" t="s">
        <v>42371</v>
      </c>
      <c r="G2037" t="s">
        <v>42372</v>
      </c>
      <c r="H2037" t="s">
        <v>42373</v>
      </c>
      <c r="I2037" t="s">
        <v>42374</v>
      </c>
      <c r="J2037" t="s">
        <v>42375</v>
      </c>
      <c r="K2037" t="s">
        <v>42376</v>
      </c>
      <c r="L2037" t="s">
        <v>42377</v>
      </c>
      <c r="M2037" t="s">
        <v>42378</v>
      </c>
      <c r="N2037" t="s">
        <v>42379</v>
      </c>
      <c r="O2037">
        <f>-673.376873356214 -80.773005491661 -464.065037306687</f>
        <v>-1218.2149161545619</v>
      </c>
      <c r="P2037">
        <f>-766.689775572618 -113.640686542484 -186.930367338667</f>
        <v>-1067.260829453769</v>
      </c>
      <c r="Q2037">
        <f>-566.774789960636 -21.7045606906295 -285.076494375356</f>
        <v>-873.55584502662145</v>
      </c>
      <c r="R2037" t="s">
        <v>42380</v>
      </c>
      <c r="S2037" t="s">
        <v>42381</v>
      </c>
      <c r="T2037" t="s">
        <v>42382</v>
      </c>
      <c r="U2037" t="s">
        <v>42383</v>
      </c>
      <c r="V2037" t="s">
        <v>42384</v>
      </c>
      <c r="W2037" t="s">
        <v>42385</v>
      </c>
      <c r="X2037" t="s">
        <v>42386</v>
      </c>
      <c r="Y2037" t="s">
        <v>42387</v>
      </c>
    </row>
    <row r="2038" spans="1:25" x14ac:dyDescent="0.3">
      <c r="A2038">
        <v>101850</v>
      </c>
      <c r="B2038" t="s">
        <v>42388</v>
      </c>
      <c r="C2038" t="s">
        <v>42389</v>
      </c>
      <c r="D2038" t="s">
        <v>42390</v>
      </c>
      <c r="E2038" t="s">
        <v>42391</v>
      </c>
      <c r="F2038" t="s">
        <v>42392</v>
      </c>
      <c r="G2038" t="s">
        <v>42393</v>
      </c>
      <c r="H2038" t="s">
        <v>42394</v>
      </c>
      <c r="I2038" t="s">
        <v>42395</v>
      </c>
      <c r="J2038" t="s">
        <v>42396</v>
      </c>
      <c r="K2038" t="s">
        <v>42397</v>
      </c>
      <c r="L2038" t="s">
        <v>42398</v>
      </c>
      <c r="M2038" t="s">
        <v>42399</v>
      </c>
      <c r="N2038" t="s">
        <v>42400</v>
      </c>
      <c r="O2038">
        <f>-690.271120488599 -67.5739929951644 -465.08813794201</f>
        <v>-1222.9332514257735</v>
      </c>
      <c r="P2038">
        <f>-783.239844504302 -99.0307002484647 -187.67432660482</f>
        <v>-1069.9448713575866</v>
      </c>
      <c r="Q2038">
        <f>-579.3892335871 -15.3901089787764 -285.142234616874</f>
        <v>-879.92157718275041</v>
      </c>
      <c r="R2038" t="s">
        <v>42401</v>
      </c>
      <c r="S2038" t="s">
        <v>42402</v>
      </c>
      <c r="T2038" t="s">
        <v>42403</v>
      </c>
      <c r="U2038" t="s">
        <v>42404</v>
      </c>
      <c r="V2038" t="s">
        <v>42405</v>
      </c>
      <c r="W2038" t="s">
        <v>42406</v>
      </c>
      <c r="X2038" t="s">
        <v>42407</v>
      </c>
      <c r="Y2038" t="s">
        <v>42408</v>
      </c>
    </row>
    <row r="2039" spans="1:25" x14ac:dyDescent="0.3">
      <c r="A2039">
        <v>101900</v>
      </c>
      <c r="B2039" t="s">
        <v>42409</v>
      </c>
      <c r="C2039" t="s">
        <v>42410</v>
      </c>
      <c r="D2039" t="s">
        <v>42411</v>
      </c>
      <c r="E2039" t="s">
        <v>42412</v>
      </c>
      <c r="F2039" t="s">
        <v>42413</v>
      </c>
      <c r="G2039" t="s">
        <v>42414</v>
      </c>
      <c r="H2039" t="s">
        <v>42415</v>
      </c>
      <c r="I2039" t="s">
        <v>42416</v>
      </c>
      <c r="J2039" t="s">
        <v>42417</v>
      </c>
      <c r="K2039" t="s">
        <v>42418</v>
      </c>
      <c r="L2039" t="s">
        <v>42419</v>
      </c>
      <c r="M2039" t="s">
        <v>42420</v>
      </c>
      <c r="N2039" t="s">
        <v>42421</v>
      </c>
      <c r="O2039">
        <f>-715.927400664546 -44.779714549645 -466.68039757263</f>
        <v>-1227.3875127868209</v>
      </c>
      <c r="P2039">
        <f>-808.920976400658 -74.3151107349815 -189.06361609108</f>
        <v>-1072.2997032267194</v>
      </c>
      <c r="Q2039">
        <f>-599.540019892139 -4.44490913299433 -285.648795594161</f>
        <v>-889.6337246192943</v>
      </c>
      <c r="R2039" t="s">
        <v>42422</v>
      </c>
      <c r="S2039" t="s">
        <v>42423</v>
      </c>
      <c r="T2039" t="s">
        <v>42424</v>
      </c>
      <c r="U2039" t="s">
        <v>42425</v>
      </c>
      <c r="V2039" t="s">
        <v>42426</v>
      </c>
      <c r="W2039" t="s">
        <v>42427</v>
      </c>
      <c r="X2039" t="s">
        <v>42428</v>
      </c>
      <c r="Y2039" t="s">
        <v>42429</v>
      </c>
    </row>
    <row r="2040" spans="1:25" x14ac:dyDescent="0.3">
      <c r="A2040">
        <v>101950</v>
      </c>
      <c r="B2040" t="s">
        <v>42430</v>
      </c>
      <c r="C2040" t="s">
        <v>42431</v>
      </c>
      <c r="D2040" t="s">
        <v>42432</v>
      </c>
      <c r="E2040" t="s">
        <v>42433</v>
      </c>
      <c r="F2040" t="s">
        <v>42434</v>
      </c>
      <c r="G2040" t="s">
        <v>42435</v>
      </c>
      <c r="H2040" t="s">
        <v>42436</v>
      </c>
      <c r="I2040" t="s">
        <v>42437</v>
      </c>
      <c r="J2040" t="s">
        <v>42438</v>
      </c>
      <c r="K2040" t="s">
        <v>42439</v>
      </c>
      <c r="L2040" t="s">
        <v>42440</v>
      </c>
      <c r="M2040" t="s">
        <v>42441</v>
      </c>
      <c r="N2040" t="s">
        <v>42442</v>
      </c>
      <c r="O2040">
        <f>-741.150878239617 -29.8563860775644 -469.718321131539</f>
        <v>-1240.7255854487203</v>
      </c>
      <c r="P2040">
        <f>-834.261777379526 -56.657580357127 -191.863622324056</f>
        <v>-1082.7829800607092</v>
      </c>
      <c r="Q2040">
        <f>-619.78957584216 -1.48637732666157 -286.777501807375</f>
        <v>-908.05345497619669</v>
      </c>
      <c r="R2040" t="s">
        <v>42443</v>
      </c>
      <c r="S2040" t="s">
        <v>42444</v>
      </c>
      <c r="T2040" t="s">
        <v>42445</v>
      </c>
      <c r="U2040" t="s">
        <v>42446</v>
      </c>
      <c r="V2040" t="s">
        <v>42447</v>
      </c>
      <c r="W2040" t="s">
        <v>42448</v>
      </c>
      <c r="X2040" t="s">
        <v>42449</v>
      </c>
      <c r="Y2040" t="s">
        <v>42450</v>
      </c>
    </row>
    <row r="2041" spans="1:25" x14ac:dyDescent="0.3">
      <c r="A2041">
        <v>102000</v>
      </c>
      <c r="B2041" t="s">
        <v>42451</v>
      </c>
      <c r="C2041" t="s">
        <v>42452</v>
      </c>
      <c r="D2041" t="s">
        <v>42453</v>
      </c>
      <c r="E2041" t="s">
        <v>42454</v>
      </c>
      <c r="F2041" t="s">
        <v>42455</v>
      </c>
      <c r="G2041" t="s">
        <v>42456</v>
      </c>
      <c r="H2041" t="s">
        <v>42457</v>
      </c>
      <c r="I2041" t="s">
        <v>42458</v>
      </c>
      <c r="J2041" t="s">
        <v>42459</v>
      </c>
      <c r="K2041" t="s">
        <v>42460</v>
      </c>
      <c r="L2041" t="s">
        <v>42461</v>
      </c>
      <c r="M2041" t="s">
        <v>42462</v>
      </c>
      <c r="N2041" t="s">
        <v>42463</v>
      </c>
      <c r="O2041">
        <f>-781.274861168967 -35.1301952160597 -475.218459267412</f>
        <v>-1291.6235156524388</v>
      </c>
      <c r="P2041">
        <f>-875.03794511048 -54.7187621904857 -196.98128325652</f>
        <v>-1126.7379905574858</v>
      </c>
      <c r="Q2041">
        <f>-657.192387650702 -12.8206680063131 -290.99599877392</f>
        <v>-961.00905443093507</v>
      </c>
      <c r="R2041" t="s">
        <v>42464</v>
      </c>
      <c r="S2041" t="s">
        <v>42465</v>
      </c>
      <c r="T2041" t="s">
        <v>42466</v>
      </c>
      <c r="U2041" t="s">
        <v>42467</v>
      </c>
      <c r="V2041" t="s">
        <v>42468</v>
      </c>
      <c r="W2041" t="s">
        <v>42469</v>
      </c>
      <c r="X2041" t="s">
        <v>42470</v>
      </c>
      <c r="Y2041" t="s">
        <v>42471</v>
      </c>
    </row>
    <row r="2042" spans="1:25" x14ac:dyDescent="0.3">
      <c r="A2042">
        <v>102050</v>
      </c>
      <c r="B2042" t="s">
        <v>42472</v>
      </c>
      <c r="C2042" t="s">
        <v>42473</v>
      </c>
      <c r="D2042" t="s">
        <v>42474</v>
      </c>
      <c r="E2042" t="s">
        <v>42475</v>
      </c>
      <c r="F2042" t="s">
        <v>42476</v>
      </c>
      <c r="G2042" t="s">
        <v>42477</v>
      </c>
      <c r="H2042" t="s">
        <v>42478</v>
      </c>
      <c r="I2042" t="s">
        <v>42479</v>
      </c>
      <c r="J2042" t="s">
        <v>42480</v>
      </c>
      <c r="K2042" t="s">
        <v>42481</v>
      </c>
      <c r="L2042" t="s">
        <v>42482</v>
      </c>
      <c r="M2042" t="s">
        <v>42483</v>
      </c>
      <c r="N2042" t="s">
        <v>42484</v>
      </c>
      <c r="O2042">
        <f>-795.15890898751 -34.5759725944549 -477.51400492971</f>
        <v>-1307.248886511675</v>
      </c>
      <c r="P2042">
        <f>-887.281118957 -54.9275854743312 -198.78380508363</f>
        <v>-1140.9925095149611</v>
      </c>
      <c r="Q2042">
        <f>-669.075712612383 -15.5449580218888 -293.050618719216</f>
        <v>-977.67128935348774</v>
      </c>
      <c r="R2042" t="s">
        <v>42485</v>
      </c>
      <c r="S2042" t="s">
        <v>42486</v>
      </c>
      <c r="T2042" t="s">
        <v>42487</v>
      </c>
      <c r="U2042" t="s">
        <v>42488</v>
      </c>
      <c r="V2042" t="s">
        <v>42489</v>
      </c>
      <c r="W2042" t="s">
        <v>42490</v>
      </c>
      <c r="X2042" t="s">
        <v>42491</v>
      </c>
      <c r="Y2042" t="s">
        <v>42492</v>
      </c>
    </row>
    <row r="2043" spans="1:25" x14ac:dyDescent="0.3">
      <c r="A2043">
        <v>102100</v>
      </c>
      <c r="B2043" t="s">
        <v>42493</v>
      </c>
      <c r="C2043" t="s">
        <v>42494</v>
      </c>
      <c r="D2043" t="s">
        <v>42495</v>
      </c>
      <c r="E2043" t="s">
        <v>42496</v>
      </c>
      <c r="F2043" t="s">
        <v>42497</v>
      </c>
      <c r="G2043" t="s">
        <v>42498</v>
      </c>
      <c r="H2043" t="s">
        <v>42499</v>
      </c>
      <c r="I2043" t="s">
        <v>42500</v>
      </c>
      <c r="J2043" t="s">
        <v>42501</v>
      </c>
      <c r="K2043" t="s">
        <v>42502</v>
      </c>
      <c r="L2043" t="s">
        <v>42503</v>
      </c>
      <c r="M2043" t="s">
        <v>42504</v>
      </c>
      <c r="N2043" t="s">
        <v>42505</v>
      </c>
      <c r="O2043">
        <f>-813.410331167896 -28.3954217027367 -481.700809592768</f>
        <v>-1323.5065624634008</v>
      </c>
      <c r="P2043">
        <f>-898.472330686858 -57.5064874351399 -201.507609506827</f>
        <v>-1157.4864276288249</v>
      </c>
      <c r="Q2043">
        <f>-681.185430963603 -16.4879134537568 -297.187715177886</f>
        <v>-994.86105959524593</v>
      </c>
      <c r="R2043" t="s">
        <v>42506</v>
      </c>
      <c r="S2043" t="s">
        <v>42507</v>
      </c>
      <c r="T2043" t="s">
        <v>42508</v>
      </c>
      <c r="U2043" t="s">
        <v>42509</v>
      </c>
      <c r="V2043" t="s">
        <v>42510</v>
      </c>
      <c r="W2043" t="s">
        <v>42511</v>
      </c>
      <c r="X2043" t="s">
        <v>42512</v>
      </c>
      <c r="Y2043" t="s">
        <v>42513</v>
      </c>
    </row>
    <row r="2044" spans="1:25" x14ac:dyDescent="0.3">
      <c r="A2044">
        <v>102150</v>
      </c>
      <c r="B2044" t="s">
        <v>42514</v>
      </c>
      <c r="C2044" t="s">
        <v>42515</v>
      </c>
      <c r="D2044" t="s">
        <v>42516</v>
      </c>
      <c r="E2044" t="s">
        <v>42517</v>
      </c>
      <c r="F2044" t="s">
        <v>42518</v>
      </c>
      <c r="G2044" t="s">
        <v>42519</v>
      </c>
      <c r="H2044" t="s">
        <v>42520</v>
      </c>
      <c r="I2044" t="s">
        <v>42521</v>
      </c>
      <c r="J2044" t="s">
        <v>42522</v>
      </c>
      <c r="K2044" t="s">
        <v>42523</v>
      </c>
      <c r="L2044" t="s">
        <v>42524</v>
      </c>
      <c r="M2044" t="s">
        <v>42525</v>
      </c>
      <c r="N2044" t="s">
        <v>42526</v>
      </c>
      <c r="O2044">
        <f>-818.185699193517 -23.3489244162042 -484.343539669366</f>
        <v>-1325.8781632790874</v>
      </c>
      <c r="P2044">
        <f>-898.533268156646 -58.6044530073941 -203.465464266197</f>
        <v>-1160.6031854302371</v>
      </c>
      <c r="Q2044">
        <f>-682.215094290063 -14.8359919783506 -300.117324542294</f>
        <v>-997.16841081070766</v>
      </c>
      <c r="R2044" t="s">
        <v>42527</v>
      </c>
      <c r="S2044" t="s">
        <v>42528</v>
      </c>
      <c r="T2044" t="s">
        <v>42529</v>
      </c>
      <c r="U2044" t="s">
        <v>42530</v>
      </c>
      <c r="V2044" t="s">
        <v>42531</v>
      </c>
      <c r="W2044" t="s">
        <v>42532</v>
      </c>
      <c r="X2044" t="s">
        <v>42533</v>
      </c>
      <c r="Y2044" t="s">
        <v>42534</v>
      </c>
    </row>
    <row r="2045" spans="1:25" x14ac:dyDescent="0.3">
      <c r="A2045">
        <v>102200</v>
      </c>
      <c r="B2045" t="s">
        <v>42535</v>
      </c>
      <c r="C2045" t="s">
        <v>42536</v>
      </c>
      <c r="D2045" t="s">
        <v>42537</v>
      </c>
      <c r="E2045" t="s">
        <v>42538</v>
      </c>
      <c r="F2045" t="s">
        <v>42539</v>
      </c>
      <c r="G2045" t="s">
        <v>42540</v>
      </c>
      <c r="H2045" t="s">
        <v>42541</v>
      </c>
      <c r="I2045" t="s">
        <v>42542</v>
      </c>
      <c r="J2045" t="s">
        <v>42543</v>
      </c>
      <c r="K2045" t="s">
        <v>42544</v>
      </c>
      <c r="L2045" t="s">
        <v>42545</v>
      </c>
      <c r="M2045" t="s">
        <v>42546</v>
      </c>
      <c r="N2045" t="s">
        <v>42547</v>
      </c>
      <c r="O2045">
        <f>-822.945082119117 -17.9749118326222 -487.348049405732</f>
        <v>-1328.2680433574712</v>
      </c>
      <c r="P2045">
        <f>-898.258390598021 -59.1283213427146 -205.877801900131</f>
        <v>-1163.2645138408666</v>
      </c>
      <c r="Q2045">
        <f>-682.965961749304 -12.7473477532376 -303.595648421027</f>
        <v>-999.30895792356864</v>
      </c>
      <c r="R2045" t="s">
        <v>42548</v>
      </c>
      <c r="S2045" t="s">
        <v>42549</v>
      </c>
      <c r="T2045" t="s">
        <v>42550</v>
      </c>
      <c r="U2045" t="s">
        <v>42551</v>
      </c>
      <c r="V2045" t="s">
        <v>42552</v>
      </c>
      <c r="W2045" t="s">
        <v>42553</v>
      </c>
      <c r="X2045" t="s">
        <v>42554</v>
      </c>
      <c r="Y2045" t="s">
        <v>42555</v>
      </c>
    </row>
    <row r="2046" spans="1:25" x14ac:dyDescent="0.3">
      <c r="A2046">
        <v>102250</v>
      </c>
      <c r="B2046" t="s">
        <v>42556</v>
      </c>
      <c r="C2046" t="s">
        <v>42557</v>
      </c>
      <c r="D2046" t="s">
        <v>42558</v>
      </c>
      <c r="E2046" t="s">
        <v>42559</v>
      </c>
      <c r="F2046" t="s">
        <v>42560</v>
      </c>
      <c r="G2046" t="s">
        <v>42561</v>
      </c>
      <c r="H2046" t="s">
        <v>42562</v>
      </c>
      <c r="I2046" t="s">
        <v>42563</v>
      </c>
      <c r="J2046" t="s">
        <v>42564</v>
      </c>
      <c r="K2046" t="s">
        <v>42565</v>
      </c>
      <c r="L2046" t="s">
        <v>42566</v>
      </c>
      <c r="M2046" t="s">
        <v>42567</v>
      </c>
      <c r="N2046" t="s">
        <v>42568</v>
      </c>
      <c r="O2046">
        <f>-842.057682873447 -10.7638048857962 -493.103491647029</f>
        <v>-1345.9249794062721</v>
      </c>
      <c r="P2046">
        <f>-907.867872311219 -60.374697506267 -210.616324837325</f>
        <v>-1178.8588946548111</v>
      </c>
      <c r="Q2046">
        <f>-694.563788056791 -10.0594190499787 -310.71920163777</f>
        <v>-1015.3424087445399</v>
      </c>
      <c r="R2046" t="s">
        <v>42569</v>
      </c>
      <c r="S2046" t="s">
        <v>42570</v>
      </c>
      <c r="T2046" t="s">
        <v>42571</v>
      </c>
      <c r="U2046" t="s">
        <v>42572</v>
      </c>
      <c r="V2046" t="s">
        <v>42573</v>
      </c>
      <c r="W2046" t="s">
        <v>42574</v>
      </c>
      <c r="X2046" t="s">
        <v>42575</v>
      </c>
      <c r="Y2046" t="s">
        <v>42576</v>
      </c>
    </row>
    <row r="2047" spans="1:25" x14ac:dyDescent="0.3">
      <c r="A2047">
        <v>102300</v>
      </c>
      <c r="B2047" t="s">
        <v>42577</v>
      </c>
      <c r="C2047" t="s">
        <v>42578</v>
      </c>
      <c r="D2047" t="s">
        <v>42579</v>
      </c>
      <c r="E2047" t="s">
        <v>42580</v>
      </c>
      <c r="F2047" t="s">
        <v>42581</v>
      </c>
      <c r="G2047" t="s">
        <v>42582</v>
      </c>
      <c r="H2047" t="s">
        <v>42583</v>
      </c>
      <c r="I2047" t="s">
        <v>42584</v>
      </c>
      <c r="J2047" t="s">
        <v>42585</v>
      </c>
      <c r="K2047" t="s">
        <v>42586</v>
      </c>
      <c r="L2047" t="s">
        <v>42587</v>
      </c>
      <c r="M2047" t="s">
        <v>42588</v>
      </c>
      <c r="N2047" t="s">
        <v>42589</v>
      </c>
      <c r="O2047">
        <f>-868.754145358575 -1.71075621891077 -496.678259774768</f>
        <v>-1367.1431613522536</v>
      </c>
      <c r="P2047">
        <f>-926.454794680982 -52.2914267871581 -212.594731981057</f>
        <v>-1191.3409534491971</v>
      </c>
      <c r="Q2047">
        <f>-715.027624283007 -2.78988449795133 -316.993453846765</f>
        <v>-1034.8109626277233</v>
      </c>
      <c r="R2047" t="s">
        <v>42590</v>
      </c>
      <c r="S2047" t="s">
        <v>42591</v>
      </c>
      <c r="T2047" t="s">
        <v>42592</v>
      </c>
      <c r="U2047" t="s">
        <v>42593</v>
      </c>
      <c r="V2047" t="s">
        <v>42594</v>
      </c>
      <c r="W2047" t="s">
        <v>42595</v>
      </c>
      <c r="X2047" t="s">
        <v>42596</v>
      </c>
      <c r="Y2047" t="s">
        <v>42597</v>
      </c>
    </row>
    <row r="2048" spans="1:25" x14ac:dyDescent="0.3">
      <c r="A2048">
        <v>102350</v>
      </c>
      <c r="B2048" t="s">
        <v>42598</v>
      </c>
      <c r="C2048" t="s">
        <v>42599</v>
      </c>
      <c r="D2048" t="s">
        <v>42600</v>
      </c>
      <c r="E2048" t="s">
        <v>42601</v>
      </c>
      <c r="F2048" t="s">
        <v>42602</v>
      </c>
      <c r="G2048" t="s">
        <v>42603</v>
      </c>
      <c r="H2048" t="s">
        <v>42604</v>
      </c>
      <c r="I2048" t="s">
        <v>42605</v>
      </c>
      <c r="J2048" t="s">
        <v>42606</v>
      </c>
      <c r="K2048" t="s">
        <v>42607</v>
      </c>
      <c r="L2048" t="s">
        <v>42608</v>
      </c>
      <c r="M2048" t="s">
        <v>42609</v>
      </c>
      <c r="N2048" t="s">
        <v>42610</v>
      </c>
      <c r="O2048" t="s">
        <v>42611</v>
      </c>
      <c r="P2048">
        <f>-933.348747403481 -43.9881221978278 -211.954311232099</f>
        <v>-1189.2911808334077</v>
      </c>
      <c r="Q2048" t="s">
        <v>42612</v>
      </c>
      <c r="R2048" t="s">
        <v>42613</v>
      </c>
      <c r="S2048" t="s">
        <v>42614</v>
      </c>
      <c r="T2048" t="s">
        <v>42615</v>
      </c>
      <c r="U2048" t="s">
        <v>42616</v>
      </c>
      <c r="V2048" t="s">
        <v>42617</v>
      </c>
      <c r="W2048" t="s">
        <v>42618</v>
      </c>
      <c r="X2048" t="s">
        <v>42619</v>
      </c>
      <c r="Y2048" t="s">
        <v>42620</v>
      </c>
    </row>
    <row r="2049" spans="1:25" x14ac:dyDescent="0.3">
      <c r="A2049">
        <v>102400</v>
      </c>
      <c r="B2049" t="s">
        <v>42621</v>
      </c>
      <c r="C2049" t="s">
        <v>42622</v>
      </c>
      <c r="D2049" t="s">
        <v>42623</v>
      </c>
      <c r="E2049" t="s">
        <v>42624</v>
      </c>
      <c r="F2049" t="s">
        <v>42625</v>
      </c>
      <c r="G2049" t="s">
        <v>42626</v>
      </c>
      <c r="H2049" t="s">
        <v>42627</v>
      </c>
      <c r="I2049" t="s">
        <v>42628</v>
      </c>
      <c r="J2049" t="s">
        <v>42629</v>
      </c>
      <c r="K2049" t="s">
        <v>42630</v>
      </c>
      <c r="L2049" t="s">
        <v>42631</v>
      </c>
      <c r="M2049" t="s">
        <v>42632</v>
      </c>
      <c r="N2049" t="s">
        <v>42633</v>
      </c>
      <c r="O2049" t="s">
        <v>42634</v>
      </c>
      <c r="P2049">
        <f>-939.653852123524 -30.5095308920513 -210.070140496319</f>
        <v>-1180.2335235118942</v>
      </c>
      <c r="Q2049" t="s">
        <v>42635</v>
      </c>
      <c r="R2049" t="s">
        <v>42636</v>
      </c>
      <c r="S2049" t="s">
        <v>42637</v>
      </c>
      <c r="T2049" t="s">
        <v>42638</v>
      </c>
      <c r="U2049" t="s">
        <v>42639</v>
      </c>
      <c r="V2049" t="s">
        <v>42640</v>
      </c>
      <c r="W2049" t="s">
        <v>42641</v>
      </c>
      <c r="X2049" t="s">
        <v>42642</v>
      </c>
      <c r="Y2049" t="s">
        <v>42643</v>
      </c>
    </row>
    <row r="2050" spans="1:25" x14ac:dyDescent="0.3">
      <c r="A2050">
        <v>102450</v>
      </c>
      <c r="B2050" t="s">
        <v>42644</v>
      </c>
      <c r="C2050" t="s">
        <v>42645</v>
      </c>
      <c r="D2050" t="s">
        <v>42646</v>
      </c>
      <c r="E2050" t="s">
        <v>42647</v>
      </c>
      <c r="F2050" t="s">
        <v>42648</v>
      </c>
      <c r="G2050" t="s">
        <v>42649</v>
      </c>
      <c r="H2050" t="s">
        <v>42650</v>
      </c>
      <c r="I2050" t="s">
        <v>42651</v>
      </c>
      <c r="J2050" t="s">
        <v>42652</v>
      </c>
      <c r="K2050" t="s">
        <v>42653</v>
      </c>
      <c r="L2050" t="s">
        <v>42654</v>
      </c>
      <c r="M2050" t="s">
        <v>42655</v>
      </c>
      <c r="N2050" t="s">
        <v>42656</v>
      </c>
      <c r="O2050" t="s">
        <v>42657</v>
      </c>
      <c r="P2050">
        <f>-939.901832931927 -26.376283775091 -209.458491448857</f>
        <v>-1175.7366081558748</v>
      </c>
      <c r="Q2050" t="s">
        <v>42658</v>
      </c>
      <c r="R2050" t="s">
        <v>42659</v>
      </c>
      <c r="S2050" t="s">
        <v>42660</v>
      </c>
      <c r="T2050" t="s">
        <v>42661</v>
      </c>
      <c r="U2050" t="s">
        <v>42662</v>
      </c>
      <c r="V2050" t="s">
        <v>42663</v>
      </c>
      <c r="W2050" t="s">
        <v>42664</v>
      </c>
      <c r="X2050" t="s">
        <v>42665</v>
      </c>
      <c r="Y2050" t="s">
        <v>42666</v>
      </c>
    </row>
    <row r="2051" spans="1:25" x14ac:dyDescent="0.3">
      <c r="A2051">
        <v>102500</v>
      </c>
      <c r="B2051" t="s">
        <v>42667</v>
      </c>
      <c r="C2051" t="s">
        <v>42668</v>
      </c>
      <c r="D2051" t="s">
        <v>42669</v>
      </c>
      <c r="E2051" t="s">
        <v>42670</v>
      </c>
      <c r="F2051" t="s">
        <v>42671</v>
      </c>
      <c r="G2051" t="s">
        <v>42672</v>
      </c>
      <c r="H2051" t="s">
        <v>42673</v>
      </c>
      <c r="I2051" t="s">
        <v>42674</v>
      </c>
      <c r="J2051" t="s">
        <v>42675</v>
      </c>
      <c r="K2051" t="s">
        <v>42676</v>
      </c>
      <c r="L2051" t="s">
        <v>42677</v>
      </c>
      <c r="M2051" t="s">
        <v>42678</v>
      </c>
      <c r="N2051" t="s">
        <v>42679</v>
      </c>
      <c r="O2051">
        <f>-891.137135174488 -0.674097902656285 -496.804697381431</f>
        <v>-1388.6159304585753</v>
      </c>
      <c r="P2051">
        <f>-938.849435223265 -26.0661058860114 -207.547083146581</f>
        <v>-1172.4626242558575</v>
      </c>
      <c r="Q2051" t="s">
        <v>42680</v>
      </c>
      <c r="R2051" t="s">
        <v>42681</v>
      </c>
      <c r="S2051" t="s">
        <v>42682</v>
      </c>
      <c r="T2051" t="s">
        <v>42683</v>
      </c>
      <c r="U2051" t="s">
        <v>42684</v>
      </c>
      <c r="V2051" t="s">
        <v>42685</v>
      </c>
      <c r="W2051" t="s">
        <v>42686</v>
      </c>
      <c r="X2051" t="s">
        <v>42687</v>
      </c>
      <c r="Y2051" t="s">
        <v>42688</v>
      </c>
    </row>
    <row r="2052" spans="1:25" x14ac:dyDescent="0.3">
      <c r="A2052">
        <v>102550</v>
      </c>
      <c r="B2052" t="s">
        <v>42689</v>
      </c>
      <c r="C2052" t="s">
        <v>42690</v>
      </c>
      <c r="D2052" t="s">
        <v>42691</v>
      </c>
      <c r="E2052" t="s">
        <v>42692</v>
      </c>
      <c r="F2052" t="s">
        <v>42693</v>
      </c>
      <c r="G2052" t="s">
        <v>42694</v>
      </c>
      <c r="H2052" t="s">
        <v>42695</v>
      </c>
      <c r="I2052" t="s">
        <v>42696</v>
      </c>
      <c r="J2052" t="s">
        <v>42697</v>
      </c>
      <c r="K2052" t="s">
        <v>42698</v>
      </c>
      <c r="L2052" t="s">
        <v>42699</v>
      </c>
      <c r="M2052" t="s">
        <v>42700</v>
      </c>
      <c r="N2052" t="s">
        <v>42701</v>
      </c>
      <c r="O2052">
        <f>-891.799811896032 -3.11353843459437 -495.782905307356</f>
        <v>-1390.6962556379824</v>
      </c>
      <c r="P2052">
        <f>-937.34317191185 -28.5982947090529 -206.184009984837</f>
        <v>-1172.12547660574</v>
      </c>
      <c r="Q2052" t="s">
        <v>42702</v>
      </c>
      <c r="R2052" t="s">
        <v>42703</v>
      </c>
      <c r="S2052" t="s">
        <v>42704</v>
      </c>
      <c r="T2052" t="s">
        <v>42705</v>
      </c>
      <c r="U2052" t="s">
        <v>42706</v>
      </c>
      <c r="V2052" t="s">
        <v>42707</v>
      </c>
      <c r="W2052" t="s">
        <v>42708</v>
      </c>
      <c r="X2052" t="s">
        <v>42709</v>
      </c>
      <c r="Y2052" t="s">
        <v>42710</v>
      </c>
    </row>
    <row r="2053" spans="1:25" x14ac:dyDescent="0.3">
      <c r="A2053">
        <v>102600</v>
      </c>
      <c r="B2053" t="s">
        <v>42711</v>
      </c>
      <c r="C2053" t="s">
        <v>42712</v>
      </c>
      <c r="D2053" t="s">
        <v>42713</v>
      </c>
      <c r="E2053" t="s">
        <v>42714</v>
      </c>
      <c r="F2053" t="s">
        <v>42715</v>
      </c>
      <c r="G2053" t="s">
        <v>42716</v>
      </c>
      <c r="H2053" t="s">
        <v>42717</v>
      </c>
      <c r="I2053" t="s">
        <v>42718</v>
      </c>
      <c r="J2053" t="s">
        <v>42719</v>
      </c>
      <c r="K2053" t="s">
        <v>42720</v>
      </c>
      <c r="L2053" t="s">
        <v>42721</v>
      </c>
      <c r="M2053" t="s">
        <v>42722</v>
      </c>
      <c r="N2053" t="s">
        <v>42723</v>
      </c>
      <c r="O2053">
        <f>-893.316115350083 -4.92826103102925 -494.731874403618</f>
        <v>-1392.9762507847304</v>
      </c>
      <c r="P2053">
        <f>-932.303508059572 -32.2702557159059 -204.346603132325</f>
        <v>-1168.9203669078029</v>
      </c>
      <c r="Q2053" t="s">
        <v>42724</v>
      </c>
      <c r="R2053" t="s">
        <v>42725</v>
      </c>
      <c r="S2053" t="s">
        <v>42726</v>
      </c>
      <c r="T2053" t="s">
        <v>42727</v>
      </c>
      <c r="U2053" t="s">
        <v>42728</v>
      </c>
      <c r="V2053" t="s">
        <v>42729</v>
      </c>
      <c r="W2053" t="s">
        <v>42730</v>
      </c>
      <c r="X2053" t="s">
        <v>42731</v>
      </c>
      <c r="Y2053" t="s">
        <v>42732</v>
      </c>
    </row>
    <row r="2054" spans="1:25" x14ac:dyDescent="0.3">
      <c r="A2054">
        <v>102650</v>
      </c>
      <c r="B2054" t="s">
        <v>42733</v>
      </c>
      <c r="C2054" t="s">
        <v>42734</v>
      </c>
      <c r="D2054" t="s">
        <v>42735</v>
      </c>
      <c r="E2054" t="s">
        <v>42736</v>
      </c>
      <c r="F2054" t="s">
        <v>42737</v>
      </c>
      <c r="G2054" t="s">
        <v>42738</v>
      </c>
      <c r="H2054" t="s">
        <v>42739</v>
      </c>
      <c r="I2054" t="s">
        <v>42740</v>
      </c>
      <c r="J2054" t="s">
        <v>42741</v>
      </c>
      <c r="K2054" t="s">
        <v>42742</v>
      </c>
      <c r="L2054" t="s">
        <v>42743</v>
      </c>
      <c r="M2054" t="s">
        <v>42744</v>
      </c>
      <c r="N2054" t="s">
        <v>42745</v>
      </c>
      <c r="O2054">
        <f>-894.592506981246 -5.08271111231261 -494.874228440619</f>
        <v>-1394.5494465341776</v>
      </c>
      <c r="P2054">
        <f>-930.731654760723 -32.1499291326195 -204.094980141558</f>
        <v>-1166.9765640349005</v>
      </c>
      <c r="Q2054" t="s">
        <v>42746</v>
      </c>
      <c r="R2054" t="s">
        <v>42747</v>
      </c>
      <c r="S2054" t="s">
        <v>42748</v>
      </c>
      <c r="T2054" t="s">
        <v>42749</v>
      </c>
      <c r="U2054" t="s">
        <v>42750</v>
      </c>
      <c r="V2054" t="s">
        <v>42751</v>
      </c>
      <c r="W2054" t="s">
        <v>42752</v>
      </c>
      <c r="X2054" t="s">
        <v>42753</v>
      </c>
      <c r="Y2054" t="s">
        <v>42754</v>
      </c>
    </row>
    <row r="2055" spans="1:25" x14ac:dyDescent="0.3">
      <c r="A2055">
        <v>102700</v>
      </c>
      <c r="B2055" t="s">
        <v>42755</v>
      </c>
      <c r="C2055" t="s">
        <v>42756</v>
      </c>
      <c r="D2055" t="s">
        <v>42757</v>
      </c>
      <c r="E2055" t="s">
        <v>42758</v>
      </c>
      <c r="F2055" t="s">
        <v>42759</v>
      </c>
      <c r="G2055" t="s">
        <v>42760</v>
      </c>
      <c r="H2055" t="s">
        <v>42761</v>
      </c>
      <c r="I2055" t="s">
        <v>42762</v>
      </c>
      <c r="J2055" t="s">
        <v>42763</v>
      </c>
      <c r="K2055" t="s">
        <v>42764</v>
      </c>
      <c r="L2055" t="s">
        <v>42765</v>
      </c>
      <c r="M2055" t="s">
        <v>42766</v>
      </c>
      <c r="N2055" t="s">
        <v>42767</v>
      </c>
      <c r="O2055">
        <f>-895.443853302987 -7.19716235305214 -495.616240705853</f>
        <v>-1398.2572563618921</v>
      </c>
      <c r="P2055">
        <f>-928.081936890208 -32.5126876268532 -204.265705097883</f>
        <v>-1164.8603296149442</v>
      </c>
      <c r="Q2055" t="s">
        <v>42768</v>
      </c>
      <c r="R2055" t="s">
        <v>42769</v>
      </c>
      <c r="S2055" t="s">
        <v>42770</v>
      </c>
      <c r="T2055" t="s">
        <v>42771</v>
      </c>
      <c r="U2055" t="s">
        <v>42772</v>
      </c>
      <c r="V2055" t="s">
        <v>42773</v>
      </c>
      <c r="W2055" t="s">
        <v>42774</v>
      </c>
      <c r="X2055" t="s">
        <v>42775</v>
      </c>
      <c r="Y2055" t="s">
        <v>42776</v>
      </c>
    </row>
    <row r="2056" spans="1:25" x14ac:dyDescent="0.3">
      <c r="A2056">
        <v>102750</v>
      </c>
      <c r="B2056" t="s">
        <v>42777</v>
      </c>
      <c r="C2056" t="s">
        <v>42778</v>
      </c>
      <c r="D2056" t="s">
        <v>42779</v>
      </c>
      <c r="E2056" t="s">
        <v>42780</v>
      </c>
      <c r="F2056" t="s">
        <v>42781</v>
      </c>
      <c r="G2056" t="s">
        <v>42782</v>
      </c>
      <c r="H2056" t="s">
        <v>42783</v>
      </c>
      <c r="I2056" t="s">
        <v>42784</v>
      </c>
      <c r="J2056" t="s">
        <v>42785</v>
      </c>
      <c r="K2056" t="s">
        <v>42786</v>
      </c>
      <c r="L2056" t="s">
        <v>42787</v>
      </c>
      <c r="M2056" t="s">
        <v>42788</v>
      </c>
      <c r="N2056" t="s">
        <v>42789</v>
      </c>
      <c r="O2056">
        <f>-894.963376910212 -8.62944648841221 -496.06137548294</f>
        <v>-1399.6541988815643</v>
      </c>
      <c r="P2056">
        <f>-926.338269482087 -33.445758982019 -204.529279065829</f>
        <v>-1164.3133075299349</v>
      </c>
      <c r="Q2056" t="s">
        <v>42790</v>
      </c>
      <c r="R2056" t="s">
        <v>42791</v>
      </c>
      <c r="S2056" t="s">
        <v>42792</v>
      </c>
      <c r="T2056" t="s">
        <v>42793</v>
      </c>
      <c r="U2056" t="s">
        <v>42794</v>
      </c>
      <c r="V2056" t="s">
        <v>42795</v>
      </c>
      <c r="W2056" t="s">
        <v>42796</v>
      </c>
      <c r="X2056" t="s">
        <v>42797</v>
      </c>
      <c r="Y2056" t="s">
        <v>42798</v>
      </c>
    </row>
    <row r="2057" spans="1:25" x14ac:dyDescent="0.3">
      <c r="A2057">
        <v>102800</v>
      </c>
      <c r="B2057" t="s">
        <v>42799</v>
      </c>
      <c r="C2057" t="s">
        <v>42800</v>
      </c>
      <c r="D2057" t="s">
        <v>42801</v>
      </c>
      <c r="E2057" t="s">
        <v>42802</v>
      </c>
      <c r="F2057" t="s">
        <v>42803</v>
      </c>
      <c r="G2057" t="s">
        <v>42804</v>
      </c>
      <c r="H2057" t="s">
        <v>42805</v>
      </c>
      <c r="I2057" t="s">
        <v>42806</v>
      </c>
      <c r="J2057" t="s">
        <v>42807</v>
      </c>
      <c r="K2057" t="s">
        <v>42808</v>
      </c>
      <c r="L2057" t="s">
        <v>42809</v>
      </c>
      <c r="M2057" t="s">
        <v>42810</v>
      </c>
      <c r="N2057" t="s">
        <v>42811</v>
      </c>
      <c r="O2057">
        <f>-894.238918417059 -10.0537867921271 -496.078554063384</f>
        <v>-1400.3712592725701</v>
      </c>
      <c r="P2057">
        <f>-922.362196819261 -34.6423870982203 -204.195482956335</f>
        <v>-1161.2000668738165</v>
      </c>
      <c r="Q2057" t="s">
        <v>42812</v>
      </c>
      <c r="R2057" t="s">
        <v>42813</v>
      </c>
      <c r="S2057" t="s">
        <v>42814</v>
      </c>
      <c r="T2057" t="s">
        <v>42815</v>
      </c>
      <c r="U2057" t="s">
        <v>42816</v>
      </c>
      <c r="V2057" t="s">
        <v>42817</v>
      </c>
      <c r="W2057" t="s">
        <v>42818</v>
      </c>
      <c r="X2057" t="s">
        <v>42819</v>
      </c>
      <c r="Y2057" t="s">
        <v>42820</v>
      </c>
    </row>
    <row r="2058" spans="1:25" x14ac:dyDescent="0.3">
      <c r="A2058">
        <v>102850</v>
      </c>
      <c r="B2058" t="s">
        <v>42821</v>
      </c>
      <c r="C2058" t="s">
        <v>42822</v>
      </c>
      <c r="D2058" t="s">
        <v>42823</v>
      </c>
      <c r="E2058" t="s">
        <v>42824</v>
      </c>
      <c r="F2058" t="s">
        <v>42825</v>
      </c>
      <c r="G2058" t="s">
        <v>42826</v>
      </c>
      <c r="H2058" t="s">
        <v>42827</v>
      </c>
      <c r="I2058" t="s">
        <v>42828</v>
      </c>
      <c r="J2058" t="s">
        <v>42829</v>
      </c>
      <c r="K2058" t="s">
        <v>42830</v>
      </c>
      <c r="L2058" t="s">
        <v>42831</v>
      </c>
      <c r="M2058" t="s">
        <v>42832</v>
      </c>
      <c r="N2058" t="s">
        <v>42833</v>
      </c>
      <c r="O2058">
        <f>-894.713612639782 -10.2063646507745 -495.653944854712</f>
        <v>-1400.5739221452686</v>
      </c>
      <c r="P2058">
        <f>-920.97899104875 -34.2063776567734 -203.548985531985</f>
        <v>-1158.7343542375083</v>
      </c>
      <c r="Q2058" t="s">
        <v>42834</v>
      </c>
      <c r="R2058" t="s">
        <v>42835</v>
      </c>
      <c r="S2058" t="s">
        <v>42836</v>
      </c>
      <c r="T2058" t="s">
        <v>42837</v>
      </c>
      <c r="U2058" t="s">
        <v>42838</v>
      </c>
      <c r="V2058" t="s">
        <v>42839</v>
      </c>
      <c r="W2058" t="s">
        <v>42840</v>
      </c>
      <c r="X2058" t="s">
        <v>42841</v>
      </c>
      <c r="Y2058" t="s">
        <v>42842</v>
      </c>
    </row>
    <row r="2059" spans="1:25" x14ac:dyDescent="0.3">
      <c r="A2059">
        <v>102900</v>
      </c>
      <c r="B2059" t="s">
        <v>42843</v>
      </c>
      <c r="C2059" t="s">
        <v>42844</v>
      </c>
      <c r="D2059" t="s">
        <v>42845</v>
      </c>
      <c r="E2059" t="s">
        <v>42846</v>
      </c>
      <c r="F2059" t="s">
        <v>42847</v>
      </c>
      <c r="G2059" t="s">
        <v>42848</v>
      </c>
      <c r="H2059" t="s">
        <v>42849</v>
      </c>
      <c r="I2059" t="s">
        <v>42850</v>
      </c>
      <c r="J2059" t="s">
        <v>42851</v>
      </c>
      <c r="K2059" t="s">
        <v>42852</v>
      </c>
      <c r="L2059" t="s">
        <v>42853</v>
      </c>
      <c r="M2059" t="s">
        <v>42854</v>
      </c>
      <c r="N2059" t="s">
        <v>42855</v>
      </c>
      <c r="O2059">
        <f>-896.419549353281 -10.3408470327336 -495.048201299934</f>
        <v>-1401.8085976859486</v>
      </c>
      <c r="P2059">
        <f>-920.261350074471 -32.1170301612342 -202.561358093365</f>
        <v>-1154.9397383290702</v>
      </c>
      <c r="Q2059" t="s">
        <v>42856</v>
      </c>
      <c r="R2059" t="s">
        <v>42857</v>
      </c>
      <c r="S2059" t="s">
        <v>42858</v>
      </c>
      <c r="T2059" t="s">
        <v>42859</v>
      </c>
      <c r="U2059" t="s">
        <v>42860</v>
      </c>
      <c r="V2059" t="s">
        <v>42861</v>
      </c>
      <c r="W2059" t="s">
        <v>42862</v>
      </c>
      <c r="X2059" t="s">
        <v>42863</v>
      </c>
      <c r="Y2059" t="s">
        <v>42864</v>
      </c>
    </row>
    <row r="2060" spans="1:25" x14ac:dyDescent="0.3">
      <c r="A2060">
        <v>102950</v>
      </c>
      <c r="B2060" t="s">
        <v>42865</v>
      </c>
      <c r="C2060" t="s">
        <v>42866</v>
      </c>
      <c r="D2060" t="s">
        <v>42867</v>
      </c>
      <c r="E2060" t="s">
        <v>42868</v>
      </c>
      <c r="F2060" t="s">
        <v>42869</v>
      </c>
      <c r="G2060" t="s">
        <v>42870</v>
      </c>
      <c r="H2060" t="s">
        <v>42871</v>
      </c>
      <c r="I2060" t="s">
        <v>42872</v>
      </c>
      <c r="J2060" t="s">
        <v>42873</v>
      </c>
      <c r="K2060" t="s">
        <v>42874</v>
      </c>
      <c r="L2060" t="s">
        <v>42875</v>
      </c>
      <c r="M2060" t="s">
        <v>42876</v>
      </c>
      <c r="N2060" t="s">
        <v>42877</v>
      </c>
      <c r="O2060">
        <f>-897.025103956095 -10.5706489249251 -495.014100881919</f>
        <v>-1402.6098537629391</v>
      </c>
      <c r="P2060">
        <f>-920.342486731692 -31.6189695523294 -202.431639576041</f>
        <v>-1154.3930958600624</v>
      </c>
      <c r="Q2060" t="s">
        <v>42878</v>
      </c>
      <c r="R2060" t="s">
        <v>42879</v>
      </c>
      <c r="S2060" t="s">
        <v>42880</v>
      </c>
      <c r="T2060" t="s">
        <v>42881</v>
      </c>
      <c r="U2060" t="s">
        <v>42882</v>
      </c>
      <c r="V2060" t="s">
        <v>42883</v>
      </c>
      <c r="W2060" t="s">
        <v>42884</v>
      </c>
      <c r="X2060" t="s">
        <v>42885</v>
      </c>
      <c r="Y2060" t="s">
        <v>42886</v>
      </c>
    </row>
    <row r="2061" spans="1:25" x14ac:dyDescent="0.3">
      <c r="A2061">
        <v>103000</v>
      </c>
      <c r="B2061" t="s">
        <v>42887</v>
      </c>
      <c r="C2061" t="s">
        <v>42888</v>
      </c>
      <c r="D2061" t="s">
        <v>42889</v>
      </c>
      <c r="E2061" t="s">
        <v>42890</v>
      </c>
      <c r="F2061" t="s">
        <v>42891</v>
      </c>
      <c r="G2061" t="s">
        <v>42892</v>
      </c>
      <c r="H2061" t="s">
        <v>42893</v>
      </c>
      <c r="I2061" t="s">
        <v>42894</v>
      </c>
      <c r="J2061" t="s">
        <v>42895</v>
      </c>
      <c r="K2061" t="s">
        <v>42896</v>
      </c>
      <c r="L2061" t="s">
        <v>42897</v>
      </c>
      <c r="M2061" t="s">
        <v>42898</v>
      </c>
      <c r="N2061" t="s">
        <v>42899</v>
      </c>
      <c r="O2061">
        <f>-896.442408582426 -11.3113622150399 -495.11559035851</f>
        <v>-1402.8693611559759</v>
      </c>
      <c r="P2061">
        <f>-919.470261015246 -32.281715828226 -202.504585161873</f>
        <v>-1154.2565620053449</v>
      </c>
      <c r="Q2061" t="s">
        <v>42900</v>
      </c>
      <c r="R2061" t="s">
        <v>42901</v>
      </c>
      <c r="S2061" t="s">
        <v>42902</v>
      </c>
      <c r="T2061" t="s">
        <v>42903</v>
      </c>
      <c r="U2061" t="s">
        <v>42904</v>
      </c>
      <c r="V2061" t="s">
        <v>42905</v>
      </c>
      <c r="W2061" t="s">
        <v>42906</v>
      </c>
      <c r="X2061" t="s">
        <v>42907</v>
      </c>
      <c r="Y2061" t="s">
        <v>42908</v>
      </c>
    </row>
    <row r="2062" spans="1:25" x14ac:dyDescent="0.3">
      <c r="A2062">
        <v>103050</v>
      </c>
      <c r="B2062" t="s">
        <v>42909</v>
      </c>
      <c r="C2062" t="s">
        <v>42910</v>
      </c>
      <c r="D2062" t="s">
        <v>42911</v>
      </c>
      <c r="E2062" t="s">
        <v>42912</v>
      </c>
      <c r="F2062" t="s">
        <v>42913</v>
      </c>
      <c r="G2062" t="s">
        <v>42914</v>
      </c>
      <c r="H2062" t="s">
        <v>42915</v>
      </c>
      <c r="I2062" t="s">
        <v>42916</v>
      </c>
      <c r="J2062" t="s">
        <v>42917</v>
      </c>
      <c r="K2062" t="s">
        <v>42918</v>
      </c>
      <c r="L2062" t="s">
        <v>42919</v>
      </c>
      <c r="M2062" t="s">
        <v>42920</v>
      </c>
      <c r="N2062" t="s">
        <v>42921</v>
      </c>
      <c r="O2062">
        <f>-895.804951479942 -11.5197557880961 -495.225635022938</f>
        <v>-1402.550342290976</v>
      </c>
      <c r="P2062">
        <f>-918.535100608582 -32.7939931742226 -202.613337503853</f>
        <v>-1153.9424312866574</v>
      </c>
      <c r="Q2062" t="s">
        <v>42922</v>
      </c>
      <c r="R2062" t="s">
        <v>42923</v>
      </c>
      <c r="S2062" t="s">
        <v>42924</v>
      </c>
      <c r="T2062" t="s">
        <v>42925</v>
      </c>
      <c r="U2062" t="s">
        <v>42926</v>
      </c>
      <c r="V2062" t="s">
        <v>42927</v>
      </c>
      <c r="W2062" t="s">
        <v>42928</v>
      </c>
      <c r="X2062" t="s">
        <v>42929</v>
      </c>
      <c r="Y2062" t="s">
        <v>42930</v>
      </c>
    </row>
    <row r="2063" spans="1:25" x14ac:dyDescent="0.3">
      <c r="A2063">
        <v>103100</v>
      </c>
      <c r="B2063" t="s">
        <v>42931</v>
      </c>
      <c r="C2063" t="s">
        <v>42932</v>
      </c>
      <c r="D2063" t="s">
        <v>42933</v>
      </c>
      <c r="E2063" t="s">
        <v>42934</v>
      </c>
      <c r="F2063" t="s">
        <v>42935</v>
      </c>
      <c r="G2063" t="s">
        <v>42936</v>
      </c>
      <c r="H2063" t="s">
        <v>42937</v>
      </c>
      <c r="I2063" t="s">
        <v>42938</v>
      </c>
      <c r="J2063" t="s">
        <v>42939</v>
      </c>
      <c r="K2063" t="s">
        <v>42940</v>
      </c>
      <c r="L2063" t="s">
        <v>42941</v>
      </c>
      <c r="M2063" t="s">
        <v>42942</v>
      </c>
      <c r="N2063" t="s">
        <v>42943</v>
      </c>
      <c r="O2063">
        <f>-895.08837189266 -11.3254113532275 -495.420729572715</f>
        <v>-1401.8345128186024</v>
      </c>
      <c r="P2063">
        <f>-917.06937915438 -33.104187808668 -202.788203471901</f>
        <v>-1152.9617704349491</v>
      </c>
      <c r="Q2063" t="s">
        <v>42944</v>
      </c>
      <c r="R2063" t="s">
        <v>42945</v>
      </c>
      <c r="S2063" t="s">
        <v>42946</v>
      </c>
      <c r="T2063" t="s">
        <v>42947</v>
      </c>
      <c r="U2063" t="s">
        <v>42948</v>
      </c>
      <c r="V2063" t="s">
        <v>42949</v>
      </c>
      <c r="W2063" t="s">
        <v>42950</v>
      </c>
      <c r="X2063" t="s">
        <v>42951</v>
      </c>
      <c r="Y2063" t="s">
        <v>42952</v>
      </c>
    </row>
    <row r="2064" spans="1:25" x14ac:dyDescent="0.3">
      <c r="A2064">
        <v>103150</v>
      </c>
      <c r="B2064" t="s">
        <v>42953</v>
      </c>
      <c r="C2064" t="s">
        <v>42954</v>
      </c>
      <c r="D2064" t="s">
        <v>42955</v>
      </c>
      <c r="E2064" t="s">
        <v>42956</v>
      </c>
      <c r="F2064" t="s">
        <v>42957</v>
      </c>
      <c r="G2064" t="s">
        <v>42958</v>
      </c>
      <c r="H2064" t="s">
        <v>42959</v>
      </c>
      <c r="I2064" t="s">
        <v>42960</v>
      </c>
      <c r="J2064" t="s">
        <v>42961</v>
      </c>
      <c r="K2064" t="s">
        <v>42962</v>
      </c>
      <c r="L2064" t="s">
        <v>42963</v>
      </c>
      <c r="M2064" t="s">
        <v>42964</v>
      </c>
      <c r="N2064" t="s">
        <v>42965</v>
      </c>
      <c r="O2064">
        <f>-895.308383844845 -11.1394256041217 -495.502253675376</f>
        <v>-1401.9500631243427</v>
      </c>
      <c r="P2064">
        <f>-916.997392636591 -32.9238817619507 -202.848513693628</f>
        <v>-1152.7697880921698</v>
      </c>
      <c r="Q2064" t="s">
        <v>42966</v>
      </c>
      <c r="R2064" t="s">
        <v>42967</v>
      </c>
      <c r="S2064" t="s">
        <v>42968</v>
      </c>
      <c r="T2064" t="s">
        <v>42969</v>
      </c>
      <c r="U2064" t="s">
        <v>42970</v>
      </c>
      <c r="V2064" t="s">
        <v>42971</v>
      </c>
      <c r="W2064" t="s">
        <v>42972</v>
      </c>
      <c r="X2064" t="s">
        <v>42973</v>
      </c>
      <c r="Y2064" t="s">
        <v>42974</v>
      </c>
    </row>
    <row r="2065" spans="1:25" x14ac:dyDescent="0.3">
      <c r="A2065">
        <v>103200</v>
      </c>
      <c r="B2065" t="s">
        <v>42975</v>
      </c>
      <c r="C2065" t="s">
        <v>42976</v>
      </c>
      <c r="D2065" t="s">
        <v>42977</v>
      </c>
      <c r="E2065" t="s">
        <v>42978</v>
      </c>
      <c r="F2065" t="s">
        <v>42979</v>
      </c>
      <c r="G2065" t="s">
        <v>42980</v>
      </c>
      <c r="H2065" t="s">
        <v>42981</v>
      </c>
      <c r="I2065" t="s">
        <v>42982</v>
      </c>
      <c r="J2065" t="s">
        <v>42983</v>
      </c>
      <c r="K2065" t="s">
        <v>42984</v>
      </c>
      <c r="L2065" t="s">
        <v>42985</v>
      </c>
      <c r="M2065" t="s">
        <v>42986</v>
      </c>
      <c r="N2065" t="s">
        <v>42987</v>
      </c>
      <c r="O2065">
        <f>-895.836781461133 -10.914647988609 -495.712258085946</f>
        <v>-1402.463687535688</v>
      </c>
      <c r="P2065">
        <f>-917.506094278712 -32.6364601121027 -203.052549471635</f>
        <v>-1153.1951038624497</v>
      </c>
      <c r="Q2065" t="s">
        <v>42988</v>
      </c>
      <c r="R2065" t="s">
        <v>42989</v>
      </c>
      <c r="S2065" t="s">
        <v>42990</v>
      </c>
      <c r="T2065" t="s">
        <v>42991</v>
      </c>
      <c r="U2065" t="s">
        <v>42992</v>
      </c>
      <c r="V2065" t="s">
        <v>42993</v>
      </c>
      <c r="W2065" t="s">
        <v>42994</v>
      </c>
      <c r="X2065" t="s">
        <v>42995</v>
      </c>
      <c r="Y2065" t="s">
        <v>42996</v>
      </c>
    </row>
    <row r="2066" spans="1:25" x14ac:dyDescent="0.3">
      <c r="A2066">
        <v>103250</v>
      </c>
      <c r="B2066" t="s">
        <v>42997</v>
      </c>
      <c r="C2066" t="s">
        <v>42998</v>
      </c>
      <c r="D2066" t="s">
        <v>42999</v>
      </c>
      <c r="E2066" t="s">
        <v>43000</v>
      </c>
      <c r="F2066" t="s">
        <v>43001</v>
      </c>
      <c r="G2066" t="s">
        <v>43002</v>
      </c>
      <c r="H2066" t="s">
        <v>43003</v>
      </c>
      <c r="I2066" t="s">
        <v>43004</v>
      </c>
      <c r="J2066" t="s">
        <v>43005</v>
      </c>
      <c r="K2066" t="s">
        <v>43006</v>
      </c>
      <c r="L2066" t="s">
        <v>43007</v>
      </c>
      <c r="M2066" t="s">
        <v>43008</v>
      </c>
      <c r="N2066" t="s">
        <v>43009</v>
      </c>
      <c r="O2066">
        <f>-896.311043089371 -10.8545500126002 -495.783168869881</f>
        <v>-1402.948761971852</v>
      </c>
      <c r="P2066">
        <f>-918.080337601043 -32.5868275286575 -203.131318374326</f>
        <v>-1153.7984835040265</v>
      </c>
      <c r="Q2066" t="s">
        <v>43010</v>
      </c>
      <c r="R2066" t="s">
        <v>43011</v>
      </c>
      <c r="S2066" t="s">
        <v>43012</v>
      </c>
      <c r="T2066" t="s">
        <v>43013</v>
      </c>
      <c r="U2066" t="s">
        <v>43014</v>
      </c>
      <c r="V2066" t="s">
        <v>43015</v>
      </c>
      <c r="W2066" t="s">
        <v>43016</v>
      </c>
      <c r="X2066" t="s">
        <v>43017</v>
      </c>
      <c r="Y2066" t="s">
        <v>43018</v>
      </c>
    </row>
    <row r="2067" spans="1:25" x14ac:dyDescent="0.3">
      <c r="A2067">
        <v>103300</v>
      </c>
      <c r="B2067" t="s">
        <v>43019</v>
      </c>
      <c r="C2067" t="s">
        <v>43020</v>
      </c>
      <c r="D2067" t="s">
        <v>43021</v>
      </c>
      <c r="E2067" t="s">
        <v>43022</v>
      </c>
      <c r="F2067" t="s">
        <v>43023</v>
      </c>
      <c r="G2067" t="s">
        <v>43024</v>
      </c>
      <c r="H2067" t="s">
        <v>43025</v>
      </c>
      <c r="I2067" t="s">
        <v>43026</v>
      </c>
      <c r="J2067" t="s">
        <v>43027</v>
      </c>
      <c r="K2067" t="s">
        <v>43028</v>
      </c>
      <c r="L2067" t="s">
        <v>43029</v>
      </c>
      <c r="M2067" t="s">
        <v>43030</v>
      </c>
      <c r="N2067" t="s">
        <v>43031</v>
      </c>
      <c r="O2067">
        <f>-897.57411275472 -10.5161218781532 -495.849439312812</f>
        <v>-1403.9396739456852</v>
      </c>
      <c r="P2067">
        <f>-919.487959549576 -32.1580316062991 -203.201830386546</f>
        <v>-1154.8478215424211</v>
      </c>
      <c r="Q2067" t="s">
        <v>43032</v>
      </c>
      <c r="R2067" t="s">
        <v>43033</v>
      </c>
      <c r="S2067" t="s">
        <v>43034</v>
      </c>
      <c r="T2067" t="s">
        <v>43035</v>
      </c>
      <c r="U2067" t="s">
        <v>43036</v>
      </c>
      <c r="V2067" t="s">
        <v>43037</v>
      </c>
      <c r="W2067" t="s">
        <v>43038</v>
      </c>
      <c r="X2067" t="s">
        <v>43039</v>
      </c>
      <c r="Y2067" t="s">
        <v>43040</v>
      </c>
    </row>
    <row r="2068" spans="1:25" x14ac:dyDescent="0.3">
      <c r="A2068">
        <v>103350</v>
      </c>
      <c r="B2068" t="s">
        <v>43041</v>
      </c>
      <c r="C2068" t="s">
        <v>43042</v>
      </c>
      <c r="D2068" t="s">
        <v>43043</v>
      </c>
      <c r="E2068" t="s">
        <v>43044</v>
      </c>
      <c r="F2068" t="s">
        <v>43045</v>
      </c>
      <c r="G2068" t="s">
        <v>43046</v>
      </c>
      <c r="H2068" t="s">
        <v>43047</v>
      </c>
      <c r="I2068" t="s">
        <v>43048</v>
      </c>
      <c r="J2068" t="s">
        <v>43049</v>
      </c>
      <c r="K2068" t="s">
        <v>43050</v>
      </c>
      <c r="L2068" t="s">
        <v>43051</v>
      </c>
      <c r="M2068" t="s">
        <v>43052</v>
      </c>
      <c r="N2068" t="s">
        <v>43053</v>
      </c>
      <c r="O2068">
        <f>-898.344377087517 -10.3157011861408 -495.83584757995</f>
        <v>-1404.4959258536078</v>
      </c>
      <c r="P2068">
        <f>-920.288630266842 -31.8099325477451 -203.17954066712</f>
        <v>-1155.2781034817071</v>
      </c>
      <c r="Q2068" t="s">
        <v>43054</v>
      </c>
      <c r="R2068" t="s">
        <v>43055</v>
      </c>
      <c r="S2068" t="s">
        <v>43056</v>
      </c>
      <c r="T2068" t="s">
        <v>43057</v>
      </c>
      <c r="U2068" t="s">
        <v>43058</v>
      </c>
      <c r="V2068" t="s">
        <v>43059</v>
      </c>
      <c r="W2068" t="s">
        <v>43060</v>
      </c>
      <c r="X2068" t="s">
        <v>43061</v>
      </c>
      <c r="Y2068" t="s">
        <v>43062</v>
      </c>
    </row>
    <row r="2069" spans="1:25" x14ac:dyDescent="0.3">
      <c r="A2069">
        <v>103400</v>
      </c>
      <c r="B2069" t="s">
        <v>43063</v>
      </c>
      <c r="C2069" t="s">
        <v>43064</v>
      </c>
      <c r="D2069" t="s">
        <v>43065</v>
      </c>
      <c r="E2069" t="s">
        <v>43066</v>
      </c>
      <c r="F2069" t="s">
        <v>43067</v>
      </c>
      <c r="G2069" t="s">
        <v>43068</v>
      </c>
      <c r="H2069" t="s">
        <v>43069</v>
      </c>
      <c r="I2069" t="s">
        <v>43070</v>
      </c>
      <c r="J2069" t="s">
        <v>43071</v>
      </c>
      <c r="K2069" t="s">
        <v>43072</v>
      </c>
      <c r="L2069" t="s">
        <v>43073</v>
      </c>
      <c r="M2069" t="s">
        <v>43074</v>
      </c>
      <c r="N2069" t="s">
        <v>43075</v>
      </c>
      <c r="O2069">
        <f>-900.106690122406 -10.1502941080507 -495.769753267594</f>
        <v>-1406.0267374980508</v>
      </c>
      <c r="P2069">
        <f>-922.067280530346 -31.3063950234914 -203.089973805515</f>
        <v>-1156.4636493593525</v>
      </c>
      <c r="Q2069" t="s">
        <v>43076</v>
      </c>
      <c r="R2069" t="s">
        <v>43077</v>
      </c>
      <c r="S2069" t="s">
        <v>43078</v>
      </c>
      <c r="T2069" t="s">
        <v>43079</v>
      </c>
      <c r="U2069" t="s">
        <v>43080</v>
      </c>
      <c r="V2069" t="s">
        <v>43081</v>
      </c>
      <c r="W2069" t="s">
        <v>43082</v>
      </c>
      <c r="X2069" t="s">
        <v>43083</v>
      </c>
      <c r="Y2069" t="s">
        <v>43084</v>
      </c>
    </row>
    <row r="2070" spans="1:25" x14ac:dyDescent="0.3">
      <c r="A2070">
        <v>103450</v>
      </c>
      <c r="B2070" t="s">
        <v>43085</v>
      </c>
      <c r="C2070" t="s">
        <v>43086</v>
      </c>
      <c r="D2070" t="s">
        <v>43087</v>
      </c>
      <c r="E2070" t="s">
        <v>43088</v>
      </c>
      <c r="F2070" t="s">
        <v>43089</v>
      </c>
      <c r="G2070" t="s">
        <v>43090</v>
      </c>
      <c r="H2070" t="s">
        <v>43091</v>
      </c>
      <c r="I2070" t="s">
        <v>43092</v>
      </c>
      <c r="J2070" t="s">
        <v>43093</v>
      </c>
      <c r="K2070" t="s">
        <v>43094</v>
      </c>
      <c r="L2070" t="s">
        <v>43095</v>
      </c>
      <c r="M2070" t="s">
        <v>43096</v>
      </c>
      <c r="N2070" t="s">
        <v>43097</v>
      </c>
      <c r="O2070">
        <f>-900.915532612695 -10.0882560359128 -495.733108119734</f>
        <v>-1406.7368967683417</v>
      </c>
      <c r="P2070">
        <f>-922.835042665178 -31.1121077701323 -203.041009419961</f>
        <v>-1156.9881598552713</v>
      </c>
      <c r="Q2070" t="s">
        <v>43098</v>
      </c>
      <c r="R2070" t="s">
        <v>43099</v>
      </c>
      <c r="S2070" t="s">
        <v>43100</v>
      </c>
      <c r="T2070" t="s">
        <v>43101</v>
      </c>
      <c r="U2070" t="s">
        <v>43102</v>
      </c>
      <c r="V2070" t="s">
        <v>43103</v>
      </c>
      <c r="W2070" t="s">
        <v>43104</v>
      </c>
      <c r="X2070" t="s">
        <v>43105</v>
      </c>
      <c r="Y2070" t="s">
        <v>43106</v>
      </c>
    </row>
    <row r="2071" spans="1:25" x14ac:dyDescent="0.3">
      <c r="A2071">
        <v>103500</v>
      </c>
      <c r="B2071" t="s">
        <v>43107</v>
      </c>
      <c r="C2071" t="s">
        <v>43108</v>
      </c>
      <c r="D2071" t="s">
        <v>43109</v>
      </c>
      <c r="E2071" t="s">
        <v>43110</v>
      </c>
      <c r="F2071" t="s">
        <v>43111</v>
      </c>
      <c r="G2071" t="s">
        <v>43112</v>
      </c>
      <c r="H2071" t="s">
        <v>43113</v>
      </c>
      <c r="I2071" t="s">
        <v>43114</v>
      </c>
      <c r="J2071" t="s">
        <v>43115</v>
      </c>
      <c r="K2071" t="s">
        <v>43116</v>
      </c>
      <c r="L2071" t="s">
        <v>43117</v>
      </c>
      <c r="M2071" t="s">
        <v>43118</v>
      </c>
      <c r="N2071" t="s">
        <v>43119</v>
      </c>
      <c r="O2071">
        <f>-902.451588593813 -10.2119858130691 -495.658453372064</f>
        <v>-1408.322027778946</v>
      </c>
      <c r="P2071">
        <f>-924.323817715952 -31.168235496832 -202.957683346598</f>
        <v>-1158.449736559382</v>
      </c>
      <c r="Q2071" t="s">
        <v>43120</v>
      </c>
      <c r="R2071" t="s">
        <v>43121</v>
      </c>
      <c r="S2071" t="s">
        <v>43122</v>
      </c>
      <c r="T2071" t="s">
        <v>43123</v>
      </c>
      <c r="U2071" t="s">
        <v>43124</v>
      </c>
      <c r="V2071" t="s">
        <v>43125</v>
      </c>
      <c r="W2071" t="s">
        <v>43126</v>
      </c>
      <c r="X2071" t="s">
        <v>43127</v>
      </c>
      <c r="Y2071" t="s">
        <v>43128</v>
      </c>
    </row>
    <row r="2072" spans="1:25" x14ac:dyDescent="0.3">
      <c r="A2072">
        <v>103550</v>
      </c>
      <c r="B2072" t="s">
        <v>43129</v>
      </c>
      <c r="C2072" t="s">
        <v>43130</v>
      </c>
      <c r="D2072" t="s">
        <v>43131</v>
      </c>
      <c r="E2072" t="s">
        <v>43132</v>
      </c>
      <c r="F2072" t="s">
        <v>43133</v>
      </c>
      <c r="G2072" t="s">
        <v>43134</v>
      </c>
      <c r="H2072" t="s">
        <v>43135</v>
      </c>
      <c r="I2072" t="s">
        <v>43136</v>
      </c>
      <c r="J2072" t="s">
        <v>43137</v>
      </c>
      <c r="K2072" t="s">
        <v>43138</v>
      </c>
      <c r="L2072" t="s">
        <v>43139</v>
      </c>
      <c r="M2072" t="s">
        <v>43140</v>
      </c>
      <c r="N2072" t="s">
        <v>43141</v>
      </c>
      <c r="O2072">
        <f>-903.242365950372 -10.1901897876555 -495.614737103918</f>
        <v>-1409.0472928419456</v>
      </c>
      <c r="P2072">
        <f>-925.216653878319 -31.0182677489443 -202.912552395978</f>
        <v>-1159.1474740232413</v>
      </c>
      <c r="Q2072" t="s">
        <v>43142</v>
      </c>
      <c r="R2072" t="s">
        <v>43143</v>
      </c>
      <c r="S2072" t="s">
        <v>43144</v>
      </c>
      <c r="T2072" t="s">
        <v>43145</v>
      </c>
      <c r="U2072" t="s">
        <v>43146</v>
      </c>
      <c r="V2072" t="s">
        <v>43147</v>
      </c>
      <c r="W2072" t="s">
        <v>43148</v>
      </c>
      <c r="X2072" t="s">
        <v>43149</v>
      </c>
      <c r="Y2072" t="s">
        <v>43150</v>
      </c>
    </row>
    <row r="2073" spans="1:25" x14ac:dyDescent="0.3">
      <c r="A2073">
        <v>103600</v>
      </c>
      <c r="B2073" t="s">
        <v>43151</v>
      </c>
      <c r="C2073" t="s">
        <v>43152</v>
      </c>
      <c r="D2073" t="s">
        <v>43153</v>
      </c>
      <c r="E2073" t="s">
        <v>43154</v>
      </c>
      <c r="F2073" t="s">
        <v>43155</v>
      </c>
      <c r="G2073" t="s">
        <v>43156</v>
      </c>
      <c r="H2073" t="s">
        <v>43157</v>
      </c>
      <c r="I2073" t="s">
        <v>43158</v>
      </c>
      <c r="J2073" t="s">
        <v>43159</v>
      </c>
      <c r="K2073" t="s">
        <v>43160</v>
      </c>
      <c r="L2073" t="s">
        <v>43161</v>
      </c>
      <c r="M2073" t="s">
        <v>43162</v>
      </c>
      <c r="N2073" t="s">
        <v>43163</v>
      </c>
      <c r="O2073">
        <f>-904.733794350524 -10.249834747246 -495.609794937738</f>
        <v>-1410.5934240355082</v>
      </c>
      <c r="P2073">
        <f>-927.110214760711 -30.6593994805548 -202.908662801561</f>
        <v>-1160.6782770428267</v>
      </c>
      <c r="Q2073" t="s">
        <v>43164</v>
      </c>
      <c r="R2073" t="s">
        <v>43165</v>
      </c>
      <c r="S2073" t="s">
        <v>43166</v>
      </c>
      <c r="T2073" t="s">
        <v>43167</v>
      </c>
      <c r="U2073" t="s">
        <v>43168</v>
      </c>
      <c r="V2073" t="s">
        <v>43169</v>
      </c>
      <c r="W2073" t="s">
        <v>43170</v>
      </c>
      <c r="X2073" t="s">
        <v>43171</v>
      </c>
      <c r="Y2073" t="s">
        <v>43172</v>
      </c>
    </row>
    <row r="2074" spans="1:25" x14ac:dyDescent="0.3">
      <c r="A2074">
        <v>103650</v>
      </c>
      <c r="B2074" t="s">
        <v>43173</v>
      </c>
      <c r="C2074" t="s">
        <v>43174</v>
      </c>
      <c r="D2074" t="s">
        <v>43175</v>
      </c>
      <c r="E2074" t="s">
        <v>43176</v>
      </c>
      <c r="F2074" t="s">
        <v>43177</v>
      </c>
      <c r="G2074" t="s">
        <v>43178</v>
      </c>
      <c r="H2074" t="s">
        <v>43179</v>
      </c>
      <c r="I2074" t="s">
        <v>43180</v>
      </c>
      <c r="J2074" t="s">
        <v>43181</v>
      </c>
      <c r="K2074" t="s">
        <v>43182</v>
      </c>
      <c r="L2074" t="s">
        <v>43183</v>
      </c>
      <c r="M2074" t="s">
        <v>43184</v>
      </c>
      <c r="N2074" t="s">
        <v>43185</v>
      </c>
      <c r="O2074">
        <f>-905.351823121454 -10.1968853701787 -495.693956983543</f>
        <v>-1411.2426654751757</v>
      </c>
      <c r="P2074">
        <f>-927.929632331428 -30.5350599260064 -203.003291984966</f>
        <v>-1161.4679842424005</v>
      </c>
      <c r="Q2074" t="s">
        <v>43186</v>
      </c>
      <c r="R2074" t="s">
        <v>43187</v>
      </c>
      <c r="S2074" t="s">
        <v>43188</v>
      </c>
      <c r="T2074" t="s">
        <v>43189</v>
      </c>
      <c r="U2074" t="s">
        <v>43190</v>
      </c>
      <c r="V2074" t="s">
        <v>43191</v>
      </c>
      <c r="W2074" t="s">
        <v>43192</v>
      </c>
      <c r="X2074" t="s">
        <v>43193</v>
      </c>
      <c r="Y2074" t="s">
        <v>43194</v>
      </c>
    </row>
    <row r="2075" spans="1:25" x14ac:dyDescent="0.3">
      <c r="A2075">
        <v>103700</v>
      </c>
      <c r="B2075" t="s">
        <v>43195</v>
      </c>
      <c r="C2075" t="s">
        <v>43196</v>
      </c>
      <c r="D2075" t="s">
        <v>43197</v>
      </c>
      <c r="E2075" t="s">
        <v>43198</v>
      </c>
      <c r="F2075" t="s">
        <v>43199</v>
      </c>
      <c r="G2075" t="s">
        <v>43200</v>
      </c>
      <c r="H2075" t="s">
        <v>43201</v>
      </c>
      <c r="I2075" t="s">
        <v>43202</v>
      </c>
      <c r="J2075" t="s">
        <v>43203</v>
      </c>
      <c r="K2075" t="s">
        <v>43204</v>
      </c>
      <c r="L2075" t="s">
        <v>43205</v>
      </c>
      <c r="M2075" t="s">
        <v>43206</v>
      </c>
      <c r="N2075" t="s">
        <v>43207</v>
      </c>
      <c r="O2075">
        <f>-906.272455340212 -10.1102950318532 -495.91681667346</f>
        <v>-1412.2995670455252</v>
      </c>
      <c r="P2075">
        <f>-929.017103020293 -30.6576875884175 -203.253823699143</f>
        <v>-1162.9286143078534</v>
      </c>
      <c r="Q2075" t="s">
        <v>43208</v>
      </c>
      <c r="R2075" t="s">
        <v>43209</v>
      </c>
      <c r="S2075" t="s">
        <v>43210</v>
      </c>
      <c r="T2075" t="s">
        <v>43211</v>
      </c>
      <c r="U2075" t="s">
        <v>43212</v>
      </c>
      <c r="V2075" t="s">
        <v>43213</v>
      </c>
      <c r="W2075" t="s">
        <v>43214</v>
      </c>
      <c r="X2075" t="s">
        <v>43215</v>
      </c>
      <c r="Y2075" t="s">
        <v>43216</v>
      </c>
    </row>
    <row r="2076" spans="1:25" x14ac:dyDescent="0.3">
      <c r="A2076">
        <v>103750</v>
      </c>
      <c r="B2076" t="s">
        <v>43217</v>
      </c>
      <c r="C2076" t="s">
        <v>43218</v>
      </c>
      <c r="D2076" t="s">
        <v>43219</v>
      </c>
      <c r="E2076" t="s">
        <v>43220</v>
      </c>
      <c r="F2076" t="s">
        <v>43221</v>
      </c>
      <c r="G2076" t="s">
        <v>43222</v>
      </c>
      <c r="H2076" t="s">
        <v>43223</v>
      </c>
      <c r="I2076" t="s">
        <v>43224</v>
      </c>
      <c r="J2076" t="s">
        <v>43225</v>
      </c>
      <c r="K2076" t="s">
        <v>43226</v>
      </c>
      <c r="L2076" t="s">
        <v>43227</v>
      </c>
      <c r="M2076" t="s">
        <v>43228</v>
      </c>
      <c r="N2076" t="s">
        <v>43229</v>
      </c>
      <c r="O2076">
        <f>-906.785055305275 -10.1403814715077 -496.022062379837</f>
        <v>-1412.9474991566196</v>
      </c>
      <c r="P2076">
        <f>-929.448972555566 -30.8561666395508 -203.364621636778</f>
        <v>-1163.6697608318948</v>
      </c>
      <c r="Q2076" t="s">
        <v>43230</v>
      </c>
      <c r="R2076" t="s">
        <v>43231</v>
      </c>
      <c r="S2076" t="s">
        <v>43232</v>
      </c>
      <c r="T2076" t="s">
        <v>43233</v>
      </c>
      <c r="U2076" t="s">
        <v>43234</v>
      </c>
      <c r="V2076" t="s">
        <v>43235</v>
      </c>
      <c r="W2076" t="s">
        <v>43236</v>
      </c>
      <c r="X2076" t="s">
        <v>43237</v>
      </c>
      <c r="Y2076" t="s">
        <v>43238</v>
      </c>
    </row>
    <row r="2077" spans="1:25" x14ac:dyDescent="0.3">
      <c r="A2077">
        <v>103800</v>
      </c>
      <c r="B2077" t="s">
        <v>43239</v>
      </c>
      <c r="C2077" t="s">
        <v>43240</v>
      </c>
      <c r="D2077" t="s">
        <v>43241</v>
      </c>
      <c r="E2077" t="s">
        <v>43242</v>
      </c>
      <c r="F2077" t="s">
        <v>43243</v>
      </c>
      <c r="G2077" t="s">
        <v>43244</v>
      </c>
      <c r="H2077" t="s">
        <v>43245</v>
      </c>
      <c r="I2077" t="s">
        <v>43246</v>
      </c>
      <c r="J2077" t="s">
        <v>43247</v>
      </c>
      <c r="K2077" t="s">
        <v>43248</v>
      </c>
      <c r="L2077" t="s">
        <v>43249</v>
      </c>
      <c r="M2077" t="s">
        <v>43250</v>
      </c>
      <c r="N2077" t="s">
        <v>43251</v>
      </c>
      <c r="O2077">
        <f>-907.954036837354 -10.2076807971289 -496.253869046502</f>
        <v>-1414.4155866809849</v>
      </c>
      <c r="P2077">
        <f>-930.320302371773 -31.232634626891 -203.595616068382</f>
        <v>-1165.1485530670459</v>
      </c>
      <c r="Q2077" t="s">
        <v>43252</v>
      </c>
      <c r="R2077" t="s">
        <v>43253</v>
      </c>
      <c r="S2077" t="s">
        <v>43254</v>
      </c>
      <c r="T2077" t="s">
        <v>43255</v>
      </c>
      <c r="U2077" t="s">
        <v>43256</v>
      </c>
      <c r="V2077" t="s">
        <v>43257</v>
      </c>
      <c r="W2077" t="s">
        <v>43258</v>
      </c>
      <c r="X2077" t="s">
        <v>43259</v>
      </c>
      <c r="Y2077" t="s">
        <v>43260</v>
      </c>
    </row>
    <row r="2078" spans="1:25" x14ac:dyDescent="0.3">
      <c r="A2078">
        <v>103850</v>
      </c>
      <c r="B2078" t="s">
        <v>43261</v>
      </c>
      <c r="C2078" t="s">
        <v>43262</v>
      </c>
      <c r="D2078" t="s">
        <v>43263</v>
      </c>
      <c r="E2078" t="s">
        <v>43264</v>
      </c>
      <c r="F2078" t="s">
        <v>43265</v>
      </c>
      <c r="G2078" t="s">
        <v>43266</v>
      </c>
      <c r="H2078" t="s">
        <v>43267</v>
      </c>
      <c r="I2078" t="s">
        <v>43268</v>
      </c>
      <c r="J2078" t="s">
        <v>43269</v>
      </c>
      <c r="K2078" t="s">
        <v>43270</v>
      </c>
      <c r="L2078" t="s">
        <v>43271</v>
      </c>
      <c r="M2078" t="s">
        <v>43272</v>
      </c>
      <c r="N2078" t="s">
        <v>43273</v>
      </c>
      <c r="O2078">
        <f>-908.4834848238 -10.3203057190949 -496.359932167442</f>
        <v>-1415.163722710337</v>
      </c>
      <c r="P2078">
        <f>-930.659113962643 -31.5120177007889 -203.699260135601</f>
        <v>-1165.8703917990329</v>
      </c>
      <c r="Q2078" t="s">
        <v>43274</v>
      </c>
      <c r="R2078" t="s">
        <v>43275</v>
      </c>
      <c r="S2078" t="s">
        <v>43276</v>
      </c>
      <c r="T2078" t="s">
        <v>43277</v>
      </c>
      <c r="U2078" t="s">
        <v>43278</v>
      </c>
      <c r="V2078" t="s">
        <v>43279</v>
      </c>
      <c r="W2078" t="s">
        <v>43280</v>
      </c>
      <c r="X2078" t="s">
        <v>43281</v>
      </c>
      <c r="Y2078" t="s">
        <v>43282</v>
      </c>
    </row>
    <row r="2079" spans="1:25" x14ac:dyDescent="0.3">
      <c r="A2079">
        <v>103900</v>
      </c>
      <c r="B2079" t="s">
        <v>43283</v>
      </c>
      <c r="C2079" t="s">
        <v>43284</v>
      </c>
      <c r="D2079" t="s">
        <v>43285</v>
      </c>
      <c r="E2079" t="s">
        <v>43286</v>
      </c>
      <c r="F2079" t="s">
        <v>43287</v>
      </c>
      <c r="G2079" t="s">
        <v>43288</v>
      </c>
      <c r="H2079" t="s">
        <v>43289</v>
      </c>
      <c r="I2079" t="s">
        <v>43290</v>
      </c>
      <c r="J2079" t="s">
        <v>43291</v>
      </c>
      <c r="K2079" t="s">
        <v>43292</v>
      </c>
      <c r="L2079" t="s">
        <v>43293</v>
      </c>
      <c r="M2079" t="s">
        <v>43294</v>
      </c>
      <c r="N2079" t="s">
        <v>43295</v>
      </c>
      <c r="O2079">
        <f>-909.42019642043 -10.3215948265083 -496.4378658041</f>
        <v>-1416.1796570510382</v>
      </c>
      <c r="P2079">
        <f>-931.063709758036 -31.8130100767812 -203.759147320833</f>
        <v>-1166.6358671556502</v>
      </c>
      <c r="Q2079" t="s">
        <v>43296</v>
      </c>
      <c r="R2079" t="s">
        <v>43297</v>
      </c>
      <c r="S2079" t="s">
        <v>43298</v>
      </c>
      <c r="T2079" t="s">
        <v>43299</v>
      </c>
      <c r="U2079" t="s">
        <v>43300</v>
      </c>
      <c r="V2079" t="s">
        <v>43301</v>
      </c>
      <c r="W2079" t="s">
        <v>43302</v>
      </c>
      <c r="X2079" t="s">
        <v>43303</v>
      </c>
      <c r="Y2079" t="s">
        <v>43304</v>
      </c>
    </row>
    <row r="2080" spans="1:25" x14ac:dyDescent="0.3">
      <c r="A2080">
        <v>103950</v>
      </c>
      <c r="B2080" t="s">
        <v>43305</v>
      </c>
      <c r="C2080" t="s">
        <v>43306</v>
      </c>
      <c r="D2080" t="s">
        <v>43307</v>
      </c>
      <c r="E2080" t="s">
        <v>43308</v>
      </c>
      <c r="F2080" t="s">
        <v>43309</v>
      </c>
      <c r="G2080" t="s">
        <v>43310</v>
      </c>
      <c r="H2080" t="s">
        <v>43311</v>
      </c>
      <c r="I2080" t="s">
        <v>43312</v>
      </c>
      <c r="J2080" t="s">
        <v>43313</v>
      </c>
      <c r="K2080" t="s">
        <v>43314</v>
      </c>
      <c r="L2080" t="s">
        <v>43315</v>
      </c>
      <c r="M2080" t="s">
        <v>43316</v>
      </c>
      <c r="N2080" t="s">
        <v>43317</v>
      </c>
      <c r="O2080">
        <f>-909.516670246869 -10.233467056456 -496.413676104887</f>
        <v>-1416.163813408212</v>
      </c>
      <c r="P2080">
        <f>-930.963107130894 -31.7179191889309 -203.719899156345</f>
        <v>-1166.4009254761697</v>
      </c>
      <c r="Q2080" t="s">
        <v>43318</v>
      </c>
      <c r="R2080" t="s">
        <v>43319</v>
      </c>
      <c r="S2080" t="s">
        <v>43320</v>
      </c>
      <c r="T2080" t="s">
        <v>43321</v>
      </c>
      <c r="U2080" t="s">
        <v>43322</v>
      </c>
      <c r="V2080" t="s">
        <v>43323</v>
      </c>
      <c r="W2080" t="s">
        <v>43324</v>
      </c>
      <c r="X2080" t="s">
        <v>43325</v>
      </c>
      <c r="Y2080" t="s">
        <v>43326</v>
      </c>
    </row>
    <row r="2081" spans="1:25" x14ac:dyDescent="0.3">
      <c r="A2081">
        <v>104000</v>
      </c>
      <c r="B2081" t="s">
        <v>43327</v>
      </c>
      <c r="C2081" t="s">
        <v>43328</v>
      </c>
      <c r="D2081" t="s">
        <v>43329</v>
      </c>
      <c r="E2081" t="s">
        <v>43330</v>
      </c>
      <c r="F2081" t="s">
        <v>43331</v>
      </c>
      <c r="G2081" t="s">
        <v>43332</v>
      </c>
      <c r="H2081" t="s">
        <v>43333</v>
      </c>
      <c r="I2081" t="s">
        <v>43334</v>
      </c>
      <c r="J2081" t="s">
        <v>43335</v>
      </c>
      <c r="K2081" t="s">
        <v>43336</v>
      </c>
      <c r="L2081" t="s">
        <v>43337</v>
      </c>
      <c r="M2081" t="s">
        <v>43338</v>
      </c>
      <c r="N2081" t="s">
        <v>43339</v>
      </c>
      <c r="O2081">
        <f>-909.912238402939 -10.0996039236575 -496.253449948164</f>
        <v>-1416.2652922747604</v>
      </c>
      <c r="P2081">
        <f>-930.688723789533 -31.2358873674261 -203.486139989365</f>
        <v>-1165.4107511463242</v>
      </c>
      <c r="Q2081" t="s">
        <v>43340</v>
      </c>
      <c r="R2081" t="s">
        <v>43341</v>
      </c>
      <c r="S2081" t="s">
        <v>43342</v>
      </c>
      <c r="T2081" t="s">
        <v>43343</v>
      </c>
      <c r="U2081" t="s">
        <v>43344</v>
      </c>
      <c r="V2081" t="s">
        <v>43345</v>
      </c>
      <c r="W2081" t="s">
        <v>43346</v>
      </c>
      <c r="X2081" t="s">
        <v>43347</v>
      </c>
      <c r="Y2081" t="s">
        <v>43348</v>
      </c>
    </row>
    <row r="2082" spans="1:25" x14ac:dyDescent="0.3">
      <c r="A2082">
        <v>104050</v>
      </c>
      <c r="B2082" t="s">
        <v>43349</v>
      </c>
      <c r="C2082" t="s">
        <v>43350</v>
      </c>
      <c r="D2082" t="s">
        <v>43351</v>
      </c>
      <c r="E2082" t="s">
        <v>43352</v>
      </c>
      <c r="F2082" t="s">
        <v>43353</v>
      </c>
      <c r="G2082" t="s">
        <v>43354</v>
      </c>
      <c r="H2082" t="s">
        <v>43355</v>
      </c>
      <c r="I2082" t="s">
        <v>43356</v>
      </c>
      <c r="J2082" t="s">
        <v>43357</v>
      </c>
      <c r="K2082" t="s">
        <v>43358</v>
      </c>
      <c r="L2082" t="s">
        <v>43359</v>
      </c>
      <c r="M2082" t="s">
        <v>43360</v>
      </c>
      <c r="N2082" t="s">
        <v>43361</v>
      </c>
      <c r="O2082">
        <f>-910.428459945937 -10.297806724951 -495.962019134209</f>
        <v>-1416.6882858050969</v>
      </c>
      <c r="P2082">
        <f>-930.687962624686 -30.9500097235341 -203.123791846346</f>
        <v>-1164.761764194566</v>
      </c>
      <c r="Q2082" t="s">
        <v>43362</v>
      </c>
      <c r="R2082" t="s">
        <v>43363</v>
      </c>
      <c r="S2082" t="s">
        <v>43364</v>
      </c>
      <c r="T2082" t="s">
        <v>43365</v>
      </c>
      <c r="U2082" t="s">
        <v>43366</v>
      </c>
      <c r="V2082" t="s">
        <v>43367</v>
      </c>
      <c r="W2082" t="s">
        <v>43368</v>
      </c>
      <c r="X2082" t="s">
        <v>43369</v>
      </c>
      <c r="Y2082" t="s">
        <v>43370</v>
      </c>
    </row>
    <row r="2083" spans="1:25" x14ac:dyDescent="0.3">
      <c r="A2083">
        <v>104100</v>
      </c>
      <c r="B2083" t="s">
        <v>43371</v>
      </c>
      <c r="C2083" t="s">
        <v>43372</v>
      </c>
      <c r="D2083" t="s">
        <v>43373</v>
      </c>
      <c r="E2083" t="s">
        <v>43374</v>
      </c>
      <c r="F2083" t="s">
        <v>43375</v>
      </c>
      <c r="G2083" t="s">
        <v>43376</v>
      </c>
      <c r="H2083" t="s">
        <v>43377</v>
      </c>
      <c r="I2083" t="s">
        <v>43378</v>
      </c>
      <c r="J2083" t="s">
        <v>43379</v>
      </c>
      <c r="K2083" t="s">
        <v>43380</v>
      </c>
      <c r="L2083" t="s">
        <v>43381</v>
      </c>
      <c r="M2083" t="s">
        <v>43382</v>
      </c>
      <c r="N2083" t="s">
        <v>43383</v>
      </c>
      <c r="O2083">
        <f>-911.958912706964 -10.979793966238 -495.014631790966</f>
        <v>-1417.9533384641682</v>
      </c>
      <c r="P2083">
        <f>-931.344298912511 -29.9698426699433 -202.00475118516</f>
        <v>-1163.3188927676142</v>
      </c>
      <c r="Q2083" t="s">
        <v>43384</v>
      </c>
      <c r="R2083" t="s">
        <v>43385</v>
      </c>
      <c r="S2083" t="s">
        <v>43386</v>
      </c>
      <c r="T2083" t="s">
        <v>43387</v>
      </c>
      <c r="U2083" t="s">
        <v>43388</v>
      </c>
      <c r="V2083" t="s">
        <v>43389</v>
      </c>
      <c r="W2083" t="s">
        <v>43390</v>
      </c>
      <c r="X2083" t="s">
        <v>43391</v>
      </c>
      <c r="Y2083" t="s">
        <v>43392</v>
      </c>
    </row>
    <row r="2084" spans="1:25" x14ac:dyDescent="0.3">
      <c r="A2084">
        <v>104150</v>
      </c>
      <c r="B2084" t="s">
        <v>43393</v>
      </c>
      <c r="C2084" t="s">
        <v>43394</v>
      </c>
      <c r="D2084" t="s">
        <v>43395</v>
      </c>
      <c r="E2084" t="s">
        <v>43396</v>
      </c>
      <c r="F2084" t="s">
        <v>43397</v>
      </c>
      <c r="G2084" t="s">
        <v>43398</v>
      </c>
      <c r="H2084" t="s">
        <v>43399</v>
      </c>
      <c r="I2084" t="s">
        <v>43400</v>
      </c>
      <c r="J2084" t="s">
        <v>43401</v>
      </c>
      <c r="K2084" t="s">
        <v>43402</v>
      </c>
      <c r="L2084" t="s">
        <v>43403</v>
      </c>
      <c r="M2084" t="s">
        <v>43404</v>
      </c>
      <c r="N2084" t="s">
        <v>43405</v>
      </c>
      <c r="O2084">
        <f>-912.564982258571 -11.1331744685299 -494.573805198494</f>
        <v>-1418.271961925595</v>
      </c>
      <c r="P2084">
        <f>-931.788908082149 -29.0537031544022 -201.485957078762</f>
        <v>-1162.3285683153131</v>
      </c>
      <c r="Q2084" t="s">
        <v>43406</v>
      </c>
      <c r="R2084" t="s">
        <v>43407</v>
      </c>
      <c r="S2084" t="s">
        <v>43408</v>
      </c>
      <c r="T2084" t="s">
        <v>43409</v>
      </c>
      <c r="U2084" t="s">
        <v>43410</v>
      </c>
      <c r="V2084" t="s">
        <v>43411</v>
      </c>
      <c r="W2084" t="s">
        <v>43412</v>
      </c>
      <c r="X2084" t="s">
        <v>43413</v>
      </c>
      <c r="Y2084" t="s">
        <v>43414</v>
      </c>
    </row>
    <row r="2085" spans="1:25" x14ac:dyDescent="0.3">
      <c r="A2085">
        <v>104200</v>
      </c>
      <c r="B2085" t="s">
        <v>43415</v>
      </c>
      <c r="C2085" t="s">
        <v>43416</v>
      </c>
      <c r="D2085" t="s">
        <v>43417</v>
      </c>
      <c r="E2085" t="s">
        <v>43418</v>
      </c>
      <c r="F2085" t="s">
        <v>43419</v>
      </c>
      <c r="G2085" t="s">
        <v>43420</v>
      </c>
      <c r="H2085" t="s">
        <v>43421</v>
      </c>
      <c r="I2085" t="s">
        <v>43422</v>
      </c>
      <c r="J2085" t="s">
        <v>43423</v>
      </c>
      <c r="K2085" t="s">
        <v>43424</v>
      </c>
      <c r="L2085" t="s">
        <v>43425</v>
      </c>
      <c r="M2085" t="s">
        <v>43426</v>
      </c>
      <c r="N2085" t="s">
        <v>43427</v>
      </c>
      <c r="O2085">
        <f>-913.027459934002 -11.5370953302127 -494.331523833108</f>
        <v>-1418.8960790973226</v>
      </c>
      <c r="P2085">
        <f>-932.306784889561 -28.4654756877808 -201.188253241033</f>
        <v>-1161.9605138183747</v>
      </c>
      <c r="Q2085" t="s">
        <v>43428</v>
      </c>
      <c r="R2085" t="s">
        <v>43429</v>
      </c>
      <c r="S2085" t="s">
        <v>43430</v>
      </c>
      <c r="T2085" t="s">
        <v>43431</v>
      </c>
      <c r="U2085" t="s">
        <v>43432</v>
      </c>
      <c r="V2085" t="s">
        <v>43433</v>
      </c>
      <c r="W2085" t="s">
        <v>43434</v>
      </c>
      <c r="X2085" t="s">
        <v>43435</v>
      </c>
      <c r="Y2085" t="s">
        <v>43436</v>
      </c>
    </row>
    <row r="2086" spans="1:25" x14ac:dyDescent="0.3">
      <c r="A2086">
        <v>104250</v>
      </c>
      <c r="B2086" t="s">
        <v>43437</v>
      </c>
      <c r="C2086" t="s">
        <v>43438</v>
      </c>
      <c r="D2086" t="s">
        <v>43439</v>
      </c>
      <c r="E2086" t="s">
        <v>43440</v>
      </c>
      <c r="F2086" t="s">
        <v>43441</v>
      </c>
      <c r="G2086" t="s">
        <v>43442</v>
      </c>
      <c r="H2086" t="s">
        <v>43443</v>
      </c>
      <c r="I2086" t="s">
        <v>43444</v>
      </c>
      <c r="J2086" t="s">
        <v>43445</v>
      </c>
      <c r="K2086" t="s">
        <v>43446</v>
      </c>
      <c r="L2086" t="s">
        <v>43447</v>
      </c>
      <c r="M2086" t="s">
        <v>43448</v>
      </c>
      <c r="N2086" t="s">
        <v>43449</v>
      </c>
      <c r="O2086">
        <f>-912.757224639324 -11.8144919889469 -494.410680065263</f>
        <v>-1418.9823966935339</v>
      </c>
      <c r="P2086">
        <f>-932.088714116753 -28.8444902793794 -201.276668106495</f>
        <v>-1162.2098725026274</v>
      </c>
      <c r="Q2086" t="s">
        <v>43450</v>
      </c>
      <c r="R2086" t="s">
        <v>43451</v>
      </c>
      <c r="S2086" t="s">
        <v>43452</v>
      </c>
      <c r="T2086" t="s">
        <v>43453</v>
      </c>
      <c r="U2086" t="s">
        <v>43454</v>
      </c>
      <c r="V2086" t="s">
        <v>43455</v>
      </c>
      <c r="W2086" t="s">
        <v>43456</v>
      </c>
      <c r="X2086" t="s">
        <v>43457</v>
      </c>
      <c r="Y2086" t="s">
        <v>43458</v>
      </c>
    </row>
    <row r="2087" spans="1:25" x14ac:dyDescent="0.3">
      <c r="A2087">
        <v>104300</v>
      </c>
      <c r="B2087" t="s">
        <v>43459</v>
      </c>
      <c r="C2087" t="s">
        <v>43460</v>
      </c>
      <c r="D2087" t="s">
        <v>43461</v>
      </c>
      <c r="E2087" t="s">
        <v>43462</v>
      </c>
      <c r="F2087" t="s">
        <v>43463</v>
      </c>
      <c r="G2087" t="s">
        <v>43464</v>
      </c>
      <c r="H2087" t="s">
        <v>43465</v>
      </c>
      <c r="I2087" t="s">
        <v>43466</v>
      </c>
      <c r="J2087" t="s">
        <v>43467</v>
      </c>
      <c r="K2087" t="s">
        <v>43468</v>
      </c>
      <c r="L2087" t="s">
        <v>43469</v>
      </c>
      <c r="M2087" t="s">
        <v>43470</v>
      </c>
      <c r="N2087" t="s">
        <v>43471</v>
      </c>
      <c r="O2087">
        <f>-911.518793562026 -12.4932663331242 -494.579480224546</f>
        <v>-1418.5915401196962</v>
      </c>
      <c r="P2087">
        <f>-930.704878332921 -29.8154167205548 -201.453069301279</f>
        <v>-1161.9733643547547</v>
      </c>
      <c r="Q2087" t="s">
        <v>43472</v>
      </c>
      <c r="R2087" t="s">
        <v>43473</v>
      </c>
      <c r="S2087" t="s">
        <v>43474</v>
      </c>
      <c r="T2087" t="s">
        <v>43475</v>
      </c>
      <c r="U2087" t="s">
        <v>43476</v>
      </c>
      <c r="V2087" t="s">
        <v>43477</v>
      </c>
      <c r="W2087" t="s">
        <v>43478</v>
      </c>
      <c r="X2087" t="s">
        <v>43479</v>
      </c>
      <c r="Y2087" t="s">
        <v>43480</v>
      </c>
    </row>
    <row r="2088" spans="1:25" x14ac:dyDescent="0.3">
      <c r="A2088">
        <v>104350</v>
      </c>
      <c r="B2088" t="s">
        <v>43481</v>
      </c>
      <c r="C2088" t="s">
        <v>43482</v>
      </c>
      <c r="D2088" t="s">
        <v>43483</v>
      </c>
      <c r="E2088" t="s">
        <v>43484</v>
      </c>
      <c r="F2088" t="s">
        <v>43485</v>
      </c>
      <c r="G2088" t="s">
        <v>43486</v>
      </c>
      <c r="H2088" t="s">
        <v>43487</v>
      </c>
      <c r="I2088" t="s">
        <v>43488</v>
      </c>
      <c r="J2088" t="s">
        <v>43489</v>
      </c>
      <c r="K2088" t="s">
        <v>43490</v>
      </c>
      <c r="L2088" t="s">
        <v>43491</v>
      </c>
      <c r="M2088" t="s">
        <v>43492</v>
      </c>
      <c r="N2088" t="s">
        <v>43493</v>
      </c>
      <c r="O2088">
        <f>-910.760019298864 -12.6652452414473 -494.625987161981</f>
        <v>-1418.0512517022923</v>
      </c>
      <c r="P2088">
        <f>-929.91931389653 -29.8064858646371 -201.487090310635</f>
        <v>-1161.2128900718021</v>
      </c>
      <c r="Q2088" t="s">
        <v>43494</v>
      </c>
      <c r="R2088" t="s">
        <v>43495</v>
      </c>
      <c r="S2088" t="s">
        <v>43496</v>
      </c>
      <c r="T2088" t="s">
        <v>43497</v>
      </c>
      <c r="U2088" t="s">
        <v>43498</v>
      </c>
      <c r="V2088" t="s">
        <v>43499</v>
      </c>
      <c r="W2088" t="s">
        <v>43500</v>
      </c>
      <c r="X2088" t="s">
        <v>43501</v>
      </c>
      <c r="Y2088" t="s">
        <v>43502</v>
      </c>
    </row>
    <row r="2089" spans="1:25" x14ac:dyDescent="0.3">
      <c r="A2089">
        <v>104400</v>
      </c>
      <c r="B2089" t="s">
        <v>43503</v>
      </c>
      <c r="C2089" t="s">
        <v>43504</v>
      </c>
      <c r="D2089" t="s">
        <v>43505</v>
      </c>
      <c r="E2089" t="s">
        <v>43506</v>
      </c>
      <c r="F2089" t="s">
        <v>43507</v>
      </c>
      <c r="G2089" t="s">
        <v>43508</v>
      </c>
      <c r="H2089" t="s">
        <v>43509</v>
      </c>
      <c r="I2089" t="s">
        <v>43510</v>
      </c>
      <c r="J2089" t="s">
        <v>43511</v>
      </c>
      <c r="K2089" t="s">
        <v>43512</v>
      </c>
      <c r="L2089" t="s">
        <v>43513</v>
      </c>
      <c r="M2089" t="s">
        <v>43514</v>
      </c>
      <c r="N2089" t="s">
        <v>43515</v>
      </c>
      <c r="O2089">
        <f>-909.638998225784 -12.9767563134678 -494.669894040128</f>
        <v>-1417.2856485793798</v>
      </c>
      <c r="P2089">
        <f>-928.609517390655 -29.7400770892891 -201.49696941365</f>
        <v>-1159.8465638935941</v>
      </c>
      <c r="Q2089" t="s">
        <v>43516</v>
      </c>
      <c r="R2089" t="s">
        <v>43517</v>
      </c>
      <c r="S2089" t="s">
        <v>43518</v>
      </c>
      <c r="T2089" t="s">
        <v>43519</v>
      </c>
      <c r="U2089" t="s">
        <v>43520</v>
      </c>
      <c r="V2089" t="s">
        <v>43521</v>
      </c>
      <c r="W2089" t="s">
        <v>43522</v>
      </c>
      <c r="X2089" t="s">
        <v>43523</v>
      </c>
      <c r="Y2089" t="s">
        <v>43524</v>
      </c>
    </row>
    <row r="2090" spans="1:25" x14ac:dyDescent="0.3">
      <c r="A2090">
        <v>104450</v>
      </c>
      <c r="B2090" t="s">
        <v>43525</v>
      </c>
      <c r="C2090" t="s">
        <v>43526</v>
      </c>
      <c r="D2090" t="s">
        <v>43527</v>
      </c>
      <c r="E2090" t="s">
        <v>43528</v>
      </c>
      <c r="F2090" t="s">
        <v>43529</v>
      </c>
      <c r="G2090" t="s">
        <v>43530</v>
      </c>
      <c r="H2090" t="s">
        <v>43531</v>
      </c>
      <c r="I2090" t="s">
        <v>43532</v>
      </c>
      <c r="J2090" t="s">
        <v>43533</v>
      </c>
      <c r="K2090" t="s">
        <v>43534</v>
      </c>
      <c r="L2090" t="s">
        <v>43535</v>
      </c>
      <c r="M2090" t="s">
        <v>43536</v>
      </c>
      <c r="N2090" t="s">
        <v>43537</v>
      </c>
      <c r="O2090">
        <f>-909.18324677856 -13.0271570533901 -494.699739195118</f>
        <v>-1416.910143027068</v>
      </c>
      <c r="P2090">
        <f>-928.118956305824 -29.8472067465264 -201.527990018432</f>
        <v>-1159.4941530707824</v>
      </c>
      <c r="Q2090" t="s">
        <v>43538</v>
      </c>
      <c r="R2090" t="s">
        <v>43539</v>
      </c>
      <c r="S2090" t="s">
        <v>43540</v>
      </c>
      <c r="T2090" t="s">
        <v>43541</v>
      </c>
      <c r="U2090" t="s">
        <v>43542</v>
      </c>
      <c r="V2090" t="s">
        <v>43543</v>
      </c>
      <c r="W2090" t="s">
        <v>43544</v>
      </c>
      <c r="X2090" t="s">
        <v>43545</v>
      </c>
      <c r="Y2090" t="s">
        <v>43546</v>
      </c>
    </row>
    <row r="2091" spans="1:25" x14ac:dyDescent="0.3">
      <c r="A2091">
        <v>104500</v>
      </c>
      <c r="B2091" t="s">
        <v>43547</v>
      </c>
      <c r="C2091" t="s">
        <v>43548</v>
      </c>
      <c r="D2091" t="s">
        <v>43549</v>
      </c>
      <c r="E2091" t="s">
        <v>43550</v>
      </c>
      <c r="F2091" t="s">
        <v>43551</v>
      </c>
      <c r="G2091" t="s">
        <v>43552</v>
      </c>
      <c r="H2091" t="s">
        <v>43553</v>
      </c>
      <c r="I2091" t="s">
        <v>43554</v>
      </c>
      <c r="J2091" t="s">
        <v>43555</v>
      </c>
      <c r="K2091" t="s">
        <v>43556</v>
      </c>
      <c r="L2091" t="s">
        <v>43557</v>
      </c>
      <c r="M2091" t="s">
        <v>43558</v>
      </c>
      <c r="N2091" t="s">
        <v>43559</v>
      </c>
      <c r="O2091">
        <f>-908.494554480726 -13.0278281486053 -494.792086694789</f>
        <v>-1416.3144693241204</v>
      </c>
      <c r="P2091">
        <f>-927.767113686913 -29.9235589412124 -201.646550671313</f>
        <v>-1159.3372232994384</v>
      </c>
      <c r="Q2091" t="s">
        <v>43560</v>
      </c>
      <c r="R2091" t="s">
        <v>43561</v>
      </c>
      <c r="S2091" t="s">
        <v>43562</v>
      </c>
      <c r="T2091" t="s">
        <v>43563</v>
      </c>
      <c r="U2091" t="s">
        <v>43564</v>
      </c>
      <c r="V2091" t="s">
        <v>43565</v>
      </c>
      <c r="W2091" t="s">
        <v>43566</v>
      </c>
      <c r="X2091" t="s">
        <v>43567</v>
      </c>
      <c r="Y2091" t="s">
        <v>43568</v>
      </c>
    </row>
    <row r="2092" spans="1:25" x14ac:dyDescent="0.3">
      <c r="A2092">
        <v>104550</v>
      </c>
      <c r="B2092" t="s">
        <v>43569</v>
      </c>
      <c r="C2092" t="s">
        <v>43570</v>
      </c>
      <c r="D2092" t="s">
        <v>43571</v>
      </c>
      <c r="E2092" t="s">
        <v>43572</v>
      </c>
      <c r="F2092" t="s">
        <v>43573</v>
      </c>
      <c r="G2092" t="s">
        <v>43574</v>
      </c>
      <c r="H2092" t="s">
        <v>43575</v>
      </c>
      <c r="I2092" t="s">
        <v>43576</v>
      </c>
      <c r="J2092" t="s">
        <v>43577</v>
      </c>
      <c r="K2092" t="s">
        <v>43578</v>
      </c>
      <c r="L2092" t="s">
        <v>43579</v>
      </c>
      <c r="M2092" t="s">
        <v>43580</v>
      </c>
      <c r="N2092" t="s">
        <v>43581</v>
      </c>
      <c r="O2092">
        <f>-908.311905853304 -13.0207841060833 -494.820877821773</f>
        <v>-1416.1535677811603</v>
      </c>
      <c r="P2092">
        <f>-927.718338876815 -29.9121181675268 -201.683966814584</f>
        <v>-1159.3144238589259</v>
      </c>
      <c r="Q2092" t="s">
        <v>43582</v>
      </c>
      <c r="R2092" t="s">
        <v>43583</v>
      </c>
      <c r="S2092" t="s">
        <v>43584</v>
      </c>
      <c r="T2092" t="s">
        <v>43585</v>
      </c>
      <c r="U2092" t="s">
        <v>43586</v>
      </c>
      <c r="V2092" t="s">
        <v>43587</v>
      </c>
      <c r="W2092" t="s">
        <v>43588</v>
      </c>
      <c r="X2092" t="s">
        <v>43589</v>
      </c>
      <c r="Y2092" t="s">
        <v>43590</v>
      </c>
    </row>
    <row r="2093" spans="1:25" x14ac:dyDescent="0.3">
      <c r="A2093">
        <v>104600</v>
      </c>
      <c r="B2093" t="s">
        <v>43591</v>
      </c>
      <c r="C2093" t="s">
        <v>43592</v>
      </c>
      <c r="D2093" t="s">
        <v>43593</v>
      </c>
      <c r="E2093" t="s">
        <v>43594</v>
      </c>
      <c r="F2093" t="s">
        <v>43595</v>
      </c>
      <c r="G2093" t="s">
        <v>43596</v>
      </c>
      <c r="H2093" t="s">
        <v>43597</v>
      </c>
      <c r="I2093" t="s">
        <v>43598</v>
      </c>
      <c r="J2093" t="s">
        <v>43599</v>
      </c>
      <c r="K2093" t="s">
        <v>43600</v>
      </c>
      <c r="L2093" t="s">
        <v>43601</v>
      </c>
      <c r="M2093" t="s">
        <v>43602</v>
      </c>
      <c r="N2093" t="s">
        <v>43603</v>
      </c>
      <c r="O2093">
        <f>-908.14125120332 -13.2270650436471 -494.858826036722</f>
        <v>-1416.2271422836893</v>
      </c>
      <c r="P2093">
        <f>-927.788422366069 -29.9578555272519 -201.728662931885</f>
        <v>-1159.474940825206</v>
      </c>
      <c r="Q2093" t="s">
        <v>43604</v>
      </c>
      <c r="R2093" t="s">
        <v>43605</v>
      </c>
      <c r="S2093" t="s">
        <v>43606</v>
      </c>
      <c r="T2093" t="s">
        <v>43607</v>
      </c>
      <c r="U2093" t="s">
        <v>43608</v>
      </c>
      <c r="V2093" t="s">
        <v>43609</v>
      </c>
      <c r="W2093" t="s">
        <v>43610</v>
      </c>
      <c r="X2093" t="s">
        <v>43611</v>
      </c>
      <c r="Y2093" t="s">
        <v>43612</v>
      </c>
    </row>
    <row r="2094" spans="1:25" x14ac:dyDescent="0.3">
      <c r="A2094">
        <v>104650</v>
      </c>
      <c r="B2094" t="s">
        <v>43613</v>
      </c>
      <c r="C2094" t="s">
        <v>43614</v>
      </c>
      <c r="D2094" t="s">
        <v>43615</v>
      </c>
      <c r="E2094" t="s">
        <v>43616</v>
      </c>
      <c r="F2094" t="s">
        <v>43617</v>
      </c>
      <c r="G2094" t="s">
        <v>43618</v>
      </c>
      <c r="H2094" t="s">
        <v>43619</v>
      </c>
      <c r="I2094" t="s">
        <v>43620</v>
      </c>
      <c r="J2094" t="s">
        <v>43621</v>
      </c>
      <c r="K2094" t="s">
        <v>43622</v>
      </c>
      <c r="L2094" t="s">
        <v>43623</v>
      </c>
      <c r="M2094" t="s">
        <v>43624</v>
      </c>
      <c r="N2094" t="s">
        <v>43625</v>
      </c>
      <c r="O2094">
        <f>-907.981600766473 -13.2958408751333 -494.924549315204</f>
        <v>-1416.2019909568103</v>
      </c>
      <c r="P2094">
        <f>-927.696828650208 -30.0934018100925 -201.802840604276</f>
        <v>-1159.5930710645764</v>
      </c>
      <c r="Q2094" t="s">
        <v>43626</v>
      </c>
      <c r="R2094" t="s">
        <v>43627</v>
      </c>
      <c r="S2094" t="s">
        <v>43628</v>
      </c>
      <c r="T2094" t="s">
        <v>43629</v>
      </c>
      <c r="U2094" t="s">
        <v>43630</v>
      </c>
      <c r="V2094" t="s">
        <v>43631</v>
      </c>
      <c r="W2094" t="s">
        <v>43632</v>
      </c>
      <c r="X2094" t="s">
        <v>43633</v>
      </c>
      <c r="Y2094" t="s">
        <v>43634</v>
      </c>
    </row>
    <row r="2095" spans="1:25" x14ac:dyDescent="0.3">
      <c r="A2095">
        <v>104700</v>
      </c>
      <c r="B2095" t="s">
        <v>43635</v>
      </c>
      <c r="C2095" t="s">
        <v>43636</v>
      </c>
      <c r="D2095" t="s">
        <v>43637</v>
      </c>
      <c r="E2095" t="s">
        <v>43638</v>
      </c>
      <c r="F2095" t="s">
        <v>43639</v>
      </c>
      <c r="G2095" t="s">
        <v>43640</v>
      </c>
      <c r="H2095" t="s">
        <v>43641</v>
      </c>
      <c r="I2095" t="s">
        <v>43642</v>
      </c>
      <c r="J2095" t="s">
        <v>43643</v>
      </c>
      <c r="K2095" t="s">
        <v>43644</v>
      </c>
      <c r="L2095" t="s">
        <v>43645</v>
      </c>
      <c r="M2095" t="s">
        <v>43646</v>
      </c>
      <c r="N2095" t="s">
        <v>43647</v>
      </c>
      <c r="O2095">
        <f>-907.641569718307 -13.4945126822163 -495.03128065122</f>
        <v>-1416.1673630517432</v>
      </c>
      <c r="P2095">
        <f>-927.405620015728 -30.5759230872759 -201.929160420702</f>
        <v>-1159.9107035237059</v>
      </c>
      <c r="Q2095" t="s">
        <v>43648</v>
      </c>
      <c r="R2095" t="s">
        <v>43649</v>
      </c>
      <c r="S2095" t="s">
        <v>43650</v>
      </c>
      <c r="T2095" t="s">
        <v>43651</v>
      </c>
      <c r="U2095" t="s">
        <v>43652</v>
      </c>
      <c r="V2095" t="s">
        <v>43653</v>
      </c>
      <c r="W2095" t="s">
        <v>43654</v>
      </c>
      <c r="X2095" t="s">
        <v>43655</v>
      </c>
      <c r="Y2095" t="s">
        <v>43656</v>
      </c>
    </row>
    <row r="2096" spans="1:25" x14ac:dyDescent="0.3">
      <c r="A2096">
        <v>104750</v>
      </c>
      <c r="B2096" t="s">
        <v>43657</v>
      </c>
      <c r="C2096" t="s">
        <v>43658</v>
      </c>
      <c r="D2096" t="s">
        <v>43659</v>
      </c>
      <c r="E2096" t="s">
        <v>43660</v>
      </c>
      <c r="F2096" t="s">
        <v>43661</v>
      </c>
      <c r="G2096" t="s">
        <v>43662</v>
      </c>
      <c r="H2096" t="s">
        <v>43663</v>
      </c>
      <c r="I2096" t="s">
        <v>43664</v>
      </c>
      <c r="J2096" t="s">
        <v>43665</v>
      </c>
      <c r="K2096" t="s">
        <v>43666</v>
      </c>
      <c r="L2096" t="s">
        <v>43667</v>
      </c>
      <c r="M2096" t="s">
        <v>43668</v>
      </c>
      <c r="N2096" t="s">
        <v>43669</v>
      </c>
      <c r="O2096">
        <f>-907.442398474845 -13.6176955691772 -495.05099439151</f>
        <v>-1416.1110884355321</v>
      </c>
      <c r="P2096">
        <f>-927.21947862682 -30.8004737019282 -201.955718748642</f>
        <v>-1159.9756710773902</v>
      </c>
      <c r="Q2096" t="s">
        <v>43670</v>
      </c>
      <c r="R2096" t="s">
        <v>43671</v>
      </c>
      <c r="S2096" t="s">
        <v>43672</v>
      </c>
      <c r="T2096" t="s">
        <v>43673</v>
      </c>
      <c r="U2096" t="s">
        <v>43674</v>
      </c>
      <c r="V2096" t="s">
        <v>43675</v>
      </c>
      <c r="W2096" t="s">
        <v>43676</v>
      </c>
      <c r="X2096" t="s">
        <v>43677</v>
      </c>
      <c r="Y2096" t="s">
        <v>43678</v>
      </c>
    </row>
    <row r="2097" spans="1:25" x14ac:dyDescent="0.3">
      <c r="A2097">
        <v>104800</v>
      </c>
      <c r="B2097" t="s">
        <v>43679</v>
      </c>
      <c r="C2097" t="s">
        <v>43680</v>
      </c>
      <c r="D2097" t="s">
        <v>43681</v>
      </c>
      <c r="E2097" t="s">
        <v>43682</v>
      </c>
      <c r="F2097" t="s">
        <v>43683</v>
      </c>
      <c r="G2097" t="s">
        <v>43684</v>
      </c>
      <c r="H2097" t="s">
        <v>43685</v>
      </c>
      <c r="I2097" t="s">
        <v>43686</v>
      </c>
      <c r="J2097" t="s">
        <v>43687</v>
      </c>
      <c r="K2097" t="s">
        <v>43688</v>
      </c>
      <c r="L2097" t="s">
        <v>43689</v>
      </c>
      <c r="M2097" t="s">
        <v>43690</v>
      </c>
      <c r="N2097" t="s">
        <v>43691</v>
      </c>
      <c r="O2097">
        <f>-906.660127443149 -13.9963628040723 -495.02448865412</f>
        <v>-1415.6809789013414</v>
      </c>
      <c r="P2097">
        <f>-926.808974728216 -31.3895013125989 -201.967046157103</f>
        <v>-1160.1655221979179</v>
      </c>
      <c r="Q2097" t="s">
        <v>43692</v>
      </c>
      <c r="R2097" t="s">
        <v>43693</v>
      </c>
      <c r="S2097" t="s">
        <v>43694</v>
      </c>
      <c r="T2097" t="s">
        <v>43695</v>
      </c>
      <c r="U2097" t="s">
        <v>43696</v>
      </c>
      <c r="V2097" t="s">
        <v>43697</v>
      </c>
      <c r="W2097" t="s">
        <v>43698</v>
      </c>
      <c r="X2097" t="s">
        <v>43699</v>
      </c>
      <c r="Y2097" t="s">
        <v>43700</v>
      </c>
    </row>
    <row r="2098" spans="1:25" x14ac:dyDescent="0.3">
      <c r="A2098">
        <v>104850</v>
      </c>
      <c r="B2098" t="s">
        <v>43701</v>
      </c>
      <c r="C2098" t="s">
        <v>43702</v>
      </c>
      <c r="D2098" t="s">
        <v>43703</v>
      </c>
      <c r="E2098" t="s">
        <v>43704</v>
      </c>
      <c r="F2098" t="s">
        <v>43705</v>
      </c>
      <c r="G2098" t="s">
        <v>43706</v>
      </c>
      <c r="H2098" t="s">
        <v>43707</v>
      </c>
      <c r="I2098" t="s">
        <v>43708</v>
      </c>
      <c r="J2098" t="s">
        <v>43709</v>
      </c>
      <c r="K2098" t="s">
        <v>43710</v>
      </c>
      <c r="L2098" t="s">
        <v>43711</v>
      </c>
      <c r="M2098" t="s">
        <v>43712</v>
      </c>
      <c r="N2098" t="s">
        <v>43713</v>
      </c>
      <c r="O2098">
        <f>-905.878363335115 -14.363158495366 -495.027334129933</f>
        <v>-1415.2688559604139</v>
      </c>
      <c r="P2098">
        <f>-926.469577698081 -31.8576798429372 -202.006696412118</f>
        <v>-1160.3339539531362</v>
      </c>
      <c r="Q2098" t="s">
        <v>43714</v>
      </c>
      <c r="R2098" t="s">
        <v>43715</v>
      </c>
      <c r="S2098" t="s">
        <v>43716</v>
      </c>
      <c r="T2098" t="s">
        <v>43717</v>
      </c>
      <c r="U2098" t="s">
        <v>43718</v>
      </c>
      <c r="V2098" t="s">
        <v>43719</v>
      </c>
      <c r="W2098" t="s">
        <v>43720</v>
      </c>
      <c r="X2098" t="s">
        <v>43721</v>
      </c>
      <c r="Y2098" t="s">
        <v>43722</v>
      </c>
    </row>
    <row r="2099" spans="1:25" x14ac:dyDescent="0.3">
      <c r="A2099">
        <v>104900</v>
      </c>
      <c r="B2099" t="s">
        <v>43723</v>
      </c>
      <c r="C2099" t="s">
        <v>43724</v>
      </c>
      <c r="D2099" t="s">
        <v>43725</v>
      </c>
      <c r="E2099" t="s">
        <v>43726</v>
      </c>
      <c r="F2099" t="s">
        <v>43727</v>
      </c>
      <c r="G2099" t="s">
        <v>43728</v>
      </c>
      <c r="H2099" t="s">
        <v>43729</v>
      </c>
      <c r="I2099" t="s">
        <v>43730</v>
      </c>
      <c r="J2099" t="s">
        <v>43731</v>
      </c>
      <c r="K2099" t="s">
        <v>43732</v>
      </c>
      <c r="L2099" t="s">
        <v>43733</v>
      </c>
      <c r="M2099" t="s">
        <v>43734</v>
      </c>
      <c r="N2099" t="s">
        <v>43735</v>
      </c>
      <c r="O2099">
        <f>-904.646749191229 -15.3496084463491 -495.005846397489</f>
        <v>-1415.0022040350671</v>
      </c>
      <c r="P2099">
        <f>-926.266203482192 -33.020139636199 -202.069851785893</f>
        <v>-1161.3561949042842</v>
      </c>
      <c r="Q2099" t="s">
        <v>43736</v>
      </c>
      <c r="R2099" t="s">
        <v>43737</v>
      </c>
      <c r="S2099" t="s">
        <v>43738</v>
      </c>
      <c r="T2099" t="s">
        <v>43739</v>
      </c>
      <c r="U2099" t="s">
        <v>43740</v>
      </c>
      <c r="V2099" t="s">
        <v>43741</v>
      </c>
      <c r="W2099" t="s">
        <v>43742</v>
      </c>
      <c r="X2099" t="s">
        <v>43743</v>
      </c>
      <c r="Y2099" t="s">
        <v>43744</v>
      </c>
    </row>
    <row r="2100" spans="1:25" x14ac:dyDescent="0.3">
      <c r="A2100">
        <v>104950</v>
      </c>
      <c r="B2100" t="s">
        <v>43745</v>
      </c>
      <c r="C2100" t="s">
        <v>43746</v>
      </c>
      <c r="D2100" t="s">
        <v>43747</v>
      </c>
      <c r="E2100" t="s">
        <v>43748</v>
      </c>
      <c r="F2100" t="s">
        <v>43749</v>
      </c>
      <c r="G2100" t="s">
        <v>43750</v>
      </c>
      <c r="H2100" t="s">
        <v>43751</v>
      </c>
      <c r="I2100" t="s">
        <v>43752</v>
      </c>
      <c r="J2100" t="s">
        <v>43753</v>
      </c>
      <c r="K2100" t="s">
        <v>43754</v>
      </c>
      <c r="L2100" t="s">
        <v>43755</v>
      </c>
      <c r="M2100" t="s">
        <v>43756</v>
      </c>
      <c r="N2100" t="s">
        <v>43757</v>
      </c>
      <c r="O2100">
        <f>-904.468732419186 -16.0486448573356 -494.96726660173</f>
        <v>-1415.4846438782515</v>
      </c>
      <c r="P2100">
        <f>-926.343773563113 -33.8487920240191 -202.057908368096</f>
        <v>-1162.250473955228</v>
      </c>
      <c r="Q2100" t="s">
        <v>43758</v>
      </c>
      <c r="R2100" t="s">
        <v>43759</v>
      </c>
      <c r="S2100" t="s">
        <v>43760</v>
      </c>
      <c r="T2100" t="s">
        <v>43761</v>
      </c>
      <c r="U2100" t="s">
        <v>43762</v>
      </c>
      <c r="V2100" t="s">
        <v>43763</v>
      </c>
      <c r="W2100" t="s">
        <v>43764</v>
      </c>
      <c r="X2100" t="s">
        <v>43765</v>
      </c>
      <c r="Y2100" t="s">
        <v>43766</v>
      </c>
    </row>
    <row r="2101" spans="1:25" x14ac:dyDescent="0.3">
      <c r="A2101">
        <v>105000</v>
      </c>
      <c r="B2101" t="s">
        <v>43767</v>
      </c>
      <c r="C2101" t="s">
        <v>43768</v>
      </c>
      <c r="D2101" t="s">
        <v>43769</v>
      </c>
      <c r="E2101" t="s">
        <v>43770</v>
      </c>
      <c r="F2101" t="s">
        <v>43771</v>
      </c>
      <c r="G2101" t="s">
        <v>43772</v>
      </c>
      <c r="H2101" t="s">
        <v>43773</v>
      </c>
      <c r="I2101" t="s">
        <v>43774</v>
      </c>
      <c r="J2101" t="s">
        <v>43775</v>
      </c>
      <c r="K2101" t="s">
        <v>43776</v>
      </c>
      <c r="L2101" t="s">
        <v>43777</v>
      </c>
      <c r="M2101" t="s">
        <v>43778</v>
      </c>
      <c r="N2101" t="s">
        <v>43779</v>
      </c>
      <c r="O2101">
        <f>-904.090724780979 -17.5759137013342 -494.701394612451</f>
        <v>-1416.3680330947643</v>
      </c>
      <c r="P2101">
        <f>-926.409517926256 -35.082082115297 -201.807899123559</f>
        <v>-1163.2994991651119</v>
      </c>
      <c r="Q2101" t="s">
        <v>43780</v>
      </c>
      <c r="R2101" t="s">
        <v>43781</v>
      </c>
      <c r="S2101" t="s">
        <v>43782</v>
      </c>
      <c r="T2101" t="s">
        <v>43783</v>
      </c>
      <c r="U2101" t="s">
        <v>43784</v>
      </c>
      <c r="V2101" t="s">
        <v>43785</v>
      </c>
      <c r="W2101" t="s">
        <v>43786</v>
      </c>
      <c r="X2101" t="s">
        <v>43787</v>
      </c>
      <c r="Y2101" t="s">
        <v>43788</v>
      </c>
    </row>
    <row r="2102" spans="1:25" x14ac:dyDescent="0.3">
      <c r="A2102">
        <v>105050</v>
      </c>
      <c r="B2102" t="s">
        <v>43789</v>
      </c>
      <c r="C2102" t="s">
        <v>43790</v>
      </c>
      <c r="D2102" t="s">
        <v>43791</v>
      </c>
      <c r="E2102" t="s">
        <v>43792</v>
      </c>
      <c r="F2102" t="s">
        <v>43793</v>
      </c>
      <c r="G2102" t="s">
        <v>43794</v>
      </c>
      <c r="H2102" t="s">
        <v>43795</v>
      </c>
      <c r="I2102" t="s">
        <v>43796</v>
      </c>
      <c r="J2102" t="s">
        <v>43797</v>
      </c>
      <c r="K2102" t="s">
        <v>43798</v>
      </c>
      <c r="L2102" t="s">
        <v>43799</v>
      </c>
      <c r="M2102" t="s">
        <v>43800</v>
      </c>
      <c r="N2102" t="s">
        <v>43801</v>
      </c>
      <c r="O2102">
        <f>-904.076585639871 -18.3035090943963 -494.564511107135</f>
        <v>-1416.9446058414023</v>
      </c>
      <c r="P2102">
        <f>-926.496153677949 -35.765010612562 -201.676037761951</f>
        <v>-1163.937202052462</v>
      </c>
      <c r="Q2102" t="s">
        <v>43802</v>
      </c>
      <c r="R2102" t="s">
        <v>43803</v>
      </c>
      <c r="S2102" t="s">
        <v>43804</v>
      </c>
      <c r="T2102" t="s">
        <v>43805</v>
      </c>
      <c r="U2102" t="s">
        <v>43806</v>
      </c>
      <c r="V2102" t="s">
        <v>43807</v>
      </c>
      <c r="W2102" t="s">
        <v>43808</v>
      </c>
      <c r="X2102" t="s">
        <v>43809</v>
      </c>
      <c r="Y2102" t="s">
        <v>43810</v>
      </c>
    </row>
    <row r="2103" spans="1:25" x14ac:dyDescent="0.3">
      <c r="A2103">
        <v>105100</v>
      </c>
      <c r="B2103" t="s">
        <v>43811</v>
      </c>
      <c r="C2103" t="s">
        <v>43812</v>
      </c>
      <c r="D2103" t="s">
        <v>43813</v>
      </c>
      <c r="E2103" t="s">
        <v>43814</v>
      </c>
      <c r="F2103" t="s">
        <v>43815</v>
      </c>
      <c r="G2103" t="s">
        <v>43816</v>
      </c>
      <c r="H2103" t="s">
        <v>43817</v>
      </c>
      <c r="I2103" t="s">
        <v>43818</v>
      </c>
      <c r="J2103" t="s">
        <v>43819</v>
      </c>
      <c r="K2103" t="s">
        <v>43820</v>
      </c>
      <c r="L2103" t="s">
        <v>43821</v>
      </c>
      <c r="M2103" t="s">
        <v>43822</v>
      </c>
      <c r="N2103" t="s">
        <v>43823</v>
      </c>
      <c r="O2103">
        <f>-903.539361107808 -19.7478182906784 -494.495730755858</f>
        <v>-1417.7829101543443</v>
      </c>
      <c r="P2103">
        <f>-926.048863938064 -36.9592076940301 -201.599346531157</f>
        <v>-1164.6074181632509</v>
      </c>
      <c r="Q2103" t="s">
        <v>43824</v>
      </c>
      <c r="R2103" t="s">
        <v>43825</v>
      </c>
      <c r="S2103" t="s">
        <v>43826</v>
      </c>
      <c r="T2103" t="s">
        <v>43827</v>
      </c>
      <c r="U2103" t="s">
        <v>43828</v>
      </c>
      <c r="V2103" t="s">
        <v>43829</v>
      </c>
      <c r="W2103" t="s">
        <v>43830</v>
      </c>
      <c r="X2103" t="s">
        <v>43831</v>
      </c>
      <c r="Y2103" t="s">
        <v>43832</v>
      </c>
    </row>
    <row r="2104" spans="1:25" x14ac:dyDescent="0.3">
      <c r="A2104">
        <v>105150</v>
      </c>
      <c r="B2104" t="s">
        <v>43833</v>
      </c>
      <c r="C2104" t="s">
        <v>43834</v>
      </c>
      <c r="D2104" t="s">
        <v>43835</v>
      </c>
      <c r="E2104" t="s">
        <v>43836</v>
      </c>
      <c r="F2104" t="s">
        <v>43837</v>
      </c>
      <c r="G2104" t="s">
        <v>43838</v>
      </c>
      <c r="H2104" t="s">
        <v>43839</v>
      </c>
      <c r="I2104" t="s">
        <v>43840</v>
      </c>
      <c r="J2104" t="s">
        <v>43841</v>
      </c>
      <c r="K2104" t="s">
        <v>43842</v>
      </c>
      <c r="L2104" t="s">
        <v>43843</v>
      </c>
      <c r="M2104" t="s">
        <v>43844</v>
      </c>
      <c r="N2104" t="s">
        <v>43845</v>
      </c>
      <c r="O2104">
        <f>-903.075415222283 -20.3999733965934 -494.504452130594</f>
        <v>-1417.9798407494704</v>
      </c>
      <c r="P2104">
        <f>-925.742451505575 -37.9884565717202 -201.642596613714</f>
        <v>-1165.3735046910092</v>
      </c>
      <c r="Q2104" t="s">
        <v>43846</v>
      </c>
      <c r="R2104" t="s">
        <v>43847</v>
      </c>
      <c r="S2104" t="s">
        <v>43848</v>
      </c>
      <c r="T2104" t="s">
        <v>43849</v>
      </c>
      <c r="U2104" t="s">
        <v>43850</v>
      </c>
      <c r="V2104" t="s">
        <v>43851</v>
      </c>
      <c r="W2104" t="s">
        <v>43852</v>
      </c>
      <c r="X2104" t="s">
        <v>43853</v>
      </c>
      <c r="Y2104" t="s">
        <v>43854</v>
      </c>
    </row>
    <row r="2105" spans="1:25" x14ac:dyDescent="0.3">
      <c r="A2105">
        <v>105200</v>
      </c>
      <c r="B2105" t="s">
        <v>43855</v>
      </c>
      <c r="C2105" t="s">
        <v>43856</v>
      </c>
      <c r="D2105" t="s">
        <v>43857</v>
      </c>
      <c r="E2105" t="s">
        <v>43858</v>
      </c>
      <c r="F2105" t="s">
        <v>43859</v>
      </c>
      <c r="G2105" t="s">
        <v>43860</v>
      </c>
      <c r="H2105" t="s">
        <v>43861</v>
      </c>
      <c r="I2105" t="s">
        <v>43862</v>
      </c>
      <c r="J2105" t="s">
        <v>43863</v>
      </c>
      <c r="K2105" t="s">
        <v>43864</v>
      </c>
      <c r="L2105" t="s">
        <v>43865</v>
      </c>
      <c r="M2105" t="s">
        <v>43866</v>
      </c>
      <c r="N2105" t="s">
        <v>43867</v>
      </c>
      <c r="O2105">
        <f>-902.237095875855 -21.623885361993 -494.684572630216</f>
        <v>-1418.545553868064</v>
      </c>
      <c r="P2105">
        <f>-925.009406568717 -39.6487486266406 -201.857502390722</f>
        <v>-1166.5156575860797</v>
      </c>
      <c r="Q2105" t="s">
        <v>43868</v>
      </c>
      <c r="R2105" t="s">
        <v>43869</v>
      </c>
      <c r="S2105" t="s">
        <v>43870</v>
      </c>
      <c r="T2105" t="s">
        <v>43871</v>
      </c>
      <c r="U2105" t="s">
        <v>43872</v>
      </c>
      <c r="V2105" t="s">
        <v>43873</v>
      </c>
      <c r="W2105" t="s">
        <v>43874</v>
      </c>
      <c r="X2105" t="s">
        <v>43875</v>
      </c>
      <c r="Y2105" t="s">
        <v>43876</v>
      </c>
    </row>
    <row r="2106" spans="1:25" x14ac:dyDescent="0.3">
      <c r="A2106">
        <v>105250</v>
      </c>
      <c r="B2106" t="s">
        <v>43877</v>
      </c>
      <c r="C2106" t="s">
        <v>43878</v>
      </c>
      <c r="D2106" t="s">
        <v>43879</v>
      </c>
      <c r="E2106" t="s">
        <v>43880</v>
      </c>
      <c r="F2106" t="s">
        <v>43881</v>
      </c>
      <c r="G2106" t="s">
        <v>43882</v>
      </c>
      <c r="H2106" t="s">
        <v>43883</v>
      </c>
      <c r="I2106" t="s">
        <v>43884</v>
      </c>
      <c r="J2106" t="s">
        <v>43885</v>
      </c>
      <c r="K2106" t="s">
        <v>43886</v>
      </c>
      <c r="L2106" t="s">
        <v>43887</v>
      </c>
      <c r="M2106" t="s">
        <v>43888</v>
      </c>
      <c r="N2106" t="s">
        <v>43889</v>
      </c>
      <c r="O2106">
        <f>-901.821486880815 -22.0197427635294 -494.738670293257</f>
        <v>-1418.5798999376013</v>
      </c>
      <c r="P2106">
        <f>-924.727146210899 -40.3627359018838 -201.941815495094</f>
        <v>-1167.0316976078768</v>
      </c>
      <c r="Q2106" t="s">
        <v>43890</v>
      </c>
      <c r="R2106" t="s">
        <v>43891</v>
      </c>
      <c r="S2106" t="s">
        <v>43892</v>
      </c>
      <c r="T2106" t="s">
        <v>43893</v>
      </c>
      <c r="U2106" t="s">
        <v>43894</v>
      </c>
      <c r="V2106" t="s">
        <v>43895</v>
      </c>
      <c r="W2106" t="s">
        <v>43896</v>
      </c>
      <c r="X2106" t="s">
        <v>43897</v>
      </c>
      <c r="Y2106" t="s">
        <v>43898</v>
      </c>
    </row>
    <row r="2107" spans="1:25" x14ac:dyDescent="0.3">
      <c r="A2107">
        <v>105300</v>
      </c>
      <c r="B2107" t="s">
        <v>43899</v>
      </c>
      <c r="C2107" t="s">
        <v>43900</v>
      </c>
      <c r="D2107" t="s">
        <v>43901</v>
      </c>
      <c r="E2107" t="s">
        <v>43902</v>
      </c>
      <c r="F2107" t="s">
        <v>43903</v>
      </c>
      <c r="G2107" t="s">
        <v>43904</v>
      </c>
      <c r="H2107" t="s">
        <v>43905</v>
      </c>
      <c r="I2107" t="s">
        <v>43906</v>
      </c>
      <c r="J2107" t="s">
        <v>43907</v>
      </c>
      <c r="K2107" t="s">
        <v>43908</v>
      </c>
      <c r="L2107" t="s">
        <v>43909</v>
      </c>
      <c r="M2107" t="s">
        <v>43910</v>
      </c>
      <c r="N2107" t="s">
        <v>43911</v>
      </c>
      <c r="O2107">
        <f>-901.033729374467 -22.634733719452 -494.815328315381</f>
        <v>-1418.4837914093</v>
      </c>
      <c r="P2107">
        <f>-924.269000489325 -40.9833151984283 -202.044573619421</f>
        <v>-1167.2968893071743</v>
      </c>
      <c r="Q2107" t="s">
        <v>43912</v>
      </c>
      <c r="R2107" t="s">
        <v>43913</v>
      </c>
      <c r="S2107" t="s">
        <v>43914</v>
      </c>
      <c r="T2107" t="s">
        <v>43915</v>
      </c>
      <c r="U2107" t="s">
        <v>43916</v>
      </c>
      <c r="V2107" t="s">
        <v>43917</v>
      </c>
      <c r="W2107" t="s">
        <v>43918</v>
      </c>
      <c r="X2107" t="s">
        <v>43919</v>
      </c>
      <c r="Y2107" t="s">
        <v>43920</v>
      </c>
    </row>
    <row r="2108" spans="1:25" x14ac:dyDescent="0.3">
      <c r="A2108">
        <v>105350</v>
      </c>
      <c r="B2108" t="s">
        <v>43921</v>
      </c>
      <c r="C2108" t="s">
        <v>43922</v>
      </c>
      <c r="D2108" t="s">
        <v>43923</v>
      </c>
      <c r="E2108" t="s">
        <v>43924</v>
      </c>
      <c r="F2108" t="s">
        <v>43925</v>
      </c>
      <c r="G2108" t="s">
        <v>43926</v>
      </c>
      <c r="H2108" t="s">
        <v>43927</v>
      </c>
      <c r="I2108" t="s">
        <v>43928</v>
      </c>
      <c r="J2108" t="s">
        <v>43929</v>
      </c>
      <c r="K2108" t="s">
        <v>43930</v>
      </c>
      <c r="L2108" t="s">
        <v>43931</v>
      </c>
      <c r="M2108" t="s">
        <v>43932</v>
      </c>
      <c r="N2108" t="s">
        <v>43933</v>
      </c>
      <c r="O2108">
        <f>-900.812130023964 -22.9414008828953 -494.835867196532</f>
        <v>-1418.5893981033912</v>
      </c>
      <c r="P2108">
        <f>-924.269961264153 -41.276194186253 -202.081986348908</f>
        <v>-1167.6281417993141</v>
      </c>
      <c r="Q2108" t="s">
        <v>43934</v>
      </c>
      <c r="R2108" t="s">
        <v>43935</v>
      </c>
      <c r="S2108" t="s">
        <v>43936</v>
      </c>
      <c r="T2108" t="s">
        <v>43937</v>
      </c>
      <c r="U2108" t="s">
        <v>43938</v>
      </c>
      <c r="V2108" t="s">
        <v>43939</v>
      </c>
      <c r="W2108" t="s">
        <v>43940</v>
      </c>
      <c r="X2108" t="s">
        <v>43941</v>
      </c>
      <c r="Y2108" t="s">
        <v>43942</v>
      </c>
    </row>
    <row r="2109" spans="1:25" x14ac:dyDescent="0.3">
      <c r="A2109">
        <v>105400</v>
      </c>
      <c r="B2109" t="s">
        <v>43943</v>
      </c>
      <c r="C2109" t="s">
        <v>43944</v>
      </c>
      <c r="D2109" t="s">
        <v>43945</v>
      </c>
      <c r="E2109" t="s">
        <v>43946</v>
      </c>
      <c r="F2109" t="s">
        <v>43947</v>
      </c>
      <c r="G2109" t="s">
        <v>43948</v>
      </c>
      <c r="H2109" t="s">
        <v>43949</v>
      </c>
      <c r="I2109" t="s">
        <v>43950</v>
      </c>
      <c r="J2109" t="s">
        <v>43951</v>
      </c>
      <c r="K2109" t="s">
        <v>43952</v>
      </c>
      <c r="L2109" t="s">
        <v>43953</v>
      </c>
      <c r="M2109" t="s">
        <v>43954</v>
      </c>
      <c r="N2109" t="s">
        <v>43955</v>
      </c>
      <c r="O2109">
        <f>-901.135160049471 -23.2699686960786 -494.816680843908</f>
        <v>-1419.2218095894577</v>
      </c>
      <c r="P2109">
        <f>-924.94704355635 -41.6083800019564 -202.091637441416</f>
        <v>-1168.6470609997225</v>
      </c>
      <c r="Q2109" t="s">
        <v>43956</v>
      </c>
      <c r="R2109" t="s">
        <v>43957</v>
      </c>
      <c r="S2109" t="s">
        <v>43958</v>
      </c>
      <c r="T2109" t="s">
        <v>43959</v>
      </c>
      <c r="U2109" t="s">
        <v>43960</v>
      </c>
      <c r="V2109" t="s">
        <v>43961</v>
      </c>
      <c r="W2109" t="s">
        <v>43962</v>
      </c>
      <c r="X2109" t="s">
        <v>43963</v>
      </c>
      <c r="Y2109" t="s">
        <v>43964</v>
      </c>
    </row>
    <row r="2110" spans="1:25" x14ac:dyDescent="0.3">
      <c r="A2110">
        <v>105450</v>
      </c>
      <c r="B2110" t="s">
        <v>43965</v>
      </c>
      <c r="C2110" t="s">
        <v>43966</v>
      </c>
      <c r="D2110" t="s">
        <v>43967</v>
      </c>
      <c r="E2110" t="s">
        <v>43968</v>
      </c>
      <c r="F2110" t="s">
        <v>43969</v>
      </c>
      <c r="G2110" t="s">
        <v>43970</v>
      </c>
      <c r="H2110" t="s">
        <v>43971</v>
      </c>
      <c r="I2110" t="s">
        <v>43972</v>
      </c>
      <c r="J2110" t="s">
        <v>43973</v>
      </c>
      <c r="K2110" t="s">
        <v>43974</v>
      </c>
      <c r="L2110" t="s">
        <v>43975</v>
      </c>
      <c r="M2110" t="s">
        <v>43976</v>
      </c>
      <c r="N2110" t="s">
        <v>43977</v>
      </c>
      <c r="O2110">
        <f>-901.543488146441 -23.3959786738087 -494.810699515258</f>
        <v>-1419.7501663355076</v>
      </c>
      <c r="P2110">
        <f>-925.573811075267 -41.5859208392872 -202.094354597807</f>
        <v>-1169.2540865123613</v>
      </c>
      <c r="Q2110" t="s">
        <v>43978</v>
      </c>
      <c r="R2110" t="s">
        <v>43979</v>
      </c>
      <c r="S2110" t="s">
        <v>43980</v>
      </c>
      <c r="T2110" t="s">
        <v>43981</v>
      </c>
      <c r="U2110" t="s">
        <v>43982</v>
      </c>
      <c r="V2110" t="s">
        <v>43983</v>
      </c>
      <c r="W2110" t="s">
        <v>43984</v>
      </c>
      <c r="X2110" t="s">
        <v>43985</v>
      </c>
      <c r="Y2110" t="s">
        <v>43986</v>
      </c>
    </row>
    <row r="2111" spans="1:25" x14ac:dyDescent="0.3">
      <c r="A2111">
        <v>105500</v>
      </c>
      <c r="B2111" t="s">
        <v>43987</v>
      </c>
      <c r="C2111" t="s">
        <v>43988</v>
      </c>
      <c r="D2111" t="s">
        <v>43989</v>
      </c>
      <c r="E2111" t="s">
        <v>43990</v>
      </c>
      <c r="F2111" t="s">
        <v>43991</v>
      </c>
      <c r="G2111" t="s">
        <v>43992</v>
      </c>
      <c r="H2111" t="s">
        <v>43993</v>
      </c>
      <c r="I2111" t="s">
        <v>43994</v>
      </c>
      <c r="J2111" t="s">
        <v>43995</v>
      </c>
      <c r="K2111" t="s">
        <v>43996</v>
      </c>
      <c r="L2111" t="s">
        <v>43997</v>
      </c>
      <c r="M2111" t="s">
        <v>43998</v>
      </c>
      <c r="N2111" t="s">
        <v>43999</v>
      </c>
      <c r="O2111">
        <f>-902.381365921972 -23.680457817879 -494.876254132817</f>
        <v>-1420.9380778726679</v>
      </c>
      <c r="P2111">
        <f>-926.57011446461 -41.9081849035031 -202.175199265107</f>
        <v>-1170.6534986332201</v>
      </c>
      <c r="Q2111" t="s">
        <v>44000</v>
      </c>
      <c r="R2111" t="s">
        <v>44001</v>
      </c>
      <c r="S2111" t="s">
        <v>44002</v>
      </c>
      <c r="T2111" t="s">
        <v>44003</v>
      </c>
      <c r="U2111" t="s">
        <v>44004</v>
      </c>
      <c r="V2111" t="s">
        <v>44005</v>
      </c>
      <c r="W2111" t="s">
        <v>44006</v>
      </c>
      <c r="X2111" t="s">
        <v>44007</v>
      </c>
      <c r="Y2111" t="s">
        <v>44008</v>
      </c>
    </row>
    <row r="2112" spans="1:25" x14ac:dyDescent="0.3">
      <c r="A2112">
        <v>105550</v>
      </c>
      <c r="B2112" t="s">
        <v>44009</v>
      </c>
      <c r="C2112" t="s">
        <v>44010</v>
      </c>
      <c r="D2112" t="s">
        <v>44011</v>
      </c>
      <c r="E2112" t="s">
        <v>44012</v>
      </c>
      <c r="F2112" t="s">
        <v>44013</v>
      </c>
      <c r="G2112" t="s">
        <v>44014</v>
      </c>
      <c r="H2112" t="s">
        <v>44015</v>
      </c>
      <c r="I2112" t="s">
        <v>44016</v>
      </c>
      <c r="J2112" t="s">
        <v>44017</v>
      </c>
      <c r="K2112" t="s">
        <v>44018</v>
      </c>
      <c r="L2112" t="s">
        <v>44019</v>
      </c>
      <c r="M2112" t="s">
        <v>44020</v>
      </c>
      <c r="N2112" t="s">
        <v>44021</v>
      </c>
      <c r="O2112">
        <f>-902.724583015365 -23.8713775293713 -494.903463542505</f>
        <v>-1421.4994240872413</v>
      </c>
      <c r="P2112">
        <f>-926.991368449407 -42.2487847228645 -202.218264822077</f>
        <v>-1171.4584179943486</v>
      </c>
      <c r="Q2112" t="s">
        <v>44022</v>
      </c>
      <c r="R2112" t="s">
        <v>44023</v>
      </c>
      <c r="S2112" t="s">
        <v>44024</v>
      </c>
      <c r="T2112" t="s">
        <v>44025</v>
      </c>
      <c r="U2112" t="s">
        <v>44026</v>
      </c>
      <c r="V2112" t="s">
        <v>44027</v>
      </c>
      <c r="W2112" t="s">
        <v>44028</v>
      </c>
      <c r="X2112" t="s">
        <v>44029</v>
      </c>
      <c r="Y2112" t="s">
        <v>44030</v>
      </c>
    </row>
    <row r="2113" spans="1:25" x14ac:dyDescent="0.3">
      <c r="A2113">
        <v>105600</v>
      </c>
      <c r="B2113" t="s">
        <v>44031</v>
      </c>
      <c r="C2113" t="s">
        <v>44032</v>
      </c>
      <c r="D2113" t="s">
        <v>44033</v>
      </c>
      <c r="E2113" t="s">
        <v>44034</v>
      </c>
      <c r="F2113" t="s">
        <v>44035</v>
      </c>
      <c r="G2113" t="s">
        <v>44036</v>
      </c>
      <c r="H2113" t="s">
        <v>44037</v>
      </c>
      <c r="I2113" t="s">
        <v>44038</v>
      </c>
      <c r="J2113" t="s">
        <v>44039</v>
      </c>
      <c r="K2113" t="s">
        <v>44040</v>
      </c>
      <c r="L2113" t="s">
        <v>44041</v>
      </c>
      <c r="M2113" t="s">
        <v>44042</v>
      </c>
      <c r="N2113" t="s">
        <v>44043</v>
      </c>
      <c r="O2113">
        <f>-903.535864008398 -24.4676018228629 -494.916397015508</f>
        <v>-1422.9198628467689</v>
      </c>
      <c r="P2113">
        <f>-927.684419200061 -43.2421905176564 -202.246648636004</f>
        <v>-1173.1732583537214</v>
      </c>
      <c r="Q2113" t="s">
        <v>44044</v>
      </c>
      <c r="R2113" t="s">
        <v>44045</v>
      </c>
      <c r="S2113" t="s">
        <v>44046</v>
      </c>
      <c r="T2113" t="s">
        <v>44047</v>
      </c>
      <c r="U2113" t="s">
        <v>44048</v>
      </c>
      <c r="V2113" t="s">
        <v>44049</v>
      </c>
      <c r="W2113" t="s">
        <v>44050</v>
      </c>
      <c r="X2113" t="s">
        <v>44051</v>
      </c>
      <c r="Y2113" t="s">
        <v>44052</v>
      </c>
    </row>
    <row r="2114" spans="1:25" x14ac:dyDescent="0.3">
      <c r="A2114">
        <v>105650</v>
      </c>
      <c r="B2114" t="s">
        <v>44053</v>
      </c>
      <c r="C2114" t="s">
        <v>44054</v>
      </c>
      <c r="D2114" t="s">
        <v>44055</v>
      </c>
      <c r="E2114" t="s">
        <v>44056</v>
      </c>
      <c r="F2114" t="s">
        <v>44057</v>
      </c>
      <c r="G2114" t="s">
        <v>44058</v>
      </c>
      <c r="H2114" t="s">
        <v>44059</v>
      </c>
      <c r="I2114" t="s">
        <v>44060</v>
      </c>
      <c r="J2114" t="s">
        <v>44061</v>
      </c>
      <c r="K2114" t="s">
        <v>44062</v>
      </c>
      <c r="L2114" t="s">
        <v>44063</v>
      </c>
      <c r="M2114" t="s">
        <v>44064</v>
      </c>
      <c r="N2114" t="s">
        <v>44065</v>
      </c>
      <c r="O2114">
        <f>-904.250255797792 -24.7417525499818 -494.952918860011</f>
        <v>-1423.9449272077848</v>
      </c>
      <c r="P2114">
        <f>-928.21976637888 -43.5732339049341 -202.272032135626</f>
        <v>-1174.0650324194401</v>
      </c>
      <c r="Q2114" t="s">
        <v>44066</v>
      </c>
      <c r="R2114" t="s">
        <v>44067</v>
      </c>
      <c r="S2114" t="s">
        <v>44068</v>
      </c>
      <c r="T2114" t="s">
        <v>44069</v>
      </c>
      <c r="U2114" t="s">
        <v>44070</v>
      </c>
      <c r="V2114" t="s">
        <v>44071</v>
      </c>
      <c r="W2114" t="s">
        <v>44072</v>
      </c>
      <c r="X2114" t="s">
        <v>44073</v>
      </c>
      <c r="Y2114" t="s">
        <v>44074</v>
      </c>
    </row>
    <row r="2115" spans="1:25" x14ac:dyDescent="0.3">
      <c r="A2115">
        <v>105700</v>
      </c>
      <c r="B2115" t="s">
        <v>44075</v>
      </c>
      <c r="C2115" t="s">
        <v>44076</v>
      </c>
      <c r="D2115" t="s">
        <v>44077</v>
      </c>
      <c r="E2115" t="s">
        <v>44078</v>
      </c>
      <c r="F2115" t="s">
        <v>44079</v>
      </c>
      <c r="G2115" t="s">
        <v>44080</v>
      </c>
      <c r="H2115" t="s">
        <v>44081</v>
      </c>
      <c r="I2115" t="s">
        <v>44082</v>
      </c>
      <c r="J2115" t="s">
        <v>44083</v>
      </c>
      <c r="K2115" t="s">
        <v>44084</v>
      </c>
      <c r="L2115" t="s">
        <v>44085</v>
      </c>
      <c r="M2115" t="s">
        <v>44086</v>
      </c>
      <c r="N2115" t="s">
        <v>44087</v>
      </c>
      <c r="O2115">
        <f>-905.788070132132 -25.5023708880508 -494.889412491301</f>
        <v>-1426.1798535114838</v>
      </c>
      <c r="P2115">
        <f>-929.130243573645 -44.5102134564702 -202.169326875594</f>
        <v>-1175.8097839057091</v>
      </c>
      <c r="Q2115" t="s">
        <v>44088</v>
      </c>
      <c r="R2115" t="s">
        <v>44089</v>
      </c>
      <c r="S2115" t="s">
        <v>44090</v>
      </c>
      <c r="T2115" t="s">
        <v>44091</v>
      </c>
      <c r="U2115" t="s">
        <v>44092</v>
      </c>
      <c r="V2115" t="s">
        <v>44093</v>
      </c>
      <c r="W2115" t="s">
        <v>44094</v>
      </c>
      <c r="X2115" t="s">
        <v>44095</v>
      </c>
      <c r="Y2115" t="s">
        <v>44096</v>
      </c>
    </row>
    <row r="2116" spans="1:25" x14ac:dyDescent="0.3">
      <c r="A2116">
        <v>105750</v>
      </c>
      <c r="B2116" t="s">
        <v>44097</v>
      </c>
      <c r="C2116" t="s">
        <v>44098</v>
      </c>
      <c r="D2116" t="s">
        <v>44099</v>
      </c>
      <c r="E2116" t="s">
        <v>44100</v>
      </c>
      <c r="F2116" t="s">
        <v>44101</v>
      </c>
      <c r="G2116" t="s">
        <v>44102</v>
      </c>
      <c r="H2116" t="s">
        <v>44103</v>
      </c>
      <c r="I2116" t="s">
        <v>44104</v>
      </c>
      <c r="J2116" t="s">
        <v>44105</v>
      </c>
      <c r="K2116" t="s">
        <v>44106</v>
      </c>
      <c r="L2116" t="s">
        <v>44107</v>
      </c>
      <c r="M2116" t="s">
        <v>44108</v>
      </c>
      <c r="N2116" t="s">
        <v>44109</v>
      </c>
      <c r="O2116">
        <f>-906.569427691608 -25.8363437439239 -494.808872061576</f>
        <v>-1427.2146434971078</v>
      </c>
      <c r="P2116">
        <f>-929.691591500038 -44.8974346295499 -202.074647783907</f>
        <v>-1176.6636739134949</v>
      </c>
      <c r="Q2116" t="s">
        <v>44110</v>
      </c>
      <c r="R2116" t="s">
        <v>44111</v>
      </c>
      <c r="S2116" t="s">
        <v>44112</v>
      </c>
      <c r="T2116" t="s">
        <v>44113</v>
      </c>
      <c r="U2116" t="s">
        <v>44114</v>
      </c>
      <c r="V2116" t="s">
        <v>44115</v>
      </c>
      <c r="W2116" t="s">
        <v>44116</v>
      </c>
      <c r="X2116" t="s">
        <v>44117</v>
      </c>
      <c r="Y2116" t="s">
        <v>44118</v>
      </c>
    </row>
    <row r="2117" spans="1:25" x14ac:dyDescent="0.3">
      <c r="A2117">
        <v>105800</v>
      </c>
      <c r="B2117" t="s">
        <v>44119</v>
      </c>
      <c r="C2117" t="s">
        <v>44120</v>
      </c>
      <c r="D2117" t="s">
        <v>44121</v>
      </c>
      <c r="E2117" t="s">
        <v>44122</v>
      </c>
      <c r="F2117" t="s">
        <v>44123</v>
      </c>
      <c r="G2117" t="s">
        <v>44124</v>
      </c>
      <c r="H2117" t="s">
        <v>44125</v>
      </c>
      <c r="I2117" t="s">
        <v>44126</v>
      </c>
      <c r="J2117" t="s">
        <v>44127</v>
      </c>
      <c r="K2117" t="s">
        <v>44128</v>
      </c>
      <c r="L2117" t="s">
        <v>44129</v>
      </c>
      <c r="M2117" t="s">
        <v>44130</v>
      </c>
      <c r="N2117" t="s">
        <v>44131</v>
      </c>
      <c r="O2117">
        <f>-907.566094602118 -26.3600935597456 -494.7057899174</f>
        <v>-1428.6319780792637</v>
      </c>
      <c r="P2117">
        <f>-930.577823384975 -45.6146801193906 -201.975588103509</f>
        <v>-1178.1680916078747</v>
      </c>
      <c r="Q2117" t="s">
        <v>44132</v>
      </c>
      <c r="R2117" t="s">
        <v>44133</v>
      </c>
      <c r="S2117" t="s">
        <v>44134</v>
      </c>
      <c r="T2117" t="s">
        <v>44135</v>
      </c>
      <c r="U2117" t="s">
        <v>44136</v>
      </c>
      <c r="V2117" t="s">
        <v>44137</v>
      </c>
      <c r="W2117" t="s">
        <v>44138</v>
      </c>
      <c r="X2117" t="s">
        <v>44139</v>
      </c>
      <c r="Y2117" t="s">
        <v>44140</v>
      </c>
    </row>
    <row r="2118" spans="1:25" x14ac:dyDescent="0.3">
      <c r="A2118">
        <v>105850</v>
      </c>
      <c r="B2118" t="s">
        <v>44141</v>
      </c>
      <c r="C2118" t="s">
        <v>44142</v>
      </c>
      <c r="D2118" t="s">
        <v>44143</v>
      </c>
      <c r="E2118" t="s">
        <v>44144</v>
      </c>
      <c r="F2118" t="s">
        <v>44145</v>
      </c>
      <c r="G2118" t="s">
        <v>44146</v>
      </c>
      <c r="H2118" t="s">
        <v>44147</v>
      </c>
      <c r="I2118" t="s">
        <v>44148</v>
      </c>
      <c r="J2118" t="s">
        <v>44149</v>
      </c>
      <c r="K2118" t="s">
        <v>44150</v>
      </c>
      <c r="L2118" t="s">
        <v>44151</v>
      </c>
      <c r="M2118" t="s">
        <v>44152</v>
      </c>
      <c r="N2118" t="s">
        <v>44153</v>
      </c>
      <c r="O2118">
        <f>-907.538987538831 -26.5335910707927 -494.683930112502</f>
        <v>-1428.7565087221255</v>
      </c>
      <c r="P2118">
        <f>-930.582957251818 -45.8194826565802 -201.958435278544</f>
        <v>-1178.3608751869422</v>
      </c>
      <c r="Q2118" t="s">
        <v>44154</v>
      </c>
      <c r="R2118" t="s">
        <v>44155</v>
      </c>
      <c r="S2118" t="s">
        <v>44156</v>
      </c>
      <c r="T2118" t="s">
        <v>44157</v>
      </c>
      <c r="U2118" t="s">
        <v>44158</v>
      </c>
      <c r="V2118" t="s">
        <v>44159</v>
      </c>
      <c r="W2118" t="s">
        <v>44160</v>
      </c>
      <c r="X2118" t="s">
        <v>44161</v>
      </c>
      <c r="Y2118" t="s">
        <v>44162</v>
      </c>
    </row>
    <row r="2119" spans="1:25" x14ac:dyDescent="0.3">
      <c r="A2119">
        <v>105900</v>
      </c>
      <c r="B2119" t="s">
        <v>44163</v>
      </c>
      <c r="C2119" t="s">
        <v>44164</v>
      </c>
      <c r="D2119" t="s">
        <v>44165</v>
      </c>
      <c r="E2119" t="s">
        <v>44166</v>
      </c>
      <c r="F2119" t="s">
        <v>44167</v>
      </c>
      <c r="G2119" t="s">
        <v>44168</v>
      </c>
      <c r="H2119" t="s">
        <v>44169</v>
      </c>
      <c r="I2119" t="s">
        <v>44170</v>
      </c>
      <c r="J2119" t="s">
        <v>44171</v>
      </c>
      <c r="K2119" t="s">
        <v>44172</v>
      </c>
      <c r="L2119" t="s">
        <v>44173</v>
      </c>
      <c r="M2119" t="s">
        <v>44174</v>
      </c>
      <c r="N2119" t="s">
        <v>44175</v>
      </c>
      <c r="O2119">
        <f>-907.248699241321 -27.1364115470797 -494.590409444361</f>
        <v>-1428.9755202327617</v>
      </c>
      <c r="P2119">
        <f>-930.613637032437 -46.451603021625 -201.892204067878</f>
        <v>-1178.9574441219402</v>
      </c>
      <c r="Q2119" t="s">
        <v>44176</v>
      </c>
      <c r="R2119" t="s">
        <v>44177</v>
      </c>
      <c r="S2119" t="s">
        <v>44178</v>
      </c>
      <c r="T2119" t="s">
        <v>44179</v>
      </c>
      <c r="U2119" t="s">
        <v>44180</v>
      </c>
      <c r="V2119" t="s">
        <v>44181</v>
      </c>
      <c r="W2119" t="s">
        <v>44182</v>
      </c>
      <c r="X2119" t="s">
        <v>44183</v>
      </c>
      <c r="Y2119" t="s">
        <v>44184</v>
      </c>
    </row>
    <row r="2120" spans="1:25" x14ac:dyDescent="0.3">
      <c r="A2120">
        <v>105950</v>
      </c>
      <c r="B2120" t="s">
        <v>44185</v>
      </c>
      <c r="C2120" t="s">
        <v>44186</v>
      </c>
      <c r="D2120" t="s">
        <v>44187</v>
      </c>
      <c r="E2120" t="s">
        <v>44188</v>
      </c>
      <c r="F2120" t="s">
        <v>44189</v>
      </c>
      <c r="G2120" t="s">
        <v>44190</v>
      </c>
      <c r="H2120" t="s">
        <v>44191</v>
      </c>
      <c r="I2120" t="s">
        <v>44192</v>
      </c>
      <c r="J2120" t="s">
        <v>44193</v>
      </c>
      <c r="K2120" t="s">
        <v>44194</v>
      </c>
      <c r="L2120" t="s">
        <v>44195</v>
      </c>
      <c r="M2120" t="s">
        <v>44196</v>
      </c>
      <c r="N2120" t="s">
        <v>44197</v>
      </c>
      <c r="O2120">
        <f>-907.361592596086 -27.5819240697592 -494.521951199451</f>
        <v>-1429.4654678652962</v>
      </c>
      <c r="P2120">
        <f>-930.97959039493 -46.8469415968455 -201.840808730235</f>
        <v>-1179.6673407220105</v>
      </c>
      <c r="Q2120" t="s">
        <v>44198</v>
      </c>
      <c r="R2120" t="s">
        <v>44199</v>
      </c>
      <c r="S2120" t="s">
        <v>44200</v>
      </c>
      <c r="T2120" t="s">
        <v>44201</v>
      </c>
      <c r="U2120" t="s">
        <v>44202</v>
      </c>
      <c r="V2120" t="s">
        <v>44203</v>
      </c>
      <c r="W2120" t="s">
        <v>44204</v>
      </c>
      <c r="X2120" t="s">
        <v>44205</v>
      </c>
      <c r="Y2120" t="s">
        <v>44206</v>
      </c>
    </row>
    <row r="2121" spans="1:25" x14ac:dyDescent="0.3">
      <c r="A2121">
        <v>106000</v>
      </c>
      <c r="B2121" t="s">
        <v>44207</v>
      </c>
      <c r="C2121" t="s">
        <v>44208</v>
      </c>
      <c r="D2121" t="s">
        <v>44209</v>
      </c>
      <c r="E2121" t="s">
        <v>44210</v>
      </c>
      <c r="F2121" t="s">
        <v>44211</v>
      </c>
      <c r="G2121" t="s">
        <v>44212</v>
      </c>
      <c r="H2121" t="s">
        <v>44213</v>
      </c>
      <c r="I2121" t="s">
        <v>44214</v>
      </c>
      <c r="J2121" t="s">
        <v>44215</v>
      </c>
      <c r="K2121" t="s">
        <v>44216</v>
      </c>
      <c r="L2121" t="s">
        <v>44217</v>
      </c>
      <c r="M2121" t="s">
        <v>44218</v>
      </c>
      <c r="N2121" t="s">
        <v>44219</v>
      </c>
      <c r="O2121">
        <f>-908.236653416943 -28.6974503254955 -494.390588894422</f>
        <v>-1431.3246926368606</v>
      </c>
      <c r="P2121">
        <f>-932.354642474867 -47.6427976618497 -201.729347186606</f>
        <v>-1181.7267873233227</v>
      </c>
      <c r="Q2121" t="s">
        <v>44220</v>
      </c>
      <c r="R2121" t="s">
        <v>44221</v>
      </c>
      <c r="S2121" t="s">
        <v>44222</v>
      </c>
      <c r="T2121" t="s">
        <v>44223</v>
      </c>
      <c r="U2121" t="s">
        <v>44224</v>
      </c>
      <c r="V2121" t="s">
        <v>44225</v>
      </c>
      <c r="W2121" t="s">
        <v>44226</v>
      </c>
      <c r="X2121" t="s">
        <v>44227</v>
      </c>
      <c r="Y2121" t="s">
        <v>44228</v>
      </c>
    </row>
    <row r="2122" spans="1:25" x14ac:dyDescent="0.3">
      <c r="A2122">
        <v>106050</v>
      </c>
      <c r="B2122" t="s">
        <v>44229</v>
      </c>
      <c r="C2122" t="s">
        <v>44230</v>
      </c>
      <c r="D2122" t="s">
        <v>44231</v>
      </c>
      <c r="E2122" t="s">
        <v>44232</v>
      </c>
      <c r="F2122" t="s">
        <v>44233</v>
      </c>
      <c r="G2122" t="s">
        <v>44234</v>
      </c>
      <c r="H2122" t="s">
        <v>44235</v>
      </c>
      <c r="I2122" t="s">
        <v>44236</v>
      </c>
      <c r="J2122" t="s">
        <v>44237</v>
      </c>
      <c r="K2122" t="s">
        <v>44238</v>
      </c>
      <c r="L2122" t="s">
        <v>44239</v>
      </c>
      <c r="M2122" t="s">
        <v>44240</v>
      </c>
      <c r="N2122" t="s">
        <v>44241</v>
      </c>
      <c r="O2122">
        <f>-908.717636306679 -29.2632840863016 -494.30400994076</f>
        <v>-1432.2849303337407</v>
      </c>
      <c r="P2122">
        <f>-932.929435282703 -47.9871310719279 -201.636100550402</f>
        <v>-1182.552666905033</v>
      </c>
      <c r="Q2122" t="s">
        <v>44242</v>
      </c>
      <c r="R2122" t="s">
        <v>44243</v>
      </c>
      <c r="S2122" t="s">
        <v>44244</v>
      </c>
      <c r="T2122" t="s">
        <v>44245</v>
      </c>
      <c r="U2122" t="s">
        <v>44246</v>
      </c>
      <c r="V2122" t="s">
        <v>44247</v>
      </c>
      <c r="W2122" t="s">
        <v>44248</v>
      </c>
      <c r="X2122" t="s">
        <v>44249</v>
      </c>
      <c r="Y2122" t="s">
        <v>44250</v>
      </c>
    </row>
    <row r="2123" spans="1:25" x14ac:dyDescent="0.3">
      <c r="A2123">
        <v>106100</v>
      </c>
      <c r="B2123" t="s">
        <v>44251</v>
      </c>
      <c r="C2123" t="s">
        <v>44252</v>
      </c>
      <c r="D2123" t="s">
        <v>44253</v>
      </c>
      <c r="E2123" t="s">
        <v>44254</v>
      </c>
      <c r="F2123" t="s">
        <v>44255</v>
      </c>
      <c r="G2123" t="s">
        <v>44256</v>
      </c>
      <c r="H2123" t="s">
        <v>44257</v>
      </c>
      <c r="I2123" t="s">
        <v>44258</v>
      </c>
      <c r="J2123" t="s">
        <v>44259</v>
      </c>
      <c r="K2123" t="s">
        <v>44260</v>
      </c>
      <c r="L2123" t="s">
        <v>44261</v>
      </c>
      <c r="M2123" t="s">
        <v>44262</v>
      </c>
      <c r="N2123" t="s">
        <v>44263</v>
      </c>
      <c r="O2123">
        <f>-909.534310425868 -30.3158867870056 -494.125152189955</f>
        <v>-1433.9753494028287</v>
      </c>
      <c r="P2123">
        <f>-933.74210549779 -48.9811216579747 -201.453437585844</f>
        <v>-1184.1766647416086</v>
      </c>
      <c r="Q2123" t="s">
        <v>44264</v>
      </c>
      <c r="R2123" t="s">
        <v>44265</v>
      </c>
      <c r="S2123" t="s">
        <v>44266</v>
      </c>
      <c r="T2123" t="s">
        <v>44267</v>
      </c>
      <c r="U2123" t="s">
        <v>44268</v>
      </c>
      <c r="V2123" t="s">
        <v>44269</v>
      </c>
      <c r="W2123" t="s">
        <v>44270</v>
      </c>
      <c r="X2123" t="s">
        <v>44271</v>
      </c>
      <c r="Y2123" t="s">
        <v>44272</v>
      </c>
    </row>
    <row r="2124" spans="1:25" x14ac:dyDescent="0.3">
      <c r="A2124">
        <v>106150</v>
      </c>
      <c r="B2124" t="s">
        <v>44273</v>
      </c>
      <c r="C2124" t="s">
        <v>44274</v>
      </c>
      <c r="D2124" t="s">
        <v>44275</v>
      </c>
      <c r="E2124" t="s">
        <v>44276</v>
      </c>
      <c r="F2124" t="s">
        <v>44277</v>
      </c>
      <c r="G2124" t="s">
        <v>44278</v>
      </c>
      <c r="H2124" t="s">
        <v>44279</v>
      </c>
      <c r="I2124" t="s">
        <v>44280</v>
      </c>
      <c r="J2124" t="s">
        <v>44281</v>
      </c>
      <c r="K2124" t="s">
        <v>44282</v>
      </c>
      <c r="L2124" t="s">
        <v>44283</v>
      </c>
      <c r="M2124" t="s">
        <v>44284</v>
      </c>
      <c r="N2124" t="s">
        <v>44285</v>
      </c>
      <c r="O2124">
        <f>-910.001703519487 -30.8174470005733 -494.097064851817</f>
        <v>-1434.9162153718773</v>
      </c>
      <c r="P2124">
        <f>-934.166988145452 -49.4569142236721 -201.420011662373</f>
        <v>-1185.0439140314973</v>
      </c>
      <c r="Q2124" t="s">
        <v>44286</v>
      </c>
      <c r="R2124" t="s">
        <v>44287</v>
      </c>
      <c r="S2124" t="s">
        <v>44288</v>
      </c>
      <c r="T2124" t="s">
        <v>44289</v>
      </c>
      <c r="U2124" t="s">
        <v>44290</v>
      </c>
      <c r="V2124" t="s">
        <v>44291</v>
      </c>
      <c r="W2124" t="s">
        <v>44292</v>
      </c>
      <c r="X2124" t="s">
        <v>44293</v>
      </c>
      <c r="Y2124" t="s">
        <v>44294</v>
      </c>
    </row>
    <row r="2125" spans="1:25" x14ac:dyDescent="0.3">
      <c r="A2125">
        <v>106200</v>
      </c>
      <c r="B2125" t="s">
        <v>44295</v>
      </c>
      <c r="C2125" t="s">
        <v>44296</v>
      </c>
      <c r="D2125" t="s">
        <v>44297</v>
      </c>
      <c r="E2125" t="s">
        <v>44298</v>
      </c>
      <c r="F2125" t="s">
        <v>44299</v>
      </c>
      <c r="G2125" t="s">
        <v>44300</v>
      </c>
      <c r="H2125" t="s">
        <v>44301</v>
      </c>
      <c r="I2125" t="s">
        <v>44302</v>
      </c>
      <c r="J2125" t="s">
        <v>44303</v>
      </c>
      <c r="K2125" t="s">
        <v>44304</v>
      </c>
      <c r="L2125" t="s">
        <v>44305</v>
      </c>
      <c r="M2125" t="s">
        <v>44306</v>
      </c>
      <c r="N2125" t="s">
        <v>44307</v>
      </c>
      <c r="O2125">
        <f>-910.91710182137 -31.8911845845291 -493.983029476922</f>
        <v>-1436.7913158828212</v>
      </c>
      <c r="P2125">
        <f>-934.9853656973 -50.539906835987 -201.298510736331</f>
        <v>-1186.8237832696182</v>
      </c>
      <c r="Q2125" t="s">
        <v>44308</v>
      </c>
      <c r="R2125" t="s">
        <v>44309</v>
      </c>
      <c r="S2125" t="s">
        <v>44310</v>
      </c>
      <c r="T2125" t="s">
        <v>44311</v>
      </c>
      <c r="U2125" t="s">
        <v>44312</v>
      </c>
      <c r="V2125" t="s">
        <v>44313</v>
      </c>
      <c r="W2125" t="s">
        <v>44314</v>
      </c>
      <c r="X2125" t="s">
        <v>44315</v>
      </c>
      <c r="Y2125" t="s">
        <v>44316</v>
      </c>
    </row>
    <row r="2126" spans="1:25" x14ac:dyDescent="0.3">
      <c r="A2126">
        <v>106250</v>
      </c>
      <c r="B2126" t="s">
        <v>44317</v>
      </c>
      <c r="C2126" t="s">
        <v>44318</v>
      </c>
      <c r="D2126" t="s">
        <v>44319</v>
      </c>
      <c r="E2126" t="s">
        <v>44320</v>
      </c>
      <c r="F2126" t="s">
        <v>44321</v>
      </c>
      <c r="G2126" t="s">
        <v>44322</v>
      </c>
      <c r="H2126" t="s">
        <v>44323</v>
      </c>
      <c r="I2126" t="s">
        <v>44324</v>
      </c>
      <c r="J2126" t="s">
        <v>44325</v>
      </c>
      <c r="K2126" t="s">
        <v>44326</v>
      </c>
      <c r="L2126" t="s">
        <v>44327</v>
      </c>
      <c r="M2126" t="s">
        <v>44328</v>
      </c>
      <c r="N2126" t="s">
        <v>44329</v>
      </c>
      <c r="O2126">
        <f>-911.4551812869 -32.3526920959002 -493.873543478671</f>
        <v>-1437.6814168614712</v>
      </c>
      <c r="P2126">
        <f>-935.504437141593 -50.8754085997548 -201.179569438306</f>
        <v>-1187.5594151796538</v>
      </c>
      <c r="Q2126" t="s">
        <v>44330</v>
      </c>
      <c r="R2126" t="s">
        <v>44331</v>
      </c>
      <c r="S2126" t="s">
        <v>44332</v>
      </c>
      <c r="T2126" t="s">
        <v>44333</v>
      </c>
      <c r="U2126" t="s">
        <v>44334</v>
      </c>
      <c r="V2126" t="s">
        <v>44335</v>
      </c>
      <c r="W2126" t="s">
        <v>44336</v>
      </c>
      <c r="X2126" t="s">
        <v>44337</v>
      </c>
      <c r="Y2126" t="s">
        <v>44338</v>
      </c>
    </row>
    <row r="2127" spans="1:25" x14ac:dyDescent="0.3">
      <c r="A2127">
        <v>106300</v>
      </c>
      <c r="B2127" t="s">
        <v>44339</v>
      </c>
      <c r="C2127" t="s">
        <v>44340</v>
      </c>
      <c r="D2127" t="s">
        <v>44341</v>
      </c>
      <c r="E2127" t="s">
        <v>44342</v>
      </c>
      <c r="F2127" t="s">
        <v>44343</v>
      </c>
      <c r="G2127" t="s">
        <v>44344</v>
      </c>
      <c r="H2127" t="s">
        <v>44345</v>
      </c>
      <c r="I2127" t="s">
        <v>44346</v>
      </c>
      <c r="J2127" t="s">
        <v>44347</v>
      </c>
      <c r="K2127" t="s">
        <v>44348</v>
      </c>
      <c r="L2127" t="s">
        <v>44349</v>
      </c>
      <c r="M2127" t="s">
        <v>44350</v>
      </c>
      <c r="N2127" t="s">
        <v>44351</v>
      </c>
      <c r="O2127">
        <f>-912.527416281073 -33.3789118720101 -493.557132197081</f>
        <v>-1439.463460350164</v>
      </c>
      <c r="P2127">
        <f>-936.40600578878 -51.6570323266176 -200.833795558606</f>
        <v>-1188.8968336740036</v>
      </c>
      <c r="Q2127">
        <f>-737.892979972844 -0.61707029722902 -327.476217734267</f>
        <v>-1065.98626800434</v>
      </c>
      <c r="R2127" t="s">
        <v>44352</v>
      </c>
      <c r="S2127" t="s">
        <v>44353</v>
      </c>
      <c r="T2127" t="s">
        <v>44354</v>
      </c>
      <c r="U2127" t="s">
        <v>44355</v>
      </c>
      <c r="V2127" t="s">
        <v>44356</v>
      </c>
      <c r="W2127" t="s">
        <v>44357</v>
      </c>
      <c r="X2127" t="s">
        <v>44358</v>
      </c>
      <c r="Y2127" t="s">
        <v>44359</v>
      </c>
    </row>
    <row r="2128" spans="1:25" x14ac:dyDescent="0.3">
      <c r="A2128">
        <v>106350</v>
      </c>
      <c r="B2128" t="s">
        <v>44360</v>
      </c>
      <c r="C2128" t="s">
        <v>44361</v>
      </c>
      <c r="D2128" t="s">
        <v>44362</v>
      </c>
      <c r="E2128" t="s">
        <v>44363</v>
      </c>
      <c r="F2128" t="s">
        <v>44364</v>
      </c>
      <c r="G2128" t="s">
        <v>44365</v>
      </c>
      <c r="H2128" t="s">
        <v>44366</v>
      </c>
      <c r="I2128" t="s">
        <v>44367</v>
      </c>
      <c r="J2128" t="s">
        <v>44368</v>
      </c>
      <c r="K2128" t="s">
        <v>44369</v>
      </c>
      <c r="L2128" t="s">
        <v>44370</v>
      </c>
      <c r="M2128" t="s">
        <v>44371</v>
      </c>
      <c r="N2128" t="s">
        <v>44372</v>
      </c>
      <c r="O2128">
        <f>-913.060966700525 -33.8600437537407 -493.391610772311</f>
        <v>-1440.3126212265768</v>
      </c>
      <c r="P2128">
        <f>-936.909802405555 -51.9164559628416 -200.65200049681</f>
        <v>-1189.4782588652065</v>
      </c>
      <c r="Q2128">
        <f>-738.483598131275 -0.874635002875948 -327.42986554641</f>
        <v>-1066.788098680561</v>
      </c>
      <c r="R2128" t="s">
        <v>44373</v>
      </c>
      <c r="S2128" t="s">
        <v>44374</v>
      </c>
      <c r="T2128" t="s">
        <v>44375</v>
      </c>
      <c r="U2128" t="s">
        <v>44376</v>
      </c>
      <c r="V2128" t="s">
        <v>44377</v>
      </c>
      <c r="W2128" t="s">
        <v>44378</v>
      </c>
      <c r="X2128" t="s">
        <v>44379</v>
      </c>
      <c r="Y2128" t="s">
        <v>44380</v>
      </c>
    </row>
    <row r="2129" spans="1:25" x14ac:dyDescent="0.3">
      <c r="A2129">
        <v>106400</v>
      </c>
      <c r="B2129" t="s">
        <v>44381</v>
      </c>
      <c r="C2129" t="s">
        <v>44382</v>
      </c>
      <c r="D2129" t="s">
        <v>44383</v>
      </c>
      <c r="E2129" t="s">
        <v>44384</v>
      </c>
      <c r="F2129" t="s">
        <v>44385</v>
      </c>
      <c r="G2129" t="s">
        <v>44386</v>
      </c>
      <c r="H2129" t="s">
        <v>44387</v>
      </c>
      <c r="I2129" t="s">
        <v>44388</v>
      </c>
      <c r="J2129" t="s">
        <v>44389</v>
      </c>
      <c r="K2129" t="s">
        <v>44390</v>
      </c>
      <c r="L2129" t="s">
        <v>44391</v>
      </c>
      <c r="M2129" t="s">
        <v>44392</v>
      </c>
      <c r="N2129" t="s">
        <v>44393</v>
      </c>
      <c r="O2129">
        <f>-913.903504503566 -34.998638543942 -493.034786604294</f>
        <v>-1441.9369296518021</v>
      </c>
      <c r="P2129">
        <f>-937.849355060104 -52.7198134792543 -200.282864908128</f>
        <v>-1190.8520334474863</v>
      </c>
      <c r="Q2129">
        <f>-739.605267245475 -1.47707008493899 -327.264535664034</f>
        <v>-1068.3468729944479</v>
      </c>
      <c r="R2129" t="s">
        <v>44394</v>
      </c>
      <c r="S2129" t="s">
        <v>44395</v>
      </c>
      <c r="T2129" t="s">
        <v>44396</v>
      </c>
      <c r="U2129" t="s">
        <v>44397</v>
      </c>
      <c r="V2129" t="s">
        <v>44398</v>
      </c>
      <c r="W2129" t="s">
        <v>44399</v>
      </c>
      <c r="X2129" t="s">
        <v>44400</v>
      </c>
      <c r="Y2129" t="s">
        <v>44401</v>
      </c>
    </row>
    <row r="2130" spans="1:25" x14ac:dyDescent="0.3">
      <c r="A2130">
        <v>106450</v>
      </c>
      <c r="B2130" t="s">
        <v>44402</v>
      </c>
      <c r="C2130" t="s">
        <v>44403</v>
      </c>
      <c r="D2130" t="s">
        <v>44404</v>
      </c>
      <c r="E2130" t="s">
        <v>44405</v>
      </c>
      <c r="F2130" t="s">
        <v>44406</v>
      </c>
      <c r="G2130" t="s">
        <v>44407</v>
      </c>
      <c r="H2130" t="s">
        <v>44408</v>
      </c>
      <c r="I2130" t="s">
        <v>44409</v>
      </c>
      <c r="J2130" t="s">
        <v>44410</v>
      </c>
      <c r="K2130" t="s">
        <v>44411</v>
      </c>
      <c r="L2130" t="s">
        <v>44412</v>
      </c>
      <c r="M2130" t="s">
        <v>44413</v>
      </c>
      <c r="N2130" t="s">
        <v>44414</v>
      </c>
      <c r="O2130">
        <f>-914.11070685671 -35.4899956903646 -492.849751497169</f>
        <v>-1442.4504540442435</v>
      </c>
      <c r="P2130">
        <f>-938.191676937465 -53.0952215922478 -200.101803657255</f>
        <v>-1191.3887021869677</v>
      </c>
      <c r="Q2130">
        <f>-739.960714294329 -1.72577289116634 -327.0527534866</f>
        <v>-1068.7392406720953</v>
      </c>
      <c r="R2130" t="s">
        <v>44415</v>
      </c>
      <c r="S2130" t="s">
        <v>44416</v>
      </c>
      <c r="T2130" t="s">
        <v>44417</v>
      </c>
      <c r="U2130" t="s">
        <v>44418</v>
      </c>
      <c r="V2130" t="s">
        <v>44419</v>
      </c>
      <c r="W2130" t="s">
        <v>44420</v>
      </c>
      <c r="X2130" t="s">
        <v>44421</v>
      </c>
      <c r="Y2130" t="s">
        <v>44422</v>
      </c>
    </row>
    <row r="2131" spans="1:25" x14ac:dyDescent="0.3">
      <c r="A2131">
        <v>106500</v>
      </c>
      <c r="B2131" t="s">
        <v>44423</v>
      </c>
      <c r="C2131" t="s">
        <v>44424</v>
      </c>
      <c r="D2131" t="s">
        <v>44425</v>
      </c>
      <c r="E2131" t="s">
        <v>44426</v>
      </c>
      <c r="F2131" t="s">
        <v>44427</v>
      </c>
      <c r="G2131" t="s">
        <v>44428</v>
      </c>
      <c r="H2131" t="s">
        <v>44429</v>
      </c>
      <c r="I2131" t="s">
        <v>44430</v>
      </c>
      <c r="J2131" t="s">
        <v>44431</v>
      </c>
      <c r="K2131" t="s">
        <v>44432</v>
      </c>
      <c r="L2131" t="s">
        <v>44433</v>
      </c>
      <c r="M2131" t="s">
        <v>44434</v>
      </c>
      <c r="N2131" t="s">
        <v>44435</v>
      </c>
      <c r="O2131">
        <f>-914.560846549574 -36.5964293071061 -492.550065040673</f>
        <v>-1443.7073408973531</v>
      </c>
      <c r="P2131">
        <f>-939.105516311054 -54.0781705199918 -199.833158498333</f>
        <v>-1193.0168453293788</v>
      </c>
      <c r="Q2131">
        <f>-740.985498480203 -2.10985354078548 -326.713845227482</f>
        <v>-1069.8091972484704</v>
      </c>
      <c r="R2131" t="s">
        <v>44436</v>
      </c>
      <c r="S2131" t="s">
        <v>44437</v>
      </c>
      <c r="T2131" t="s">
        <v>44438</v>
      </c>
      <c r="U2131" t="s">
        <v>44439</v>
      </c>
      <c r="V2131" t="s">
        <v>44440</v>
      </c>
      <c r="W2131" t="s">
        <v>44441</v>
      </c>
      <c r="X2131" t="s">
        <v>44442</v>
      </c>
      <c r="Y2131" t="s">
        <v>44443</v>
      </c>
    </row>
    <row r="2132" spans="1:25" x14ac:dyDescent="0.3">
      <c r="A2132">
        <v>106550</v>
      </c>
      <c r="B2132" t="s">
        <v>44444</v>
      </c>
      <c r="C2132" t="s">
        <v>44445</v>
      </c>
      <c r="D2132" t="s">
        <v>44446</v>
      </c>
      <c r="E2132" t="s">
        <v>44447</v>
      </c>
      <c r="F2132" t="s">
        <v>44448</v>
      </c>
      <c r="G2132" t="s">
        <v>44449</v>
      </c>
      <c r="H2132" t="s">
        <v>44450</v>
      </c>
      <c r="I2132" t="s">
        <v>44451</v>
      </c>
      <c r="J2132" t="s">
        <v>44452</v>
      </c>
      <c r="K2132" t="s">
        <v>44453</v>
      </c>
      <c r="L2132" t="s">
        <v>44454</v>
      </c>
      <c r="M2132" t="s">
        <v>44455</v>
      </c>
      <c r="N2132" t="s">
        <v>44456</v>
      </c>
      <c r="O2132">
        <f>-914.569177796844 -36.9734793205407 -492.503181869689</f>
        <v>-1444.0458389870737</v>
      </c>
      <c r="P2132">
        <f>-939.403552158013 -54.3463531223249 -199.804223705583</f>
        <v>-1193.5541289859209</v>
      </c>
      <c r="Q2132">
        <f>-741.268663551305 -2.20545119076087 -326.59067649685</f>
        <v>-1070.0647912389159</v>
      </c>
      <c r="R2132" t="s">
        <v>44457</v>
      </c>
      <c r="S2132" t="s">
        <v>44458</v>
      </c>
      <c r="T2132" t="s">
        <v>44459</v>
      </c>
      <c r="U2132" t="s">
        <v>44460</v>
      </c>
      <c r="V2132" t="s">
        <v>44461</v>
      </c>
      <c r="W2132" t="s">
        <v>44462</v>
      </c>
      <c r="X2132" t="s">
        <v>44463</v>
      </c>
      <c r="Y2132" t="s">
        <v>44464</v>
      </c>
    </row>
    <row r="2133" spans="1:25" x14ac:dyDescent="0.3">
      <c r="A2133">
        <v>106600</v>
      </c>
      <c r="B2133" t="s">
        <v>44465</v>
      </c>
      <c r="C2133" t="s">
        <v>44466</v>
      </c>
      <c r="D2133" t="s">
        <v>44467</v>
      </c>
      <c r="E2133" t="s">
        <v>44468</v>
      </c>
      <c r="F2133" t="s">
        <v>44469</v>
      </c>
      <c r="G2133" t="s">
        <v>44470</v>
      </c>
      <c r="H2133" t="s">
        <v>44471</v>
      </c>
      <c r="I2133" t="s">
        <v>44472</v>
      </c>
      <c r="J2133" t="s">
        <v>44473</v>
      </c>
      <c r="K2133" t="s">
        <v>44474</v>
      </c>
      <c r="L2133" t="s">
        <v>44475</v>
      </c>
      <c r="M2133" t="s">
        <v>44476</v>
      </c>
      <c r="N2133" t="s">
        <v>44477</v>
      </c>
      <c r="O2133">
        <f>-914.186711695341 -37.7643620783751 -492.380311622119</f>
        <v>-1444.3313853958352</v>
      </c>
      <c r="P2133">
        <f>-939.445307188873 -55.1138450115009 -199.716340150584</f>
        <v>-1194.2754923509578</v>
      </c>
      <c r="Q2133">
        <f>-741.334614722077 -2.60325244100204 -326.387447280497</f>
        <v>-1070.3253144435762</v>
      </c>
      <c r="R2133" t="s">
        <v>44478</v>
      </c>
      <c r="S2133" t="s">
        <v>44479</v>
      </c>
      <c r="T2133" t="s">
        <v>44480</v>
      </c>
      <c r="U2133" t="s">
        <v>44481</v>
      </c>
      <c r="V2133" t="s">
        <v>44482</v>
      </c>
      <c r="W2133" t="s">
        <v>44483</v>
      </c>
      <c r="X2133" t="s">
        <v>44484</v>
      </c>
      <c r="Y2133" t="s">
        <v>44485</v>
      </c>
    </row>
    <row r="2134" spans="1:25" x14ac:dyDescent="0.3">
      <c r="A2134">
        <v>106650</v>
      </c>
      <c r="B2134" t="s">
        <v>44486</v>
      </c>
      <c r="C2134" t="s">
        <v>44487</v>
      </c>
      <c r="D2134" t="s">
        <v>44488</v>
      </c>
      <c r="E2134" t="s">
        <v>44489</v>
      </c>
      <c r="F2134" t="s">
        <v>44490</v>
      </c>
      <c r="G2134" t="s">
        <v>44491</v>
      </c>
      <c r="H2134" t="s">
        <v>44492</v>
      </c>
      <c r="I2134" t="s">
        <v>44493</v>
      </c>
      <c r="J2134" t="s">
        <v>44494</v>
      </c>
      <c r="K2134" t="s">
        <v>44495</v>
      </c>
      <c r="L2134" t="s">
        <v>44496</v>
      </c>
      <c r="M2134" t="s">
        <v>44497</v>
      </c>
      <c r="N2134" t="s">
        <v>44498</v>
      </c>
      <c r="O2134">
        <f>-914.355650480098 -38.02860094875 -492.311387952672</f>
        <v>-1444.6956393815199</v>
      </c>
      <c r="P2134">
        <f>-939.681357993861 -55.3215812458816 -199.649994028415</f>
        <v>-1194.6529332681575</v>
      </c>
      <c r="Q2134">
        <f>-741.557442796135 -2.78566713231749 -326.290292065501</f>
        <v>-1070.6334019939534</v>
      </c>
      <c r="R2134" t="s">
        <v>44499</v>
      </c>
      <c r="S2134" t="s">
        <v>44500</v>
      </c>
      <c r="T2134" t="s">
        <v>44501</v>
      </c>
      <c r="U2134" t="s">
        <v>44502</v>
      </c>
      <c r="V2134" t="s">
        <v>44503</v>
      </c>
      <c r="W2134" t="s">
        <v>44504</v>
      </c>
      <c r="X2134" t="s">
        <v>44505</v>
      </c>
      <c r="Y2134" t="s">
        <v>44506</v>
      </c>
    </row>
    <row r="2135" spans="1:25" x14ac:dyDescent="0.3">
      <c r="A2135">
        <v>106700</v>
      </c>
      <c r="B2135" t="s">
        <v>44507</v>
      </c>
      <c r="C2135" t="s">
        <v>44508</v>
      </c>
      <c r="D2135" t="s">
        <v>44509</v>
      </c>
      <c r="E2135" t="s">
        <v>44510</v>
      </c>
      <c r="F2135" t="s">
        <v>44511</v>
      </c>
      <c r="G2135" t="s">
        <v>44512</v>
      </c>
      <c r="H2135" t="s">
        <v>44513</v>
      </c>
      <c r="I2135" t="s">
        <v>44514</v>
      </c>
      <c r="J2135" t="s">
        <v>44515</v>
      </c>
      <c r="K2135" t="s">
        <v>44516</v>
      </c>
      <c r="L2135" t="s">
        <v>44517</v>
      </c>
      <c r="M2135" t="s">
        <v>44518</v>
      </c>
      <c r="N2135" t="s">
        <v>44519</v>
      </c>
      <c r="O2135">
        <f>-914.565577571849 -38.3463408450048 -492.334905095085</f>
        <v>-1445.2468235119386</v>
      </c>
      <c r="P2135">
        <f>-940.232503604909 -55.7264680996823 -199.708333164826</f>
        <v>-1195.6673048694172</v>
      </c>
      <c r="Q2135">
        <f>-741.95886162313 -2.95134370719052 -326.014296540513</f>
        <v>-1070.9245018708334</v>
      </c>
      <c r="R2135" t="s">
        <v>44520</v>
      </c>
      <c r="S2135" t="s">
        <v>44521</v>
      </c>
      <c r="T2135" t="s">
        <v>44522</v>
      </c>
      <c r="U2135" t="s">
        <v>44523</v>
      </c>
      <c r="V2135" t="s">
        <v>44524</v>
      </c>
      <c r="W2135" t="s">
        <v>44525</v>
      </c>
      <c r="X2135" t="s">
        <v>44526</v>
      </c>
      <c r="Y2135" t="s">
        <v>44527</v>
      </c>
    </row>
    <row r="2136" spans="1:25" x14ac:dyDescent="0.3">
      <c r="A2136">
        <v>106750</v>
      </c>
      <c r="B2136" t="s">
        <v>44528</v>
      </c>
      <c r="C2136" t="s">
        <v>44529</v>
      </c>
      <c r="D2136" t="s">
        <v>44530</v>
      </c>
      <c r="E2136" t="s">
        <v>44531</v>
      </c>
      <c r="F2136" t="s">
        <v>44532</v>
      </c>
      <c r="G2136" t="s">
        <v>44533</v>
      </c>
      <c r="H2136" t="s">
        <v>44534</v>
      </c>
      <c r="I2136" t="s">
        <v>44535</v>
      </c>
      <c r="J2136" t="s">
        <v>44536</v>
      </c>
      <c r="K2136" t="s">
        <v>44537</v>
      </c>
      <c r="L2136" t="s">
        <v>44538</v>
      </c>
      <c r="M2136" t="s">
        <v>44539</v>
      </c>
      <c r="N2136" t="s">
        <v>44540</v>
      </c>
      <c r="O2136">
        <f>-914.304203990611 -38.4553581773387 -492.387561260115</f>
        <v>-1445.1471234280646</v>
      </c>
      <c r="P2136">
        <f>-940.32117814966 -56.0525756649388 -199.804793071958</f>
        <v>-1196.1785468865569</v>
      </c>
      <c r="Q2136">
        <f>-741.960713195985 -2.93176964226222 -325.829238688792</f>
        <v>-1070.7217215270393</v>
      </c>
      <c r="R2136" t="s">
        <v>44541</v>
      </c>
      <c r="S2136" t="s">
        <v>44542</v>
      </c>
      <c r="T2136" t="s">
        <v>44543</v>
      </c>
      <c r="U2136" t="s">
        <v>44544</v>
      </c>
      <c r="V2136" t="s">
        <v>44545</v>
      </c>
      <c r="W2136" t="s">
        <v>44546</v>
      </c>
      <c r="X2136" t="s">
        <v>44547</v>
      </c>
      <c r="Y2136" t="s">
        <v>44548</v>
      </c>
    </row>
    <row r="2137" spans="1:25" x14ac:dyDescent="0.3">
      <c r="A2137">
        <v>106800</v>
      </c>
      <c r="B2137" t="s">
        <v>44549</v>
      </c>
      <c r="C2137" t="s">
        <v>44550</v>
      </c>
      <c r="D2137" t="s">
        <v>44551</v>
      </c>
      <c r="E2137" t="s">
        <v>44552</v>
      </c>
      <c r="F2137" t="s">
        <v>44553</v>
      </c>
      <c r="G2137" t="s">
        <v>44554</v>
      </c>
      <c r="H2137" t="s">
        <v>44555</v>
      </c>
      <c r="I2137" t="s">
        <v>44556</v>
      </c>
      <c r="J2137" t="s">
        <v>44557</v>
      </c>
      <c r="K2137" t="s">
        <v>44558</v>
      </c>
      <c r="L2137" t="s">
        <v>44559</v>
      </c>
      <c r="M2137" t="s">
        <v>44560</v>
      </c>
      <c r="N2137" t="s">
        <v>44561</v>
      </c>
      <c r="O2137">
        <f>-913.887859527472 -38.5502253722939 -492.466260000039</f>
        <v>-1444.9043448998048</v>
      </c>
      <c r="P2137">
        <f>-940.2967660352 -56.7387426337571 -199.954695076181</f>
        <v>-1196.9902037451379</v>
      </c>
      <c r="Q2137">
        <f>-741.824288859169 -3.03963494621576 -325.556953580258</f>
        <v>-1070.4208773856426</v>
      </c>
      <c r="R2137" t="s">
        <v>44562</v>
      </c>
      <c r="S2137" t="s">
        <v>44563</v>
      </c>
      <c r="T2137" t="s">
        <v>44564</v>
      </c>
      <c r="U2137" t="s">
        <v>44565</v>
      </c>
      <c r="V2137" t="s">
        <v>44566</v>
      </c>
      <c r="W2137" t="s">
        <v>44567</v>
      </c>
      <c r="X2137" t="s">
        <v>44568</v>
      </c>
      <c r="Y2137" t="s">
        <v>44569</v>
      </c>
    </row>
    <row r="2138" spans="1:25" x14ac:dyDescent="0.3">
      <c r="A2138">
        <v>106850</v>
      </c>
      <c r="B2138" t="s">
        <v>44570</v>
      </c>
      <c r="C2138" t="s">
        <v>44571</v>
      </c>
      <c r="D2138" t="s">
        <v>44572</v>
      </c>
      <c r="E2138" t="s">
        <v>44573</v>
      </c>
      <c r="F2138" t="s">
        <v>44574</v>
      </c>
      <c r="G2138" t="s">
        <v>44575</v>
      </c>
      <c r="H2138" t="s">
        <v>44576</v>
      </c>
      <c r="I2138" t="s">
        <v>44577</v>
      </c>
      <c r="J2138" t="s">
        <v>44578</v>
      </c>
      <c r="K2138" t="s">
        <v>44579</v>
      </c>
      <c r="L2138" t="s">
        <v>44580</v>
      </c>
      <c r="M2138" t="s">
        <v>44581</v>
      </c>
      <c r="N2138" t="s">
        <v>44582</v>
      </c>
      <c r="O2138">
        <f>-913.762984571279 -38.5070790030829 -492.540464730771</f>
        <v>-1444.8105283051329</v>
      </c>
      <c r="P2138">
        <f>-940.247353175397 -56.8511978196641 -200.045556636443</f>
        <v>-1197.1441076315041</v>
      </c>
      <c r="Q2138">
        <f>-741.711171752501 -2.98212195607766 -325.474339756585</f>
        <v>-1070.1676334651636</v>
      </c>
      <c r="R2138" t="s">
        <v>44583</v>
      </c>
      <c r="S2138" t="s">
        <v>44584</v>
      </c>
      <c r="T2138" t="s">
        <v>44585</v>
      </c>
      <c r="U2138" t="s">
        <v>44586</v>
      </c>
      <c r="V2138" t="s">
        <v>44587</v>
      </c>
      <c r="W2138" t="s">
        <v>44588</v>
      </c>
      <c r="X2138" t="s">
        <v>44589</v>
      </c>
      <c r="Y2138" t="s">
        <v>44590</v>
      </c>
    </row>
    <row r="2139" spans="1:25" x14ac:dyDescent="0.3">
      <c r="A2139">
        <v>106900</v>
      </c>
      <c r="B2139" t="s">
        <v>44591</v>
      </c>
      <c r="C2139" t="s">
        <v>44592</v>
      </c>
      <c r="D2139" t="s">
        <v>44593</v>
      </c>
      <c r="E2139" t="s">
        <v>44594</v>
      </c>
      <c r="F2139" t="s">
        <v>44595</v>
      </c>
      <c r="G2139" t="s">
        <v>44596</v>
      </c>
      <c r="H2139" t="s">
        <v>44597</v>
      </c>
      <c r="I2139" t="s">
        <v>44598</v>
      </c>
      <c r="J2139" t="s">
        <v>44599</v>
      </c>
      <c r="K2139" t="s">
        <v>44600</v>
      </c>
      <c r="L2139" t="s">
        <v>44601</v>
      </c>
      <c r="M2139" t="s">
        <v>44602</v>
      </c>
      <c r="N2139" t="s">
        <v>44603</v>
      </c>
      <c r="O2139">
        <f>-913.224138069538 -38.5053524131977 -492.703753641954</f>
        <v>-1444.4332441246897</v>
      </c>
      <c r="P2139">
        <f>-939.992332915106 -57.0661099366353 -200.248254305408</f>
        <v>-1197.3066971571493</v>
      </c>
      <c r="Q2139">
        <f>-741.293968151639 -3.11694150522135 -325.385193728786</f>
        <v>-1069.7961033856463</v>
      </c>
      <c r="R2139" t="s">
        <v>44604</v>
      </c>
      <c r="S2139" t="s">
        <v>44605</v>
      </c>
      <c r="T2139" t="s">
        <v>44606</v>
      </c>
      <c r="U2139" t="s">
        <v>44607</v>
      </c>
      <c r="V2139" t="s">
        <v>44608</v>
      </c>
      <c r="W2139" t="s">
        <v>44609</v>
      </c>
      <c r="X2139" t="s">
        <v>44610</v>
      </c>
      <c r="Y2139" t="s">
        <v>44611</v>
      </c>
    </row>
    <row r="2140" spans="1:25" x14ac:dyDescent="0.3">
      <c r="A2140">
        <v>106950</v>
      </c>
      <c r="B2140" t="s">
        <v>44612</v>
      </c>
      <c r="C2140" t="s">
        <v>44613</v>
      </c>
      <c r="D2140" t="s">
        <v>44614</v>
      </c>
      <c r="E2140" t="s">
        <v>44615</v>
      </c>
      <c r="F2140" t="s">
        <v>44616</v>
      </c>
      <c r="G2140" t="s">
        <v>44617</v>
      </c>
      <c r="H2140" t="s">
        <v>44618</v>
      </c>
      <c r="I2140" t="s">
        <v>44619</v>
      </c>
      <c r="J2140" t="s">
        <v>44620</v>
      </c>
      <c r="K2140" t="s">
        <v>44621</v>
      </c>
      <c r="L2140" t="s">
        <v>44622</v>
      </c>
      <c r="M2140" t="s">
        <v>44623</v>
      </c>
      <c r="N2140" t="s">
        <v>44624</v>
      </c>
      <c r="O2140">
        <f>-912.857347199131 -38.5210036756591 -492.775201641435</f>
        <v>-1444.1535525162251</v>
      </c>
      <c r="P2140">
        <f>-939.819856721854 -57.3619968410414 -200.3555546684</f>
        <v>-1197.5374082312953</v>
      </c>
      <c r="Q2140">
        <f>-741.057762066507 -3.21811611461271 -325.307283365379</f>
        <v>-1069.5831615464988</v>
      </c>
      <c r="R2140" t="s">
        <v>44625</v>
      </c>
      <c r="S2140" t="s">
        <v>44626</v>
      </c>
      <c r="T2140" t="s">
        <v>44627</v>
      </c>
      <c r="U2140" t="s">
        <v>44628</v>
      </c>
      <c r="V2140" t="s">
        <v>44629</v>
      </c>
      <c r="W2140" t="s">
        <v>44630</v>
      </c>
      <c r="X2140" t="s">
        <v>44631</v>
      </c>
      <c r="Y2140" t="s">
        <v>44632</v>
      </c>
    </row>
    <row r="2141" spans="1:25" x14ac:dyDescent="0.3">
      <c r="A2141">
        <v>107000</v>
      </c>
      <c r="B2141" t="s">
        <v>44633</v>
      </c>
      <c r="C2141" t="s">
        <v>44634</v>
      </c>
      <c r="D2141" t="s">
        <v>44635</v>
      </c>
      <c r="E2141" t="s">
        <v>44636</v>
      </c>
      <c r="F2141" t="s">
        <v>44637</v>
      </c>
      <c r="G2141" t="s">
        <v>44638</v>
      </c>
      <c r="H2141" t="s">
        <v>44639</v>
      </c>
      <c r="I2141" t="s">
        <v>44640</v>
      </c>
      <c r="J2141" t="s">
        <v>44641</v>
      </c>
      <c r="K2141" t="s">
        <v>44642</v>
      </c>
      <c r="L2141" t="s">
        <v>44643</v>
      </c>
      <c r="M2141" t="s">
        <v>44644</v>
      </c>
      <c r="N2141" t="s">
        <v>44645</v>
      </c>
      <c r="O2141">
        <f>-912.817041124567 -38.6121383144559 -492.917092831727</f>
        <v>-1444.34627227075</v>
      </c>
      <c r="P2141">
        <f>-940.050138354978 -58.0628765201127 -200.562542241829</f>
        <v>-1198.6755571169197</v>
      </c>
      <c r="Q2141">
        <f>-741.192491914012 -3.33035605117357 -325.105323141521</f>
        <v>-1069.6281711067065</v>
      </c>
      <c r="R2141" t="s">
        <v>44646</v>
      </c>
      <c r="S2141" t="s">
        <v>44647</v>
      </c>
      <c r="T2141" t="s">
        <v>44648</v>
      </c>
      <c r="U2141" t="s">
        <v>44649</v>
      </c>
      <c r="V2141" t="s">
        <v>44650</v>
      </c>
      <c r="W2141" t="s">
        <v>44651</v>
      </c>
      <c r="X2141" t="s">
        <v>44652</v>
      </c>
      <c r="Y2141" t="s">
        <v>44653</v>
      </c>
    </row>
    <row r="2142" spans="1:25" x14ac:dyDescent="0.3">
      <c r="A2142">
        <v>107050</v>
      </c>
      <c r="B2142" t="s">
        <v>44654</v>
      </c>
      <c r="C2142" t="s">
        <v>44655</v>
      </c>
      <c r="D2142" t="s">
        <v>44656</v>
      </c>
      <c r="E2142" t="s">
        <v>44657</v>
      </c>
      <c r="F2142" t="s">
        <v>44658</v>
      </c>
      <c r="G2142" t="s">
        <v>44659</v>
      </c>
      <c r="H2142" t="s">
        <v>44660</v>
      </c>
      <c r="I2142" t="s">
        <v>44661</v>
      </c>
      <c r="J2142" t="s">
        <v>44662</v>
      </c>
      <c r="K2142" t="s">
        <v>44663</v>
      </c>
      <c r="L2142" t="s">
        <v>44664</v>
      </c>
      <c r="M2142" t="s">
        <v>44665</v>
      </c>
      <c r="N2142" t="s">
        <v>44666</v>
      </c>
      <c r="O2142">
        <f>-913.067150086972 -38.7382836136981 -492.96709758668</f>
        <v>-1444.7725312873499</v>
      </c>
      <c r="P2142">
        <f>-940.328861697271 -58.3462050435119 -200.625548399704</f>
        <v>-1199.3006151404868</v>
      </c>
      <c r="Q2142">
        <f>-741.523209224623 -3.34421031901593 -325.132526817158</f>
        <v>-1069.9999463607969</v>
      </c>
      <c r="R2142" t="s">
        <v>44667</v>
      </c>
      <c r="S2142" t="s">
        <v>44668</v>
      </c>
      <c r="T2142" t="s">
        <v>44669</v>
      </c>
      <c r="U2142" t="s">
        <v>44670</v>
      </c>
      <c r="V2142" t="s">
        <v>44671</v>
      </c>
      <c r="W2142" t="s">
        <v>44672</v>
      </c>
      <c r="X2142" t="s">
        <v>44673</v>
      </c>
      <c r="Y2142" t="s">
        <v>44674</v>
      </c>
    </row>
    <row r="2143" spans="1:25" x14ac:dyDescent="0.3">
      <c r="A2143">
        <v>107100</v>
      </c>
      <c r="B2143" t="s">
        <v>44675</v>
      </c>
      <c r="C2143" t="s">
        <v>44676</v>
      </c>
      <c r="D2143" t="s">
        <v>44677</v>
      </c>
      <c r="E2143" t="s">
        <v>44678</v>
      </c>
      <c r="F2143" t="s">
        <v>44679</v>
      </c>
      <c r="G2143" t="s">
        <v>44680</v>
      </c>
      <c r="H2143" t="s">
        <v>44681</v>
      </c>
      <c r="I2143" t="s">
        <v>44682</v>
      </c>
      <c r="J2143" t="s">
        <v>44683</v>
      </c>
      <c r="K2143" t="s">
        <v>44684</v>
      </c>
      <c r="L2143" t="s">
        <v>44685</v>
      </c>
      <c r="M2143" t="s">
        <v>44686</v>
      </c>
      <c r="N2143" t="s">
        <v>44687</v>
      </c>
      <c r="O2143">
        <f>-912.78528444814 -39.1504872550672 -493.060352457366</f>
        <v>-1444.9961241605733</v>
      </c>
      <c r="P2143">
        <f>-939.982601914591 -58.9667331281605 -200.726841825564</f>
        <v>-1199.6761768683155</v>
      </c>
      <c r="Q2143">
        <f>-741.374411322081 -3.74575445748496 -325.451581496914</f>
        <v>-1070.57174727648</v>
      </c>
      <c r="R2143" t="s">
        <v>44688</v>
      </c>
      <c r="S2143" t="s">
        <v>44689</v>
      </c>
      <c r="T2143" t="s">
        <v>44690</v>
      </c>
      <c r="U2143" t="s">
        <v>44691</v>
      </c>
      <c r="V2143" t="s">
        <v>44692</v>
      </c>
      <c r="W2143" t="s">
        <v>44693</v>
      </c>
      <c r="X2143" t="s">
        <v>44694</v>
      </c>
      <c r="Y2143" t="s">
        <v>44695</v>
      </c>
    </row>
    <row r="2144" spans="1:25" x14ac:dyDescent="0.3">
      <c r="A2144">
        <v>107150</v>
      </c>
      <c r="B2144" t="s">
        <v>44696</v>
      </c>
      <c r="C2144" t="s">
        <v>44697</v>
      </c>
      <c r="D2144" t="s">
        <v>44698</v>
      </c>
      <c r="E2144" t="s">
        <v>44699</v>
      </c>
      <c r="F2144" t="s">
        <v>44700</v>
      </c>
      <c r="G2144" t="s">
        <v>44701</v>
      </c>
      <c r="H2144" t="s">
        <v>44702</v>
      </c>
      <c r="I2144" t="s">
        <v>44703</v>
      </c>
      <c r="J2144" t="s">
        <v>44704</v>
      </c>
      <c r="K2144" t="s">
        <v>44705</v>
      </c>
      <c r="L2144" t="s">
        <v>44706</v>
      </c>
      <c r="M2144" t="s">
        <v>44707</v>
      </c>
      <c r="N2144" t="s">
        <v>44708</v>
      </c>
      <c r="O2144">
        <f>-912.316506420496 -39.3494326340362 -493.094723904288</f>
        <v>-1444.7606629588204</v>
      </c>
      <c r="P2144">
        <f>-939.701204313998 -59.2066327033569 -200.781523258264</f>
        <v>-1199.689360275619</v>
      </c>
      <c r="Q2144">
        <f>-741.119939882209 -3.98666368049544 -325.549893538144</f>
        <v>-1070.6564971008484</v>
      </c>
      <c r="R2144" t="s">
        <v>44709</v>
      </c>
      <c r="S2144" t="s">
        <v>44710</v>
      </c>
      <c r="T2144" t="s">
        <v>44711</v>
      </c>
      <c r="U2144" t="s">
        <v>44712</v>
      </c>
      <c r="V2144" t="s">
        <v>44713</v>
      </c>
      <c r="W2144" t="s">
        <v>44714</v>
      </c>
      <c r="X2144" t="s">
        <v>44715</v>
      </c>
      <c r="Y2144" t="s">
        <v>44716</v>
      </c>
    </row>
    <row r="2145" spans="1:25" x14ac:dyDescent="0.3">
      <c r="A2145">
        <v>107200</v>
      </c>
      <c r="B2145" t="s">
        <v>44717</v>
      </c>
      <c r="C2145" t="s">
        <v>44718</v>
      </c>
      <c r="D2145" t="s">
        <v>44719</v>
      </c>
      <c r="E2145" t="s">
        <v>44720</v>
      </c>
      <c r="F2145" t="s">
        <v>44721</v>
      </c>
      <c r="G2145" t="s">
        <v>44722</v>
      </c>
      <c r="H2145" t="s">
        <v>44723</v>
      </c>
      <c r="I2145" t="s">
        <v>44724</v>
      </c>
      <c r="J2145" t="s">
        <v>44725</v>
      </c>
      <c r="K2145" t="s">
        <v>44726</v>
      </c>
      <c r="L2145" t="s">
        <v>44727</v>
      </c>
      <c r="M2145" t="s">
        <v>44728</v>
      </c>
      <c r="N2145" t="s">
        <v>44729</v>
      </c>
      <c r="O2145">
        <f>-910.979018840089 -40.009875989364 -493.15722543764</f>
        <v>-1444.146120267093</v>
      </c>
      <c r="P2145">
        <f>-938.642281352216 -60.2988281453286 -200.899992076901</f>
        <v>-1199.8411015744455</v>
      </c>
      <c r="Q2145">
        <f>-740.086292963977 -4.87381657000742 -325.617380987204</f>
        <v>-1070.5774905211883</v>
      </c>
      <c r="R2145" t="s">
        <v>44730</v>
      </c>
      <c r="S2145" t="s">
        <v>44731</v>
      </c>
      <c r="T2145" t="s">
        <v>44732</v>
      </c>
      <c r="U2145" t="s">
        <v>44733</v>
      </c>
      <c r="V2145" t="s">
        <v>44734</v>
      </c>
      <c r="W2145" t="s">
        <v>44735</v>
      </c>
      <c r="X2145" t="s">
        <v>44736</v>
      </c>
      <c r="Y2145" t="s">
        <v>44737</v>
      </c>
    </row>
    <row r="2146" spans="1:25" x14ac:dyDescent="0.3">
      <c r="A2146">
        <v>107250</v>
      </c>
      <c r="B2146" t="s">
        <v>44738</v>
      </c>
      <c r="C2146" t="s">
        <v>44739</v>
      </c>
      <c r="D2146" t="s">
        <v>44740</v>
      </c>
      <c r="E2146" t="s">
        <v>44741</v>
      </c>
      <c r="F2146" t="s">
        <v>44742</v>
      </c>
      <c r="G2146" t="s">
        <v>44743</v>
      </c>
      <c r="H2146" t="s">
        <v>44744</v>
      </c>
      <c r="I2146" t="s">
        <v>44745</v>
      </c>
      <c r="J2146" t="s">
        <v>44746</v>
      </c>
      <c r="K2146" t="s">
        <v>44747</v>
      </c>
      <c r="L2146" t="s">
        <v>44748</v>
      </c>
      <c r="M2146" t="s">
        <v>44749</v>
      </c>
      <c r="N2146" t="s">
        <v>44750</v>
      </c>
      <c r="O2146">
        <f>-910.138345379178 -40.2850073985458 -493.184649151716</f>
        <v>-1443.6080019294398</v>
      </c>
      <c r="P2146">
        <f>-937.943158380963 -60.7156102292047 -200.950778762374</f>
        <v>-1199.6095473725418</v>
      </c>
      <c r="Q2146">
        <f>-739.338100051689 -5.2238459810178 -325.560327023221</f>
        <v>-1070.122273055928</v>
      </c>
      <c r="R2146" t="s">
        <v>44751</v>
      </c>
      <c r="S2146" t="s">
        <v>44752</v>
      </c>
      <c r="T2146" t="s">
        <v>44753</v>
      </c>
      <c r="U2146" t="s">
        <v>44754</v>
      </c>
      <c r="V2146" t="s">
        <v>44755</v>
      </c>
      <c r="W2146" t="s">
        <v>44756</v>
      </c>
      <c r="X2146" t="s">
        <v>44757</v>
      </c>
      <c r="Y2146" t="s">
        <v>44758</v>
      </c>
    </row>
    <row r="2147" spans="1:25" x14ac:dyDescent="0.3">
      <c r="A2147">
        <v>107300</v>
      </c>
      <c r="B2147" t="s">
        <v>44759</v>
      </c>
      <c r="C2147" t="s">
        <v>44760</v>
      </c>
      <c r="D2147" t="s">
        <v>44761</v>
      </c>
      <c r="E2147" t="s">
        <v>44762</v>
      </c>
      <c r="F2147" t="s">
        <v>44763</v>
      </c>
      <c r="G2147" t="s">
        <v>44764</v>
      </c>
      <c r="H2147" t="s">
        <v>44765</v>
      </c>
      <c r="I2147" t="s">
        <v>44766</v>
      </c>
      <c r="J2147" t="s">
        <v>44767</v>
      </c>
      <c r="K2147" t="s">
        <v>44768</v>
      </c>
      <c r="L2147" t="s">
        <v>44769</v>
      </c>
      <c r="M2147" t="s">
        <v>44770</v>
      </c>
      <c r="N2147" t="s">
        <v>44771</v>
      </c>
      <c r="O2147">
        <f>-908.615067628289 -40.6790509684224 -493.280061588696</f>
        <v>-1442.5741801854074</v>
      </c>
      <c r="P2147">
        <f>-937.000126891544 -61.2380721519914 -201.110873598262</f>
        <v>-1199.3490726417974</v>
      </c>
      <c r="Q2147">
        <f>-738.186760565083 -5.76024560819633 -325.393928023704</f>
        <v>-1069.3409341969832</v>
      </c>
      <c r="R2147" t="s">
        <v>44772</v>
      </c>
      <c r="S2147" t="s">
        <v>44773</v>
      </c>
      <c r="T2147" t="s">
        <v>44774</v>
      </c>
      <c r="U2147" t="s">
        <v>44775</v>
      </c>
      <c r="V2147" t="s">
        <v>44776</v>
      </c>
      <c r="W2147" t="s">
        <v>44777</v>
      </c>
      <c r="X2147" t="s">
        <v>44778</v>
      </c>
      <c r="Y2147" t="s">
        <v>44779</v>
      </c>
    </row>
    <row r="2148" spans="1:25" x14ac:dyDescent="0.3">
      <c r="A2148">
        <v>107350</v>
      </c>
      <c r="B2148" t="s">
        <v>44780</v>
      </c>
      <c r="C2148" t="s">
        <v>44781</v>
      </c>
      <c r="D2148" t="s">
        <v>44782</v>
      </c>
      <c r="E2148" t="s">
        <v>44783</v>
      </c>
      <c r="F2148" t="s">
        <v>44784</v>
      </c>
      <c r="G2148" t="s">
        <v>44785</v>
      </c>
      <c r="H2148" t="s">
        <v>44786</v>
      </c>
      <c r="I2148" t="s">
        <v>44787</v>
      </c>
      <c r="J2148" t="s">
        <v>44788</v>
      </c>
      <c r="K2148" t="s">
        <v>44789</v>
      </c>
      <c r="L2148" t="s">
        <v>44790</v>
      </c>
      <c r="M2148" t="s">
        <v>44791</v>
      </c>
      <c r="N2148" t="s">
        <v>44792</v>
      </c>
      <c r="O2148">
        <f>-907.835985948315 -40.8798543656815 -493.368604766934</f>
        <v>-1442.0844450809304</v>
      </c>
      <c r="P2148">
        <f>-936.643783025906 -61.6135983090908 -201.253199873188</f>
        <v>-1199.5105812081847</v>
      </c>
      <c r="Q2148">
        <f>-737.735346780925 -6.05176357339542 -325.346259429081</f>
        <v>-1069.1333697834016</v>
      </c>
      <c r="R2148" t="s">
        <v>44793</v>
      </c>
      <c r="S2148" t="s">
        <v>44794</v>
      </c>
      <c r="T2148" t="s">
        <v>44795</v>
      </c>
      <c r="U2148" t="s">
        <v>44796</v>
      </c>
      <c r="V2148" t="s">
        <v>44797</v>
      </c>
      <c r="W2148" t="s">
        <v>44798</v>
      </c>
      <c r="X2148" t="s">
        <v>44799</v>
      </c>
      <c r="Y2148" t="s">
        <v>44800</v>
      </c>
    </row>
    <row r="2149" spans="1:25" x14ac:dyDescent="0.3">
      <c r="A2149">
        <v>107400</v>
      </c>
      <c r="B2149" t="s">
        <v>44801</v>
      </c>
      <c r="C2149" t="s">
        <v>44802</v>
      </c>
      <c r="D2149" t="s">
        <v>44803</v>
      </c>
      <c r="E2149" t="s">
        <v>44804</v>
      </c>
      <c r="F2149" t="s">
        <v>44805</v>
      </c>
      <c r="G2149" t="s">
        <v>44806</v>
      </c>
      <c r="H2149" t="s">
        <v>44807</v>
      </c>
      <c r="I2149" t="s">
        <v>44808</v>
      </c>
      <c r="J2149" t="s">
        <v>44809</v>
      </c>
      <c r="K2149" t="s">
        <v>44810</v>
      </c>
      <c r="L2149" t="s">
        <v>44811</v>
      </c>
      <c r="M2149" t="s">
        <v>44812</v>
      </c>
      <c r="N2149" t="s">
        <v>44813</v>
      </c>
      <c r="O2149">
        <f>-906.44575875248 -41.2887270573003 -493.569580025239</f>
        <v>-1441.3040658350192</v>
      </c>
      <c r="P2149">
        <f>-936.247800391456 -62.5541559296826 -201.592047343154</f>
        <v>-1200.3940036642925</v>
      </c>
      <c r="Q2149">
        <f>-737.005009384122 -7.02366363000192 -325.161971099008</f>
        <v>-1069.1906441131318</v>
      </c>
      <c r="R2149" t="s">
        <v>44814</v>
      </c>
      <c r="S2149" t="s">
        <v>44815</v>
      </c>
      <c r="T2149" t="s">
        <v>44816</v>
      </c>
      <c r="U2149" t="s">
        <v>44817</v>
      </c>
      <c r="V2149" t="s">
        <v>44818</v>
      </c>
      <c r="W2149" t="s">
        <v>44819</v>
      </c>
      <c r="X2149" t="s">
        <v>44820</v>
      </c>
      <c r="Y2149" t="s">
        <v>44821</v>
      </c>
    </row>
    <row r="2150" spans="1:25" x14ac:dyDescent="0.3">
      <c r="A2150">
        <v>107450</v>
      </c>
      <c r="B2150" t="s">
        <v>44822</v>
      </c>
      <c r="C2150" t="s">
        <v>44823</v>
      </c>
      <c r="D2150" t="s">
        <v>44824</v>
      </c>
      <c r="E2150" t="s">
        <v>44825</v>
      </c>
      <c r="F2150" t="s">
        <v>44826</v>
      </c>
      <c r="G2150" t="s">
        <v>44827</v>
      </c>
      <c r="H2150" t="s">
        <v>44828</v>
      </c>
      <c r="I2150" t="s">
        <v>44829</v>
      </c>
      <c r="J2150" t="s">
        <v>44830</v>
      </c>
      <c r="K2150" t="s">
        <v>44831</v>
      </c>
      <c r="L2150" t="s">
        <v>44832</v>
      </c>
      <c r="M2150" t="s">
        <v>44833</v>
      </c>
      <c r="N2150" t="s">
        <v>44834</v>
      </c>
      <c r="O2150">
        <f>-906.116266885919 -41.5362503954136 -493.69210024716</f>
        <v>-1441.3446175284926</v>
      </c>
      <c r="P2150">
        <f>-936.435240562704 -63.1689575832702 -201.794813663544</f>
        <v>-1201.3990118095182</v>
      </c>
      <c r="Q2150">
        <f>-737.012418768122 -7.62467193260818 -325.068111230679</f>
        <v>-1069.7052019314092</v>
      </c>
      <c r="R2150" t="s">
        <v>44835</v>
      </c>
      <c r="S2150" t="s">
        <v>44836</v>
      </c>
      <c r="T2150" t="s">
        <v>44837</v>
      </c>
      <c r="U2150" t="s">
        <v>44838</v>
      </c>
      <c r="V2150" t="s">
        <v>44839</v>
      </c>
      <c r="W2150" t="s">
        <v>44840</v>
      </c>
      <c r="X2150" t="s">
        <v>44841</v>
      </c>
      <c r="Y2150" t="s">
        <v>44842</v>
      </c>
    </row>
    <row r="2151" spans="1:25" x14ac:dyDescent="0.3">
      <c r="A2151">
        <v>107500</v>
      </c>
      <c r="B2151" t="s">
        <v>44843</v>
      </c>
      <c r="C2151" t="s">
        <v>44844</v>
      </c>
      <c r="D2151" t="s">
        <v>44845</v>
      </c>
      <c r="E2151" t="s">
        <v>44846</v>
      </c>
      <c r="F2151" t="s">
        <v>44847</v>
      </c>
      <c r="G2151" t="s">
        <v>44848</v>
      </c>
      <c r="H2151" t="s">
        <v>44849</v>
      </c>
      <c r="I2151" t="s">
        <v>44850</v>
      </c>
      <c r="J2151" t="s">
        <v>44851</v>
      </c>
      <c r="K2151" t="s">
        <v>44852</v>
      </c>
      <c r="L2151" t="s">
        <v>44853</v>
      </c>
      <c r="M2151" t="s">
        <v>44854</v>
      </c>
      <c r="N2151" t="s">
        <v>44855</v>
      </c>
      <c r="O2151">
        <f>-907.369681642884 -41.7653358336006 -493.819995212</f>
        <v>-1442.9550126884847</v>
      </c>
      <c r="P2151">
        <f>-938.424862721623 -63.7749179198336 -202.028291703983</f>
        <v>-1204.2280723454396</v>
      </c>
      <c r="Q2151">
        <f>-738.660843154196 -8.17904337459959 -324.724147242812</f>
        <v>-1071.5640337716077</v>
      </c>
      <c r="R2151" t="s">
        <v>44856</v>
      </c>
      <c r="S2151" t="s">
        <v>44857</v>
      </c>
      <c r="T2151" t="s">
        <v>44858</v>
      </c>
      <c r="U2151" t="s">
        <v>44859</v>
      </c>
      <c r="V2151" t="s">
        <v>44860</v>
      </c>
      <c r="W2151" t="s">
        <v>44861</v>
      </c>
      <c r="X2151" t="s">
        <v>44862</v>
      </c>
      <c r="Y2151" t="s">
        <v>44863</v>
      </c>
    </row>
    <row r="2152" spans="1:25" x14ac:dyDescent="0.3">
      <c r="A2152">
        <v>107550</v>
      </c>
      <c r="B2152" t="s">
        <v>44864</v>
      </c>
      <c r="C2152" t="s">
        <v>44865</v>
      </c>
      <c r="D2152" t="s">
        <v>44866</v>
      </c>
      <c r="E2152" t="s">
        <v>44867</v>
      </c>
      <c r="F2152" t="s">
        <v>44868</v>
      </c>
      <c r="G2152" t="s">
        <v>44869</v>
      </c>
      <c r="H2152" t="s">
        <v>44870</v>
      </c>
      <c r="I2152" t="s">
        <v>44871</v>
      </c>
      <c r="J2152" t="s">
        <v>44872</v>
      </c>
      <c r="K2152" t="s">
        <v>44873</v>
      </c>
      <c r="L2152" t="s">
        <v>44874</v>
      </c>
      <c r="M2152" t="s">
        <v>44875</v>
      </c>
      <c r="N2152" t="s">
        <v>44876</v>
      </c>
      <c r="O2152">
        <f>-908.24522687044 -41.9574190679571 -493.794731172949</f>
        <v>-1443.9973771113459</v>
      </c>
      <c r="P2152">
        <f>-939.471584540616 -63.9210539884878 -202.017961350171</f>
        <v>-1205.4105998792747</v>
      </c>
      <c r="Q2152">
        <f>-739.598754175887 -8.22157644886374 -324.489714519501</f>
        <v>-1072.3100451442517</v>
      </c>
      <c r="R2152" t="s">
        <v>44877</v>
      </c>
      <c r="S2152" t="s">
        <v>44878</v>
      </c>
      <c r="T2152" t="s">
        <v>44879</v>
      </c>
      <c r="U2152" t="s">
        <v>44880</v>
      </c>
      <c r="V2152" t="s">
        <v>44881</v>
      </c>
      <c r="W2152" t="s">
        <v>44882</v>
      </c>
      <c r="X2152" t="s">
        <v>44883</v>
      </c>
      <c r="Y2152" t="s">
        <v>44884</v>
      </c>
    </row>
    <row r="2153" spans="1:25" x14ac:dyDescent="0.3">
      <c r="A2153">
        <v>107600</v>
      </c>
      <c r="B2153" t="s">
        <v>44885</v>
      </c>
      <c r="C2153" t="s">
        <v>44886</v>
      </c>
      <c r="D2153" t="s">
        <v>44887</v>
      </c>
      <c r="E2153" t="s">
        <v>44888</v>
      </c>
      <c r="F2153" t="s">
        <v>44889</v>
      </c>
      <c r="G2153" t="s">
        <v>44890</v>
      </c>
      <c r="H2153" t="s">
        <v>44891</v>
      </c>
      <c r="I2153" t="s">
        <v>44892</v>
      </c>
      <c r="J2153" t="s">
        <v>44893</v>
      </c>
      <c r="K2153" t="s">
        <v>44894</v>
      </c>
      <c r="L2153" t="s">
        <v>44895</v>
      </c>
      <c r="M2153" t="s">
        <v>44896</v>
      </c>
      <c r="N2153" t="s">
        <v>44897</v>
      </c>
      <c r="O2153">
        <f>-909.974009594413 -42.4282185391451 -493.55495305725</f>
        <v>-1445.9571811908081</v>
      </c>
      <c r="P2153">
        <f>-941.353486442349 -64.1673653329126 -201.777702215337</f>
        <v>-1207.2985539905985</v>
      </c>
      <c r="Q2153">
        <f>-741.579222486419 -7.73255935902353 -324.073481791354</f>
        <v>-1073.3852636367965</v>
      </c>
      <c r="R2153" t="s">
        <v>44898</v>
      </c>
      <c r="S2153" t="s">
        <v>44899</v>
      </c>
      <c r="T2153" t="s">
        <v>44900</v>
      </c>
      <c r="U2153" t="s">
        <v>44901</v>
      </c>
      <c r="V2153" t="s">
        <v>44902</v>
      </c>
      <c r="W2153" t="s">
        <v>44903</v>
      </c>
      <c r="X2153" t="s">
        <v>44904</v>
      </c>
      <c r="Y2153" t="s">
        <v>44905</v>
      </c>
    </row>
    <row r="2154" spans="1:25" x14ac:dyDescent="0.3">
      <c r="A2154">
        <v>107650</v>
      </c>
      <c r="B2154" t="s">
        <v>44906</v>
      </c>
      <c r="C2154" t="s">
        <v>44907</v>
      </c>
      <c r="D2154" t="s">
        <v>44908</v>
      </c>
      <c r="E2154" t="s">
        <v>44909</v>
      </c>
      <c r="F2154" t="s">
        <v>44910</v>
      </c>
      <c r="G2154" t="s">
        <v>44911</v>
      </c>
      <c r="H2154" t="s">
        <v>44912</v>
      </c>
      <c r="I2154" t="s">
        <v>44913</v>
      </c>
      <c r="J2154" t="s">
        <v>44914</v>
      </c>
      <c r="K2154" t="s">
        <v>44915</v>
      </c>
      <c r="L2154" t="s">
        <v>44916</v>
      </c>
      <c r="M2154" t="s">
        <v>44917</v>
      </c>
      <c r="N2154" t="s">
        <v>44918</v>
      </c>
      <c r="O2154">
        <f>-911.07906713857 -42.5447324170095 -493.406220191362</f>
        <v>-1447.0300197469417</v>
      </c>
      <c r="P2154">
        <f>-942.473837077272 -64.2696248436796 -201.629638219611</f>
        <v>-1208.3731001405627</v>
      </c>
      <c r="Q2154">
        <f>-742.912776449727 -7.12051613851099 -323.94163688651</f>
        <v>-1073.974929474748</v>
      </c>
      <c r="R2154" t="s">
        <v>44919</v>
      </c>
      <c r="S2154" t="s">
        <v>44920</v>
      </c>
      <c r="T2154" t="s">
        <v>44921</v>
      </c>
      <c r="U2154" t="s">
        <v>44922</v>
      </c>
      <c r="V2154" t="s">
        <v>44923</v>
      </c>
      <c r="W2154" t="s">
        <v>44924</v>
      </c>
      <c r="X2154" t="s">
        <v>44925</v>
      </c>
      <c r="Y2154" t="s">
        <v>44926</v>
      </c>
    </row>
    <row r="2155" spans="1:25" x14ac:dyDescent="0.3">
      <c r="A2155">
        <v>107700</v>
      </c>
      <c r="B2155" t="s">
        <v>44927</v>
      </c>
      <c r="C2155" t="s">
        <v>44928</v>
      </c>
      <c r="D2155" t="s">
        <v>44929</v>
      </c>
      <c r="E2155" t="s">
        <v>44930</v>
      </c>
      <c r="F2155" t="s">
        <v>44931</v>
      </c>
      <c r="G2155" t="s">
        <v>44932</v>
      </c>
      <c r="H2155" t="s">
        <v>44933</v>
      </c>
      <c r="I2155" t="s">
        <v>44934</v>
      </c>
      <c r="J2155" t="s">
        <v>44935</v>
      </c>
      <c r="K2155" t="s">
        <v>44936</v>
      </c>
      <c r="L2155" t="s">
        <v>44937</v>
      </c>
      <c r="M2155" t="s">
        <v>44938</v>
      </c>
      <c r="N2155" t="s">
        <v>44939</v>
      </c>
      <c r="O2155">
        <f>-912.753058022997 -42.5408965177717 -493.223684388752</f>
        <v>-1448.5176389295207</v>
      </c>
      <c r="P2155">
        <f>-944.427038250027 -64.1537745596631 -201.46903757064</f>
        <v>-1210.0498503803301</v>
      </c>
      <c r="Q2155">
        <f>-745.27594572522 -5.76847667546281 -323.865432669435</f>
        <v>-1074.9098550701178</v>
      </c>
      <c r="R2155" t="s">
        <v>44940</v>
      </c>
      <c r="S2155" t="s">
        <v>44941</v>
      </c>
      <c r="T2155" t="s">
        <v>44942</v>
      </c>
      <c r="U2155" t="s">
        <v>44943</v>
      </c>
      <c r="V2155" t="s">
        <v>44944</v>
      </c>
      <c r="W2155" t="s">
        <v>44945</v>
      </c>
      <c r="X2155" t="s">
        <v>44946</v>
      </c>
      <c r="Y2155" t="s">
        <v>44947</v>
      </c>
    </row>
    <row r="2156" spans="1:25" x14ac:dyDescent="0.3">
      <c r="A2156">
        <v>107750</v>
      </c>
      <c r="B2156" t="s">
        <v>44948</v>
      </c>
      <c r="C2156" t="s">
        <v>44949</v>
      </c>
      <c r="D2156" t="s">
        <v>44950</v>
      </c>
      <c r="E2156" t="s">
        <v>44951</v>
      </c>
      <c r="F2156" t="s">
        <v>44952</v>
      </c>
      <c r="G2156" t="s">
        <v>44953</v>
      </c>
      <c r="H2156" t="s">
        <v>44954</v>
      </c>
      <c r="I2156" t="s">
        <v>44955</v>
      </c>
      <c r="J2156" t="s">
        <v>44956</v>
      </c>
      <c r="K2156" t="s">
        <v>44957</v>
      </c>
      <c r="L2156" t="s">
        <v>44958</v>
      </c>
      <c r="M2156" t="s">
        <v>44959</v>
      </c>
      <c r="N2156" t="s">
        <v>44960</v>
      </c>
      <c r="O2156">
        <f>-913.285461466302 -42.493451600812 -493.148936165171</f>
        <v>-1448.9278492322851</v>
      </c>
      <c r="P2156">
        <f>-945.144334830157 -64.2614735948196 -201.425827273395</f>
        <v>-1210.8316356983717</v>
      </c>
      <c r="Q2156">
        <f>-745.971287084329 -5.34877700797597 -323.533588319655</f>
        <v>-1074.85365241196</v>
      </c>
      <c r="R2156" t="s">
        <v>44961</v>
      </c>
      <c r="S2156" t="s">
        <v>44962</v>
      </c>
      <c r="T2156" t="s">
        <v>44963</v>
      </c>
      <c r="U2156" t="s">
        <v>44964</v>
      </c>
      <c r="V2156" t="s">
        <v>44965</v>
      </c>
      <c r="W2156" t="s">
        <v>44966</v>
      </c>
      <c r="X2156" t="s">
        <v>44967</v>
      </c>
      <c r="Y2156" t="s">
        <v>44968</v>
      </c>
    </row>
    <row r="2157" spans="1:25" x14ac:dyDescent="0.3">
      <c r="A2157">
        <v>107800</v>
      </c>
      <c r="B2157" t="s">
        <v>44969</v>
      </c>
      <c r="C2157" t="s">
        <v>44970</v>
      </c>
      <c r="D2157" t="s">
        <v>44971</v>
      </c>
      <c r="E2157" t="s">
        <v>44972</v>
      </c>
      <c r="F2157" t="s">
        <v>44973</v>
      </c>
      <c r="G2157" t="s">
        <v>44974</v>
      </c>
      <c r="H2157" t="s">
        <v>44975</v>
      </c>
      <c r="I2157" t="s">
        <v>44976</v>
      </c>
      <c r="J2157" t="s">
        <v>44977</v>
      </c>
      <c r="K2157" t="s">
        <v>44978</v>
      </c>
      <c r="L2157" t="s">
        <v>44979</v>
      </c>
      <c r="M2157" t="s">
        <v>44980</v>
      </c>
      <c r="N2157" t="s">
        <v>44981</v>
      </c>
      <c r="O2157">
        <f>-913.837883664617 -42.6290022047308 -493.075863257575</f>
        <v>-1449.5427491269229</v>
      </c>
      <c r="P2157">
        <f>-946.321622620681 -65.0995009460628 -201.47480577588</f>
        <v>-1212.8959293426237</v>
      </c>
      <c r="Q2157">
        <f>-746.8839985176 -5.45080754761693 -322.790798771607</f>
        <v>-1075.1256048368241</v>
      </c>
      <c r="R2157" t="s">
        <v>44982</v>
      </c>
      <c r="S2157" t="s">
        <v>44983</v>
      </c>
      <c r="T2157" t="s">
        <v>44984</v>
      </c>
      <c r="U2157" t="s">
        <v>44985</v>
      </c>
      <c r="V2157" t="s">
        <v>44986</v>
      </c>
      <c r="W2157" t="s">
        <v>44987</v>
      </c>
      <c r="X2157" t="s">
        <v>44988</v>
      </c>
      <c r="Y2157" t="s">
        <v>44989</v>
      </c>
    </row>
    <row r="2158" spans="1:25" x14ac:dyDescent="0.3">
      <c r="A2158">
        <v>107850</v>
      </c>
      <c r="B2158" t="s">
        <v>44990</v>
      </c>
      <c r="C2158" t="s">
        <v>44991</v>
      </c>
      <c r="D2158" t="s">
        <v>44992</v>
      </c>
      <c r="E2158" t="s">
        <v>44993</v>
      </c>
      <c r="F2158" t="s">
        <v>44994</v>
      </c>
      <c r="G2158" t="s">
        <v>44995</v>
      </c>
      <c r="H2158" t="s">
        <v>44996</v>
      </c>
      <c r="I2158" t="s">
        <v>44997</v>
      </c>
      <c r="J2158" t="s">
        <v>44998</v>
      </c>
      <c r="K2158" t="s">
        <v>44999</v>
      </c>
      <c r="L2158" t="s">
        <v>45000</v>
      </c>
      <c r="M2158" t="s">
        <v>45001</v>
      </c>
      <c r="N2158" t="s">
        <v>45002</v>
      </c>
      <c r="O2158">
        <f>-913.976230202284 -42.7133747072276 -493.093283418734</f>
        <v>-1449.7828883282455</v>
      </c>
      <c r="P2158">
        <f>-946.89484869835 -65.4385581979971 -201.560982447903</f>
        <v>-1213.8943893442499</v>
      </c>
      <c r="Q2158">
        <f>-747.208393134719 -5.72132932802879 -322.432829421928</f>
        <v>-1075.3625518846757</v>
      </c>
      <c r="R2158" t="s">
        <v>45003</v>
      </c>
      <c r="S2158" t="s">
        <v>45004</v>
      </c>
      <c r="T2158" t="s">
        <v>45005</v>
      </c>
      <c r="U2158" t="s">
        <v>45006</v>
      </c>
      <c r="V2158" t="s">
        <v>45007</v>
      </c>
      <c r="W2158" t="s">
        <v>45008</v>
      </c>
      <c r="X2158" t="s">
        <v>45009</v>
      </c>
      <c r="Y2158" t="s">
        <v>45010</v>
      </c>
    </row>
    <row r="2159" spans="1:25" x14ac:dyDescent="0.3">
      <c r="A2159">
        <v>107900</v>
      </c>
      <c r="B2159" t="s">
        <v>45011</v>
      </c>
      <c r="C2159" t="s">
        <v>45012</v>
      </c>
      <c r="D2159" t="s">
        <v>45013</v>
      </c>
      <c r="E2159" t="s">
        <v>45014</v>
      </c>
      <c r="F2159" t="s">
        <v>45015</v>
      </c>
      <c r="G2159" t="s">
        <v>45016</v>
      </c>
      <c r="H2159" t="s">
        <v>45017</v>
      </c>
      <c r="I2159" t="s">
        <v>45018</v>
      </c>
      <c r="J2159" t="s">
        <v>45019</v>
      </c>
      <c r="K2159" t="s">
        <v>45020</v>
      </c>
      <c r="L2159" t="s">
        <v>45021</v>
      </c>
      <c r="M2159" t="s">
        <v>45022</v>
      </c>
      <c r="N2159" t="s">
        <v>45023</v>
      </c>
      <c r="O2159">
        <f>-914.446968575929 -43.1511514751157 -492.963515384595</f>
        <v>-1450.5616354356398</v>
      </c>
      <c r="P2159">
        <f>-948.025216258636 -66.2271941817985 -201.533877182935</f>
        <v>-1215.7862876233694</v>
      </c>
      <c r="Q2159">
        <f>-748.137195531043 -6.20492704532171 -321.920859602986</f>
        <v>-1076.2629821793507</v>
      </c>
      <c r="R2159" t="s">
        <v>45024</v>
      </c>
      <c r="S2159" t="s">
        <v>45025</v>
      </c>
      <c r="T2159" t="s">
        <v>45026</v>
      </c>
      <c r="U2159" t="s">
        <v>45027</v>
      </c>
      <c r="V2159" t="s">
        <v>45028</v>
      </c>
      <c r="W2159" t="s">
        <v>45029</v>
      </c>
      <c r="X2159" t="s">
        <v>45030</v>
      </c>
      <c r="Y2159" t="s">
        <v>45031</v>
      </c>
    </row>
    <row r="2160" spans="1:25" x14ac:dyDescent="0.3">
      <c r="A2160">
        <v>107950</v>
      </c>
      <c r="B2160" t="s">
        <v>45032</v>
      </c>
      <c r="C2160" t="s">
        <v>45033</v>
      </c>
      <c r="D2160" t="s">
        <v>45034</v>
      </c>
      <c r="E2160" t="s">
        <v>45035</v>
      </c>
      <c r="F2160" t="s">
        <v>45036</v>
      </c>
      <c r="G2160" t="s">
        <v>45037</v>
      </c>
      <c r="H2160" t="s">
        <v>45038</v>
      </c>
      <c r="I2160" t="s">
        <v>45039</v>
      </c>
      <c r="J2160" t="s">
        <v>45040</v>
      </c>
      <c r="K2160" t="s">
        <v>45041</v>
      </c>
      <c r="L2160" t="s">
        <v>45042</v>
      </c>
      <c r="M2160" t="s">
        <v>45043</v>
      </c>
      <c r="N2160" t="s">
        <v>45044</v>
      </c>
      <c r="O2160">
        <f>-914.632846952677 -43.4612828080208 -492.844495728742</f>
        <v>-1450.9386254894398</v>
      </c>
      <c r="P2160">
        <f>-948.533436726282 -66.4753345239797 -201.447259932556</f>
        <v>-1216.4560311828177</v>
      </c>
      <c r="Q2160">
        <f>-748.663794140792 -6.5714144742401 -321.923324380014</f>
        <v>-1077.158532995046</v>
      </c>
      <c r="R2160" t="s">
        <v>45045</v>
      </c>
      <c r="S2160" t="s">
        <v>45046</v>
      </c>
      <c r="T2160" t="s">
        <v>45047</v>
      </c>
      <c r="U2160" t="s">
        <v>45048</v>
      </c>
      <c r="V2160" t="s">
        <v>45049</v>
      </c>
      <c r="W2160" t="s">
        <v>45050</v>
      </c>
      <c r="X2160" t="s">
        <v>45051</v>
      </c>
      <c r="Y2160" t="s">
        <v>45052</v>
      </c>
    </row>
    <row r="2161" spans="1:25" x14ac:dyDescent="0.3">
      <c r="A2161">
        <v>108000</v>
      </c>
      <c r="B2161" t="s">
        <v>45053</v>
      </c>
      <c r="C2161" t="s">
        <v>45054</v>
      </c>
      <c r="D2161" t="s">
        <v>45055</v>
      </c>
      <c r="E2161" t="s">
        <v>45056</v>
      </c>
      <c r="F2161" t="s">
        <v>45057</v>
      </c>
      <c r="G2161" t="s">
        <v>45058</v>
      </c>
      <c r="H2161" t="s">
        <v>45059</v>
      </c>
      <c r="I2161" t="s">
        <v>45060</v>
      </c>
      <c r="J2161" t="s">
        <v>45061</v>
      </c>
      <c r="K2161" t="s">
        <v>45062</v>
      </c>
      <c r="L2161" t="s">
        <v>45063</v>
      </c>
      <c r="M2161" t="s">
        <v>45064</v>
      </c>
      <c r="N2161" t="s">
        <v>45065</v>
      </c>
      <c r="O2161">
        <f>-914.876840307833 -43.8253941390224 -492.724082519399</f>
        <v>-1451.4263169662545</v>
      </c>
      <c r="P2161">
        <f>-949.065546588265 -66.7991902094034 -201.357348643348</f>
        <v>-1217.2220854410164</v>
      </c>
      <c r="Q2161">
        <f>-749.232988400972 -7.00093949551456 -321.947809010509</f>
        <v>-1078.1817369069954</v>
      </c>
      <c r="R2161" t="s">
        <v>45066</v>
      </c>
      <c r="S2161" t="s">
        <v>45067</v>
      </c>
      <c r="T2161" t="s">
        <v>45068</v>
      </c>
      <c r="U2161" t="s">
        <v>45069</v>
      </c>
      <c r="V2161" t="s">
        <v>45070</v>
      </c>
      <c r="W2161" t="s">
        <v>45071</v>
      </c>
      <c r="X2161" t="s">
        <v>45072</v>
      </c>
      <c r="Y2161" t="s">
        <v>45073</v>
      </c>
    </row>
    <row r="2162" spans="1:25" x14ac:dyDescent="0.3">
      <c r="A2162">
        <v>108050</v>
      </c>
      <c r="B2162" t="s">
        <v>45074</v>
      </c>
      <c r="C2162" t="s">
        <v>45075</v>
      </c>
      <c r="D2162" t="s">
        <v>45076</v>
      </c>
      <c r="E2162" t="s">
        <v>45077</v>
      </c>
      <c r="F2162" t="s">
        <v>45078</v>
      </c>
      <c r="G2162" t="s">
        <v>45079</v>
      </c>
      <c r="H2162" t="s">
        <v>45080</v>
      </c>
      <c r="I2162" t="s">
        <v>45081</v>
      </c>
      <c r="J2162" t="s">
        <v>45082</v>
      </c>
      <c r="K2162" t="s">
        <v>45083</v>
      </c>
      <c r="L2162" t="s">
        <v>45084</v>
      </c>
      <c r="M2162" t="s">
        <v>45085</v>
      </c>
      <c r="N2162" t="s">
        <v>45086</v>
      </c>
      <c r="O2162">
        <f>-915.445604946128 -44.3835782277026 -492.559725948948</f>
        <v>-1452.3889091227786</v>
      </c>
      <c r="P2162">
        <f>-949.973763762321 -67.3154095726818 -201.229683682759</f>
        <v>-1218.5188570177618</v>
      </c>
      <c r="Q2162">
        <f>-749.66448870208 -7.72492862536592 -321.130165385734</f>
        <v>-1078.5195827131799</v>
      </c>
      <c r="R2162" t="s">
        <v>45087</v>
      </c>
      <c r="S2162" t="s">
        <v>45088</v>
      </c>
      <c r="T2162" t="s">
        <v>45089</v>
      </c>
      <c r="U2162" t="s">
        <v>45090</v>
      </c>
      <c r="V2162" t="s">
        <v>45091</v>
      </c>
      <c r="W2162" t="s">
        <v>45092</v>
      </c>
      <c r="X2162" t="s">
        <v>45093</v>
      </c>
      <c r="Y2162" t="s">
        <v>45094</v>
      </c>
    </row>
    <row r="2163" spans="1:25" x14ac:dyDescent="0.3">
      <c r="A2163">
        <v>108100</v>
      </c>
      <c r="B2163" t="s">
        <v>45095</v>
      </c>
      <c r="C2163" t="s">
        <v>45096</v>
      </c>
      <c r="D2163" t="s">
        <v>45097</v>
      </c>
      <c r="E2163" t="s">
        <v>45098</v>
      </c>
      <c r="F2163" t="s">
        <v>45099</v>
      </c>
      <c r="G2163" t="s">
        <v>45100</v>
      </c>
      <c r="H2163" t="s">
        <v>45101</v>
      </c>
      <c r="I2163" t="s">
        <v>45102</v>
      </c>
      <c r="J2163" t="s">
        <v>45103</v>
      </c>
      <c r="K2163" t="s">
        <v>45104</v>
      </c>
      <c r="L2163" t="s">
        <v>45105</v>
      </c>
      <c r="M2163" t="s">
        <v>45106</v>
      </c>
      <c r="N2163" t="s">
        <v>45107</v>
      </c>
      <c r="O2163">
        <f>-915.799740141695 -45.005423438482 -492.544999997435</f>
        <v>-1453.350163577612</v>
      </c>
      <c r="P2163">
        <f>-951.009220950436 -68.2892311239082 -201.324532641586</f>
        <v>-1220.6229847159302</v>
      </c>
      <c r="Q2163">
        <f>-749.886609679647 -8.70755893316345 -319.859498805315</f>
        <v>-1078.4536674181254</v>
      </c>
      <c r="R2163" t="s">
        <v>45108</v>
      </c>
      <c r="S2163" t="s">
        <v>45109</v>
      </c>
      <c r="T2163" t="s">
        <v>45110</v>
      </c>
      <c r="U2163" t="s">
        <v>45111</v>
      </c>
      <c r="V2163" t="s">
        <v>45112</v>
      </c>
      <c r="W2163" t="s">
        <v>45113</v>
      </c>
      <c r="X2163" t="s">
        <v>45114</v>
      </c>
      <c r="Y2163" t="s">
        <v>45115</v>
      </c>
    </row>
    <row r="2164" spans="1:25" x14ac:dyDescent="0.3">
      <c r="A2164">
        <v>108150</v>
      </c>
      <c r="B2164" t="s">
        <v>45116</v>
      </c>
      <c r="C2164" t="s">
        <v>45117</v>
      </c>
      <c r="D2164" t="s">
        <v>45118</v>
      </c>
      <c r="E2164" t="s">
        <v>45119</v>
      </c>
      <c r="F2164" t="s">
        <v>45120</v>
      </c>
      <c r="G2164" t="s">
        <v>45121</v>
      </c>
      <c r="H2164" t="s">
        <v>45122</v>
      </c>
      <c r="I2164" t="s">
        <v>45123</v>
      </c>
      <c r="J2164" t="s">
        <v>45124</v>
      </c>
      <c r="K2164" t="s">
        <v>45125</v>
      </c>
      <c r="L2164" t="s">
        <v>45126</v>
      </c>
      <c r="M2164" t="s">
        <v>45127</v>
      </c>
      <c r="N2164" t="s">
        <v>45128</v>
      </c>
      <c r="O2164">
        <f>-915.96883288393 -45.2442045730745 -492.589099093989</f>
        <v>-1453.8021365509935</v>
      </c>
      <c r="P2164">
        <f>-951.749700058029 -68.7401350657519 -201.455283458362</f>
        <v>-1221.9451185821429</v>
      </c>
      <c r="Q2164">
        <f>-750.316327806921 -8.96830925008635 -319.365765539155</f>
        <v>-1078.6504025961624</v>
      </c>
      <c r="R2164" t="s">
        <v>45129</v>
      </c>
      <c r="S2164" t="s">
        <v>45130</v>
      </c>
      <c r="T2164" t="s">
        <v>45131</v>
      </c>
      <c r="U2164" t="s">
        <v>45132</v>
      </c>
      <c r="V2164" t="s">
        <v>45133</v>
      </c>
      <c r="W2164" t="s">
        <v>45134</v>
      </c>
      <c r="X2164" t="s">
        <v>45135</v>
      </c>
      <c r="Y2164" t="s">
        <v>45136</v>
      </c>
    </row>
    <row r="2165" spans="1:25" x14ac:dyDescent="0.3">
      <c r="A2165">
        <v>108200</v>
      </c>
      <c r="B2165" t="s">
        <v>45137</v>
      </c>
      <c r="C2165" t="s">
        <v>45138</v>
      </c>
      <c r="D2165" t="s">
        <v>45139</v>
      </c>
      <c r="E2165" t="s">
        <v>45140</v>
      </c>
      <c r="F2165" t="s">
        <v>45141</v>
      </c>
      <c r="G2165" t="s">
        <v>45142</v>
      </c>
      <c r="H2165" t="s">
        <v>45143</v>
      </c>
      <c r="I2165" t="s">
        <v>45144</v>
      </c>
      <c r="J2165" t="s">
        <v>45145</v>
      </c>
      <c r="K2165" t="s">
        <v>45146</v>
      </c>
      <c r="L2165" t="s">
        <v>45147</v>
      </c>
      <c r="M2165" t="s">
        <v>45148</v>
      </c>
      <c r="N2165" t="s">
        <v>45149</v>
      </c>
      <c r="O2165">
        <f>-916.003607527666 -45.5835057205236 -492.63323842166</f>
        <v>-1454.2203516698496</v>
      </c>
      <c r="P2165">
        <f>-952.645974916162 -69.1400338078834 -201.611525556686</f>
        <v>-1223.3975342807314</v>
      </c>
      <c r="Q2165">
        <f>-751.009380933186 -8.94041643165519 -318.954915197647</f>
        <v>-1078.9047125624882</v>
      </c>
      <c r="R2165" t="s">
        <v>45150</v>
      </c>
      <c r="S2165" t="s">
        <v>45151</v>
      </c>
      <c r="T2165" t="s">
        <v>45152</v>
      </c>
      <c r="U2165" t="s">
        <v>45153</v>
      </c>
      <c r="V2165" t="s">
        <v>45154</v>
      </c>
      <c r="W2165" t="s">
        <v>45155</v>
      </c>
      <c r="X2165" t="s">
        <v>45156</v>
      </c>
      <c r="Y2165" t="s">
        <v>45157</v>
      </c>
    </row>
    <row r="2166" spans="1:25" x14ac:dyDescent="0.3">
      <c r="A2166">
        <v>108250</v>
      </c>
      <c r="B2166" t="s">
        <v>45158</v>
      </c>
      <c r="C2166" t="s">
        <v>45159</v>
      </c>
      <c r="D2166" t="s">
        <v>45160</v>
      </c>
      <c r="E2166" t="s">
        <v>45161</v>
      </c>
      <c r="F2166" t="s">
        <v>45162</v>
      </c>
      <c r="G2166" t="s">
        <v>45163</v>
      </c>
      <c r="H2166" t="s">
        <v>45164</v>
      </c>
      <c r="I2166" t="s">
        <v>45165</v>
      </c>
      <c r="J2166" t="s">
        <v>45166</v>
      </c>
      <c r="K2166" t="s">
        <v>45167</v>
      </c>
      <c r="L2166" t="s">
        <v>45168</v>
      </c>
      <c r="M2166" t="s">
        <v>45169</v>
      </c>
      <c r="N2166" t="s">
        <v>45170</v>
      </c>
      <c r="O2166">
        <f>-915.97873044793 -45.6696533299264 -492.615632360114</f>
        <v>-1454.2640161379704</v>
      </c>
      <c r="P2166">
        <f>-952.758215124736 -69.1932838248624 -201.608502916355</f>
        <v>-1223.5600018659534</v>
      </c>
      <c r="Q2166">
        <f>-751.120793978828 -8.90892912739128 -318.906950339045</f>
        <v>-1078.9366734452642</v>
      </c>
      <c r="R2166" t="s">
        <v>45171</v>
      </c>
      <c r="S2166" t="s">
        <v>45172</v>
      </c>
      <c r="T2166" t="s">
        <v>45173</v>
      </c>
      <c r="U2166" t="s">
        <v>45174</v>
      </c>
      <c r="V2166" t="s">
        <v>45175</v>
      </c>
      <c r="W2166" t="s">
        <v>45176</v>
      </c>
      <c r="X2166" t="s">
        <v>45177</v>
      </c>
      <c r="Y2166" t="s">
        <v>45178</v>
      </c>
    </row>
    <row r="2167" spans="1:25" x14ac:dyDescent="0.3">
      <c r="A2167">
        <v>108300</v>
      </c>
      <c r="B2167" t="s">
        <v>45179</v>
      </c>
      <c r="C2167" t="s">
        <v>45180</v>
      </c>
      <c r="D2167" t="s">
        <v>45181</v>
      </c>
      <c r="E2167" t="s">
        <v>45182</v>
      </c>
      <c r="F2167" t="s">
        <v>45183</v>
      </c>
      <c r="G2167" t="s">
        <v>45184</v>
      </c>
      <c r="H2167" t="s">
        <v>45185</v>
      </c>
      <c r="I2167" t="s">
        <v>45186</v>
      </c>
      <c r="J2167" t="s">
        <v>45187</v>
      </c>
      <c r="K2167" t="s">
        <v>45188</v>
      </c>
      <c r="L2167" t="s">
        <v>45189</v>
      </c>
      <c r="M2167" t="s">
        <v>45190</v>
      </c>
      <c r="N2167" t="s">
        <v>45191</v>
      </c>
      <c r="O2167">
        <f>-915.886208256038 -45.7159174079766 -492.565075827052</f>
        <v>-1454.1672014910666</v>
      </c>
      <c r="P2167">
        <f>-952.348352946835 -69.4831223225106 -201.537797340064</f>
        <v>-1223.3692726094096</v>
      </c>
      <c r="Q2167">
        <f>-750.990094421928 -8.52585239103882 -318.968641885967</f>
        <v>-1078.4845886989337</v>
      </c>
      <c r="R2167" t="s">
        <v>45192</v>
      </c>
      <c r="S2167" t="s">
        <v>45193</v>
      </c>
      <c r="T2167" t="s">
        <v>45194</v>
      </c>
      <c r="U2167" t="s">
        <v>45195</v>
      </c>
      <c r="V2167" t="s">
        <v>45196</v>
      </c>
      <c r="W2167" t="s">
        <v>45197</v>
      </c>
      <c r="X2167" t="s">
        <v>45198</v>
      </c>
      <c r="Y2167" t="s">
        <v>45199</v>
      </c>
    </row>
    <row r="2168" spans="1:25" x14ac:dyDescent="0.3">
      <c r="A2168">
        <v>108350</v>
      </c>
      <c r="B2168" t="s">
        <v>45200</v>
      </c>
      <c r="C2168" t="s">
        <v>45201</v>
      </c>
      <c r="D2168" t="s">
        <v>45202</v>
      </c>
      <c r="E2168" t="s">
        <v>45203</v>
      </c>
      <c r="F2168" t="s">
        <v>45204</v>
      </c>
      <c r="G2168" t="s">
        <v>45205</v>
      </c>
      <c r="H2168" t="s">
        <v>45206</v>
      </c>
      <c r="I2168" t="s">
        <v>45207</v>
      </c>
      <c r="J2168" t="s">
        <v>45208</v>
      </c>
      <c r="K2168" t="s">
        <v>45209</v>
      </c>
      <c r="L2168" t="s">
        <v>45210</v>
      </c>
      <c r="M2168" t="s">
        <v>45211</v>
      </c>
      <c r="N2168" t="s">
        <v>45212</v>
      </c>
      <c r="O2168">
        <f>-915.813432149394 -45.7040239957355 -492.54518345333</f>
        <v>-1454.0626395984596</v>
      </c>
      <c r="P2168">
        <f>-952.178202684557 -69.5909798537957 -201.515573909384</f>
        <v>-1223.2847564477368</v>
      </c>
      <c r="Q2168">
        <f>-750.939102918801 -8.32719919110741 -318.991034587381</f>
        <v>-1078.2573366972895</v>
      </c>
      <c r="R2168" t="s">
        <v>45213</v>
      </c>
      <c r="S2168" t="s">
        <v>45214</v>
      </c>
      <c r="T2168" t="s">
        <v>45215</v>
      </c>
      <c r="U2168" t="s">
        <v>45216</v>
      </c>
      <c r="V2168" t="s">
        <v>45217</v>
      </c>
      <c r="W2168" t="s">
        <v>45218</v>
      </c>
      <c r="X2168" t="s">
        <v>45219</v>
      </c>
      <c r="Y2168" t="s">
        <v>45220</v>
      </c>
    </row>
    <row r="2169" spans="1:25" x14ac:dyDescent="0.3">
      <c r="A2169">
        <v>108400</v>
      </c>
      <c r="B2169" t="s">
        <v>45221</v>
      </c>
      <c r="C2169" t="s">
        <v>45222</v>
      </c>
      <c r="D2169" t="s">
        <v>45223</v>
      </c>
      <c r="E2169" t="s">
        <v>45224</v>
      </c>
      <c r="F2169" t="s">
        <v>45225</v>
      </c>
      <c r="G2169" t="s">
        <v>45226</v>
      </c>
      <c r="H2169" t="s">
        <v>45227</v>
      </c>
      <c r="I2169" t="s">
        <v>45228</v>
      </c>
      <c r="J2169" t="s">
        <v>45229</v>
      </c>
      <c r="K2169" t="s">
        <v>45230</v>
      </c>
      <c r="L2169" t="s">
        <v>45231</v>
      </c>
      <c r="M2169" t="s">
        <v>45232</v>
      </c>
      <c r="N2169" t="s">
        <v>45233</v>
      </c>
      <c r="O2169">
        <f>-915.396313608177 -45.7235096083853 -492.566980334599</f>
        <v>-1453.6868035511613</v>
      </c>
      <c r="P2169">
        <f>-951.974229446765 -69.6650066069856 -201.568544735307</f>
        <v>-1223.2077807890576</v>
      </c>
      <c r="Q2169">
        <f>-750.717069676891 -8.00914234265883 -318.807524339673</f>
        <v>-1077.533736359223</v>
      </c>
      <c r="R2169" t="s">
        <v>45234</v>
      </c>
      <c r="S2169" t="s">
        <v>45235</v>
      </c>
      <c r="T2169" t="s">
        <v>45236</v>
      </c>
      <c r="U2169" t="s">
        <v>45237</v>
      </c>
      <c r="V2169" t="s">
        <v>45238</v>
      </c>
      <c r="W2169" t="s">
        <v>45239</v>
      </c>
      <c r="X2169" t="s">
        <v>45240</v>
      </c>
      <c r="Y2169" t="s">
        <v>45241</v>
      </c>
    </row>
    <row r="2170" spans="1:25" x14ac:dyDescent="0.3">
      <c r="A2170">
        <v>108450</v>
      </c>
      <c r="B2170" t="s">
        <v>45242</v>
      </c>
      <c r="C2170" t="s">
        <v>45243</v>
      </c>
      <c r="D2170" t="s">
        <v>45244</v>
      </c>
      <c r="E2170" t="s">
        <v>45245</v>
      </c>
      <c r="F2170" t="s">
        <v>45246</v>
      </c>
      <c r="G2170" t="s">
        <v>45247</v>
      </c>
      <c r="H2170" t="s">
        <v>45248</v>
      </c>
      <c r="I2170" t="s">
        <v>45249</v>
      </c>
      <c r="J2170" t="s">
        <v>45250</v>
      </c>
      <c r="K2170" t="s">
        <v>45251</v>
      </c>
      <c r="L2170" t="s">
        <v>45252</v>
      </c>
      <c r="M2170" t="s">
        <v>45253</v>
      </c>
      <c r="N2170" t="s">
        <v>45254</v>
      </c>
      <c r="O2170">
        <f>-915.049234840945 -45.8105047466145 -492.595555919498</f>
        <v>-1453.4552955070576</v>
      </c>
      <c r="P2170">
        <f>-951.81885683624 -69.8065073786436 -201.625867558425</f>
        <v>-1223.2512317733085</v>
      </c>
      <c r="Q2170">
        <f>-750.576788470458 -7.85657204684367 -318.735877668303</f>
        <v>-1077.1692381856046</v>
      </c>
      <c r="R2170" t="s">
        <v>45255</v>
      </c>
      <c r="S2170" t="s">
        <v>45256</v>
      </c>
      <c r="T2170" t="s">
        <v>45257</v>
      </c>
      <c r="U2170" t="s">
        <v>45258</v>
      </c>
      <c r="V2170" t="s">
        <v>45259</v>
      </c>
      <c r="W2170" t="s">
        <v>45260</v>
      </c>
      <c r="X2170" t="s">
        <v>45261</v>
      </c>
      <c r="Y2170" t="s">
        <v>45262</v>
      </c>
    </row>
    <row r="2171" spans="1:25" x14ac:dyDescent="0.3">
      <c r="A2171">
        <v>108500</v>
      </c>
      <c r="B2171" t="s">
        <v>45263</v>
      </c>
      <c r="C2171" t="s">
        <v>45264</v>
      </c>
      <c r="D2171" t="s">
        <v>45265</v>
      </c>
      <c r="E2171" t="s">
        <v>45266</v>
      </c>
      <c r="F2171" t="s">
        <v>45267</v>
      </c>
      <c r="G2171" t="s">
        <v>45268</v>
      </c>
      <c r="H2171" t="s">
        <v>45269</v>
      </c>
      <c r="I2171" t="s">
        <v>45270</v>
      </c>
      <c r="J2171" t="s">
        <v>45271</v>
      </c>
      <c r="K2171" t="s">
        <v>45272</v>
      </c>
      <c r="L2171" t="s">
        <v>45273</v>
      </c>
      <c r="M2171" t="s">
        <v>45274</v>
      </c>
      <c r="N2171" t="s">
        <v>45275</v>
      </c>
      <c r="O2171">
        <f>-914.029293736176 -46.0089230695528 -492.62965025071</f>
        <v>-1452.6678670564388</v>
      </c>
      <c r="P2171">
        <f>-951.060390107272 -70.0499402867044 -201.696766168228</f>
        <v>-1222.8070965622046</v>
      </c>
      <c r="Q2171">
        <f>-749.823201118189 -7.51843057305905 -318.505453722</f>
        <v>-1075.8470854132481</v>
      </c>
      <c r="R2171" t="s">
        <v>45276</v>
      </c>
      <c r="S2171" t="s">
        <v>45277</v>
      </c>
      <c r="T2171" t="s">
        <v>45278</v>
      </c>
      <c r="U2171" t="s">
        <v>45279</v>
      </c>
      <c r="V2171" t="s">
        <v>45280</v>
      </c>
      <c r="W2171" t="s">
        <v>45281</v>
      </c>
      <c r="X2171" t="s">
        <v>45282</v>
      </c>
      <c r="Y2171" t="s">
        <v>45283</v>
      </c>
    </row>
    <row r="2172" spans="1:25" x14ac:dyDescent="0.3">
      <c r="A2172">
        <v>108550</v>
      </c>
      <c r="B2172" t="s">
        <v>45284</v>
      </c>
      <c r="C2172" t="s">
        <v>45285</v>
      </c>
      <c r="D2172" t="s">
        <v>45286</v>
      </c>
      <c r="E2172" t="s">
        <v>45287</v>
      </c>
      <c r="F2172" t="s">
        <v>45288</v>
      </c>
      <c r="G2172" t="s">
        <v>45289</v>
      </c>
      <c r="H2172" t="s">
        <v>45290</v>
      </c>
      <c r="I2172" t="s">
        <v>45291</v>
      </c>
      <c r="J2172" t="s">
        <v>45292</v>
      </c>
      <c r="K2172" t="s">
        <v>45293</v>
      </c>
      <c r="L2172" t="s">
        <v>45294</v>
      </c>
      <c r="M2172" t="s">
        <v>45295</v>
      </c>
      <c r="N2172" t="s">
        <v>45296</v>
      </c>
      <c r="O2172">
        <f>-913.60252081392 -46.0263649075034 -492.6099262355</f>
        <v>-1452.2388119569234</v>
      </c>
      <c r="P2172">
        <f>-950.711870502846 -70.1188256558198 -201.691256930954</f>
        <v>-1222.5219530896197</v>
      </c>
      <c r="Q2172">
        <f>-749.508168115619 -7.25806232490413 -318.380232505816</f>
        <v>-1075.1464629463392</v>
      </c>
      <c r="R2172" t="s">
        <v>45297</v>
      </c>
      <c r="S2172" t="s">
        <v>45298</v>
      </c>
      <c r="T2172" t="s">
        <v>45299</v>
      </c>
      <c r="U2172" t="s">
        <v>45300</v>
      </c>
      <c r="V2172" t="s">
        <v>45301</v>
      </c>
      <c r="W2172" t="s">
        <v>45302</v>
      </c>
      <c r="X2172" t="s">
        <v>45303</v>
      </c>
      <c r="Y2172" t="s">
        <v>45304</v>
      </c>
    </row>
    <row r="2173" spans="1:25" x14ac:dyDescent="0.3">
      <c r="A2173">
        <v>108600</v>
      </c>
      <c r="B2173" t="s">
        <v>45305</v>
      </c>
      <c r="C2173" t="s">
        <v>45306</v>
      </c>
      <c r="D2173" t="s">
        <v>45307</v>
      </c>
      <c r="E2173" t="s">
        <v>45308</v>
      </c>
      <c r="F2173" t="s">
        <v>45309</v>
      </c>
      <c r="G2173" t="s">
        <v>45310</v>
      </c>
      <c r="H2173" t="s">
        <v>45311</v>
      </c>
      <c r="I2173" t="s">
        <v>45312</v>
      </c>
      <c r="J2173" t="s">
        <v>45313</v>
      </c>
      <c r="K2173" t="s">
        <v>45314</v>
      </c>
      <c r="L2173" t="s">
        <v>45315</v>
      </c>
      <c r="M2173" t="s">
        <v>45316</v>
      </c>
      <c r="N2173" t="s">
        <v>45317</v>
      </c>
      <c r="O2173">
        <f>-912.995219127937 -46.0769554090834 -492.576029943922</f>
        <v>-1451.6482044809425</v>
      </c>
      <c r="P2173">
        <f>-950.14272942317 -70.3271461655597 -201.675391096291</f>
        <v>-1222.1452666850207</v>
      </c>
      <c r="Q2173">
        <f>-749.030593028681 -6.91597974323622 -318.225176123877</f>
        <v>-1074.1717488957943</v>
      </c>
      <c r="R2173" t="s">
        <v>45318</v>
      </c>
      <c r="S2173" t="s">
        <v>45319</v>
      </c>
      <c r="T2173" t="s">
        <v>45320</v>
      </c>
      <c r="U2173" t="s">
        <v>45321</v>
      </c>
      <c r="V2173" t="s">
        <v>45322</v>
      </c>
      <c r="W2173" t="s">
        <v>45323</v>
      </c>
      <c r="X2173" t="s">
        <v>45324</v>
      </c>
      <c r="Y2173" t="s">
        <v>45325</v>
      </c>
    </row>
    <row r="2174" spans="1:25" x14ac:dyDescent="0.3">
      <c r="A2174">
        <v>108650</v>
      </c>
      <c r="B2174" t="s">
        <v>45326</v>
      </c>
      <c r="C2174" t="s">
        <v>45327</v>
      </c>
      <c r="D2174" t="s">
        <v>45328</v>
      </c>
      <c r="E2174" t="s">
        <v>45329</v>
      </c>
      <c r="F2174" t="s">
        <v>45330</v>
      </c>
      <c r="G2174" t="s">
        <v>45331</v>
      </c>
      <c r="H2174" t="s">
        <v>45332</v>
      </c>
      <c r="I2174" t="s">
        <v>45333</v>
      </c>
      <c r="J2174" t="s">
        <v>45334</v>
      </c>
      <c r="K2174" t="s">
        <v>45335</v>
      </c>
      <c r="L2174" t="s">
        <v>45336</v>
      </c>
      <c r="M2174" t="s">
        <v>45337</v>
      </c>
      <c r="N2174" t="s">
        <v>45338</v>
      </c>
      <c r="O2174">
        <f>-912.655289034154 -46.107814476841 -492.566261627348</f>
        <v>-1451.3293651383428</v>
      </c>
      <c r="P2174">
        <f>-949.788750519961 -70.4994403864616 -201.675612138918</f>
        <v>-1221.9638030453407</v>
      </c>
      <c r="Q2174">
        <f>-748.762963920227 -6.77903476183837 -318.205492869571</f>
        <v>-1073.7474915516364</v>
      </c>
      <c r="R2174" t="s">
        <v>45339</v>
      </c>
      <c r="S2174" t="s">
        <v>45340</v>
      </c>
      <c r="T2174" t="s">
        <v>45341</v>
      </c>
      <c r="U2174" t="s">
        <v>45342</v>
      </c>
      <c r="V2174" t="s">
        <v>45343</v>
      </c>
      <c r="W2174" t="s">
        <v>45344</v>
      </c>
      <c r="X2174" t="s">
        <v>45345</v>
      </c>
      <c r="Y2174" t="s">
        <v>45346</v>
      </c>
    </row>
    <row r="2175" spans="1:25" x14ac:dyDescent="0.3">
      <c r="A2175">
        <v>108700</v>
      </c>
      <c r="B2175" t="s">
        <v>45347</v>
      </c>
      <c r="C2175" t="s">
        <v>45348</v>
      </c>
      <c r="D2175" t="s">
        <v>45349</v>
      </c>
      <c r="E2175" t="s">
        <v>45350</v>
      </c>
      <c r="F2175" t="s">
        <v>45351</v>
      </c>
      <c r="G2175" t="s">
        <v>45352</v>
      </c>
      <c r="H2175" t="s">
        <v>45353</v>
      </c>
      <c r="I2175" t="s">
        <v>45354</v>
      </c>
      <c r="J2175" t="s">
        <v>45355</v>
      </c>
      <c r="K2175" t="s">
        <v>45356</v>
      </c>
      <c r="L2175" t="s">
        <v>45357</v>
      </c>
      <c r="M2175" t="s">
        <v>45358</v>
      </c>
      <c r="N2175" t="s">
        <v>45359</v>
      </c>
      <c r="O2175">
        <f>-912.134456755332 -46.3279454135445 -492.625882299729</f>
        <v>-1451.0882844686057</v>
      </c>
      <c r="P2175">
        <f>-949.203132220343 -70.954786909117 -201.746904928119</f>
        <v>-1221.9048240575792</v>
      </c>
      <c r="Q2175">
        <f>-748.327328438725 -6.59706399273318 -318.184959758637</f>
        <v>-1073.1093521900953</v>
      </c>
      <c r="R2175" t="s">
        <v>45360</v>
      </c>
      <c r="S2175" t="s">
        <v>45361</v>
      </c>
      <c r="T2175" t="s">
        <v>45362</v>
      </c>
      <c r="U2175" t="s">
        <v>45363</v>
      </c>
      <c r="V2175" t="s">
        <v>45364</v>
      </c>
      <c r="W2175" t="s">
        <v>45365</v>
      </c>
      <c r="X2175" t="s">
        <v>45366</v>
      </c>
      <c r="Y2175" t="s">
        <v>45367</v>
      </c>
    </row>
    <row r="2176" spans="1:25" x14ac:dyDescent="0.3">
      <c r="A2176">
        <v>108750</v>
      </c>
      <c r="B2176" t="s">
        <v>45368</v>
      </c>
      <c r="C2176" t="s">
        <v>45369</v>
      </c>
      <c r="D2176" t="s">
        <v>45370</v>
      </c>
      <c r="E2176" t="s">
        <v>45371</v>
      </c>
      <c r="F2176" t="s">
        <v>45372</v>
      </c>
      <c r="G2176" t="s">
        <v>45373</v>
      </c>
      <c r="H2176" t="s">
        <v>45374</v>
      </c>
      <c r="I2176" t="s">
        <v>45375</v>
      </c>
      <c r="J2176" t="s">
        <v>45376</v>
      </c>
      <c r="K2176" t="s">
        <v>45377</v>
      </c>
      <c r="L2176" t="s">
        <v>45378</v>
      </c>
      <c r="M2176" t="s">
        <v>45379</v>
      </c>
      <c r="N2176" t="s">
        <v>45380</v>
      </c>
      <c r="O2176">
        <f>-911.906448374613 -46.3618309352762 -492.65916902505</f>
        <v>-1450.9274483349391</v>
      </c>
      <c r="P2176">
        <f>-948.949538352301 -71.1233416095033 -201.788305681915</f>
        <v>-1221.8611856437194</v>
      </c>
      <c r="Q2176">
        <f>-748.163572493105 -6.4161304326035 -318.188012276799</f>
        <v>-1072.7677152025076</v>
      </c>
      <c r="R2176" t="s">
        <v>45381</v>
      </c>
      <c r="S2176" t="s">
        <v>45382</v>
      </c>
      <c r="T2176" t="s">
        <v>45383</v>
      </c>
      <c r="U2176" t="s">
        <v>45384</v>
      </c>
      <c r="V2176" t="s">
        <v>45385</v>
      </c>
      <c r="W2176" t="s">
        <v>45386</v>
      </c>
      <c r="X2176" t="s">
        <v>45387</v>
      </c>
      <c r="Y2176" t="s">
        <v>45388</v>
      </c>
    </row>
    <row r="2177" spans="1:25" x14ac:dyDescent="0.3">
      <c r="A2177">
        <v>108800</v>
      </c>
      <c r="B2177" t="s">
        <v>45389</v>
      </c>
      <c r="C2177" t="s">
        <v>45390</v>
      </c>
      <c r="D2177" t="s">
        <v>45391</v>
      </c>
      <c r="E2177" t="s">
        <v>45392</v>
      </c>
      <c r="F2177" t="s">
        <v>45393</v>
      </c>
      <c r="G2177" t="s">
        <v>45394</v>
      </c>
      <c r="H2177" t="s">
        <v>45395</v>
      </c>
      <c r="I2177" t="s">
        <v>45396</v>
      </c>
      <c r="J2177" t="s">
        <v>45397</v>
      </c>
      <c r="K2177" t="s">
        <v>45398</v>
      </c>
      <c r="L2177" t="s">
        <v>45399</v>
      </c>
      <c r="M2177" t="s">
        <v>45400</v>
      </c>
      <c r="N2177" t="s">
        <v>45401</v>
      </c>
      <c r="O2177">
        <f>-911.407801446943 -46.4759424567553 -492.69189008158</f>
        <v>-1450.5756339852783</v>
      </c>
      <c r="P2177">
        <f>-948.400741345221 -71.5860435875115 -201.844570172432</f>
        <v>-1221.8313551051647</v>
      </c>
      <c r="Q2177">
        <f>-747.826948275943 -6.122593831617 -318.187513831935</f>
        <v>-1072.137055939495</v>
      </c>
      <c r="R2177" t="s">
        <v>45402</v>
      </c>
      <c r="S2177" t="s">
        <v>45403</v>
      </c>
      <c r="T2177" t="s">
        <v>45404</v>
      </c>
      <c r="U2177" t="s">
        <v>45405</v>
      </c>
      <c r="V2177" t="s">
        <v>45406</v>
      </c>
      <c r="W2177" t="s">
        <v>45407</v>
      </c>
      <c r="X2177" t="s">
        <v>45408</v>
      </c>
      <c r="Y2177" t="s">
        <v>45409</v>
      </c>
    </row>
    <row r="2178" spans="1:25" x14ac:dyDescent="0.3">
      <c r="A2178">
        <v>108850</v>
      </c>
      <c r="B2178" t="s">
        <v>45410</v>
      </c>
      <c r="C2178" t="s">
        <v>45411</v>
      </c>
      <c r="D2178" t="s">
        <v>45412</v>
      </c>
      <c r="E2178" t="s">
        <v>45413</v>
      </c>
      <c r="F2178" t="s">
        <v>45414</v>
      </c>
      <c r="G2178" t="s">
        <v>45415</v>
      </c>
      <c r="H2178" t="s">
        <v>45416</v>
      </c>
      <c r="I2178" t="s">
        <v>45417</v>
      </c>
      <c r="J2178" t="s">
        <v>45418</v>
      </c>
      <c r="K2178" t="s">
        <v>45419</v>
      </c>
      <c r="L2178" t="s">
        <v>45420</v>
      </c>
      <c r="M2178" t="s">
        <v>45421</v>
      </c>
      <c r="N2178" t="s">
        <v>45422</v>
      </c>
      <c r="O2178">
        <f>-911.297105857261 -46.5134056325287 -492.705839805276</f>
        <v>-1450.5163512950658</v>
      </c>
      <c r="P2178">
        <f>-948.207350311123 -71.7660914229157 -201.860127934817</f>
        <v>-1221.8335696688557</v>
      </c>
      <c r="Q2178">
        <f>-747.728667814784 -5.91959346072645 -318.150452290078</f>
        <v>-1071.7987135655885</v>
      </c>
      <c r="R2178" t="s">
        <v>45423</v>
      </c>
      <c r="S2178" t="s">
        <v>45424</v>
      </c>
      <c r="T2178" t="s">
        <v>45425</v>
      </c>
      <c r="U2178" t="s">
        <v>45426</v>
      </c>
      <c r="V2178" t="s">
        <v>45427</v>
      </c>
      <c r="W2178" t="s">
        <v>45428</v>
      </c>
      <c r="X2178" t="s">
        <v>45429</v>
      </c>
      <c r="Y2178" t="s">
        <v>45430</v>
      </c>
    </row>
    <row r="2179" spans="1:25" x14ac:dyDescent="0.3">
      <c r="A2179">
        <v>108900</v>
      </c>
      <c r="B2179" t="s">
        <v>45431</v>
      </c>
      <c r="C2179" t="s">
        <v>45432</v>
      </c>
      <c r="D2179" t="s">
        <v>45433</v>
      </c>
      <c r="E2179" t="s">
        <v>45434</v>
      </c>
      <c r="F2179" t="s">
        <v>45435</v>
      </c>
      <c r="G2179" t="s">
        <v>45436</v>
      </c>
      <c r="H2179" t="s">
        <v>45437</v>
      </c>
      <c r="I2179" t="s">
        <v>45438</v>
      </c>
      <c r="J2179" t="s">
        <v>45439</v>
      </c>
      <c r="K2179" t="s">
        <v>45440</v>
      </c>
      <c r="L2179" t="s">
        <v>45441</v>
      </c>
      <c r="M2179" t="s">
        <v>45442</v>
      </c>
      <c r="N2179" t="s">
        <v>45443</v>
      </c>
      <c r="O2179">
        <f>-910.81793005676 -46.7840796904352 -492.736502078956</f>
        <v>-1450.3385118261513</v>
      </c>
      <c r="P2179">
        <f>-947.601145820182 -72.2944321821594 -201.897369193412</f>
        <v>-1221.7929471957534</v>
      </c>
      <c r="Q2179">
        <f>-747.299647636421 -5.77381700740216 -318.10913327445</f>
        <v>-1071.1825979182731</v>
      </c>
      <c r="R2179" t="s">
        <v>45444</v>
      </c>
      <c r="S2179" t="s">
        <v>45445</v>
      </c>
      <c r="T2179" t="s">
        <v>45446</v>
      </c>
      <c r="U2179" t="s">
        <v>45447</v>
      </c>
      <c r="V2179" t="s">
        <v>45448</v>
      </c>
      <c r="W2179" t="s">
        <v>45449</v>
      </c>
      <c r="X2179" t="s">
        <v>45450</v>
      </c>
      <c r="Y2179" t="s">
        <v>45451</v>
      </c>
    </row>
    <row r="2180" spans="1:25" x14ac:dyDescent="0.3">
      <c r="A2180">
        <v>108950</v>
      </c>
      <c r="B2180" t="s">
        <v>45452</v>
      </c>
      <c r="C2180" t="s">
        <v>45453</v>
      </c>
      <c r="D2180" t="s">
        <v>45454</v>
      </c>
      <c r="E2180" t="s">
        <v>45455</v>
      </c>
      <c r="F2180" t="s">
        <v>45456</v>
      </c>
      <c r="G2180" t="s">
        <v>45457</v>
      </c>
      <c r="H2180" t="s">
        <v>45458</v>
      </c>
      <c r="I2180" t="s">
        <v>45459</v>
      </c>
      <c r="J2180" t="s">
        <v>45460</v>
      </c>
      <c r="K2180" t="s">
        <v>45461</v>
      </c>
      <c r="L2180" t="s">
        <v>45462</v>
      </c>
      <c r="M2180" t="s">
        <v>45463</v>
      </c>
      <c r="N2180" t="s">
        <v>45464</v>
      </c>
      <c r="O2180">
        <f>-910.670190366495 -46.8491587219962 -492.764634160012</f>
        <v>-1450.2839832485033</v>
      </c>
      <c r="P2180">
        <f>-947.42360444301 -72.4770070774518 -201.932104786169</f>
        <v>-1221.8327163066308</v>
      </c>
      <c r="Q2180">
        <f>-747.234123610038 -5.64259959999572 -318.157267376847</f>
        <v>-1071.0339905868807</v>
      </c>
      <c r="R2180" t="s">
        <v>45465</v>
      </c>
      <c r="S2180" t="s">
        <v>45466</v>
      </c>
      <c r="T2180" t="s">
        <v>45467</v>
      </c>
      <c r="U2180" t="s">
        <v>45468</v>
      </c>
      <c r="V2180" t="s">
        <v>45469</v>
      </c>
      <c r="W2180" t="s">
        <v>45470</v>
      </c>
      <c r="X2180" t="s">
        <v>45471</v>
      </c>
      <c r="Y2180" t="s">
        <v>45472</v>
      </c>
    </row>
    <row r="2181" spans="1:25" x14ac:dyDescent="0.3">
      <c r="A2181">
        <v>109000</v>
      </c>
      <c r="B2181" t="s">
        <v>45473</v>
      </c>
      <c r="C2181" t="s">
        <v>45474</v>
      </c>
      <c r="D2181" t="s">
        <v>45475</v>
      </c>
      <c r="E2181" t="s">
        <v>45476</v>
      </c>
      <c r="F2181" t="s">
        <v>45477</v>
      </c>
      <c r="G2181" t="s">
        <v>45478</v>
      </c>
      <c r="H2181" t="s">
        <v>45479</v>
      </c>
      <c r="I2181" t="s">
        <v>45480</v>
      </c>
      <c r="J2181" t="s">
        <v>45481</v>
      </c>
      <c r="K2181" t="s">
        <v>45482</v>
      </c>
      <c r="L2181" t="s">
        <v>45483</v>
      </c>
      <c r="M2181" t="s">
        <v>45484</v>
      </c>
      <c r="N2181" t="s">
        <v>45485</v>
      </c>
      <c r="O2181">
        <f>-910.457852065897 -47.0958522491594 -492.823578779271</f>
        <v>-1450.3772830943274</v>
      </c>
      <c r="P2181">
        <f>-946.901629246218 -73.0582359752837 -201.981728386168</f>
        <v>-1221.9415936076696</v>
      </c>
      <c r="Q2181">
        <f>-747.068149190483 -5.28806788347811 -318.277164175003</f>
        <v>-1070.6333812489643</v>
      </c>
      <c r="R2181" t="s">
        <v>45486</v>
      </c>
      <c r="S2181" t="s">
        <v>45487</v>
      </c>
      <c r="T2181" t="s">
        <v>45488</v>
      </c>
      <c r="U2181" t="s">
        <v>45489</v>
      </c>
      <c r="V2181" t="s">
        <v>45490</v>
      </c>
      <c r="W2181" t="s">
        <v>45491</v>
      </c>
      <c r="X2181" t="s">
        <v>45492</v>
      </c>
      <c r="Y2181" t="s">
        <v>45493</v>
      </c>
    </row>
    <row r="2182" spans="1:25" x14ac:dyDescent="0.3">
      <c r="A2182">
        <v>109050</v>
      </c>
      <c r="B2182" t="s">
        <v>45494</v>
      </c>
      <c r="C2182" t="s">
        <v>45495</v>
      </c>
      <c r="D2182" t="s">
        <v>45496</v>
      </c>
      <c r="E2182" t="s">
        <v>45497</v>
      </c>
      <c r="F2182" t="s">
        <v>45498</v>
      </c>
      <c r="G2182" t="s">
        <v>45499</v>
      </c>
      <c r="H2182" t="s">
        <v>45500</v>
      </c>
      <c r="I2182" t="s">
        <v>45501</v>
      </c>
      <c r="J2182" t="s">
        <v>45502</v>
      </c>
      <c r="K2182" t="s">
        <v>45503</v>
      </c>
      <c r="L2182" t="s">
        <v>45504</v>
      </c>
      <c r="M2182" t="s">
        <v>45505</v>
      </c>
      <c r="N2182" t="s">
        <v>45506</v>
      </c>
      <c r="O2182">
        <f>-910.292953590468 -47.287225489976 -492.857779991877</f>
        <v>-1450.4379590723211</v>
      </c>
      <c r="P2182">
        <f>-946.474225745879 -73.4433517915845 -202.000456962328</f>
        <v>-1221.9180344997915</v>
      </c>
      <c r="Q2182">
        <f>-746.837655582956 -4.94218644480043 -318.205691486469</f>
        <v>-1069.9855335142254</v>
      </c>
      <c r="R2182" t="s">
        <v>45507</v>
      </c>
      <c r="S2182" t="s">
        <v>45508</v>
      </c>
      <c r="T2182" t="s">
        <v>45509</v>
      </c>
      <c r="U2182" t="s">
        <v>45510</v>
      </c>
      <c r="V2182" t="s">
        <v>45511</v>
      </c>
      <c r="W2182" t="s">
        <v>45512</v>
      </c>
      <c r="X2182" t="s">
        <v>45513</v>
      </c>
      <c r="Y2182" t="s">
        <v>45514</v>
      </c>
    </row>
    <row r="2183" spans="1:25" x14ac:dyDescent="0.3">
      <c r="A2183">
        <v>109100</v>
      </c>
      <c r="B2183" t="s">
        <v>45515</v>
      </c>
      <c r="C2183" t="s">
        <v>45516</v>
      </c>
      <c r="D2183" t="s">
        <v>45517</v>
      </c>
      <c r="E2183" t="s">
        <v>45518</v>
      </c>
      <c r="F2183" t="s">
        <v>45519</v>
      </c>
      <c r="G2183" t="s">
        <v>45520</v>
      </c>
      <c r="H2183" t="s">
        <v>45521</v>
      </c>
      <c r="I2183" t="s">
        <v>45522</v>
      </c>
      <c r="J2183" t="s">
        <v>45523</v>
      </c>
      <c r="K2183" t="s">
        <v>45524</v>
      </c>
      <c r="L2183" t="s">
        <v>45525</v>
      </c>
      <c r="M2183" t="s">
        <v>45526</v>
      </c>
      <c r="N2183" t="s">
        <v>45527</v>
      </c>
      <c r="O2183">
        <f>-909.739929001754 -47.6579868545268 -492.99047845991</f>
        <v>-1450.3883943161909</v>
      </c>
      <c r="P2183">
        <f>-945.050434554842 -74.2420830888084 -202.064919686144</f>
        <v>-1221.3574373297945</v>
      </c>
      <c r="Q2183">
        <f>-746.299453709383 -3.55259717710351 -318.477246985682</f>
        <v>-1068.3292978721684</v>
      </c>
      <c r="R2183" t="s">
        <v>45528</v>
      </c>
      <c r="S2183" t="s">
        <v>45529</v>
      </c>
      <c r="T2183" t="s">
        <v>45530</v>
      </c>
      <c r="U2183" t="s">
        <v>45531</v>
      </c>
      <c r="V2183" t="s">
        <v>45532</v>
      </c>
      <c r="W2183" t="s">
        <v>45533</v>
      </c>
      <c r="X2183" t="s">
        <v>45534</v>
      </c>
      <c r="Y2183" t="s">
        <v>45535</v>
      </c>
    </row>
    <row r="2184" spans="1:25" x14ac:dyDescent="0.3">
      <c r="A2184">
        <v>109150</v>
      </c>
      <c r="B2184" t="s">
        <v>45536</v>
      </c>
      <c r="C2184" t="s">
        <v>45537</v>
      </c>
      <c r="D2184" t="s">
        <v>45538</v>
      </c>
      <c r="E2184" t="s">
        <v>45539</v>
      </c>
      <c r="F2184" t="s">
        <v>45540</v>
      </c>
      <c r="G2184" t="s">
        <v>45541</v>
      </c>
      <c r="H2184" t="s">
        <v>45542</v>
      </c>
      <c r="I2184" t="s">
        <v>45543</v>
      </c>
      <c r="J2184" t="s">
        <v>45544</v>
      </c>
      <c r="K2184" t="s">
        <v>45545</v>
      </c>
      <c r="L2184" t="s">
        <v>45546</v>
      </c>
      <c r="M2184" t="s">
        <v>45547</v>
      </c>
      <c r="N2184" t="s">
        <v>45548</v>
      </c>
      <c r="O2184">
        <f>-909.349009492152 -47.620786556919 -493.1538629487</f>
        <v>-1450.1236589977711</v>
      </c>
      <c r="P2184">
        <f>-944.230943641345 -74.3028535179706 -202.18566195611</f>
        <v>-1220.7194591154255</v>
      </c>
      <c r="Q2184">
        <f>-745.777786951341 -2.76730512864742 -318.589543074649</f>
        <v>-1067.1346351546374</v>
      </c>
      <c r="R2184" t="s">
        <v>45549</v>
      </c>
      <c r="S2184" t="s">
        <v>45550</v>
      </c>
      <c r="T2184" t="s">
        <v>45551</v>
      </c>
      <c r="U2184" t="s">
        <v>45552</v>
      </c>
      <c r="V2184" t="s">
        <v>45553</v>
      </c>
      <c r="W2184" t="s">
        <v>45554</v>
      </c>
      <c r="X2184" t="s">
        <v>45555</v>
      </c>
      <c r="Y2184" t="s">
        <v>45556</v>
      </c>
    </row>
    <row r="2185" spans="1:25" x14ac:dyDescent="0.3">
      <c r="A2185">
        <v>109200</v>
      </c>
      <c r="B2185" t="s">
        <v>45557</v>
      </c>
      <c r="C2185" t="s">
        <v>45558</v>
      </c>
      <c r="D2185" t="s">
        <v>45559</v>
      </c>
      <c r="E2185" t="s">
        <v>45560</v>
      </c>
      <c r="F2185" t="s">
        <v>45561</v>
      </c>
      <c r="G2185" t="s">
        <v>45562</v>
      </c>
      <c r="H2185" t="s">
        <v>45563</v>
      </c>
      <c r="I2185" t="s">
        <v>45564</v>
      </c>
      <c r="J2185" t="s">
        <v>45565</v>
      </c>
      <c r="K2185" t="s">
        <v>45566</v>
      </c>
      <c r="L2185" t="s">
        <v>45567</v>
      </c>
      <c r="M2185" t="s">
        <v>45568</v>
      </c>
      <c r="N2185" t="s">
        <v>45569</v>
      </c>
      <c r="O2185">
        <f>-907.96093311051 -47.9426583336058 -493.446201363509</f>
        <v>-1449.3497928076249</v>
      </c>
      <c r="P2185">
        <f>-942.591118913188 -75.0225790012207 -202.484537646468</f>
        <v>-1220.0982355608767</v>
      </c>
      <c r="Q2185">
        <f>-743.818794462298 -3.04476006088635 -318.068784253471</f>
        <v>-1064.9323387766553</v>
      </c>
      <c r="R2185" t="s">
        <v>45570</v>
      </c>
      <c r="S2185" t="s">
        <v>45571</v>
      </c>
      <c r="T2185" t="s">
        <v>45572</v>
      </c>
      <c r="U2185" t="s">
        <v>45573</v>
      </c>
      <c r="V2185" t="s">
        <v>45574</v>
      </c>
      <c r="W2185" t="s">
        <v>45575</v>
      </c>
      <c r="X2185" t="s">
        <v>45576</v>
      </c>
      <c r="Y2185" t="s">
        <v>45577</v>
      </c>
    </row>
    <row r="2186" spans="1:25" x14ac:dyDescent="0.3">
      <c r="A2186">
        <v>109250</v>
      </c>
      <c r="B2186" t="s">
        <v>45578</v>
      </c>
      <c r="C2186" t="s">
        <v>45579</v>
      </c>
      <c r="D2186" t="s">
        <v>45580</v>
      </c>
      <c r="E2186" t="s">
        <v>45581</v>
      </c>
      <c r="F2186" t="s">
        <v>45582</v>
      </c>
      <c r="G2186" t="s">
        <v>45583</v>
      </c>
      <c r="H2186" t="s">
        <v>45584</v>
      </c>
      <c r="I2186" t="s">
        <v>45585</v>
      </c>
      <c r="J2186" t="s">
        <v>45586</v>
      </c>
      <c r="K2186" t="s">
        <v>45587</v>
      </c>
      <c r="L2186" t="s">
        <v>45588</v>
      </c>
      <c r="M2186" t="s">
        <v>45589</v>
      </c>
      <c r="N2186" t="s">
        <v>45590</v>
      </c>
      <c r="O2186">
        <f>-907.125858509591 -48.263029134723 -493.491996212861</f>
        <v>-1448.8808838571749</v>
      </c>
      <c r="P2186">
        <f>-941.791700347728 -75.464045750186 -202.545923714356</f>
        <v>-1219.8016698122699</v>
      </c>
      <c r="Q2186">
        <f>-742.473129649961 -3.82746258345924 -317.399043203851</f>
        <v>-1063.6996354372714</v>
      </c>
      <c r="R2186" t="s">
        <v>45591</v>
      </c>
      <c r="S2186" t="s">
        <v>45592</v>
      </c>
      <c r="T2186" t="s">
        <v>45593</v>
      </c>
      <c r="U2186" t="s">
        <v>45594</v>
      </c>
      <c r="V2186" t="s">
        <v>45595</v>
      </c>
      <c r="W2186" t="s">
        <v>45596</v>
      </c>
      <c r="X2186" t="s">
        <v>45597</v>
      </c>
      <c r="Y2186" t="s">
        <v>45598</v>
      </c>
    </row>
    <row r="2187" spans="1:25" x14ac:dyDescent="0.3">
      <c r="A2187">
        <v>109300</v>
      </c>
      <c r="B2187" t="s">
        <v>45599</v>
      </c>
      <c r="C2187" t="s">
        <v>45600</v>
      </c>
      <c r="D2187" t="s">
        <v>45601</v>
      </c>
      <c r="E2187" t="s">
        <v>45602</v>
      </c>
      <c r="F2187" t="s">
        <v>45603</v>
      </c>
      <c r="G2187" t="s">
        <v>45604</v>
      </c>
      <c r="H2187" t="s">
        <v>45605</v>
      </c>
      <c r="I2187" t="s">
        <v>45606</v>
      </c>
      <c r="J2187" t="s">
        <v>45607</v>
      </c>
      <c r="K2187" t="s">
        <v>45608</v>
      </c>
      <c r="L2187" t="s">
        <v>45609</v>
      </c>
      <c r="M2187" t="s">
        <v>45610</v>
      </c>
      <c r="N2187" t="s">
        <v>45611</v>
      </c>
      <c r="O2187">
        <f>-905.932594717299 -49.0374668713814 -493.457971834321</f>
        <v>-1448.4280334230014</v>
      </c>
      <c r="P2187">
        <f>-940.519837117026 -76.5634399682065 -202.533226202377</f>
        <v>-1219.6165032876095</v>
      </c>
      <c r="Q2187">
        <f>-740.13315370777 -6.62629148190354 -316.571631440846</f>
        <v>-1063.3310766305194</v>
      </c>
      <c r="R2187" t="s">
        <v>45612</v>
      </c>
      <c r="S2187" t="s">
        <v>45613</v>
      </c>
      <c r="T2187" t="s">
        <v>45614</v>
      </c>
      <c r="U2187" t="s">
        <v>45615</v>
      </c>
      <c r="V2187" t="s">
        <v>45616</v>
      </c>
      <c r="W2187" t="s">
        <v>45617</v>
      </c>
      <c r="X2187" t="s">
        <v>45618</v>
      </c>
      <c r="Y2187" t="s">
        <v>45619</v>
      </c>
    </row>
    <row r="2188" spans="1:25" x14ac:dyDescent="0.3">
      <c r="A2188">
        <v>109350</v>
      </c>
      <c r="B2188" t="s">
        <v>45620</v>
      </c>
      <c r="C2188" t="s">
        <v>45621</v>
      </c>
      <c r="D2188" t="s">
        <v>45622</v>
      </c>
      <c r="E2188" t="s">
        <v>45623</v>
      </c>
      <c r="F2188" t="s">
        <v>45624</v>
      </c>
      <c r="G2188" t="s">
        <v>45625</v>
      </c>
      <c r="H2188" t="s">
        <v>45626</v>
      </c>
      <c r="I2188" t="s">
        <v>45627</v>
      </c>
      <c r="J2188" t="s">
        <v>45628</v>
      </c>
      <c r="K2188" t="s">
        <v>45629</v>
      </c>
      <c r="L2188" t="s">
        <v>45630</v>
      </c>
      <c r="M2188" t="s">
        <v>45631</v>
      </c>
      <c r="N2188" t="s">
        <v>45632</v>
      </c>
      <c r="O2188">
        <f>-905.432802006855 -49.1798803276088 -493.383744406462</f>
        <v>-1447.9964267409257</v>
      </c>
      <c r="P2188">
        <f>-939.855082877463 -76.7645882275858 -202.445001919097</f>
        <v>-1219.0646730241458</v>
      </c>
      <c r="Q2188">
        <f>-739.185374655641 -7.89558675251101 -316.635953103037</f>
        <v>-1063.7169145111891</v>
      </c>
      <c r="R2188" t="s">
        <v>45633</v>
      </c>
      <c r="S2188" t="s">
        <v>45634</v>
      </c>
      <c r="T2188" t="s">
        <v>45635</v>
      </c>
      <c r="U2188" t="s">
        <v>45636</v>
      </c>
      <c r="V2188" t="s">
        <v>45637</v>
      </c>
      <c r="W2188" t="s">
        <v>45638</v>
      </c>
      <c r="X2188" t="s">
        <v>45639</v>
      </c>
      <c r="Y2188" t="s">
        <v>45640</v>
      </c>
    </row>
    <row r="2189" spans="1:25" x14ac:dyDescent="0.3">
      <c r="A2189">
        <v>109400</v>
      </c>
      <c r="B2189" t="s">
        <v>45641</v>
      </c>
      <c r="C2189" t="s">
        <v>45642</v>
      </c>
      <c r="D2189" t="s">
        <v>45643</v>
      </c>
      <c r="E2189" t="s">
        <v>45644</v>
      </c>
      <c r="F2189" t="s">
        <v>45645</v>
      </c>
      <c r="G2189" t="s">
        <v>45646</v>
      </c>
      <c r="H2189" t="s">
        <v>45647</v>
      </c>
      <c r="I2189" t="s">
        <v>45648</v>
      </c>
      <c r="J2189" t="s">
        <v>45649</v>
      </c>
      <c r="K2189" t="s">
        <v>45650</v>
      </c>
      <c r="L2189" t="s">
        <v>45651</v>
      </c>
      <c r="M2189" t="s">
        <v>45652</v>
      </c>
      <c r="N2189" t="s">
        <v>45653</v>
      </c>
      <c r="O2189">
        <f>-904.685292177984 -49.6341681025042 -493.212936542757</f>
        <v>-1447.5323968232451</v>
      </c>
      <c r="P2189">
        <f>-938.88346189705 -76.6110206400099 -202.19068871629</f>
        <v>-1217.6851712533498</v>
      </c>
      <c r="Q2189">
        <f>-738.277101010689 -10.3949229789955 -318.050613063707</f>
        <v>-1066.7226370533915</v>
      </c>
      <c r="R2189" t="s">
        <v>45654</v>
      </c>
      <c r="S2189" t="s">
        <v>45655</v>
      </c>
      <c r="T2189" t="s">
        <v>45656</v>
      </c>
      <c r="U2189" t="s">
        <v>45657</v>
      </c>
      <c r="V2189" t="s">
        <v>45658</v>
      </c>
      <c r="W2189" t="s">
        <v>45659</v>
      </c>
      <c r="X2189" t="s">
        <v>45660</v>
      </c>
      <c r="Y2189" t="s">
        <v>45661</v>
      </c>
    </row>
    <row r="2190" spans="1:25" x14ac:dyDescent="0.3">
      <c r="A2190">
        <v>109450</v>
      </c>
      <c r="B2190" t="s">
        <v>45662</v>
      </c>
      <c r="C2190" t="s">
        <v>45663</v>
      </c>
      <c r="D2190" t="s">
        <v>45664</v>
      </c>
      <c r="E2190" t="s">
        <v>45665</v>
      </c>
      <c r="F2190" t="s">
        <v>45666</v>
      </c>
      <c r="G2190" t="s">
        <v>45667</v>
      </c>
      <c r="H2190" t="s">
        <v>45668</v>
      </c>
      <c r="I2190" t="s">
        <v>45669</v>
      </c>
      <c r="J2190" t="s">
        <v>45670</v>
      </c>
      <c r="K2190" t="s">
        <v>45671</v>
      </c>
      <c r="L2190" t="s">
        <v>45672</v>
      </c>
      <c r="M2190" t="s">
        <v>45673</v>
      </c>
      <c r="N2190" t="s">
        <v>45674</v>
      </c>
      <c r="O2190">
        <f>-904.743903671481 -50.0627780885729 -493.142511328146</f>
        <v>-1447.9491930882</v>
      </c>
      <c r="P2190">
        <f>-938.593077767536 -76.6636294543853 -202.04499199388</f>
        <v>-1217.3016992158014</v>
      </c>
      <c r="Q2190">
        <f>-738.008382558205 -11.5314480280672 -318.55433776251</f>
        <v>-1068.0941683487822</v>
      </c>
      <c r="R2190" t="s">
        <v>45675</v>
      </c>
      <c r="S2190" t="s">
        <v>45676</v>
      </c>
      <c r="T2190" t="s">
        <v>45677</v>
      </c>
      <c r="U2190" t="s">
        <v>45678</v>
      </c>
      <c r="V2190" t="s">
        <v>45679</v>
      </c>
      <c r="W2190" t="s">
        <v>45680</v>
      </c>
      <c r="X2190" t="s">
        <v>45681</v>
      </c>
      <c r="Y2190" t="s">
        <v>45682</v>
      </c>
    </row>
    <row r="2191" spans="1:25" x14ac:dyDescent="0.3">
      <c r="A2191">
        <v>109500</v>
      </c>
      <c r="B2191" t="s">
        <v>45683</v>
      </c>
      <c r="C2191" t="s">
        <v>45684</v>
      </c>
      <c r="D2191" t="s">
        <v>45685</v>
      </c>
      <c r="E2191" t="s">
        <v>45686</v>
      </c>
      <c r="F2191" t="s">
        <v>45687</v>
      </c>
      <c r="G2191" t="s">
        <v>45688</v>
      </c>
      <c r="H2191" t="s">
        <v>45689</v>
      </c>
      <c r="I2191" t="s">
        <v>45690</v>
      </c>
      <c r="J2191" t="s">
        <v>45691</v>
      </c>
      <c r="K2191" t="s">
        <v>45692</v>
      </c>
      <c r="L2191" t="s">
        <v>45693</v>
      </c>
      <c r="M2191" t="s">
        <v>45694</v>
      </c>
      <c r="N2191" t="s">
        <v>45695</v>
      </c>
      <c r="O2191">
        <f>-905.923354724828 -50.281870540213 -493.336524559148</f>
        <v>-1449.5417498241891</v>
      </c>
      <c r="P2191">
        <f>-938.835025467077 -76.297190663784 -202.078594414631</f>
        <v>-1217.210810545492</v>
      </c>
      <c r="Q2191">
        <f>-738.186189081062 -11.8316640949602 -318.847959259783</f>
        <v>-1068.8658124358053</v>
      </c>
      <c r="R2191" t="s">
        <v>45696</v>
      </c>
      <c r="S2191" t="s">
        <v>45697</v>
      </c>
      <c r="T2191" t="s">
        <v>45698</v>
      </c>
      <c r="U2191" t="s">
        <v>45699</v>
      </c>
      <c r="V2191" t="s">
        <v>45700</v>
      </c>
      <c r="W2191" t="s">
        <v>45701</v>
      </c>
      <c r="X2191" t="s">
        <v>45702</v>
      </c>
      <c r="Y2191" t="s">
        <v>45703</v>
      </c>
    </row>
    <row r="2192" spans="1:25" x14ac:dyDescent="0.3">
      <c r="A2192">
        <v>109550</v>
      </c>
      <c r="B2192" t="s">
        <v>45704</v>
      </c>
      <c r="C2192" t="s">
        <v>45705</v>
      </c>
      <c r="D2192" t="s">
        <v>45706</v>
      </c>
      <c r="E2192" t="s">
        <v>45707</v>
      </c>
      <c r="F2192" t="s">
        <v>45708</v>
      </c>
      <c r="G2192" t="s">
        <v>45709</v>
      </c>
      <c r="H2192" t="s">
        <v>45710</v>
      </c>
      <c r="I2192" t="s">
        <v>45711</v>
      </c>
      <c r="J2192" t="s">
        <v>45712</v>
      </c>
      <c r="K2192" t="s">
        <v>45713</v>
      </c>
      <c r="L2192" t="s">
        <v>45714</v>
      </c>
      <c r="M2192" t="s">
        <v>45715</v>
      </c>
      <c r="N2192" t="s">
        <v>45716</v>
      </c>
      <c r="O2192">
        <f>-906.888158470383 -50.175953919402 -493.62575658339</f>
        <v>-1450.689868973175</v>
      </c>
      <c r="P2192">
        <f>-939.332988376072 -76.4357109118919 -202.337363264196</f>
        <v>-1218.1060625521598</v>
      </c>
      <c r="Q2192">
        <f>-738.655785514209 -11.574810198917 -318.838920397441</f>
        <v>-1069.0695161105671</v>
      </c>
      <c r="R2192" t="s">
        <v>45717</v>
      </c>
      <c r="S2192" t="s">
        <v>45718</v>
      </c>
      <c r="T2192" t="s">
        <v>45719</v>
      </c>
      <c r="U2192" t="s">
        <v>45720</v>
      </c>
      <c r="V2192" t="s">
        <v>45721</v>
      </c>
      <c r="W2192" t="s">
        <v>45722</v>
      </c>
      <c r="X2192" t="s">
        <v>45723</v>
      </c>
      <c r="Y2192" t="s">
        <v>45724</v>
      </c>
    </row>
    <row r="2193" spans="1:25" x14ac:dyDescent="0.3">
      <c r="A2193">
        <v>109600</v>
      </c>
      <c r="B2193" t="s">
        <v>45725</v>
      </c>
      <c r="C2193" t="s">
        <v>45726</v>
      </c>
      <c r="D2193" t="s">
        <v>45727</v>
      </c>
      <c r="E2193" t="s">
        <v>45728</v>
      </c>
      <c r="F2193" t="s">
        <v>45729</v>
      </c>
      <c r="G2193" t="s">
        <v>45730</v>
      </c>
      <c r="H2193" t="s">
        <v>45731</v>
      </c>
      <c r="I2193" t="s">
        <v>45732</v>
      </c>
      <c r="J2193" t="s">
        <v>45733</v>
      </c>
      <c r="K2193" t="s">
        <v>45734</v>
      </c>
      <c r="L2193" t="s">
        <v>45735</v>
      </c>
      <c r="M2193" t="s">
        <v>45736</v>
      </c>
      <c r="N2193" t="s">
        <v>45737</v>
      </c>
      <c r="O2193">
        <f>-909.442530979021 -49.6572456462554 -494.368265782628</f>
        <v>-1453.4680424079042</v>
      </c>
      <c r="P2193">
        <f>-940.797159635508 -76.6645861135003 -203.028851562808</f>
        <v>-1220.4905973118164</v>
      </c>
      <c r="Q2193">
        <f>-740.075057812074 -11.4774185954034 -319.270777375751</f>
        <v>-1070.8232537832282</v>
      </c>
      <c r="R2193" t="s">
        <v>45738</v>
      </c>
      <c r="S2193" t="s">
        <v>45739</v>
      </c>
      <c r="T2193" t="s">
        <v>45740</v>
      </c>
      <c r="U2193" t="s">
        <v>45741</v>
      </c>
      <c r="V2193" t="s">
        <v>45742</v>
      </c>
      <c r="W2193" t="s">
        <v>45743</v>
      </c>
      <c r="X2193" t="s">
        <v>45744</v>
      </c>
      <c r="Y2193" t="s">
        <v>45745</v>
      </c>
    </row>
    <row r="2194" spans="1:25" x14ac:dyDescent="0.3">
      <c r="A2194">
        <v>109650</v>
      </c>
      <c r="B2194" t="s">
        <v>45746</v>
      </c>
      <c r="C2194" t="s">
        <v>45747</v>
      </c>
      <c r="D2194" t="s">
        <v>45748</v>
      </c>
      <c r="E2194" t="s">
        <v>45749</v>
      </c>
      <c r="F2194" t="s">
        <v>45750</v>
      </c>
      <c r="G2194" t="s">
        <v>45751</v>
      </c>
      <c r="H2194" t="s">
        <v>45752</v>
      </c>
      <c r="I2194" t="s">
        <v>45753</v>
      </c>
      <c r="J2194" t="s">
        <v>45754</v>
      </c>
      <c r="K2194" t="s">
        <v>45755</v>
      </c>
      <c r="L2194" t="s">
        <v>45756</v>
      </c>
      <c r="M2194" t="s">
        <v>45757</v>
      </c>
      <c r="N2194" t="s">
        <v>45758</v>
      </c>
      <c r="O2194">
        <f>-910.879897515272 -49.6819911536734 -494.755578179092</f>
        <v>-1455.3174668480374</v>
      </c>
      <c r="P2194">
        <f>-941.550794503393 -77.5358029888093 -203.422934259027</f>
        <v>-1222.5095317512294</v>
      </c>
      <c r="Q2194">
        <f>-740.985762484597 -12.0571864578133 -319.772295460401</f>
        <v>-1072.8152444028112</v>
      </c>
      <c r="R2194" t="s">
        <v>45759</v>
      </c>
      <c r="S2194" t="s">
        <v>45760</v>
      </c>
      <c r="T2194" t="s">
        <v>45761</v>
      </c>
      <c r="U2194" t="s">
        <v>45762</v>
      </c>
      <c r="V2194" t="s">
        <v>45763</v>
      </c>
      <c r="W2194" t="s">
        <v>45764</v>
      </c>
      <c r="X2194" t="s">
        <v>45765</v>
      </c>
      <c r="Y2194" t="s">
        <v>45766</v>
      </c>
    </row>
    <row r="2195" spans="1:25" x14ac:dyDescent="0.3">
      <c r="A2195">
        <v>109700</v>
      </c>
      <c r="B2195" t="s">
        <v>45767</v>
      </c>
      <c r="C2195" t="s">
        <v>45768</v>
      </c>
      <c r="D2195" t="s">
        <v>45769</v>
      </c>
      <c r="E2195" t="s">
        <v>45770</v>
      </c>
      <c r="F2195" t="s">
        <v>45771</v>
      </c>
      <c r="G2195" t="s">
        <v>45772</v>
      </c>
      <c r="H2195" t="s">
        <v>45773</v>
      </c>
      <c r="I2195" t="s">
        <v>45774</v>
      </c>
      <c r="J2195" t="s">
        <v>45775</v>
      </c>
      <c r="K2195" t="s">
        <v>45776</v>
      </c>
      <c r="L2195" t="s">
        <v>45777</v>
      </c>
      <c r="M2195" t="s">
        <v>45778</v>
      </c>
      <c r="N2195" t="s">
        <v>45779</v>
      </c>
      <c r="O2195">
        <f>-913.921006057346 -49.7494637760442 -495.541177973742</f>
        <v>-1459.2116478071321</v>
      </c>
      <c r="P2195">
        <f>-943.105958211054 -78.7867066410015 -204.17145335661</f>
        <v>-1226.0641182086656</v>
      </c>
      <c r="Q2195">
        <f>-742.780008705692 -12.380202192463 -320.406211089457</f>
        <v>-1075.5664219876121</v>
      </c>
      <c r="R2195" t="s">
        <v>45780</v>
      </c>
      <c r="S2195" t="s">
        <v>45781</v>
      </c>
      <c r="T2195" t="s">
        <v>45782</v>
      </c>
      <c r="U2195" t="s">
        <v>45783</v>
      </c>
      <c r="V2195" t="s">
        <v>45784</v>
      </c>
      <c r="W2195" t="s">
        <v>45785</v>
      </c>
      <c r="X2195" t="s">
        <v>45786</v>
      </c>
      <c r="Y2195" t="s">
        <v>45787</v>
      </c>
    </row>
    <row r="2196" spans="1:25" x14ac:dyDescent="0.3">
      <c r="A2196">
        <v>109750</v>
      </c>
      <c r="B2196" t="s">
        <v>45788</v>
      </c>
      <c r="C2196" t="s">
        <v>45789</v>
      </c>
      <c r="D2196" t="s">
        <v>45790</v>
      </c>
      <c r="E2196" t="s">
        <v>45791</v>
      </c>
      <c r="F2196" t="s">
        <v>45792</v>
      </c>
      <c r="G2196" t="s">
        <v>45793</v>
      </c>
      <c r="H2196" t="s">
        <v>45794</v>
      </c>
      <c r="I2196" t="s">
        <v>45795</v>
      </c>
      <c r="J2196" t="s">
        <v>45796</v>
      </c>
      <c r="K2196" t="s">
        <v>45797</v>
      </c>
      <c r="L2196" t="s">
        <v>45798</v>
      </c>
      <c r="M2196" t="s">
        <v>45799</v>
      </c>
      <c r="N2196" t="s">
        <v>45800</v>
      </c>
      <c r="O2196">
        <f>-915.759954096844 -49.784909585275 -495.917617972282</f>
        <v>-1461.462481654401</v>
      </c>
      <c r="P2196">
        <f>-943.995460779269 -79.293361854121 -204.501755528235</f>
        <v>-1227.790578161625</v>
      </c>
      <c r="Q2196">
        <f>-743.797807766284 -12.1806118116087 -320.551459979236</f>
        <v>-1076.5298795571287</v>
      </c>
      <c r="R2196" t="s">
        <v>45801</v>
      </c>
      <c r="S2196" t="s">
        <v>45802</v>
      </c>
      <c r="T2196" t="s">
        <v>45803</v>
      </c>
      <c r="U2196" t="s">
        <v>45804</v>
      </c>
      <c r="V2196" t="s">
        <v>45805</v>
      </c>
      <c r="W2196" t="s">
        <v>45806</v>
      </c>
      <c r="X2196" t="s">
        <v>45807</v>
      </c>
      <c r="Y2196" t="s">
        <v>45808</v>
      </c>
    </row>
    <row r="2197" spans="1:25" x14ac:dyDescent="0.3">
      <c r="A2197">
        <v>109800</v>
      </c>
      <c r="B2197" t="s">
        <v>45809</v>
      </c>
      <c r="C2197" t="s">
        <v>45810</v>
      </c>
      <c r="D2197" t="s">
        <v>45811</v>
      </c>
      <c r="E2197" t="s">
        <v>45812</v>
      </c>
      <c r="F2197" t="s">
        <v>45813</v>
      </c>
      <c r="G2197" t="s">
        <v>45814</v>
      </c>
      <c r="H2197" t="s">
        <v>45815</v>
      </c>
      <c r="I2197" t="s">
        <v>45816</v>
      </c>
      <c r="J2197" t="s">
        <v>45817</v>
      </c>
      <c r="K2197" t="s">
        <v>45818</v>
      </c>
      <c r="L2197" t="s">
        <v>45819</v>
      </c>
      <c r="M2197" t="s">
        <v>45820</v>
      </c>
      <c r="N2197" t="s">
        <v>45821</v>
      </c>
      <c r="O2197">
        <f>-918.591113074343 -50.0169374141522 -496.302239314556</f>
        <v>-1464.910289803051</v>
      </c>
      <c r="P2197">
        <f>-945.685348605832 -79.8880840814056 -204.814891549327</f>
        <v>-1230.3883242365646</v>
      </c>
      <c r="Q2197">
        <f>-744.524321394426 -12.6031465244864 -319.086117049222</f>
        <v>-1076.2135849681345</v>
      </c>
      <c r="R2197" t="s">
        <v>45822</v>
      </c>
      <c r="S2197" t="s">
        <v>45823</v>
      </c>
      <c r="T2197" t="s">
        <v>45824</v>
      </c>
      <c r="U2197" t="s">
        <v>45825</v>
      </c>
      <c r="V2197" t="s">
        <v>45826</v>
      </c>
      <c r="W2197" t="s">
        <v>45827</v>
      </c>
      <c r="X2197" t="s">
        <v>45828</v>
      </c>
      <c r="Y2197" t="s">
        <v>45829</v>
      </c>
    </row>
    <row r="2198" spans="1:25" x14ac:dyDescent="0.3">
      <c r="A2198">
        <v>109850</v>
      </c>
      <c r="B2198" t="s">
        <v>45830</v>
      </c>
      <c r="C2198" t="s">
        <v>45831</v>
      </c>
      <c r="D2198" t="s">
        <v>45832</v>
      </c>
      <c r="E2198" t="s">
        <v>45833</v>
      </c>
      <c r="F2198" t="s">
        <v>45834</v>
      </c>
      <c r="G2198" t="s">
        <v>45835</v>
      </c>
      <c r="H2198" t="s">
        <v>45836</v>
      </c>
      <c r="I2198" t="s">
        <v>45837</v>
      </c>
      <c r="J2198" t="s">
        <v>45838</v>
      </c>
      <c r="K2198" t="s">
        <v>45839</v>
      </c>
      <c r="L2198" t="s">
        <v>45840</v>
      </c>
      <c r="M2198" t="s">
        <v>45841</v>
      </c>
      <c r="N2198" t="s">
        <v>45842</v>
      </c>
      <c r="O2198">
        <f>-919.481979632134 -49.8450992945341 -496.271151018262</f>
        <v>-1465.5982299449302</v>
      </c>
      <c r="P2198">
        <f>-946.567636972609 -79.9214845024883 -204.804139808682</f>
        <v>-1231.2932612837794</v>
      </c>
      <c r="Q2198">
        <f>-744.444805050579 -13.046707474989 -317.609205354105</f>
        <v>-1075.1007178796731</v>
      </c>
      <c r="R2198" t="s">
        <v>45843</v>
      </c>
      <c r="S2198" t="s">
        <v>45844</v>
      </c>
      <c r="T2198" t="s">
        <v>45845</v>
      </c>
      <c r="U2198" t="s">
        <v>45846</v>
      </c>
      <c r="V2198" t="s">
        <v>45847</v>
      </c>
      <c r="W2198" t="s">
        <v>45848</v>
      </c>
      <c r="X2198" t="s">
        <v>45849</v>
      </c>
      <c r="Y2198" t="s">
        <v>45850</v>
      </c>
    </row>
    <row r="2199" spans="1:25" x14ac:dyDescent="0.3">
      <c r="A2199">
        <v>109900</v>
      </c>
      <c r="B2199" t="s">
        <v>45851</v>
      </c>
      <c r="C2199" t="s">
        <v>45852</v>
      </c>
      <c r="D2199" t="s">
        <v>45853</v>
      </c>
      <c r="E2199" t="s">
        <v>45854</v>
      </c>
      <c r="F2199" t="s">
        <v>45855</v>
      </c>
      <c r="G2199" t="s">
        <v>45856</v>
      </c>
      <c r="H2199" t="s">
        <v>45857</v>
      </c>
      <c r="I2199" t="s">
        <v>45858</v>
      </c>
      <c r="J2199" t="s">
        <v>45859</v>
      </c>
      <c r="K2199" t="s">
        <v>45860</v>
      </c>
      <c r="L2199" t="s">
        <v>45861</v>
      </c>
      <c r="M2199" t="s">
        <v>45862</v>
      </c>
      <c r="N2199" t="s">
        <v>45863</v>
      </c>
      <c r="O2199">
        <f>-920.130829976734 -48.4567762773092 -496.309617003539</f>
        <v>-1464.8972232575823</v>
      </c>
      <c r="P2199">
        <f>-947.744495206043 -78.672122780267 -204.906656893682</f>
        <v>-1231.3232748799919</v>
      </c>
      <c r="Q2199">
        <f>-745.491886929172 -11.0983310164938 -317.060469994696</f>
        <v>-1073.6506879403619</v>
      </c>
      <c r="R2199" t="s">
        <v>45864</v>
      </c>
      <c r="S2199" t="s">
        <v>45865</v>
      </c>
      <c r="T2199" t="s">
        <v>45866</v>
      </c>
      <c r="U2199" t="s">
        <v>45867</v>
      </c>
      <c r="V2199" t="s">
        <v>45868</v>
      </c>
      <c r="W2199" t="s">
        <v>45869</v>
      </c>
      <c r="X2199" t="s">
        <v>45870</v>
      </c>
      <c r="Y2199" t="s">
        <v>45871</v>
      </c>
    </row>
    <row r="2200" spans="1:25" x14ac:dyDescent="0.3">
      <c r="A2200">
        <v>109950</v>
      </c>
      <c r="B2200" t="s">
        <v>45872</v>
      </c>
      <c r="C2200" t="s">
        <v>45873</v>
      </c>
      <c r="D2200" t="s">
        <v>45874</v>
      </c>
      <c r="E2200" t="s">
        <v>45875</v>
      </c>
      <c r="F2200" t="s">
        <v>45876</v>
      </c>
      <c r="G2200" t="s">
        <v>45877</v>
      </c>
      <c r="H2200" t="s">
        <v>45878</v>
      </c>
      <c r="I2200" t="s">
        <v>45879</v>
      </c>
      <c r="J2200" t="s">
        <v>45880</v>
      </c>
      <c r="K2200" t="s">
        <v>45881</v>
      </c>
      <c r="L2200" t="s">
        <v>45882</v>
      </c>
      <c r="M2200" t="s">
        <v>45883</v>
      </c>
      <c r="N2200" t="s">
        <v>45884</v>
      </c>
      <c r="O2200">
        <f>-920.280276039843 -47.6193550694566 -496.543176016486</f>
        <v>-1464.4428071257855</v>
      </c>
      <c r="P2200">
        <f>-946.986610080907 -78.6251118265757 -205.138695997087</f>
        <v>-1230.7504179045698</v>
      </c>
      <c r="Q2200">
        <f>-745.781462328343 -8.81979258711135 -317.808883865795</f>
        <v>-1072.4101387812493</v>
      </c>
      <c r="R2200" t="s">
        <v>45885</v>
      </c>
      <c r="S2200" t="s">
        <v>45886</v>
      </c>
      <c r="T2200" t="s">
        <v>45887</v>
      </c>
      <c r="U2200" t="s">
        <v>45888</v>
      </c>
      <c r="V2200" t="s">
        <v>45889</v>
      </c>
      <c r="W2200" t="s">
        <v>45890</v>
      </c>
      <c r="X2200" t="s">
        <v>45891</v>
      </c>
      <c r="Y2200" t="s">
        <v>45892</v>
      </c>
    </row>
    <row r="2201" spans="1:25" x14ac:dyDescent="0.3">
      <c r="A2201">
        <v>110000</v>
      </c>
      <c r="B2201" t="s">
        <v>45893</v>
      </c>
      <c r="C2201" t="s">
        <v>45894</v>
      </c>
      <c r="D2201" t="s">
        <v>45895</v>
      </c>
      <c r="E2201" t="s">
        <v>45896</v>
      </c>
      <c r="F2201" t="s">
        <v>45897</v>
      </c>
      <c r="G2201" t="s">
        <v>45898</v>
      </c>
      <c r="H2201" t="s">
        <v>45899</v>
      </c>
      <c r="I2201" t="s">
        <v>45900</v>
      </c>
      <c r="J2201" t="s">
        <v>45901</v>
      </c>
      <c r="K2201" t="s">
        <v>45902</v>
      </c>
      <c r="L2201" t="s">
        <v>45903</v>
      </c>
      <c r="M2201" t="s">
        <v>45904</v>
      </c>
      <c r="N2201" t="s">
        <v>45905</v>
      </c>
      <c r="O2201">
        <f>-920.907939287757 -46.6410697219562 -496.922543609544</f>
        <v>-1464.4715526192572</v>
      </c>
      <c r="P2201">
        <f>-944.4663079363 -79.5608353032139 -205.456466979564</f>
        <v>-1229.4836102190779</v>
      </c>
      <c r="Q2201">
        <f>-745.878697539001 -4.66828643359077 -319.495310890014</f>
        <v>-1070.0422948626058</v>
      </c>
      <c r="R2201" t="s">
        <v>45906</v>
      </c>
      <c r="S2201" t="s">
        <v>45907</v>
      </c>
      <c r="T2201" t="s">
        <v>45908</v>
      </c>
      <c r="U2201" t="s">
        <v>45909</v>
      </c>
      <c r="V2201" t="s">
        <v>45910</v>
      </c>
      <c r="W2201" t="s">
        <v>45911</v>
      </c>
      <c r="X2201" t="s">
        <v>45912</v>
      </c>
      <c r="Y2201" t="s">
        <v>45913</v>
      </c>
    </row>
    <row r="2202" spans="1:25" x14ac:dyDescent="0.3">
      <c r="A2202">
        <v>110050</v>
      </c>
      <c r="B2202" t="s">
        <v>45914</v>
      </c>
      <c r="C2202" t="s">
        <v>45915</v>
      </c>
      <c r="D2202" t="s">
        <v>45916</v>
      </c>
      <c r="E2202" t="s">
        <v>45917</v>
      </c>
      <c r="F2202" t="s">
        <v>45918</v>
      </c>
      <c r="G2202" t="s">
        <v>45919</v>
      </c>
      <c r="H2202" t="s">
        <v>45920</v>
      </c>
      <c r="I2202" t="s">
        <v>45921</v>
      </c>
      <c r="J2202" t="s">
        <v>45922</v>
      </c>
      <c r="K2202" t="s">
        <v>45923</v>
      </c>
      <c r="L2202" t="s">
        <v>45924</v>
      </c>
      <c r="M2202" t="s">
        <v>45925</v>
      </c>
      <c r="N2202" t="s">
        <v>45926</v>
      </c>
      <c r="O2202">
        <f>-921.261633935807 -46.7926012461062 -497.000198372837</f>
        <v>-1465.0544335547502</v>
      </c>
      <c r="P2202">
        <f>-943.534615067529 -80.0190079109839 -205.467818777847</f>
        <v>-1229.0214417563598</v>
      </c>
      <c r="Q2202">
        <f>-745.815446655804 -3.97465962987189 -320.250962017749</f>
        <v>-1070.0410683034247</v>
      </c>
      <c r="R2202" t="s">
        <v>45927</v>
      </c>
      <c r="S2202" t="s">
        <v>45928</v>
      </c>
      <c r="T2202" t="s">
        <v>45929</v>
      </c>
      <c r="U2202" t="s">
        <v>45930</v>
      </c>
      <c r="V2202" t="s">
        <v>45931</v>
      </c>
      <c r="W2202" t="s">
        <v>45932</v>
      </c>
      <c r="X2202" t="s">
        <v>45933</v>
      </c>
      <c r="Y2202" t="s">
        <v>45934</v>
      </c>
    </row>
    <row r="2203" spans="1:25" x14ac:dyDescent="0.3">
      <c r="A2203">
        <v>110100</v>
      </c>
      <c r="B2203" t="s">
        <v>45935</v>
      </c>
      <c r="C2203" t="s">
        <v>45936</v>
      </c>
      <c r="D2203" t="s">
        <v>45937</v>
      </c>
      <c r="E2203" t="s">
        <v>45938</v>
      </c>
      <c r="F2203" t="s">
        <v>45939</v>
      </c>
      <c r="G2203" t="s">
        <v>45940</v>
      </c>
      <c r="H2203" t="s">
        <v>45941</v>
      </c>
      <c r="I2203" t="s">
        <v>45942</v>
      </c>
      <c r="J2203" t="s">
        <v>45943</v>
      </c>
      <c r="K2203" t="s">
        <v>45944</v>
      </c>
      <c r="L2203" t="s">
        <v>45945</v>
      </c>
      <c r="M2203" t="s">
        <v>45946</v>
      </c>
      <c r="N2203" t="s">
        <v>45947</v>
      </c>
      <c r="O2203">
        <f>-922.010016049876 -46.9151649295477 -496.984129382397</f>
        <v>-1465.9093103618206</v>
      </c>
      <c r="P2203">
        <f>-942.723419882923 -79.5052251747768 -205.265077285081</f>
        <v>-1227.4937223427808</v>
      </c>
      <c r="Q2203">
        <f>-745.822841894732 -2.78078146239068 -320.998884927728</f>
        <v>-1069.6025082848507</v>
      </c>
      <c r="R2203" t="s">
        <v>45948</v>
      </c>
      <c r="S2203" t="s">
        <v>45949</v>
      </c>
      <c r="T2203" t="s">
        <v>45950</v>
      </c>
      <c r="U2203" t="s">
        <v>45951</v>
      </c>
      <c r="V2203" t="s">
        <v>45952</v>
      </c>
      <c r="W2203" t="s">
        <v>45953</v>
      </c>
      <c r="X2203" t="s">
        <v>45954</v>
      </c>
      <c r="Y2203" t="s">
        <v>45955</v>
      </c>
    </row>
    <row r="2204" spans="1:25" x14ac:dyDescent="0.3">
      <c r="A2204">
        <v>110150</v>
      </c>
      <c r="B2204" t="s">
        <v>45956</v>
      </c>
      <c r="C2204" t="s">
        <v>45957</v>
      </c>
      <c r="D2204" t="s">
        <v>45958</v>
      </c>
      <c r="E2204" t="s">
        <v>45959</v>
      </c>
      <c r="F2204" t="s">
        <v>45960</v>
      </c>
      <c r="G2204" t="s">
        <v>45961</v>
      </c>
      <c r="H2204" t="s">
        <v>45962</v>
      </c>
      <c r="I2204" t="s">
        <v>45963</v>
      </c>
      <c r="J2204" t="s">
        <v>45964</v>
      </c>
      <c r="K2204" t="s">
        <v>45965</v>
      </c>
      <c r="L2204" t="s">
        <v>45966</v>
      </c>
      <c r="M2204" t="s">
        <v>45967</v>
      </c>
      <c r="N2204" t="s">
        <v>45968</v>
      </c>
      <c r="O2204">
        <f>-922.116161480237 -46.5091710079807 -496.948667829483</f>
        <v>-1465.5740003177007</v>
      </c>
      <c r="P2204">
        <f>-942.814925451217 -79.0743089806754 -205.2257262653</f>
        <v>-1227.1149606971924</v>
      </c>
      <c r="Q2204">
        <f>-746.126546596343 -1.66934141504453 -320.867688413486</f>
        <v>-1068.6635764248736</v>
      </c>
      <c r="R2204" t="s">
        <v>45969</v>
      </c>
      <c r="S2204" t="s">
        <v>45970</v>
      </c>
      <c r="T2204" t="s">
        <v>45971</v>
      </c>
      <c r="U2204" t="s">
        <v>45972</v>
      </c>
      <c r="V2204" t="s">
        <v>45973</v>
      </c>
      <c r="W2204" t="s">
        <v>45974</v>
      </c>
      <c r="X2204" t="s">
        <v>45975</v>
      </c>
      <c r="Y2204" t="s">
        <v>45976</v>
      </c>
    </row>
    <row r="2205" spans="1:25" x14ac:dyDescent="0.3">
      <c r="A2205">
        <v>110200</v>
      </c>
      <c r="B2205" t="s">
        <v>45977</v>
      </c>
      <c r="C2205" t="s">
        <v>45978</v>
      </c>
      <c r="D2205" t="s">
        <v>45979</v>
      </c>
      <c r="E2205" t="s">
        <v>45980</v>
      </c>
      <c r="F2205" t="s">
        <v>45981</v>
      </c>
      <c r="G2205" t="s">
        <v>45982</v>
      </c>
      <c r="H2205" t="s">
        <v>45983</v>
      </c>
      <c r="I2205" t="s">
        <v>45984</v>
      </c>
      <c r="J2205" t="s">
        <v>45985</v>
      </c>
      <c r="K2205" t="s">
        <v>45986</v>
      </c>
      <c r="L2205" t="s">
        <v>45987</v>
      </c>
      <c r="M2205" t="s">
        <v>45988</v>
      </c>
      <c r="N2205" t="s">
        <v>45989</v>
      </c>
      <c r="O2205">
        <f>-922.440219926793 -45.5812517662532 -496.918455384695</f>
        <v>-1464.9399270777412</v>
      </c>
      <c r="P2205">
        <f>-943.613507836454 -78.3495797132932 -205.252290586441</f>
        <v>-1227.2153781361883</v>
      </c>
      <c r="Q2205" t="s">
        <v>45990</v>
      </c>
      <c r="R2205" t="s">
        <v>45991</v>
      </c>
      <c r="S2205" t="s">
        <v>45992</v>
      </c>
      <c r="T2205" t="s">
        <v>45993</v>
      </c>
      <c r="U2205" t="s">
        <v>45994</v>
      </c>
      <c r="V2205" t="s">
        <v>45995</v>
      </c>
      <c r="W2205" t="s">
        <v>45996</v>
      </c>
      <c r="X2205" t="s">
        <v>45997</v>
      </c>
      <c r="Y2205" t="s">
        <v>45998</v>
      </c>
    </row>
    <row r="2206" spans="1:25" x14ac:dyDescent="0.3">
      <c r="A2206">
        <v>110250</v>
      </c>
      <c r="B2206" t="s">
        <v>45999</v>
      </c>
      <c r="C2206" t="s">
        <v>46000</v>
      </c>
      <c r="D2206" t="s">
        <v>46001</v>
      </c>
      <c r="E2206" t="s">
        <v>46002</v>
      </c>
      <c r="F2206" t="s">
        <v>46003</v>
      </c>
      <c r="G2206" t="s">
        <v>46004</v>
      </c>
      <c r="H2206" t="s">
        <v>46005</v>
      </c>
      <c r="I2206" t="s">
        <v>46006</v>
      </c>
      <c r="J2206" t="s">
        <v>46007</v>
      </c>
      <c r="K2206" t="s">
        <v>46008</v>
      </c>
      <c r="L2206" t="s">
        <v>46009</v>
      </c>
      <c r="M2206" t="s">
        <v>46010</v>
      </c>
      <c r="N2206" t="s">
        <v>46011</v>
      </c>
      <c r="O2206">
        <f>-922.683072826583 -45.2525584001669 -496.909440951302</f>
        <v>-1464.8450721780519</v>
      </c>
      <c r="P2206">
        <f>-943.619408727722 -78.0351522827166 -205.227748797699</f>
        <v>-1226.8823098081375</v>
      </c>
      <c r="Q2206" t="s">
        <v>46012</v>
      </c>
      <c r="R2206" t="s">
        <v>46013</v>
      </c>
      <c r="S2206" t="s">
        <v>46014</v>
      </c>
      <c r="T2206" t="s">
        <v>46015</v>
      </c>
      <c r="U2206" t="s">
        <v>46016</v>
      </c>
      <c r="V2206" t="s">
        <v>46017</v>
      </c>
      <c r="W2206" t="s">
        <v>46018</v>
      </c>
      <c r="X2206" t="s">
        <v>46019</v>
      </c>
      <c r="Y2206" t="s">
        <v>46020</v>
      </c>
    </row>
    <row r="2207" spans="1:25" x14ac:dyDescent="0.3">
      <c r="A2207">
        <v>110300</v>
      </c>
      <c r="B2207" t="s">
        <v>46021</v>
      </c>
      <c r="C2207" t="s">
        <v>46022</v>
      </c>
      <c r="D2207" t="s">
        <v>46023</v>
      </c>
      <c r="E2207" t="s">
        <v>46024</v>
      </c>
      <c r="F2207" t="s">
        <v>46025</v>
      </c>
      <c r="G2207" t="s">
        <v>46026</v>
      </c>
      <c r="H2207" t="s">
        <v>46027</v>
      </c>
      <c r="I2207" t="s">
        <v>46028</v>
      </c>
      <c r="J2207" t="s">
        <v>46029</v>
      </c>
      <c r="K2207" t="s">
        <v>46030</v>
      </c>
      <c r="L2207" t="s">
        <v>46031</v>
      </c>
      <c r="M2207" t="s">
        <v>46032</v>
      </c>
      <c r="N2207" t="s">
        <v>46033</v>
      </c>
      <c r="O2207">
        <f>-923.046809345126 -44.8407213809949 -496.70567475822</f>
        <v>-1464.5932054843408</v>
      </c>
      <c r="P2207">
        <f>-942.937600014722 -77.5081207618489 -204.937848646257</f>
        <v>-1225.3835694228278</v>
      </c>
      <c r="Q2207" t="s">
        <v>46034</v>
      </c>
      <c r="R2207" t="s">
        <v>46035</v>
      </c>
      <c r="S2207" t="s">
        <v>46036</v>
      </c>
      <c r="T2207" t="s">
        <v>46037</v>
      </c>
      <c r="U2207" t="s">
        <v>46038</v>
      </c>
      <c r="V2207" t="s">
        <v>46039</v>
      </c>
      <c r="W2207" t="s">
        <v>46040</v>
      </c>
      <c r="X2207" t="s">
        <v>46041</v>
      </c>
      <c r="Y2207" t="s">
        <v>46042</v>
      </c>
    </row>
    <row r="2208" spans="1:25" x14ac:dyDescent="0.3">
      <c r="A2208">
        <v>110350</v>
      </c>
      <c r="B2208" t="s">
        <v>46043</v>
      </c>
      <c r="C2208" t="s">
        <v>46044</v>
      </c>
      <c r="D2208" t="s">
        <v>46045</v>
      </c>
      <c r="E2208" t="s">
        <v>46046</v>
      </c>
      <c r="F2208" t="s">
        <v>46047</v>
      </c>
      <c r="G2208" t="s">
        <v>46048</v>
      </c>
      <c r="H2208" t="s">
        <v>46049</v>
      </c>
      <c r="I2208" t="s">
        <v>46050</v>
      </c>
      <c r="J2208" t="s">
        <v>46051</v>
      </c>
      <c r="K2208" t="s">
        <v>46052</v>
      </c>
      <c r="L2208" t="s">
        <v>46053</v>
      </c>
      <c r="M2208" t="s">
        <v>46054</v>
      </c>
      <c r="N2208" t="s">
        <v>46055</v>
      </c>
      <c r="O2208">
        <f>-923.078661945336 -44.6859936272976 -496.612060241762</f>
        <v>-1464.3767158143955</v>
      </c>
      <c r="P2208">
        <f>-942.582964581684 -77.1372725843407 -204.794104781285</f>
        <v>-1224.5143419473097</v>
      </c>
      <c r="Q2208" t="s">
        <v>46056</v>
      </c>
      <c r="R2208" t="s">
        <v>46057</v>
      </c>
      <c r="S2208" t="s">
        <v>46058</v>
      </c>
      <c r="T2208" t="s">
        <v>46059</v>
      </c>
      <c r="U2208" t="s">
        <v>46060</v>
      </c>
      <c r="V2208" t="s">
        <v>46061</v>
      </c>
      <c r="W2208" t="s">
        <v>46062</v>
      </c>
      <c r="X2208" t="s">
        <v>46063</v>
      </c>
      <c r="Y2208" t="s">
        <v>46064</v>
      </c>
    </row>
    <row r="2209" spans="1:25" x14ac:dyDescent="0.3">
      <c r="A2209">
        <v>110400</v>
      </c>
      <c r="B2209" t="s">
        <v>46065</v>
      </c>
      <c r="C2209" t="s">
        <v>46066</v>
      </c>
      <c r="D2209" t="s">
        <v>46067</v>
      </c>
      <c r="E2209" t="s">
        <v>46068</v>
      </c>
      <c r="F2209" t="s">
        <v>46069</v>
      </c>
      <c r="G2209" t="s">
        <v>46070</v>
      </c>
      <c r="H2209" t="s">
        <v>46071</v>
      </c>
      <c r="I2209" t="s">
        <v>46072</v>
      </c>
      <c r="J2209" t="s">
        <v>46073</v>
      </c>
      <c r="K2209" t="s">
        <v>46074</v>
      </c>
      <c r="L2209" t="s">
        <v>46075</v>
      </c>
      <c r="M2209" t="s">
        <v>46076</v>
      </c>
      <c r="N2209" t="s">
        <v>46077</v>
      </c>
      <c r="O2209">
        <f>-922.736610010691 -44.1103636970406 -496.615094721151</f>
        <v>-1463.4620684288827</v>
      </c>
      <c r="P2209">
        <f>-941.641931367962 -76.3838164803317 -204.738105279427</f>
        <v>-1222.7638531277207</v>
      </c>
      <c r="Q2209" t="s">
        <v>46078</v>
      </c>
      <c r="R2209" t="s">
        <v>46079</v>
      </c>
      <c r="S2209" t="s">
        <v>46080</v>
      </c>
      <c r="T2209" t="s">
        <v>46081</v>
      </c>
      <c r="U2209" t="s">
        <v>46082</v>
      </c>
      <c r="V2209" t="s">
        <v>46083</v>
      </c>
      <c r="W2209" t="s">
        <v>46084</v>
      </c>
      <c r="X2209" t="s">
        <v>46085</v>
      </c>
      <c r="Y2209" t="s">
        <v>46086</v>
      </c>
    </row>
    <row r="2210" spans="1:25" x14ac:dyDescent="0.3">
      <c r="A2210">
        <v>110450</v>
      </c>
      <c r="B2210" t="s">
        <v>46087</v>
      </c>
      <c r="C2210" t="s">
        <v>46088</v>
      </c>
      <c r="D2210" t="s">
        <v>46089</v>
      </c>
      <c r="E2210" t="s">
        <v>46090</v>
      </c>
      <c r="F2210" t="s">
        <v>46091</v>
      </c>
      <c r="G2210" t="s">
        <v>46092</v>
      </c>
      <c r="H2210" t="s">
        <v>46093</v>
      </c>
      <c r="I2210" t="s">
        <v>46094</v>
      </c>
      <c r="J2210" t="s">
        <v>46095</v>
      </c>
      <c r="K2210" t="s">
        <v>46096</v>
      </c>
      <c r="L2210" t="s">
        <v>46097</v>
      </c>
      <c r="M2210" t="s">
        <v>46098</v>
      </c>
      <c r="N2210" t="s">
        <v>46099</v>
      </c>
      <c r="O2210">
        <f>-922.641109390604 -43.9084815091994 -496.614807457444</f>
        <v>-1463.1643983572474</v>
      </c>
      <c r="P2210">
        <f>-941.475482680665 -76.1500639589187 -204.729712294236</f>
        <v>-1222.3552589338196</v>
      </c>
      <c r="Q2210" t="s">
        <v>46100</v>
      </c>
      <c r="R2210" t="s">
        <v>46101</v>
      </c>
      <c r="S2210" t="s">
        <v>46102</v>
      </c>
      <c r="T2210" t="s">
        <v>46103</v>
      </c>
      <c r="U2210" t="s">
        <v>46104</v>
      </c>
      <c r="V2210" t="s">
        <v>46105</v>
      </c>
      <c r="W2210" t="s">
        <v>46106</v>
      </c>
      <c r="X2210" t="s">
        <v>46107</v>
      </c>
      <c r="Y2210" t="s">
        <v>46108</v>
      </c>
    </row>
    <row r="2211" spans="1:25" x14ac:dyDescent="0.3">
      <c r="A2211">
        <v>110500</v>
      </c>
      <c r="B2211" t="s">
        <v>46109</v>
      </c>
      <c r="C2211" t="s">
        <v>46110</v>
      </c>
      <c r="D2211" t="s">
        <v>46111</v>
      </c>
      <c r="E2211" t="s">
        <v>46112</v>
      </c>
      <c r="F2211" t="s">
        <v>46113</v>
      </c>
      <c r="G2211" t="s">
        <v>46114</v>
      </c>
      <c r="H2211" t="s">
        <v>46115</v>
      </c>
      <c r="I2211" t="s">
        <v>46116</v>
      </c>
      <c r="J2211" t="s">
        <v>46117</v>
      </c>
      <c r="K2211" t="s">
        <v>46118</v>
      </c>
      <c r="L2211" t="s">
        <v>46119</v>
      </c>
      <c r="M2211" t="s">
        <v>46120</v>
      </c>
      <c r="N2211" t="s">
        <v>46121</v>
      </c>
      <c r="O2211">
        <f>-922.446342437885 -43.9053600103787 -496.560843082722</f>
        <v>-1462.9125455309857</v>
      </c>
      <c r="P2211">
        <f>-941.118309975521 -76.1084609386587 -204.660980494723</f>
        <v>-1221.8877514089027</v>
      </c>
      <c r="Q2211">
        <f>-741.835744621722 -0.518170585104599 -317.015088028184</f>
        <v>-1059.3690032350105</v>
      </c>
      <c r="R2211" t="s">
        <v>46122</v>
      </c>
      <c r="S2211" t="s">
        <v>46123</v>
      </c>
      <c r="T2211" t="s">
        <v>46124</v>
      </c>
      <c r="U2211" t="s">
        <v>46125</v>
      </c>
      <c r="V2211" t="s">
        <v>46126</v>
      </c>
      <c r="W2211" t="s">
        <v>46127</v>
      </c>
      <c r="X2211" t="s">
        <v>46128</v>
      </c>
      <c r="Y2211" t="s">
        <v>46129</v>
      </c>
    </row>
    <row r="2212" spans="1:25" x14ac:dyDescent="0.3">
      <c r="A2212">
        <v>110550</v>
      </c>
      <c r="B2212" t="s">
        <v>46130</v>
      </c>
      <c r="C2212" t="s">
        <v>46131</v>
      </c>
      <c r="D2212" t="s">
        <v>46132</v>
      </c>
      <c r="E2212" t="s">
        <v>46133</v>
      </c>
      <c r="F2212" t="s">
        <v>46134</v>
      </c>
      <c r="G2212" t="s">
        <v>46135</v>
      </c>
      <c r="H2212" t="s">
        <v>46136</v>
      </c>
      <c r="I2212" t="s">
        <v>46137</v>
      </c>
      <c r="J2212" t="s">
        <v>46138</v>
      </c>
      <c r="K2212" t="s">
        <v>46139</v>
      </c>
      <c r="L2212" t="s">
        <v>46140</v>
      </c>
      <c r="M2212" t="s">
        <v>46141</v>
      </c>
      <c r="N2212" t="s">
        <v>46142</v>
      </c>
      <c r="O2212">
        <f>-922.30101450987 -43.9726882881605 -496.497688837214</f>
        <v>-1462.7713916352445</v>
      </c>
      <c r="P2212">
        <f>-941.047254832544 -75.8594873380341 -204.567886607582</f>
        <v>-1221.4746287781602</v>
      </c>
      <c r="Q2212">
        <f>-741.627950249953 -0.573328521468284 -316.883792909948</f>
        <v>-1059.0850716813693</v>
      </c>
      <c r="R2212" t="s">
        <v>46143</v>
      </c>
      <c r="S2212" t="s">
        <v>46144</v>
      </c>
      <c r="T2212" t="s">
        <v>46145</v>
      </c>
      <c r="U2212" t="s">
        <v>46146</v>
      </c>
      <c r="V2212" t="s">
        <v>46147</v>
      </c>
      <c r="W2212" t="s">
        <v>46148</v>
      </c>
      <c r="X2212" t="s">
        <v>46149</v>
      </c>
      <c r="Y2212" t="s">
        <v>46150</v>
      </c>
    </row>
    <row r="2213" spans="1:25" x14ac:dyDescent="0.3">
      <c r="A2213">
        <v>110600</v>
      </c>
      <c r="B2213" t="s">
        <v>46151</v>
      </c>
      <c r="C2213" t="s">
        <v>46152</v>
      </c>
      <c r="D2213" t="s">
        <v>46153</v>
      </c>
      <c r="E2213" t="s">
        <v>46154</v>
      </c>
      <c r="F2213" t="s">
        <v>46155</v>
      </c>
      <c r="G2213" t="s">
        <v>46156</v>
      </c>
      <c r="H2213" t="s">
        <v>46157</v>
      </c>
      <c r="I2213" t="s">
        <v>46158</v>
      </c>
      <c r="J2213" t="s">
        <v>46159</v>
      </c>
      <c r="K2213" t="s">
        <v>46160</v>
      </c>
      <c r="L2213" t="s">
        <v>46161</v>
      </c>
      <c r="M2213" t="s">
        <v>46162</v>
      </c>
      <c r="N2213" t="s">
        <v>46163</v>
      </c>
      <c r="O2213">
        <f>-921.911389754767 -44.0176915673055 -496.418568792802</f>
        <v>-1462.3476501148746</v>
      </c>
      <c r="P2213">
        <f>-940.674639696639 -75.3983172193721 -204.435039912127</f>
        <v>-1220.5079968281382</v>
      </c>
      <c r="Q2213">
        <f>-741.226360433467 -0.360436411563114 -316.865146459255</f>
        <v>-1058.4519433042851</v>
      </c>
      <c r="R2213" t="s">
        <v>46164</v>
      </c>
      <c r="S2213" t="s">
        <v>46165</v>
      </c>
      <c r="T2213" t="s">
        <v>46166</v>
      </c>
      <c r="U2213" t="s">
        <v>46167</v>
      </c>
      <c r="V2213" t="s">
        <v>46168</v>
      </c>
      <c r="W2213" t="s">
        <v>46169</v>
      </c>
      <c r="X2213" t="s">
        <v>46170</v>
      </c>
      <c r="Y2213" t="s">
        <v>46171</v>
      </c>
    </row>
    <row r="2214" spans="1:25" x14ac:dyDescent="0.3">
      <c r="A2214">
        <v>110650</v>
      </c>
      <c r="B2214" t="s">
        <v>46172</v>
      </c>
      <c r="C2214" t="s">
        <v>46173</v>
      </c>
      <c r="D2214" t="s">
        <v>46174</v>
      </c>
      <c r="E2214" t="s">
        <v>46175</v>
      </c>
      <c r="F2214" t="s">
        <v>46176</v>
      </c>
      <c r="G2214" t="s">
        <v>46177</v>
      </c>
      <c r="H2214" t="s">
        <v>46178</v>
      </c>
      <c r="I2214" t="s">
        <v>46179</v>
      </c>
      <c r="J2214" t="s">
        <v>46180</v>
      </c>
      <c r="K2214" t="s">
        <v>46181</v>
      </c>
      <c r="L2214" t="s">
        <v>46182</v>
      </c>
      <c r="M2214" t="s">
        <v>46183</v>
      </c>
      <c r="N2214" t="s">
        <v>46184</v>
      </c>
      <c r="O2214">
        <f>-921.660361772123 -43.9144192689209 -496.375857364495</f>
        <v>-1461.9506384055389</v>
      </c>
      <c r="P2214">
        <f>-940.361927416586 -75.2718737778278 -204.385763776561</f>
        <v>-1220.0195649709747</v>
      </c>
      <c r="Q2214">
        <f>-741.030005792367 -0.188873618322759 -316.992023541388</f>
        <v>-1058.2109029520777</v>
      </c>
      <c r="R2214" t="s">
        <v>46185</v>
      </c>
      <c r="S2214" t="s">
        <v>46186</v>
      </c>
      <c r="T2214" t="s">
        <v>46187</v>
      </c>
      <c r="U2214" t="s">
        <v>46188</v>
      </c>
      <c r="V2214" t="s">
        <v>46189</v>
      </c>
      <c r="W2214" t="s">
        <v>46190</v>
      </c>
      <c r="X2214" t="s">
        <v>46191</v>
      </c>
      <c r="Y2214" t="s">
        <v>46192</v>
      </c>
    </row>
    <row r="2215" spans="1:25" x14ac:dyDescent="0.3">
      <c r="A2215">
        <v>110700</v>
      </c>
      <c r="B2215" t="s">
        <v>46193</v>
      </c>
      <c r="C2215" t="s">
        <v>46194</v>
      </c>
      <c r="D2215" t="s">
        <v>46195</v>
      </c>
      <c r="E2215" t="s">
        <v>46196</v>
      </c>
      <c r="F2215" t="s">
        <v>46197</v>
      </c>
      <c r="G2215" t="s">
        <v>46198</v>
      </c>
      <c r="H2215" t="s">
        <v>46199</v>
      </c>
      <c r="I2215" t="s">
        <v>46200</v>
      </c>
      <c r="J2215" t="s">
        <v>46201</v>
      </c>
      <c r="K2215" t="s">
        <v>46202</v>
      </c>
      <c r="L2215" t="s">
        <v>46203</v>
      </c>
      <c r="M2215" t="s">
        <v>46204</v>
      </c>
      <c r="N2215" t="s">
        <v>46205</v>
      </c>
      <c r="O2215">
        <f>-920.840859702368 -43.7974466667097 -496.331596037201</f>
        <v>-1460.9699024062786</v>
      </c>
      <c r="P2215">
        <f>-939.485653573771 -75.0197510318349 -204.323571088356</f>
        <v>-1218.8289756939619</v>
      </c>
      <c r="Q2215" t="s">
        <v>46206</v>
      </c>
      <c r="R2215" t="s">
        <v>46207</v>
      </c>
      <c r="S2215" t="s">
        <v>46208</v>
      </c>
      <c r="T2215" t="s">
        <v>46209</v>
      </c>
      <c r="U2215" t="s">
        <v>46210</v>
      </c>
      <c r="V2215" t="s">
        <v>46211</v>
      </c>
      <c r="W2215" t="s">
        <v>46212</v>
      </c>
      <c r="X2215" t="s">
        <v>46213</v>
      </c>
      <c r="Y2215" t="s">
        <v>46214</v>
      </c>
    </row>
    <row r="2216" spans="1:25" x14ac:dyDescent="0.3">
      <c r="A2216">
        <v>110750</v>
      </c>
      <c r="B2216" t="s">
        <v>46215</v>
      </c>
      <c r="C2216" t="s">
        <v>46216</v>
      </c>
      <c r="D2216" t="s">
        <v>46217</v>
      </c>
      <c r="E2216" t="s">
        <v>46218</v>
      </c>
      <c r="F2216" t="s">
        <v>46219</v>
      </c>
      <c r="G2216" t="s">
        <v>46220</v>
      </c>
      <c r="H2216" t="s">
        <v>46221</v>
      </c>
      <c r="I2216" t="s">
        <v>46222</v>
      </c>
      <c r="J2216" t="s">
        <v>46223</v>
      </c>
      <c r="K2216" t="s">
        <v>46224</v>
      </c>
      <c r="L2216" t="s">
        <v>46225</v>
      </c>
      <c r="M2216" t="s">
        <v>46226</v>
      </c>
      <c r="N2216" t="s">
        <v>46227</v>
      </c>
      <c r="O2216">
        <f>-920.445899455872 -43.7544351858626 -496.320544525874</f>
        <v>-1460.5208791676087</v>
      </c>
      <c r="P2216">
        <f>-939.028788363339 -74.9252804080074 -204.302865536907</f>
        <v>-1218.2569343082534</v>
      </c>
      <c r="Q2216" t="s">
        <v>46228</v>
      </c>
      <c r="R2216" t="s">
        <v>46229</v>
      </c>
      <c r="S2216" t="s">
        <v>46230</v>
      </c>
      <c r="T2216" t="s">
        <v>46231</v>
      </c>
      <c r="U2216" t="s">
        <v>46232</v>
      </c>
      <c r="V2216" t="s">
        <v>46233</v>
      </c>
      <c r="W2216" t="s">
        <v>46234</v>
      </c>
      <c r="X2216" t="s">
        <v>46235</v>
      </c>
      <c r="Y2216" t="s">
        <v>46236</v>
      </c>
    </row>
    <row r="2217" spans="1:25" x14ac:dyDescent="0.3">
      <c r="A2217">
        <v>110800</v>
      </c>
      <c r="B2217" t="s">
        <v>46237</v>
      </c>
      <c r="C2217" t="s">
        <v>46238</v>
      </c>
      <c r="D2217" t="s">
        <v>46239</v>
      </c>
      <c r="E2217" t="s">
        <v>46240</v>
      </c>
      <c r="F2217" t="s">
        <v>46241</v>
      </c>
      <c r="G2217" t="s">
        <v>46242</v>
      </c>
      <c r="H2217" t="s">
        <v>46243</v>
      </c>
      <c r="I2217" t="s">
        <v>46244</v>
      </c>
      <c r="J2217" t="s">
        <v>46245</v>
      </c>
      <c r="K2217" t="s">
        <v>46246</v>
      </c>
      <c r="L2217" t="s">
        <v>46247</v>
      </c>
      <c r="M2217" t="s">
        <v>46248</v>
      </c>
      <c r="N2217" t="s">
        <v>46249</v>
      </c>
      <c r="O2217">
        <f>-919.581843240265 -43.6554239447119 -496.300493793417</f>
        <v>-1459.5377609783939</v>
      </c>
      <c r="P2217">
        <f>-938.396925163908 -74.6428153511999 -204.278202468079</f>
        <v>-1217.3179429831869</v>
      </c>
      <c r="Q2217" t="s">
        <v>46250</v>
      </c>
      <c r="R2217" t="s">
        <v>46251</v>
      </c>
      <c r="S2217" t="s">
        <v>46252</v>
      </c>
      <c r="T2217" t="s">
        <v>46253</v>
      </c>
      <c r="U2217" t="s">
        <v>46254</v>
      </c>
      <c r="V2217" t="s">
        <v>46255</v>
      </c>
      <c r="W2217" t="s">
        <v>46256</v>
      </c>
      <c r="X2217" t="s">
        <v>46257</v>
      </c>
      <c r="Y2217" t="s">
        <v>46258</v>
      </c>
    </row>
    <row r="2218" spans="1:25" x14ac:dyDescent="0.3">
      <c r="A2218">
        <v>110850</v>
      </c>
      <c r="B2218" t="s">
        <v>46259</v>
      </c>
      <c r="C2218" t="s">
        <v>46260</v>
      </c>
      <c r="D2218" t="s">
        <v>46261</v>
      </c>
      <c r="E2218" t="s">
        <v>46262</v>
      </c>
      <c r="F2218" t="s">
        <v>46263</v>
      </c>
      <c r="G2218" t="s">
        <v>46264</v>
      </c>
      <c r="H2218" t="s">
        <v>46265</v>
      </c>
      <c r="I2218" t="s">
        <v>46266</v>
      </c>
      <c r="J2218" t="s">
        <v>46267</v>
      </c>
      <c r="K2218" t="s">
        <v>46268</v>
      </c>
      <c r="L2218" t="s">
        <v>46269</v>
      </c>
      <c r="M2218" t="s">
        <v>46270</v>
      </c>
      <c r="N2218" t="s">
        <v>46271</v>
      </c>
      <c r="O2218">
        <f>-919.302504169101 -43.512609376314 -496.270855424102</f>
        <v>-1459.0859689695171</v>
      </c>
      <c r="P2218">
        <f>-938.228220795164 -74.43508807737 -204.248970895944</f>
        <v>-1216.9122797684781</v>
      </c>
      <c r="Q2218" t="s">
        <v>46272</v>
      </c>
      <c r="R2218" t="s">
        <v>46273</v>
      </c>
      <c r="S2218" t="s">
        <v>46274</v>
      </c>
      <c r="T2218" t="s">
        <v>46275</v>
      </c>
      <c r="U2218" t="s">
        <v>46276</v>
      </c>
      <c r="V2218" t="s">
        <v>46277</v>
      </c>
      <c r="W2218" t="s">
        <v>46278</v>
      </c>
      <c r="X2218" t="s">
        <v>46279</v>
      </c>
      <c r="Y2218" t="s">
        <v>46280</v>
      </c>
    </row>
    <row r="2219" spans="1:25" x14ac:dyDescent="0.3">
      <c r="A2219">
        <v>110900</v>
      </c>
      <c r="B2219" t="s">
        <v>46281</v>
      </c>
      <c r="C2219" t="s">
        <v>46282</v>
      </c>
      <c r="D2219" t="s">
        <v>46283</v>
      </c>
      <c r="E2219" t="s">
        <v>46284</v>
      </c>
      <c r="F2219" t="s">
        <v>46285</v>
      </c>
      <c r="G2219" t="s">
        <v>46286</v>
      </c>
      <c r="H2219" t="s">
        <v>46287</v>
      </c>
      <c r="I2219" t="s">
        <v>46288</v>
      </c>
      <c r="J2219" t="s">
        <v>46289</v>
      </c>
      <c r="K2219" t="s">
        <v>46290</v>
      </c>
      <c r="L2219" t="s">
        <v>46291</v>
      </c>
      <c r="M2219" t="s">
        <v>46292</v>
      </c>
      <c r="N2219" t="s">
        <v>46293</v>
      </c>
      <c r="O2219">
        <f>-919.057835884449 -43.2666652766588 -496.128894713007</f>
        <v>-1458.4533958741149</v>
      </c>
      <c r="P2219">
        <f>-938.01861834752 -74.0262279336691 -204.092045769345</f>
        <v>-1216.1368920505342</v>
      </c>
      <c r="Q2219" t="s">
        <v>46294</v>
      </c>
      <c r="R2219" t="s">
        <v>46295</v>
      </c>
      <c r="S2219" t="s">
        <v>46296</v>
      </c>
      <c r="T2219" t="s">
        <v>46297</v>
      </c>
      <c r="U2219" t="s">
        <v>46298</v>
      </c>
      <c r="V2219" t="s">
        <v>46299</v>
      </c>
      <c r="W2219" t="s">
        <v>46300</v>
      </c>
      <c r="X2219" t="s">
        <v>46301</v>
      </c>
      <c r="Y2219" t="s">
        <v>46302</v>
      </c>
    </row>
    <row r="2220" spans="1:25" x14ac:dyDescent="0.3">
      <c r="A2220">
        <v>110950</v>
      </c>
      <c r="B2220" t="s">
        <v>46303</v>
      </c>
      <c r="C2220" t="s">
        <v>46304</v>
      </c>
      <c r="D2220" t="s">
        <v>46305</v>
      </c>
      <c r="E2220" t="s">
        <v>46306</v>
      </c>
      <c r="F2220" t="s">
        <v>46307</v>
      </c>
      <c r="G2220" t="s">
        <v>46308</v>
      </c>
      <c r="H2220" t="s">
        <v>46309</v>
      </c>
      <c r="I2220" t="s">
        <v>46310</v>
      </c>
      <c r="J2220" t="s">
        <v>46311</v>
      </c>
      <c r="K2220" t="s">
        <v>46312</v>
      </c>
      <c r="L2220" t="s">
        <v>46313</v>
      </c>
      <c r="M2220" t="s">
        <v>46314</v>
      </c>
      <c r="N2220" t="s">
        <v>46315</v>
      </c>
      <c r="O2220">
        <f>-918.887314268364 -43.4297233945222 -496.069415429631</f>
        <v>-1458.3864530925171</v>
      </c>
      <c r="P2220">
        <f>-937.900681026216 -74.0149458569967 -204.017635364329</f>
        <v>-1215.9332622475417</v>
      </c>
      <c r="Q2220" t="s">
        <v>46316</v>
      </c>
      <c r="R2220" t="s">
        <v>46317</v>
      </c>
      <c r="S2220" t="s">
        <v>46318</v>
      </c>
      <c r="T2220" t="s">
        <v>46319</v>
      </c>
      <c r="U2220" t="s">
        <v>46320</v>
      </c>
      <c r="V2220" t="s">
        <v>46321</v>
      </c>
      <c r="W2220" t="s">
        <v>46322</v>
      </c>
      <c r="X2220" t="s">
        <v>46323</v>
      </c>
      <c r="Y2220" t="s">
        <v>46324</v>
      </c>
    </row>
    <row r="2221" spans="1:25" x14ac:dyDescent="0.3">
      <c r="A2221">
        <v>111000</v>
      </c>
      <c r="B2221" t="s">
        <v>46325</v>
      </c>
      <c r="C2221" t="s">
        <v>46326</v>
      </c>
      <c r="D2221" t="s">
        <v>46327</v>
      </c>
      <c r="E2221" t="s">
        <v>46328</v>
      </c>
      <c r="F2221" t="s">
        <v>46329</v>
      </c>
      <c r="G2221" t="s">
        <v>46330</v>
      </c>
      <c r="H2221" t="s">
        <v>46331</v>
      </c>
      <c r="I2221" t="s">
        <v>46332</v>
      </c>
      <c r="J2221" t="s">
        <v>46333</v>
      </c>
      <c r="K2221" t="s">
        <v>46334</v>
      </c>
      <c r="L2221" t="s">
        <v>46335</v>
      </c>
      <c r="M2221" t="s">
        <v>46336</v>
      </c>
      <c r="N2221" t="s">
        <v>46337</v>
      </c>
      <c r="O2221">
        <f>-918.408682076457 -43.408277920101 -495.963138403592</f>
        <v>-1457.7800984001501</v>
      </c>
      <c r="P2221">
        <f>-937.562230390156 -73.8645490360288 -203.907042229777</f>
        <v>-1215.3338216559619</v>
      </c>
      <c r="Q2221">
        <f>-737.144489623647 -0.423653518055744 -315.665784372453</f>
        <v>-1053.2339275141558</v>
      </c>
      <c r="R2221" t="s">
        <v>46338</v>
      </c>
      <c r="S2221" t="s">
        <v>46339</v>
      </c>
      <c r="T2221" t="s">
        <v>46340</v>
      </c>
      <c r="U2221" t="s">
        <v>46341</v>
      </c>
      <c r="V2221" t="s">
        <v>46342</v>
      </c>
      <c r="W2221" t="s">
        <v>46343</v>
      </c>
      <c r="X2221" t="s">
        <v>46344</v>
      </c>
      <c r="Y2221" t="s">
        <v>46345</v>
      </c>
    </row>
    <row r="2222" spans="1:25" x14ac:dyDescent="0.3">
      <c r="A2222">
        <v>111050</v>
      </c>
      <c r="B2222" t="s">
        <v>46346</v>
      </c>
      <c r="C2222" t="s">
        <v>46347</v>
      </c>
      <c r="D2222" t="s">
        <v>46348</v>
      </c>
      <c r="E2222" t="s">
        <v>46349</v>
      </c>
      <c r="F2222" t="s">
        <v>46350</v>
      </c>
      <c r="G2222" t="s">
        <v>46351</v>
      </c>
      <c r="H2222" t="s">
        <v>46352</v>
      </c>
      <c r="I2222" t="s">
        <v>46353</v>
      </c>
      <c r="J2222" t="s">
        <v>46354</v>
      </c>
      <c r="K2222" t="s">
        <v>46355</v>
      </c>
      <c r="L2222" t="s">
        <v>46356</v>
      </c>
      <c r="M2222" t="s">
        <v>46357</v>
      </c>
      <c r="N2222" t="s">
        <v>46358</v>
      </c>
      <c r="O2222">
        <f>-918.092406528392 -43.3680111458937 -495.955257326451</f>
        <v>-1457.4156750007367</v>
      </c>
      <c r="P2222">
        <f>-937.518982743273 -73.8548368161644 -203.920397716474</f>
        <v>-1215.2942172759115</v>
      </c>
      <c r="Q2222">
        <f>-736.69867743057 -0.953390947688604 -315.308973126847</f>
        <v>-1052.9610415051056</v>
      </c>
      <c r="R2222" t="s">
        <v>46359</v>
      </c>
      <c r="S2222" t="s">
        <v>46360</v>
      </c>
      <c r="T2222" t="s">
        <v>46361</v>
      </c>
      <c r="U2222" t="s">
        <v>46362</v>
      </c>
      <c r="V2222" t="s">
        <v>46363</v>
      </c>
      <c r="W2222" t="s">
        <v>46364</v>
      </c>
      <c r="X2222" t="s">
        <v>46365</v>
      </c>
      <c r="Y2222" t="s">
        <v>46366</v>
      </c>
    </row>
    <row r="2223" spans="1:25" x14ac:dyDescent="0.3">
      <c r="A2223">
        <v>111100</v>
      </c>
      <c r="B2223" t="s">
        <v>46367</v>
      </c>
      <c r="C2223" t="s">
        <v>46368</v>
      </c>
      <c r="D2223" t="s">
        <v>46369</v>
      </c>
      <c r="E2223" t="s">
        <v>46370</v>
      </c>
      <c r="F2223" t="s">
        <v>46371</v>
      </c>
      <c r="G2223" t="s">
        <v>46372</v>
      </c>
      <c r="H2223" t="s">
        <v>46373</v>
      </c>
      <c r="I2223" t="s">
        <v>46374</v>
      </c>
      <c r="J2223" t="s">
        <v>46375</v>
      </c>
      <c r="K2223" t="s">
        <v>46376</v>
      </c>
      <c r="L2223" t="s">
        <v>46377</v>
      </c>
      <c r="M2223" t="s">
        <v>46378</v>
      </c>
      <c r="N2223" t="s">
        <v>46379</v>
      </c>
      <c r="O2223">
        <f>-917.639598951887 -43.2741782145424 -495.936593684605</f>
        <v>-1456.8503708510343</v>
      </c>
      <c r="P2223">
        <f>-937.612997905286 -73.5959788306047 -203.921354808154</f>
        <v>-1215.1303315440448</v>
      </c>
      <c r="Q2223">
        <f>-736.29543036714 -1.6537868894693 -315.035822826901</f>
        <v>-1052.9850400835103</v>
      </c>
      <c r="R2223" t="s">
        <v>46380</v>
      </c>
      <c r="S2223" t="s">
        <v>46381</v>
      </c>
      <c r="T2223" t="s">
        <v>46382</v>
      </c>
      <c r="U2223" t="s">
        <v>46383</v>
      </c>
      <c r="V2223" t="s">
        <v>46384</v>
      </c>
      <c r="W2223" t="s">
        <v>46385</v>
      </c>
      <c r="X2223" t="s">
        <v>46386</v>
      </c>
      <c r="Y2223" t="s">
        <v>46387</v>
      </c>
    </row>
    <row r="2224" spans="1:25" x14ac:dyDescent="0.3">
      <c r="A2224">
        <v>111150</v>
      </c>
      <c r="B2224" t="s">
        <v>46388</v>
      </c>
      <c r="C2224" t="s">
        <v>46389</v>
      </c>
      <c r="D2224" t="s">
        <v>46390</v>
      </c>
      <c r="E2224" t="s">
        <v>46391</v>
      </c>
      <c r="F2224" t="s">
        <v>46392</v>
      </c>
      <c r="G2224" t="s">
        <v>46393</v>
      </c>
      <c r="H2224" t="s">
        <v>46394</v>
      </c>
      <c r="I2224" t="s">
        <v>46395</v>
      </c>
      <c r="J2224" t="s">
        <v>46396</v>
      </c>
      <c r="K2224" t="s">
        <v>46397</v>
      </c>
      <c r="L2224" t="s">
        <v>46398</v>
      </c>
      <c r="M2224" t="s">
        <v>46399</v>
      </c>
      <c r="N2224" t="s">
        <v>46400</v>
      </c>
      <c r="O2224">
        <f>-917.425529670579 -43.2115465246436 -495.924465432645</f>
        <v>-1456.5615416278674</v>
      </c>
      <c r="P2224">
        <f>-937.582449448927 -73.476011721637 -203.915942959215</f>
        <v>-1214.974404129779</v>
      </c>
      <c r="Q2224">
        <f>-736.144251688777 -1.91414374854048 -315.057719557444</f>
        <v>-1053.1161149947616</v>
      </c>
      <c r="R2224" t="s">
        <v>46401</v>
      </c>
      <c r="S2224" t="s">
        <v>46402</v>
      </c>
      <c r="T2224" t="s">
        <v>46403</v>
      </c>
      <c r="U2224" t="s">
        <v>46404</v>
      </c>
      <c r="V2224" t="s">
        <v>46405</v>
      </c>
      <c r="W2224" t="s">
        <v>46406</v>
      </c>
      <c r="X2224" t="s">
        <v>46407</v>
      </c>
      <c r="Y2224" t="s">
        <v>46408</v>
      </c>
    </row>
    <row r="2225" spans="1:25" x14ac:dyDescent="0.3">
      <c r="A2225">
        <v>111200</v>
      </c>
      <c r="B2225" t="s">
        <v>46409</v>
      </c>
      <c r="C2225" t="s">
        <v>46410</v>
      </c>
      <c r="D2225" t="s">
        <v>46411</v>
      </c>
      <c r="E2225" t="s">
        <v>46412</v>
      </c>
      <c r="F2225" t="s">
        <v>46413</v>
      </c>
      <c r="G2225" t="s">
        <v>46414</v>
      </c>
      <c r="H2225" t="s">
        <v>46415</v>
      </c>
      <c r="I2225" t="s">
        <v>46416</v>
      </c>
      <c r="J2225" t="s">
        <v>46417</v>
      </c>
      <c r="K2225" t="s">
        <v>46418</v>
      </c>
      <c r="L2225" t="s">
        <v>46419</v>
      </c>
      <c r="M2225" t="s">
        <v>46420</v>
      </c>
      <c r="N2225" t="s">
        <v>46421</v>
      </c>
      <c r="O2225">
        <f>-916.850113477453 -43.0639239209595 -495.901135946676</f>
        <v>-1455.8151733450884</v>
      </c>
      <c r="P2225">
        <f>-936.999557532985 -73.2774298391514 -203.886910033464</f>
        <v>-1214.1638974056004</v>
      </c>
      <c r="Q2225">
        <f>-735.594603573343 -2.12073850012075 -315.348500334588</f>
        <v>-1053.0638424080516</v>
      </c>
      <c r="R2225" t="s">
        <v>46422</v>
      </c>
      <c r="S2225" t="s">
        <v>46423</v>
      </c>
      <c r="T2225" t="s">
        <v>46424</v>
      </c>
      <c r="U2225" t="s">
        <v>46425</v>
      </c>
      <c r="V2225" t="s">
        <v>46426</v>
      </c>
      <c r="W2225" t="s">
        <v>46427</v>
      </c>
      <c r="X2225" t="s">
        <v>46428</v>
      </c>
      <c r="Y2225" t="s">
        <v>46429</v>
      </c>
    </row>
    <row r="2226" spans="1:25" x14ac:dyDescent="0.3">
      <c r="A2226">
        <v>111250</v>
      </c>
      <c r="B2226" t="s">
        <v>46430</v>
      </c>
      <c r="C2226" t="s">
        <v>46431</v>
      </c>
      <c r="D2226" t="s">
        <v>46432</v>
      </c>
      <c r="E2226" t="s">
        <v>46433</v>
      </c>
      <c r="F2226" t="s">
        <v>46434</v>
      </c>
      <c r="G2226" t="s">
        <v>46435</v>
      </c>
      <c r="H2226" t="s">
        <v>46436</v>
      </c>
      <c r="I2226" t="s">
        <v>46437</v>
      </c>
      <c r="J2226" t="s">
        <v>46438</v>
      </c>
      <c r="K2226" t="s">
        <v>46439</v>
      </c>
      <c r="L2226" t="s">
        <v>46440</v>
      </c>
      <c r="M2226" t="s">
        <v>46441</v>
      </c>
      <c r="N2226" t="s">
        <v>46442</v>
      </c>
      <c r="O2226">
        <f>-916.616712002701 -42.9922307118909 -495.896013479042</f>
        <v>-1455.5049561936339</v>
      </c>
      <c r="P2226">
        <f>-936.575736307512 -73.2225126962248 -203.870315494783</f>
        <v>-1213.6685644985198</v>
      </c>
      <c r="Q2226">
        <f>-735.199401260989 -2.18358550817811 -315.458398194265</f>
        <v>-1052.8413849634321</v>
      </c>
      <c r="R2226" t="s">
        <v>46443</v>
      </c>
      <c r="S2226" t="s">
        <v>46444</v>
      </c>
      <c r="T2226" t="s">
        <v>46445</v>
      </c>
      <c r="U2226" t="s">
        <v>46446</v>
      </c>
      <c r="V2226" t="s">
        <v>46447</v>
      </c>
      <c r="W2226" t="s">
        <v>46448</v>
      </c>
      <c r="X2226" t="s">
        <v>46449</v>
      </c>
      <c r="Y2226" t="s">
        <v>46450</v>
      </c>
    </row>
    <row r="2227" spans="1:25" x14ac:dyDescent="0.3">
      <c r="A2227">
        <v>111300</v>
      </c>
      <c r="B2227" t="s">
        <v>46451</v>
      </c>
      <c r="C2227" t="s">
        <v>46452</v>
      </c>
      <c r="D2227" t="s">
        <v>46453</v>
      </c>
      <c r="E2227" t="s">
        <v>46454</v>
      </c>
      <c r="F2227" t="s">
        <v>46455</v>
      </c>
      <c r="G2227" t="s">
        <v>46456</v>
      </c>
      <c r="H2227" t="s">
        <v>46457</v>
      </c>
      <c r="I2227" t="s">
        <v>46458</v>
      </c>
      <c r="J2227" t="s">
        <v>46459</v>
      </c>
      <c r="K2227" t="s">
        <v>46460</v>
      </c>
      <c r="L2227" t="s">
        <v>46461</v>
      </c>
      <c r="M2227" t="s">
        <v>46462</v>
      </c>
      <c r="N2227" t="s">
        <v>46463</v>
      </c>
      <c r="O2227">
        <f>-916.140957059731 -43.0172735970659 -495.909338197648</f>
        <v>-1455.067568854445</v>
      </c>
      <c r="P2227">
        <f>-936.346399404584 -73.3751119027033 -203.913946144407</f>
        <v>-1213.6354574516943</v>
      </c>
      <c r="Q2227">
        <f>-734.990701525408 -2.71692227700032 -315.780849346712</f>
        <v>-1053.4884731491202</v>
      </c>
      <c r="R2227" t="s">
        <v>46464</v>
      </c>
      <c r="S2227" t="s">
        <v>46465</v>
      </c>
      <c r="T2227" t="s">
        <v>46466</v>
      </c>
      <c r="U2227" t="s">
        <v>46467</v>
      </c>
      <c r="V2227" t="s">
        <v>46468</v>
      </c>
      <c r="W2227" t="s">
        <v>46469</v>
      </c>
      <c r="X2227" t="s">
        <v>46470</v>
      </c>
      <c r="Y2227" t="s">
        <v>46471</v>
      </c>
    </row>
    <row r="2228" spans="1:25" x14ac:dyDescent="0.3">
      <c r="A2228">
        <v>111350</v>
      </c>
      <c r="B2228" t="s">
        <v>46472</v>
      </c>
      <c r="C2228" t="s">
        <v>46473</v>
      </c>
      <c r="D2228" t="s">
        <v>46474</v>
      </c>
      <c r="E2228" t="s">
        <v>46475</v>
      </c>
      <c r="F2228" t="s">
        <v>46476</v>
      </c>
      <c r="G2228" t="s">
        <v>46477</v>
      </c>
      <c r="H2228" t="s">
        <v>46478</v>
      </c>
      <c r="I2228" t="s">
        <v>46479</v>
      </c>
      <c r="J2228" t="s">
        <v>46480</v>
      </c>
      <c r="K2228" t="s">
        <v>46481</v>
      </c>
      <c r="L2228" t="s">
        <v>46482</v>
      </c>
      <c r="M2228" t="s">
        <v>46483</v>
      </c>
      <c r="N2228" t="s">
        <v>46484</v>
      </c>
      <c r="O2228">
        <f>-915.858679947212 -43.0483328312355 -495.965849724441</f>
        <v>-1454.8728625028884</v>
      </c>
      <c r="P2228">
        <f>-936.362405664593 -73.5189671409146 -204.002854884522</f>
        <v>-1213.8842276900295</v>
      </c>
      <c r="Q2228">
        <f>-735.087485806809 -2.6960199491491 -315.911155199316</f>
        <v>-1053.6946609552742</v>
      </c>
      <c r="R2228" t="s">
        <v>46485</v>
      </c>
      <c r="S2228" t="s">
        <v>46486</v>
      </c>
      <c r="T2228" t="s">
        <v>46487</v>
      </c>
      <c r="U2228" t="s">
        <v>46488</v>
      </c>
      <c r="V2228" t="s">
        <v>46489</v>
      </c>
      <c r="W2228" t="s">
        <v>46490</v>
      </c>
      <c r="X2228" t="s">
        <v>46491</v>
      </c>
      <c r="Y2228" t="s">
        <v>46492</v>
      </c>
    </row>
    <row r="2229" spans="1:25" x14ac:dyDescent="0.3">
      <c r="A2229">
        <v>111400</v>
      </c>
      <c r="B2229" t="s">
        <v>46493</v>
      </c>
      <c r="C2229" t="s">
        <v>46494</v>
      </c>
      <c r="D2229" t="s">
        <v>46495</v>
      </c>
      <c r="E2229" t="s">
        <v>46496</v>
      </c>
      <c r="F2229" t="s">
        <v>46497</v>
      </c>
      <c r="G2229" t="s">
        <v>46498</v>
      </c>
      <c r="H2229" t="s">
        <v>46499</v>
      </c>
      <c r="I2229" t="s">
        <v>46500</v>
      </c>
      <c r="J2229" t="s">
        <v>46501</v>
      </c>
      <c r="K2229" t="s">
        <v>46502</v>
      </c>
      <c r="L2229" t="s">
        <v>46503</v>
      </c>
      <c r="M2229" t="s">
        <v>46504</v>
      </c>
      <c r="N2229" t="s">
        <v>46505</v>
      </c>
      <c r="O2229">
        <f>-915.146479100465 -43.0240407996043 -496.113876510555</f>
        <v>-1454.2843964106241</v>
      </c>
      <c r="P2229">
        <f>-936.840929637711 -74.0545158108612 -204.295984951152</f>
        <v>-1215.1914303997241</v>
      </c>
      <c r="Q2229">
        <f>-735.631749787689 -2.02200465880014 -315.548034866646</f>
        <v>-1053.2017893131351</v>
      </c>
      <c r="R2229" t="s">
        <v>46506</v>
      </c>
      <c r="S2229" t="s">
        <v>46507</v>
      </c>
      <c r="T2229" t="s">
        <v>46508</v>
      </c>
      <c r="U2229" t="s">
        <v>46509</v>
      </c>
      <c r="V2229" t="s">
        <v>46510</v>
      </c>
      <c r="W2229" t="s">
        <v>46511</v>
      </c>
      <c r="X2229" t="s">
        <v>46512</v>
      </c>
      <c r="Y2229" t="s">
        <v>46513</v>
      </c>
    </row>
    <row r="2230" spans="1:25" x14ac:dyDescent="0.3">
      <c r="A2230">
        <v>111450</v>
      </c>
      <c r="B2230" t="s">
        <v>46514</v>
      </c>
      <c r="C2230" t="s">
        <v>46515</v>
      </c>
      <c r="D2230" t="s">
        <v>46516</v>
      </c>
      <c r="E2230" t="s">
        <v>46517</v>
      </c>
      <c r="F2230" t="s">
        <v>46518</v>
      </c>
      <c r="G2230" t="s">
        <v>46519</v>
      </c>
      <c r="H2230" t="s">
        <v>46520</v>
      </c>
      <c r="I2230" t="s">
        <v>46521</v>
      </c>
      <c r="J2230" t="s">
        <v>46522</v>
      </c>
      <c r="K2230" t="s">
        <v>46523</v>
      </c>
      <c r="L2230" t="s">
        <v>46524</v>
      </c>
      <c r="M2230" t="s">
        <v>46525</v>
      </c>
      <c r="N2230" t="s">
        <v>46526</v>
      </c>
      <c r="O2230">
        <f>-914.51302711114 -43.0668647789885 -496.228189688622</f>
        <v>-1453.8080815787505</v>
      </c>
      <c r="P2230">
        <f>-937.403922067416 -74.9864107886685 -204.597502953002</f>
        <v>-1216.9878358090866</v>
      </c>
      <c r="Q2230">
        <f>-735.831655253822 -2.02471993763129 -314.57953984897</f>
        <v>-1052.4359150404232</v>
      </c>
      <c r="R2230" t="s">
        <v>46527</v>
      </c>
      <c r="S2230" t="s">
        <v>46528</v>
      </c>
      <c r="T2230" t="s">
        <v>46529</v>
      </c>
      <c r="U2230" t="s">
        <v>46530</v>
      </c>
      <c r="V2230" t="s">
        <v>46531</v>
      </c>
      <c r="W2230" t="s">
        <v>46532</v>
      </c>
      <c r="X2230" t="s">
        <v>46533</v>
      </c>
      <c r="Y2230" t="s">
        <v>46534</v>
      </c>
    </row>
    <row r="2231" spans="1:25" x14ac:dyDescent="0.3">
      <c r="A2231">
        <v>111500</v>
      </c>
      <c r="B2231" t="s">
        <v>46535</v>
      </c>
      <c r="C2231" t="s">
        <v>46536</v>
      </c>
      <c r="D2231" t="s">
        <v>46537</v>
      </c>
      <c r="E2231" t="s">
        <v>46538</v>
      </c>
      <c r="F2231" t="s">
        <v>46539</v>
      </c>
      <c r="G2231" t="s">
        <v>46540</v>
      </c>
      <c r="H2231" t="s">
        <v>46541</v>
      </c>
      <c r="I2231" t="s">
        <v>46542</v>
      </c>
      <c r="J2231" t="s">
        <v>46543</v>
      </c>
      <c r="K2231" t="s">
        <v>46544</v>
      </c>
      <c r="L2231" t="s">
        <v>46545</v>
      </c>
      <c r="M2231" t="s">
        <v>46546</v>
      </c>
      <c r="N2231" t="s">
        <v>46547</v>
      </c>
      <c r="O2231">
        <f>-913.004396526936 -43.0810945536648 -496.647834161606</f>
        <v>-1452.7333252422068</v>
      </c>
      <c r="P2231">
        <f>-940.279189467037 -77.2834318745211 -205.65372882377</f>
        <v>-1223.2163501653281</v>
      </c>
      <c r="Q2231">
        <f>-736.318263653347 -3.76442163705769 -310.75224401401</f>
        <v>-1050.8349293044148</v>
      </c>
      <c r="R2231" t="s">
        <v>46548</v>
      </c>
      <c r="S2231" t="s">
        <v>46549</v>
      </c>
      <c r="T2231" t="s">
        <v>46550</v>
      </c>
      <c r="U2231" t="s">
        <v>46551</v>
      </c>
      <c r="V2231" t="s">
        <v>46552</v>
      </c>
      <c r="W2231" t="s">
        <v>46553</v>
      </c>
      <c r="X2231" t="s">
        <v>46554</v>
      </c>
      <c r="Y2231" t="s">
        <v>46555</v>
      </c>
    </row>
    <row r="2232" spans="1:25" x14ac:dyDescent="0.3">
      <c r="A2232">
        <v>111550</v>
      </c>
      <c r="B2232" t="s">
        <v>46556</v>
      </c>
      <c r="C2232" t="s">
        <v>46557</v>
      </c>
      <c r="D2232" t="s">
        <v>46558</v>
      </c>
      <c r="E2232" t="s">
        <v>46559</v>
      </c>
      <c r="F2232" t="s">
        <v>46560</v>
      </c>
      <c r="G2232" t="s">
        <v>46561</v>
      </c>
      <c r="H2232" t="s">
        <v>46562</v>
      </c>
      <c r="I2232" t="s">
        <v>46563</v>
      </c>
      <c r="J2232" t="s">
        <v>46564</v>
      </c>
      <c r="K2232" t="s">
        <v>46565</v>
      </c>
      <c r="L2232" t="s">
        <v>46566</v>
      </c>
      <c r="M2232" t="s">
        <v>46567</v>
      </c>
      <c r="N2232" t="s">
        <v>46568</v>
      </c>
      <c r="O2232">
        <f>-912.236736157595 -43.063691174473 -496.903683919567</f>
        <v>-1452.2041112516349</v>
      </c>
      <c r="P2232">
        <f>-942.176788409071 -78.9399925285929 -206.373537259588</f>
        <v>-1227.490318197252</v>
      </c>
      <c r="Q2232">
        <f>-736.858788237236 -6.18443387147454 -309.33993847663</f>
        <v>-1052.3831605853406</v>
      </c>
      <c r="R2232" t="s">
        <v>46569</v>
      </c>
      <c r="S2232" t="s">
        <v>46570</v>
      </c>
      <c r="T2232" t="s">
        <v>46571</v>
      </c>
      <c r="U2232" t="s">
        <v>46572</v>
      </c>
      <c r="V2232" t="s">
        <v>46573</v>
      </c>
      <c r="W2232" t="s">
        <v>46574</v>
      </c>
      <c r="X2232" t="s">
        <v>46575</v>
      </c>
      <c r="Y2232" t="s">
        <v>46576</v>
      </c>
    </row>
    <row r="2233" spans="1:25" x14ac:dyDescent="0.3">
      <c r="A2233">
        <v>111600</v>
      </c>
      <c r="B2233" t="s">
        <v>46577</v>
      </c>
      <c r="C2233" t="s">
        <v>46578</v>
      </c>
      <c r="D2233" t="s">
        <v>46579</v>
      </c>
      <c r="E2233" t="s">
        <v>46580</v>
      </c>
      <c r="F2233" t="s">
        <v>46581</v>
      </c>
      <c r="G2233" t="s">
        <v>46582</v>
      </c>
      <c r="H2233" t="s">
        <v>46583</v>
      </c>
      <c r="I2233" t="s">
        <v>46584</v>
      </c>
      <c r="J2233" t="s">
        <v>46585</v>
      </c>
      <c r="K2233" t="s">
        <v>46586</v>
      </c>
      <c r="L2233" t="s">
        <v>46587</v>
      </c>
      <c r="M2233" t="s">
        <v>46588</v>
      </c>
      <c r="N2233" t="s">
        <v>46589</v>
      </c>
      <c r="O2233">
        <f>-911.381498248139 -42.7131321295208 -497.465794416669</f>
        <v>-1451.5604247943288</v>
      </c>
      <c r="P2233">
        <f>-944.947902528109 -81.2031250861166 -207.667473630028</f>
        <v>-1233.8185012442536</v>
      </c>
      <c r="Q2233">
        <f>-737.657172082112 -11.5391234038034 -308.803170506148</f>
        <v>-1057.9994659920633</v>
      </c>
      <c r="R2233" t="s">
        <v>46590</v>
      </c>
      <c r="S2233" t="s">
        <v>46591</v>
      </c>
      <c r="T2233" t="s">
        <v>46592</v>
      </c>
      <c r="U2233" t="s">
        <v>46593</v>
      </c>
      <c r="V2233" t="s">
        <v>46594</v>
      </c>
      <c r="W2233" t="s">
        <v>46595</v>
      </c>
      <c r="X2233" t="s">
        <v>46596</v>
      </c>
      <c r="Y2233" t="s">
        <v>46597</v>
      </c>
    </row>
    <row r="2234" spans="1:25" x14ac:dyDescent="0.3">
      <c r="A2234">
        <v>111650</v>
      </c>
      <c r="B2234" t="s">
        <v>46598</v>
      </c>
      <c r="C2234" t="s">
        <v>46599</v>
      </c>
      <c r="D2234" t="s">
        <v>46600</v>
      </c>
      <c r="E2234" t="s">
        <v>46601</v>
      </c>
      <c r="F2234" t="s">
        <v>46602</v>
      </c>
      <c r="G2234" t="s">
        <v>46603</v>
      </c>
      <c r="H2234" t="s">
        <v>46604</v>
      </c>
      <c r="I2234" t="s">
        <v>46605</v>
      </c>
      <c r="J2234" t="s">
        <v>46606</v>
      </c>
      <c r="K2234" t="s">
        <v>46607</v>
      </c>
      <c r="L2234" t="s">
        <v>46608</v>
      </c>
      <c r="M2234" t="s">
        <v>46609</v>
      </c>
      <c r="N2234" t="s">
        <v>46610</v>
      </c>
      <c r="O2234">
        <f>-911.395534388103 -42.5295376714539 -497.765953033817</f>
        <v>-1451.6910250933738</v>
      </c>
      <c r="P2234">
        <f>-945.463954074616 -81.9683483919009 -208.153818264492</f>
        <v>-1235.5861207310088</v>
      </c>
      <c r="Q2234">
        <f>-737.730173469179 -13.792276404829 -309.393786273722</f>
        <v>-1060.9162361477299</v>
      </c>
      <c r="R2234" t="s">
        <v>46611</v>
      </c>
      <c r="S2234" t="s">
        <v>46612</v>
      </c>
      <c r="T2234" t="s">
        <v>46613</v>
      </c>
      <c r="U2234" t="s">
        <v>46614</v>
      </c>
      <c r="V2234" t="s">
        <v>46615</v>
      </c>
      <c r="W2234" t="s">
        <v>46616</v>
      </c>
      <c r="X2234" t="s">
        <v>46617</v>
      </c>
      <c r="Y2234" t="s">
        <v>46618</v>
      </c>
    </row>
    <row r="2235" spans="1:25" x14ac:dyDescent="0.3">
      <c r="A2235">
        <v>111700</v>
      </c>
      <c r="B2235" t="s">
        <v>46619</v>
      </c>
      <c r="C2235" t="s">
        <v>46620</v>
      </c>
      <c r="D2235" t="s">
        <v>46621</v>
      </c>
      <c r="E2235" t="s">
        <v>46622</v>
      </c>
      <c r="F2235" t="s">
        <v>46623</v>
      </c>
      <c r="G2235" t="s">
        <v>46624</v>
      </c>
      <c r="H2235" t="s">
        <v>46625</v>
      </c>
      <c r="I2235" t="s">
        <v>46626</v>
      </c>
      <c r="J2235" t="s">
        <v>46627</v>
      </c>
      <c r="K2235" t="s">
        <v>46628</v>
      </c>
      <c r="L2235" t="s">
        <v>46629</v>
      </c>
      <c r="M2235" t="s">
        <v>46630</v>
      </c>
      <c r="N2235" t="s">
        <v>46631</v>
      </c>
      <c r="O2235">
        <f>-911.29538234521 -42.2806742550611 -498.212203360819</f>
        <v>-1451.78825996109</v>
      </c>
      <c r="P2235">
        <f>-945.035493093274 -82.8966070130048 -208.724412338609</f>
        <v>-1236.6565124448878</v>
      </c>
      <c r="Q2235">
        <f>-737.520982238789 -16.4633892323468 -311.560196179829</f>
        <v>-1065.5445676509648</v>
      </c>
      <c r="R2235" t="s">
        <v>46632</v>
      </c>
      <c r="S2235" t="s">
        <v>46633</v>
      </c>
      <c r="T2235" t="s">
        <v>46634</v>
      </c>
      <c r="U2235" t="s">
        <v>46635</v>
      </c>
      <c r="V2235" t="s">
        <v>46636</v>
      </c>
      <c r="W2235" t="s">
        <v>46637</v>
      </c>
      <c r="X2235" t="s">
        <v>46638</v>
      </c>
      <c r="Y2235" t="s">
        <v>46639</v>
      </c>
    </row>
    <row r="2236" spans="1:25" x14ac:dyDescent="0.3">
      <c r="A2236">
        <v>111750</v>
      </c>
      <c r="B2236" t="s">
        <v>46640</v>
      </c>
      <c r="C2236" t="s">
        <v>46641</v>
      </c>
      <c r="D2236" t="s">
        <v>46642</v>
      </c>
      <c r="E2236" t="s">
        <v>46643</v>
      </c>
      <c r="F2236" t="s">
        <v>46644</v>
      </c>
      <c r="G2236" t="s">
        <v>46645</v>
      </c>
      <c r="H2236" t="s">
        <v>46646</v>
      </c>
      <c r="I2236" t="s">
        <v>46647</v>
      </c>
      <c r="J2236" t="s">
        <v>46648</v>
      </c>
      <c r="K2236" t="s">
        <v>46649</v>
      </c>
      <c r="L2236" t="s">
        <v>46650</v>
      </c>
      <c r="M2236" t="s">
        <v>46651</v>
      </c>
      <c r="N2236" t="s">
        <v>46652</v>
      </c>
      <c r="O2236">
        <f>-911.257014553967 -42.0934556454986 -498.399064741785</f>
        <v>-1451.7495349412507</v>
      </c>
      <c r="P2236">
        <f>-944.636265969965 -82.6187298695243 -208.856941677162</f>
        <v>-1236.1119375166513</v>
      </c>
      <c r="Q2236">
        <f>-737.336563364174 -17.0983987704553 -312.706605469533</f>
        <v>-1067.1415676041624</v>
      </c>
      <c r="R2236" t="s">
        <v>46653</v>
      </c>
      <c r="S2236" t="s">
        <v>46654</v>
      </c>
      <c r="T2236" t="s">
        <v>46655</v>
      </c>
      <c r="U2236" t="s">
        <v>46656</v>
      </c>
      <c r="V2236" t="s">
        <v>46657</v>
      </c>
      <c r="W2236" t="s">
        <v>46658</v>
      </c>
      <c r="X2236" t="s">
        <v>46659</v>
      </c>
      <c r="Y2236" t="s">
        <v>46660</v>
      </c>
    </row>
    <row r="2237" spans="1:25" x14ac:dyDescent="0.3">
      <c r="A2237">
        <v>111800</v>
      </c>
      <c r="B2237" t="s">
        <v>46661</v>
      </c>
      <c r="C2237" t="s">
        <v>46662</v>
      </c>
      <c r="D2237" t="s">
        <v>46663</v>
      </c>
      <c r="E2237" t="s">
        <v>46664</v>
      </c>
      <c r="F2237" t="s">
        <v>46665</v>
      </c>
      <c r="G2237" t="s">
        <v>46666</v>
      </c>
      <c r="H2237" t="s">
        <v>46667</v>
      </c>
      <c r="I2237" t="s">
        <v>46668</v>
      </c>
      <c r="J2237" t="s">
        <v>46669</v>
      </c>
      <c r="K2237" t="s">
        <v>46670</v>
      </c>
      <c r="L2237" t="s">
        <v>46671</v>
      </c>
      <c r="M2237" t="s">
        <v>46672</v>
      </c>
      <c r="N2237" t="s">
        <v>46673</v>
      </c>
      <c r="O2237">
        <f>-911.271667576865 -41.8745360714577 -498.834096898803</f>
        <v>-1451.9803005471256</v>
      </c>
      <c r="P2237">
        <f>-943.129721772474 -82.0604011074938 -209.073130380835</f>
        <v>-1234.2632532608027</v>
      </c>
      <c r="Q2237">
        <f>-736.122978413159 -18.8556801298541 -314.922966969819</f>
        <v>-1069.9016255128322</v>
      </c>
      <c r="R2237" t="s">
        <v>46674</v>
      </c>
      <c r="S2237" t="s">
        <v>46675</v>
      </c>
      <c r="T2237" t="s">
        <v>46676</v>
      </c>
      <c r="U2237" t="s">
        <v>46677</v>
      </c>
      <c r="V2237" t="s">
        <v>46678</v>
      </c>
      <c r="W2237" t="s">
        <v>46679</v>
      </c>
      <c r="X2237" t="s">
        <v>46680</v>
      </c>
      <c r="Y2237" t="s">
        <v>46681</v>
      </c>
    </row>
    <row r="2238" spans="1:25" x14ac:dyDescent="0.3">
      <c r="A2238">
        <v>111850</v>
      </c>
      <c r="B2238" t="s">
        <v>46682</v>
      </c>
      <c r="C2238" t="s">
        <v>46683</v>
      </c>
      <c r="D2238" t="s">
        <v>46684</v>
      </c>
      <c r="E2238" t="s">
        <v>46685</v>
      </c>
      <c r="F2238" t="s">
        <v>46686</v>
      </c>
      <c r="G2238" t="s">
        <v>46687</v>
      </c>
      <c r="H2238" t="s">
        <v>46688</v>
      </c>
      <c r="I2238" t="s">
        <v>46689</v>
      </c>
      <c r="J2238" t="s">
        <v>46690</v>
      </c>
      <c r="K2238" t="s">
        <v>46691</v>
      </c>
      <c r="L2238" t="s">
        <v>46692</v>
      </c>
      <c r="M2238" t="s">
        <v>46693</v>
      </c>
      <c r="N2238" t="s">
        <v>46694</v>
      </c>
      <c r="O2238">
        <f>-911.334246503709 -41.9146127333825 -499.027765723468</f>
        <v>-1452.2766249605595</v>
      </c>
      <c r="P2238">
        <f>-942.413373989104 -82.3409406927585 -209.215815358038</f>
        <v>-1233.9701300399006</v>
      </c>
      <c r="Q2238">
        <f>-735.935086096761 -19.4991180297388 -316.306689867087</f>
        <v>-1071.7408939935867</v>
      </c>
      <c r="R2238" t="s">
        <v>46695</v>
      </c>
      <c r="S2238" t="s">
        <v>46696</v>
      </c>
      <c r="T2238" t="s">
        <v>46697</v>
      </c>
      <c r="U2238" t="s">
        <v>46698</v>
      </c>
      <c r="V2238" t="s">
        <v>46699</v>
      </c>
      <c r="W2238" t="s">
        <v>46700</v>
      </c>
      <c r="X2238" t="s">
        <v>46701</v>
      </c>
      <c r="Y2238" t="s">
        <v>46702</v>
      </c>
    </row>
    <row r="2239" spans="1:25" x14ac:dyDescent="0.3">
      <c r="A2239">
        <v>111900</v>
      </c>
      <c r="B2239" t="s">
        <v>46703</v>
      </c>
      <c r="C2239" t="s">
        <v>46704</v>
      </c>
      <c r="D2239" t="s">
        <v>46705</v>
      </c>
      <c r="E2239" t="s">
        <v>46706</v>
      </c>
      <c r="F2239" t="s">
        <v>46707</v>
      </c>
      <c r="G2239" t="s">
        <v>46708</v>
      </c>
      <c r="H2239" t="s">
        <v>46709</v>
      </c>
      <c r="I2239" t="s">
        <v>46710</v>
      </c>
      <c r="J2239" t="s">
        <v>46711</v>
      </c>
      <c r="K2239" t="s">
        <v>46712</v>
      </c>
      <c r="L2239" t="s">
        <v>46713</v>
      </c>
      <c r="M2239" t="s">
        <v>46714</v>
      </c>
      <c r="N2239" t="s">
        <v>46715</v>
      </c>
      <c r="O2239">
        <f>-911.479714622101 -41.7642752246672 -499.485753934625</f>
        <v>-1452.7297437813932</v>
      </c>
      <c r="P2239">
        <f>-941.967439355004 -83.2218674236922 -209.756530560472</f>
        <v>-1234.9458373391681</v>
      </c>
      <c r="Q2239">
        <f>-736.711791784715 -19.8499486461246 -318.866846200376</f>
        <v>-1075.4285866312157</v>
      </c>
      <c r="R2239" t="s">
        <v>46716</v>
      </c>
      <c r="S2239" t="s">
        <v>46717</v>
      </c>
      <c r="T2239" t="s">
        <v>46718</v>
      </c>
      <c r="U2239" t="s">
        <v>46719</v>
      </c>
      <c r="V2239" t="s">
        <v>46720</v>
      </c>
      <c r="W2239" t="s">
        <v>46721</v>
      </c>
      <c r="X2239" t="s">
        <v>46722</v>
      </c>
      <c r="Y2239" t="s">
        <v>46723</v>
      </c>
    </row>
    <row r="2240" spans="1:25" x14ac:dyDescent="0.3">
      <c r="A2240">
        <v>111950</v>
      </c>
      <c r="B2240" t="s">
        <v>46724</v>
      </c>
      <c r="C2240" t="s">
        <v>46725</v>
      </c>
      <c r="D2240" t="s">
        <v>46726</v>
      </c>
      <c r="E2240" t="s">
        <v>46727</v>
      </c>
      <c r="F2240" t="s">
        <v>46728</v>
      </c>
      <c r="G2240" t="s">
        <v>46729</v>
      </c>
      <c r="H2240" t="s">
        <v>46730</v>
      </c>
      <c r="I2240" t="s">
        <v>46731</v>
      </c>
      <c r="J2240" t="s">
        <v>46732</v>
      </c>
      <c r="K2240" t="s">
        <v>46733</v>
      </c>
      <c r="L2240" t="s">
        <v>46734</v>
      </c>
      <c r="M2240" t="s">
        <v>46735</v>
      </c>
      <c r="N2240" t="s">
        <v>46736</v>
      </c>
      <c r="O2240">
        <f>-911.676244246781 -41.7390247111584 -499.597896666437</f>
        <v>-1453.0131656243766</v>
      </c>
      <c r="P2240">
        <f>-942.179316572727 -83.6559283213796 -209.93634195869</f>
        <v>-1235.7715868527966</v>
      </c>
      <c r="Q2240">
        <f>-738.115890331845 -19.4701417097704 -320.793072472041</f>
        <v>-1078.3791045136563</v>
      </c>
      <c r="R2240" t="s">
        <v>46737</v>
      </c>
      <c r="S2240" t="s">
        <v>46738</v>
      </c>
      <c r="T2240" t="s">
        <v>46739</v>
      </c>
      <c r="U2240" t="s">
        <v>46740</v>
      </c>
      <c r="V2240" t="s">
        <v>46741</v>
      </c>
      <c r="W2240" t="s">
        <v>46742</v>
      </c>
      <c r="X2240" t="s">
        <v>46743</v>
      </c>
      <c r="Y2240" t="s">
        <v>46744</v>
      </c>
    </row>
    <row r="2241" spans="1:25" x14ac:dyDescent="0.3">
      <c r="A2241">
        <v>112000</v>
      </c>
      <c r="B2241" t="s">
        <v>46745</v>
      </c>
      <c r="C2241" t="s">
        <v>46746</v>
      </c>
      <c r="D2241" t="s">
        <v>46747</v>
      </c>
      <c r="E2241" t="s">
        <v>46748</v>
      </c>
      <c r="F2241" t="s">
        <v>46749</v>
      </c>
      <c r="G2241" t="s">
        <v>46750</v>
      </c>
      <c r="H2241" t="s">
        <v>46751</v>
      </c>
      <c r="I2241" t="s">
        <v>46752</v>
      </c>
      <c r="J2241" t="s">
        <v>46753</v>
      </c>
      <c r="K2241" t="s">
        <v>46754</v>
      </c>
      <c r="L2241" t="s">
        <v>46755</v>
      </c>
      <c r="M2241" t="s">
        <v>46756</v>
      </c>
      <c r="N2241" t="s">
        <v>46757</v>
      </c>
      <c r="O2241">
        <f>-912.199326950639 -41.6091966278843 -499.730749634258</f>
        <v>-1453.5392732127814</v>
      </c>
      <c r="P2241">
        <f>-943.512952110959 -84.7935092060488 -210.342020346158</f>
        <v>-1238.6484816631657</v>
      </c>
      <c r="Q2241">
        <f>-741.647322757066 -15.7583066478715 -322.303315407633</f>
        <v>-1079.7089448125705</v>
      </c>
      <c r="R2241" t="s">
        <v>46758</v>
      </c>
      <c r="S2241" t="s">
        <v>46759</v>
      </c>
      <c r="T2241" t="s">
        <v>46760</v>
      </c>
      <c r="U2241" t="s">
        <v>46761</v>
      </c>
      <c r="V2241" t="s">
        <v>46762</v>
      </c>
      <c r="W2241" t="s">
        <v>46763</v>
      </c>
      <c r="X2241" t="s">
        <v>46764</v>
      </c>
      <c r="Y2241" t="s">
        <v>46765</v>
      </c>
    </row>
    <row r="2242" spans="1:25" x14ac:dyDescent="0.3">
      <c r="A2242">
        <v>112050</v>
      </c>
      <c r="B2242" t="s">
        <v>46766</v>
      </c>
      <c r="C2242" t="s">
        <v>46767</v>
      </c>
      <c r="D2242" t="s">
        <v>46768</v>
      </c>
      <c r="E2242" t="s">
        <v>46769</v>
      </c>
      <c r="F2242" t="s">
        <v>46770</v>
      </c>
      <c r="G2242" t="s">
        <v>46771</v>
      </c>
      <c r="H2242" t="s">
        <v>46772</v>
      </c>
      <c r="I2242" t="s">
        <v>46773</v>
      </c>
      <c r="J2242" t="s">
        <v>46774</v>
      </c>
      <c r="K2242" t="s">
        <v>46775</v>
      </c>
      <c r="L2242" t="s">
        <v>46776</v>
      </c>
      <c r="M2242" t="s">
        <v>46777</v>
      </c>
      <c r="N2242" t="s">
        <v>46778</v>
      </c>
      <c r="O2242">
        <f>-912.448190153284 -41.6336771827071 -499.699341323466</f>
        <v>-1453.7812086594572</v>
      </c>
      <c r="P2242">
        <f>-944.1781363481 -84.5454370652128 -210.315547380973</f>
        <v>-1239.0391207942857</v>
      </c>
      <c r="Q2242">
        <f>-743.482474291134 -12.4367429704116 -322.442336336109</f>
        <v>-1078.3615535976546</v>
      </c>
      <c r="R2242" t="s">
        <v>46779</v>
      </c>
      <c r="S2242" t="s">
        <v>46780</v>
      </c>
      <c r="T2242" t="s">
        <v>46781</v>
      </c>
      <c r="U2242" t="s">
        <v>46782</v>
      </c>
      <c r="V2242" t="s">
        <v>46783</v>
      </c>
      <c r="W2242" t="s">
        <v>46784</v>
      </c>
      <c r="X2242" t="s">
        <v>46785</v>
      </c>
      <c r="Y2242" t="s">
        <v>46786</v>
      </c>
    </row>
    <row r="2243" spans="1:25" x14ac:dyDescent="0.3">
      <c r="A2243">
        <v>112100</v>
      </c>
      <c r="B2243" t="s">
        <v>46787</v>
      </c>
      <c r="C2243" t="s">
        <v>46788</v>
      </c>
      <c r="D2243" t="s">
        <v>46789</v>
      </c>
      <c r="E2243" t="s">
        <v>46790</v>
      </c>
      <c r="F2243" t="s">
        <v>46791</v>
      </c>
      <c r="G2243" t="s">
        <v>46792</v>
      </c>
      <c r="H2243" t="s">
        <v>46793</v>
      </c>
      <c r="I2243" t="s">
        <v>46794</v>
      </c>
      <c r="J2243" t="s">
        <v>46795</v>
      </c>
      <c r="K2243" t="s">
        <v>46796</v>
      </c>
      <c r="L2243" t="s">
        <v>46797</v>
      </c>
      <c r="M2243" t="s">
        <v>46798</v>
      </c>
      <c r="N2243" t="s">
        <v>46799</v>
      </c>
      <c r="O2243">
        <f>-912.92011124989 -42.0368610692924 -499.349595096361</f>
        <v>-1454.3065674155434</v>
      </c>
      <c r="P2243">
        <f>-944.944039694565 -83.6403006914334 -209.80712827671</f>
        <v>-1238.3914686627086</v>
      </c>
      <c r="Q2243">
        <f>-746.491742264943 -6.00583810490343 -322.236864101619</f>
        <v>-1074.7344444714654</v>
      </c>
      <c r="R2243" t="s">
        <v>46800</v>
      </c>
      <c r="S2243" t="s">
        <v>46801</v>
      </c>
      <c r="T2243" t="s">
        <v>46802</v>
      </c>
      <c r="U2243" t="s">
        <v>46803</v>
      </c>
      <c r="V2243" t="s">
        <v>46804</v>
      </c>
      <c r="W2243" t="s">
        <v>46805</v>
      </c>
      <c r="X2243" t="s">
        <v>46806</v>
      </c>
      <c r="Y2243" t="s">
        <v>46807</v>
      </c>
    </row>
    <row r="2244" spans="1:25" x14ac:dyDescent="0.3">
      <c r="A2244">
        <v>112150</v>
      </c>
      <c r="B2244" t="s">
        <v>46808</v>
      </c>
      <c r="C2244" t="s">
        <v>46809</v>
      </c>
      <c r="D2244" t="s">
        <v>46810</v>
      </c>
      <c r="E2244" t="s">
        <v>46811</v>
      </c>
      <c r="F2244" t="s">
        <v>46812</v>
      </c>
      <c r="G2244" t="s">
        <v>46813</v>
      </c>
      <c r="H2244" t="s">
        <v>46814</v>
      </c>
      <c r="I2244" t="s">
        <v>46815</v>
      </c>
      <c r="J2244" t="s">
        <v>46816</v>
      </c>
      <c r="K2244" t="s">
        <v>46817</v>
      </c>
      <c r="L2244" t="s">
        <v>46818</v>
      </c>
      <c r="M2244" t="s">
        <v>46819</v>
      </c>
      <c r="N2244" t="s">
        <v>46820</v>
      </c>
      <c r="O2244">
        <f>-913.347426197708 -42.2127122058271 -499.178255196921</f>
        <v>-1454.7383936004562</v>
      </c>
      <c r="P2244">
        <f>-945.367721136185 -83.520323922811 -209.593165058217</f>
        <v>-1238.4812101172129</v>
      </c>
      <c r="Q2244">
        <f>-747.926382960536 -3.01310350778203 -321.782309481317</f>
        <v>-1072.721795949635</v>
      </c>
      <c r="R2244" t="s">
        <v>46821</v>
      </c>
      <c r="S2244" t="s">
        <v>46822</v>
      </c>
      <c r="T2244" t="s">
        <v>46823</v>
      </c>
      <c r="U2244" t="s">
        <v>46824</v>
      </c>
      <c r="V2244" t="s">
        <v>46825</v>
      </c>
      <c r="W2244" t="s">
        <v>46826</v>
      </c>
      <c r="X2244" t="s">
        <v>46827</v>
      </c>
      <c r="Y2244" t="s">
        <v>46828</v>
      </c>
    </row>
    <row r="2245" spans="1:25" x14ac:dyDescent="0.3">
      <c r="A2245">
        <v>112200</v>
      </c>
      <c r="B2245" t="s">
        <v>46829</v>
      </c>
      <c r="C2245" t="s">
        <v>46830</v>
      </c>
      <c r="D2245" t="s">
        <v>46831</v>
      </c>
      <c r="E2245" t="s">
        <v>46832</v>
      </c>
      <c r="F2245" t="s">
        <v>46833</v>
      </c>
      <c r="G2245" t="s">
        <v>46834</v>
      </c>
      <c r="H2245" t="s">
        <v>46835</v>
      </c>
      <c r="I2245" t="s">
        <v>46836</v>
      </c>
      <c r="J2245" t="s">
        <v>46837</v>
      </c>
      <c r="K2245" t="s">
        <v>46838</v>
      </c>
      <c r="L2245" t="s">
        <v>46839</v>
      </c>
      <c r="M2245" t="s">
        <v>46840</v>
      </c>
      <c r="N2245" t="s">
        <v>46841</v>
      </c>
      <c r="O2245">
        <f>-913.714513375523 -42.5328869570183 -498.992056619907</f>
        <v>-1455.2394569524481</v>
      </c>
      <c r="P2245">
        <f>-945.068887782398 -83.3955783975648 -209.270898524305</f>
        <v>-1237.7353647042678</v>
      </c>
      <c r="Q2245" t="s">
        <v>46842</v>
      </c>
      <c r="R2245" t="s">
        <v>46843</v>
      </c>
      <c r="S2245" t="s">
        <v>46844</v>
      </c>
      <c r="T2245" t="s">
        <v>46845</v>
      </c>
      <c r="U2245" t="s">
        <v>46846</v>
      </c>
      <c r="V2245" t="s">
        <v>46847</v>
      </c>
      <c r="W2245" t="s">
        <v>46848</v>
      </c>
      <c r="X2245" t="s">
        <v>46849</v>
      </c>
      <c r="Y2245" t="s">
        <v>46850</v>
      </c>
    </row>
    <row r="2246" spans="1:25" x14ac:dyDescent="0.3">
      <c r="A2246">
        <v>112250</v>
      </c>
      <c r="B2246" t="s">
        <v>46851</v>
      </c>
      <c r="C2246" t="s">
        <v>46852</v>
      </c>
      <c r="D2246" t="s">
        <v>46853</v>
      </c>
      <c r="E2246" t="s">
        <v>46854</v>
      </c>
      <c r="F2246" t="s">
        <v>46855</v>
      </c>
      <c r="G2246" t="s">
        <v>46856</v>
      </c>
      <c r="H2246" t="s">
        <v>46857</v>
      </c>
      <c r="I2246" t="s">
        <v>46858</v>
      </c>
      <c r="J2246" t="s">
        <v>46859</v>
      </c>
      <c r="K2246" t="s">
        <v>46860</v>
      </c>
      <c r="L2246" t="s">
        <v>46861</v>
      </c>
      <c r="M2246" t="s">
        <v>46862</v>
      </c>
      <c r="N2246" t="s">
        <v>46863</v>
      </c>
      <c r="O2246">
        <f>-913.806666718545 -42.6039385963231 -498.882881498148</f>
        <v>-1455.293486813016</v>
      </c>
      <c r="P2246">
        <f>-944.774120168112 -83.6062249975109 -209.139946276009</f>
        <v>-1237.5202914416318</v>
      </c>
      <c r="Q2246" t="s">
        <v>46864</v>
      </c>
      <c r="R2246" t="s">
        <v>46865</v>
      </c>
      <c r="S2246" t="s">
        <v>46866</v>
      </c>
      <c r="T2246" t="s">
        <v>46867</v>
      </c>
      <c r="U2246" t="s">
        <v>46868</v>
      </c>
      <c r="V2246" t="s">
        <v>46869</v>
      </c>
      <c r="W2246" t="s">
        <v>46870</v>
      </c>
      <c r="X2246" t="s">
        <v>46871</v>
      </c>
      <c r="Y2246" t="s">
        <v>46872</v>
      </c>
    </row>
    <row r="2247" spans="1:25" x14ac:dyDescent="0.3">
      <c r="A2247">
        <v>112300</v>
      </c>
      <c r="B2247" t="s">
        <v>46873</v>
      </c>
      <c r="C2247" t="s">
        <v>46874</v>
      </c>
      <c r="D2247" t="s">
        <v>46875</v>
      </c>
      <c r="E2247" t="s">
        <v>46876</v>
      </c>
      <c r="F2247" t="s">
        <v>46877</v>
      </c>
      <c r="G2247" t="s">
        <v>46878</v>
      </c>
      <c r="H2247" t="s">
        <v>46879</v>
      </c>
      <c r="I2247" t="s">
        <v>46880</v>
      </c>
      <c r="J2247" t="s">
        <v>46881</v>
      </c>
      <c r="K2247" t="s">
        <v>46882</v>
      </c>
      <c r="L2247" t="s">
        <v>46883</v>
      </c>
      <c r="M2247" t="s">
        <v>46884</v>
      </c>
      <c r="N2247" t="s">
        <v>46885</v>
      </c>
      <c r="O2247">
        <f>-914.024174977346 -42.4149914130135 -498.730344099532</f>
        <v>-1455.1695104898913</v>
      </c>
      <c r="P2247">
        <f>-944.208486112197 -83.4048053118809 -208.902915987054</f>
        <v>-1236.516207411132</v>
      </c>
      <c r="Q2247" t="s">
        <v>46886</v>
      </c>
      <c r="R2247" t="s">
        <v>46887</v>
      </c>
      <c r="S2247" t="s">
        <v>46888</v>
      </c>
      <c r="T2247" t="s">
        <v>46889</v>
      </c>
      <c r="U2247" t="s">
        <v>46890</v>
      </c>
      <c r="V2247" t="s">
        <v>46891</v>
      </c>
      <c r="W2247" t="s">
        <v>46892</v>
      </c>
      <c r="X2247" t="s">
        <v>46893</v>
      </c>
      <c r="Y2247" t="s">
        <v>46894</v>
      </c>
    </row>
    <row r="2248" spans="1:25" x14ac:dyDescent="0.3">
      <c r="A2248">
        <v>112350</v>
      </c>
      <c r="B2248" t="s">
        <v>46895</v>
      </c>
      <c r="C2248" t="s">
        <v>46896</v>
      </c>
      <c r="D2248" t="s">
        <v>46897</v>
      </c>
      <c r="E2248" t="s">
        <v>46898</v>
      </c>
      <c r="F2248" t="s">
        <v>46899</v>
      </c>
      <c r="G2248" t="s">
        <v>46900</v>
      </c>
      <c r="H2248" t="s">
        <v>46901</v>
      </c>
      <c r="I2248" t="s">
        <v>46902</v>
      </c>
      <c r="J2248" t="s">
        <v>46903</v>
      </c>
      <c r="K2248" t="s">
        <v>46904</v>
      </c>
      <c r="L2248" t="s">
        <v>46905</v>
      </c>
      <c r="M2248" t="s">
        <v>46906</v>
      </c>
      <c r="N2248" t="s">
        <v>46907</v>
      </c>
      <c r="O2248">
        <f>-914.157987678321 -42.3704175922976 -498.596022657476</f>
        <v>-1455.1244279280945</v>
      </c>
      <c r="P2248">
        <f>-944.126471464873 -83.2090307421884 -208.724845709191</f>
        <v>-1236.0603479162523</v>
      </c>
      <c r="Q2248" t="s">
        <v>46908</v>
      </c>
      <c r="R2248" t="s">
        <v>46909</v>
      </c>
      <c r="S2248" t="s">
        <v>46910</v>
      </c>
      <c r="T2248" t="s">
        <v>46911</v>
      </c>
      <c r="U2248" t="s">
        <v>46912</v>
      </c>
      <c r="V2248" t="s">
        <v>46913</v>
      </c>
      <c r="W2248" t="s">
        <v>46914</v>
      </c>
      <c r="X2248" t="s">
        <v>46915</v>
      </c>
      <c r="Y2248" t="s">
        <v>46916</v>
      </c>
    </row>
    <row r="2249" spans="1:25" x14ac:dyDescent="0.3">
      <c r="A2249">
        <v>112400</v>
      </c>
      <c r="B2249" t="s">
        <v>46917</v>
      </c>
      <c r="C2249" t="s">
        <v>46918</v>
      </c>
      <c r="D2249" t="s">
        <v>46919</v>
      </c>
      <c r="E2249" t="s">
        <v>46920</v>
      </c>
      <c r="F2249" t="s">
        <v>46921</v>
      </c>
      <c r="G2249" t="s">
        <v>46922</v>
      </c>
      <c r="H2249" t="s">
        <v>46923</v>
      </c>
      <c r="I2249" t="s">
        <v>46924</v>
      </c>
      <c r="J2249" t="s">
        <v>46925</v>
      </c>
      <c r="K2249" t="s">
        <v>46926</v>
      </c>
      <c r="L2249" t="s">
        <v>46927</v>
      </c>
      <c r="M2249" t="s">
        <v>46928</v>
      </c>
      <c r="N2249" t="s">
        <v>46929</v>
      </c>
      <c r="O2249">
        <f>-914.598948605705 -42.4837041575072 -498.288768193646</f>
        <v>-1455.3714209568582</v>
      </c>
      <c r="P2249">
        <f>-943.950842730275 -82.2614308331067 -208.207110566207</f>
        <v>-1234.4193841295887</v>
      </c>
      <c r="Q2249" t="s">
        <v>46930</v>
      </c>
      <c r="R2249" t="s">
        <v>46931</v>
      </c>
      <c r="S2249" t="s">
        <v>46932</v>
      </c>
      <c r="T2249" t="s">
        <v>46933</v>
      </c>
      <c r="U2249" t="s">
        <v>46934</v>
      </c>
      <c r="V2249" t="s">
        <v>46935</v>
      </c>
      <c r="W2249" t="s">
        <v>46936</v>
      </c>
      <c r="X2249" t="s">
        <v>46937</v>
      </c>
      <c r="Y2249" t="s">
        <v>46938</v>
      </c>
    </row>
    <row r="2250" spans="1:25" x14ac:dyDescent="0.3">
      <c r="A2250">
        <v>112450</v>
      </c>
      <c r="B2250" t="s">
        <v>46939</v>
      </c>
      <c r="C2250" t="s">
        <v>46940</v>
      </c>
      <c r="D2250" t="s">
        <v>46941</v>
      </c>
      <c r="E2250" t="s">
        <v>46942</v>
      </c>
      <c r="F2250" t="s">
        <v>46943</v>
      </c>
      <c r="G2250" t="s">
        <v>46944</v>
      </c>
      <c r="H2250" t="s">
        <v>46945</v>
      </c>
      <c r="I2250" t="s">
        <v>46946</v>
      </c>
      <c r="J2250" t="s">
        <v>46947</v>
      </c>
      <c r="K2250" t="s">
        <v>46948</v>
      </c>
      <c r="L2250" t="s">
        <v>46949</v>
      </c>
      <c r="M2250" t="s">
        <v>46950</v>
      </c>
      <c r="N2250" t="s">
        <v>46951</v>
      </c>
      <c r="O2250">
        <f>-914.800969959402 -42.5613861671345 -498.133317468514</f>
        <v>-1455.4956735950504</v>
      </c>
      <c r="P2250">
        <f>-943.974920779555 -82.0692460281962 -207.996777302636</f>
        <v>-1234.0409441103873</v>
      </c>
      <c r="Q2250" t="s">
        <v>46952</v>
      </c>
      <c r="R2250" t="s">
        <v>46953</v>
      </c>
      <c r="S2250" t="s">
        <v>46954</v>
      </c>
      <c r="T2250" t="s">
        <v>46955</v>
      </c>
      <c r="U2250" t="s">
        <v>46956</v>
      </c>
      <c r="V2250" t="s">
        <v>46957</v>
      </c>
      <c r="W2250" t="s">
        <v>46958</v>
      </c>
      <c r="X2250" t="s">
        <v>46959</v>
      </c>
      <c r="Y2250" t="s">
        <v>46960</v>
      </c>
    </row>
    <row r="2251" spans="1:25" x14ac:dyDescent="0.3">
      <c r="A2251">
        <v>112500</v>
      </c>
      <c r="B2251" t="s">
        <v>46961</v>
      </c>
      <c r="C2251" t="s">
        <v>46962</v>
      </c>
      <c r="D2251" t="s">
        <v>46963</v>
      </c>
      <c r="E2251" t="s">
        <v>46964</v>
      </c>
      <c r="F2251" t="s">
        <v>46965</v>
      </c>
      <c r="G2251" t="s">
        <v>46966</v>
      </c>
      <c r="H2251" t="s">
        <v>46967</v>
      </c>
      <c r="I2251" t="s">
        <v>46968</v>
      </c>
      <c r="J2251" t="s">
        <v>46969</v>
      </c>
      <c r="K2251" t="s">
        <v>46970</v>
      </c>
      <c r="L2251" t="s">
        <v>46971</v>
      </c>
      <c r="M2251" t="s">
        <v>46972</v>
      </c>
      <c r="N2251" t="s">
        <v>46973</v>
      </c>
      <c r="O2251">
        <f>-915.294958079907 -42.7919453154957 -497.836497684666</f>
        <v>-1455.9234010800687</v>
      </c>
      <c r="P2251">
        <f>-944.146290483874 -81.4603017186694 -207.554562054792</f>
        <v>-1233.1611542573355</v>
      </c>
      <c r="Q2251" t="s">
        <v>46974</v>
      </c>
      <c r="R2251" t="s">
        <v>46975</v>
      </c>
      <c r="S2251" t="s">
        <v>46976</v>
      </c>
      <c r="T2251" t="s">
        <v>46977</v>
      </c>
      <c r="U2251" t="s">
        <v>46978</v>
      </c>
      <c r="V2251" t="s">
        <v>46979</v>
      </c>
      <c r="W2251" t="s">
        <v>46980</v>
      </c>
      <c r="X2251" t="s">
        <v>46981</v>
      </c>
      <c r="Y2251" t="s">
        <v>46982</v>
      </c>
    </row>
    <row r="2252" spans="1:25" x14ac:dyDescent="0.3">
      <c r="A2252">
        <v>112550</v>
      </c>
      <c r="B2252" t="s">
        <v>46983</v>
      </c>
      <c r="C2252" t="s">
        <v>46984</v>
      </c>
      <c r="D2252" t="s">
        <v>46985</v>
      </c>
      <c r="E2252" t="s">
        <v>46986</v>
      </c>
      <c r="F2252" t="s">
        <v>46987</v>
      </c>
      <c r="G2252" t="s">
        <v>46988</v>
      </c>
      <c r="H2252" t="s">
        <v>46989</v>
      </c>
      <c r="I2252" t="s">
        <v>46990</v>
      </c>
      <c r="J2252" t="s">
        <v>46991</v>
      </c>
      <c r="K2252" t="s">
        <v>46992</v>
      </c>
      <c r="L2252" t="s">
        <v>46993</v>
      </c>
      <c r="M2252" t="s">
        <v>46994</v>
      </c>
      <c r="N2252" t="s">
        <v>46995</v>
      </c>
      <c r="O2252">
        <f>-915.565017151035 -42.9493370424821 -497.68698688061</f>
        <v>-1456.201341074127</v>
      </c>
      <c r="P2252">
        <f>-944.115254582202 -81.0402588956008 -207.299179227321</f>
        <v>-1232.4546927051238</v>
      </c>
      <c r="Q2252" t="s">
        <v>46996</v>
      </c>
      <c r="R2252" t="s">
        <v>46997</v>
      </c>
      <c r="S2252" t="s">
        <v>46998</v>
      </c>
      <c r="T2252" t="s">
        <v>46999</v>
      </c>
      <c r="U2252" t="s">
        <v>47000</v>
      </c>
      <c r="V2252" t="s">
        <v>47001</v>
      </c>
      <c r="W2252" t="s">
        <v>47002</v>
      </c>
      <c r="X2252" t="s">
        <v>47003</v>
      </c>
      <c r="Y2252" t="s">
        <v>47004</v>
      </c>
    </row>
    <row r="2253" spans="1:25" x14ac:dyDescent="0.3">
      <c r="A2253">
        <v>112600</v>
      </c>
      <c r="B2253" t="s">
        <v>47005</v>
      </c>
      <c r="C2253" t="s">
        <v>47006</v>
      </c>
      <c r="D2253" t="s">
        <v>47007</v>
      </c>
      <c r="E2253" t="s">
        <v>47008</v>
      </c>
      <c r="F2253" t="s">
        <v>47009</v>
      </c>
      <c r="G2253" t="s">
        <v>47010</v>
      </c>
      <c r="H2253" t="s">
        <v>47011</v>
      </c>
      <c r="I2253" t="s">
        <v>47012</v>
      </c>
      <c r="J2253" t="s">
        <v>47013</v>
      </c>
      <c r="K2253" t="s">
        <v>47014</v>
      </c>
      <c r="L2253" t="s">
        <v>47015</v>
      </c>
      <c r="M2253" t="s">
        <v>47016</v>
      </c>
      <c r="N2253" t="s">
        <v>47017</v>
      </c>
      <c r="O2253">
        <f>-915.979918280934 -43.1366399106209 -497.362952558889</f>
        <v>-1456.479510750444</v>
      </c>
      <c r="P2253">
        <f>-943.90012568312 -80.3738797753292 -206.803083315873</f>
        <v>-1231.0770887743222</v>
      </c>
      <c r="Q2253" t="s">
        <v>47018</v>
      </c>
      <c r="R2253" t="s">
        <v>47019</v>
      </c>
      <c r="S2253" t="s">
        <v>47020</v>
      </c>
      <c r="T2253" t="s">
        <v>47021</v>
      </c>
      <c r="U2253" t="s">
        <v>47022</v>
      </c>
      <c r="V2253" t="s">
        <v>47023</v>
      </c>
      <c r="W2253" t="s">
        <v>47024</v>
      </c>
      <c r="X2253" t="s">
        <v>47025</v>
      </c>
      <c r="Y2253" t="s">
        <v>47026</v>
      </c>
    </row>
    <row r="2254" spans="1:25" x14ac:dyDescent="0.3">
      <c r="A2254">
        <v>112650</v>
      </c>
      <c r="B2254" t="s">
        <v>47027</v>
      </c>
      <c r="C2254" t="s">
        <v>47028</v>
      </c>
      <c r="D2254" t="s">
        <v>47029</v>
      </c>
      <c r="E2254" t="s">
        <v>47030</v>
      </c>
      <c r="F2254" t="s">
        <v>47031</v>
      </c>
      <c r="G2254" t="s">
        <v>47032</v>
      </c>
      <c r="H2254" t="s">
        <v>47033</v>
      </c>
      <c r="I2254" t="s">
        <v>47034</v>
      </c>
      <c r="J2254" t="s">
        <v>47035</v>
      </c>
      <c r="K2254" t="s">
        <v>47036</v>
      </c>
      <c r="L2254" t="s">
        <v>47037</v>
      </c>
      <c r="M2254" t="s">
        <v>47038</v>
      </c>
      <c r="N2254" t="s">
        <v>47039</v>
      </c>
      <c r="O2254">
        <f>-916.205031139574 -43.2998810763143 -497.25518927158</f>
        <v>-1456.7601014874681</v>
      </c>
      <c r="P2254">
        <f>-943.969935924741 -80.024904923612 -206.615261719252</f>
        <v>-1230.6101025676051</v>
      </c>
      <c r="Q2254" t="s">
        <v>47040</v>
      </c>
      <c r="R2254" t="s">
        <v>47041</v>
      </c>
      <c r="S2254" t="s">
        <v>47042</v>
      </c>
      <c r="T2254" t="s">
        <v>47043</v>
      </c>
      <c r="U2254" t="s">
        <v>47044</v>
      </c>
      <c r="V2254" t="s">
        <v>47045</v>
      </c>
      <c r="W2254" t="s">
        <v>47046</v>
      </c>
      <c r="X2254" t="s">
        <v>47047</v>
      </c>
      <c r="Y2254" t="s">
        <v>47048</v>
      </c>
    </row>
    <row r="2255" spans="1:25" x14ac:dyDescent="0.3">
      <c r="A2255">
        <v>112700</v>
      </c>
      <c r="B2255" t="s">
        <v>47049</v>
      </c>
      <c r="C2255" t="s">
        <v>47050</v>
      </c>
      <c r="D2255" t="s">
        <v>47051</v>
      </c>
      <c r="E2255" t="s">
        <v>47052</v>
      </c>
      <c r="F2255" t="s">
        <v>47053</v>
      </c>
      <c r="G2255" t="s">
        <v>47054</v>
      </c>
      <c r="H2255" t="s">
        <v>47055</v>
      </c>
      <c r="I2255" t="s">
        <v>47056</v>
      </c>
      <c r="J2255" t="s">
        <v>47057</v>
      </c>
      <c r="K2255" t="s">
        <v>47058</v>
      </c>
      <c r="L2255" t="s">
        <v>47059</v>
      </c>
      <c r="M2255" t="s">
        <v>47060</v>
      </c>
      <c r="N2255" t="s">
        <v>47061</v>
      </c>
      <c r="O2255">
        <f>-916.440466403188 -43.5068318318254 -497.149663681207</f>
        <v>-1457.0969619162204</v>
      </c>
      <c r="P2255">
        <f>-943.646200800522 -80.1565151453376 -206.447297880743</f>
        <v>-1230.2500138266028</v>
      </c>
      <c r="Q2255" t="s">
        <v>47062</v>
      </c>
      <c r="R2255" t="s">
        <v>47063</v>
      </c>
      <c r="S2255" t="s">
        <v>47064</v>
      </c>
      <c r="T2255" t="s">
        <v>47065</v>
      </c>
      <c r="U2255" t="s">
        <v>47066</v>
      </c>
      <c r="V2255" t="s">
        <v>47067</v>
      </c>
      <c r="W2255" t="s">
        <v>47068</v>
      </c>
      <c r="X2255" t="s">
        <v>47069</v>
      </c>
      <c r="Y2255" t="s">
        <v>47070</v>
      </c>
    </row>
    <row r="2256" spans="1:25" x14ac:dyDescent="0.3">
      <c r="A2256">
        <v>112750</v>
      </c>
      <c r="B2256" t="s">
        <v>47071</v>
      </c>
      <c r="C2256" t="s">
        <v>47072</v>
      </c>
      <c r="D2256" t="s">
        <v>47073</v>
      </c>
      <c r="E2256" t="s">
        <v>47074</v>
      </c>
      <c r="F2256" t="s">
        <v>47075</v>
      </c>
      <c r="G2256" t="s">
        <v>47076</v>
      </c>
      <c r="H2256" t="s">
        <v>47077</v>
      </c>
      <c r="I2256" t="s">
        <v>47078</v>
      </c>
      <c r="J2256" t="s">
        <v>47079</v>
      </c>
      <c r="K2256" t="s">
        <v>47080</v>
      </c>
      <c r="L2256" t="s">
        <v>47081</v>
      </c>
      <c r="M2256" t="s">
        <v>47082</v>
      </c>
      <c r="N2256" t="s">
        <v>47083</v>
      </c>
      <c r="O2256">
        <f>-916.591643156941 -43.5371956015724 -497.145961386444</f>
        <v>-1457.2748001449575</v>
      </c>
      <c r="P2256">
        <f>-943.500446583838 -80.253230200808 -206.424371823039</f>
        <v>-1230.178048607685</v>
      </c>
      <c r="Q2256" t="s">
        <v>47084</v>
      </c>
      <c r="R2256" t="s">
        <v>47085</v>
      </c>
      <c r="S2256" t="s">
        <v>47086</v>
      </c>
      <c r="T2256" t="s">
        <v>47087</v>
      </c>
      <c r="U2256" t="s">
        <v>47088</v>
      </c>
      <c r="V2256" t="s">
        <v>47089</v>
      </c>
      <c r="W2256" t="s">
        <v>47090</v>
      </c>
      <c r="X2256" t="s">
        <v>47091</v>
      </c>
      <c r="Y2256" t="s">
        <v>47092</v>
      </c>
    </row>
    <row r="2257" spans="1:25" x14ac:dyDescent="0.3">
      <c r="A2257">
        <v>112800</v>
      </c>
      <c r="B2257" t="s">
        <v>47093</v>
      </c>
      <c r="C2257" t="s">
        <v>47094</v>
      </c>
      <c r="D2257" t="s">
        <v>47095</v>
      </c>
      <c r="E2257" t="s">
        <v>47096</v>
      </c>
      <c r="F2257" t="s">
        <v>47097</v>
      </c>
      <c r="G2257" t="s">
        <v>47098</v>
      </c>
      <c r="H2257" t="s">
        <v>47099</v>
      </c>
      <c r="I2257" t="s">
        <v>47100</v>
      </c>
      <c r="J2257" t="s">
        <v>47101</v>
      </c>
      <c r="K2257" t="s">
        <v>47102</v>
      </c>
      <c r="L2257" t="s">
        <v>47103</v>
      </c>
      <c r="M2257" t="s">
        <v>47104</v>
      </c>
      <c r="N2257" t="s">
        <v>47105</v>
      </c>
      <c r="O2257">
        <f>-916.78837303336 -43.7274161038756 -497.086670622378</f>
        <v>-1457.6024597596136</v>
      </c>
      <c r="P2257">
        <f>-943.026166431264 -80.5726729837975 -206.32012847187</f>
        <v>-1229.9189678869313</v>
      </c>
      <c r="Q2257" t="s">
        <v>47106</v>
      </c>
      <c r="R2257" t="s">
        <v>47107</v>
      </c>
      <c r="S2257" t="s">
        <v>47108</v>
      </c>
      <c r="T2257" t="s">
        <v>47109</v>
      </c>
      <c r="U2257" t="s">
        <v>47110</v>
      </c>
      <c r="V2257" t="s">
        <v>47111</v>
      </c>
      <c r="W2257" t="s">
        <v>47112</v>
      </c>
      <c r="X2257" t="s">
        <v>47113</v>
      </c>
      <c r="Y2257" t="s">
        <v>47114</v>
      </c>
    </row>
    <row r="2258" spans="1:25" x14ac:dyDescent="0.3">
      <c r="A2258">
        <v>112850</v>
      </c>
      <c r="B2258" t="s">
        <v>47115</v>
      </c>
      <c r="C2258" t="s">
        <v>47116</v>
      </c>
      <c r="D2258" t="s">
        <v>47117</v>
      </c>
      <c r="E2258" t="s">
        <v>47118</v>
      </c>
      <c r="F2258" t="s">
        <v>47119</v>
      </c>
      <c r="G2258" t="s">
        <v>47120</v>
      </c>
      <c r="H2258" t="s">
        <v>47121</v>
      </c>
      <c r="I2258" t="s">
        <v>47122</v>
      </c>
      <c r="J2258" t="s">
        <v>47123</v>
      </c>
      <c r="K2258" t="s">
        <v>47124</v>
      </c>
      <c r="L2258" t="s">
        <v>47125</v>
      </c>
      <c r="M2258" t="s">
        <v>47126</v>
      </c>
      <c r="N2258" t="s">
        <v>47127</v>
      </c>
      <c r="O2258">
        <f>-916.878115268636 -43.7764993715361 -497.0613214163</f>
        <v>-1457.7159360564722</v>
      </c>
      <c r="P2258">
        <f>-942.847892030721 -80.4358472198014 -206.247225757223</f>
        <v>-1229.5309650077454</v>
      </c>
      <c r="Q2258" t="s">
        <v>47128</v>
      </c>
      <c r="R2258" t="s">
        <v>47129</v>
      </c>
      <c r="S2258" t="s">
        <v>47130</v>
      </c>
      <c r="T2258" t="s">
        <v>47131</v>
      </c>
      <c r="U2258" t="s">
        <v>47132</v>
      </c>
      <c r="V2258" t="s">
        <v>47133</v>
      </c>
      <c r="W2258" t="s">
        <v>47134</v>
      </c>
      <c r="X2258" t="s">
        <v>47135</v>
      </c>
      <c r="Y2258" t="s">
        <v>47136</v>
      </c>
    </row>
    <row r="2259" spans="1:25" x14ac:dyDescent="0.3">
      <c r="A2259">
        <v>112900</v>
      </c>
      <c r="B2259" t="s">
        <v>47137</v>
      </c>
      <c r="C2259" t="s">
        <v>47138</v>
      </c>
      <c r="D2259" t="s">
        <v>47139</v>
      </c>
      <c r="E2259" t="s">
        <v>47140</v>
      </c>
      <c r="F2259" t="s">
        <v>47141</v>
      </c>
      <c r="G2259" t="s">
        <v>47142</v>
      </c>
      <c r="H2259" t="s">
        <v>47143</v>
      </c>
      <c r="I2259" t="s">
        <v>47144</v>
      </c>
      <c r="J2259" t="s">
        <v>47145</v>
      </c>
      <c r="K2259" t="s">
        <v>47146</v>
      </c>
      <c r="L2259" t="s">
        <v>47147</v>
      </c>
      <c r="M2259" t="s">
        <v>47148</v>
      </c>
      <c r="N2259" t="s">
        <v>47149</v>
      </c>
      <c r="O2259">
        <f>-916.879879594172 -43.7715295718281 -496.994914539706</f>
        <v>-1457.646323705706</v>
      </c>
      <c r="P2259">
        <f>-942.437133264259 -80.2590740474745 -206.122697790478</f>
        <v>-1228.8189051022116</v>
      </c>
      <c r="Q2259" t="s">
        <v>47150</v>
      </c>
      <c r="R2259" t="s">
        <v>47151</v>
      </c>
      <c r="S2259" t="s">
        <v>47152</v>
      </c>
      <c r="T2259" t="s">
        <v>47153</v>
      </c>
      <c r="U2259" t="s">
        <v>47154</v>
      </c>
      <c r="V2259" t="s">
        <v>47155</v>
      </c>
      <c r="W2259" t="s">
        <v>47156</v>
      </c>
      <c r="X2259" t="s">
        <v>47157</v>
      </c>
      <c r="Y2259" t="s">
        <v>47158</v>
      </c>
    </row>
    <row r="2260" spans="1:25" x14ac:dyDescent="0.3">
      <c r="A2260">
        <v>112950</v>
      </c>
      <c r="B2260" t="s">
        <v>47159</v>
      </c>
      <c r="C2260" t="s">
        <v>47160</v>
      </c>
      <c r="D2260" t="s">
        <v>47161</v>
      </c>
      <c r="E2260" t="s">
        <v>47162</v>
      </c>
      <c r="F2260" t="s">
        <v>47163</v>
      </c>
      <c r="G2260" t="s">
        <v>47164</v>
      </c>
      <c r="H2260" t="s">
        <v>47165</v>
      </c>
      <c r="I2260" t="s">
        <v>47166</v>
      </c>
      <c r="J2260" t="s">
        <v>47167</v>
      </c>
      <c r="K2260" t="s">
        <v>47168</v>
      </c>
      <c r="L2260" t="s">
        <v>47169</v>
      </c>
      <c r="M2260" t="s">
        <v>47170</v>
      </c>
      <c r="N2260" t="s">
        <v>47171</v>
      </c>
      <c r="O2260">
        <f>-916.839444456003 -43.6650224584732 -496.983899234445</f>
        <v>-1457.4883661489212</v>
      </c>
      <c r="P2260">
        <f>-942.346981252208 -80.0178545962258 -206.090439391875</f>
        <v>-1228.4552752403088</v>
      </c>
      <c r="Q2260" t="s">
        <v>47172</v>
      </c>
      <c r="R2260" t="s">
        <v>47173</v>
      </c>
      <c r="S2260" t="s">
        <v>47174</v>
      </c>
      <c r="T2260" t="s">
        <v>47175</v>
      </c>
      <c r="U2260" t="s">
        <v>47176</v>
      </c>
      <c r="V2260" t="s">
        <v>47177</v>
      </c>
      <c r="W2260" t="s">
        <v>47178</v>
      </c>
      <c r="X2260" t="s">
        <v>47179</v>
      </c>
      <c r="Y2260" t="s">
        <v>47180</v>
      </c>
    </row>
    <row r="2261" spans="1:25" x14ac:dyDescent="0.3">
      <c r="A2261">
        <v>113000</v>
      </c>
      <c r="B2261" t="s">
        <v>47181</v>
      </c>
      <c r="C2261" t="s">
        <v>47182</v>
      </c>
      <c r="D2261" t="s">
        <v>47183</v>
      </c>
      <c r="E2261" t="s">
        <v>47184</v>
      </c>
      <c r="F2261" t="s">
        <v>47185</v>
      </c>
      <c r="G2261" t="s">
        <v>47186</v>
      </c>
      <c r="H2261" t="s">
        <v>47187</v>
      </c>
      <c r="I2261" t="s">
        <v>47188</v>
      </c>
      <c r="J2261" t="s">
        <v>47189</v>
      </c>
      <c r="K2261" t="s">
        <v>47190</v>
      </c>
      <c r="L2261" t="s">
        <v>47191</v>
      </c>
      <c r="M2261" t="s">
        <v>47192</v>
      </c>
      <c r="N2261" t="s">
        <v>47193</v>
      </c>
      <c r="O2261">
        <f>-916.889261192841 -43.4888624263101 -496.995133831235</f>
        <v>-1457.3732574503861</v>
      </c>
      <c r="P2261">
        <f>-942.48287935661 -79.462353030827 -206.061986539692</f>
        <v>-1228.0072189271291</v>
      </c>
      <c r="Q2261" t="s">
        <v>47194</v>
      </c>
      <c r="R2261" t="s">
        <v>47195</v>
      </c>
      <c r="S2261" t="s">
        <v>47196</v>
      </c>
      <c r="T2261" t="s">
        <v>47197</v>
      </c>
      <c r="U2261" t="s">
        <v>47198</v>
      </c>
      <c r="V2261" t="s">
        <v>47199</v>
      </c>
      <c r="W2261" t="s">
        <v>47200</v>
      </c>
      <c r="X2261" t="s">
        <v>47201</v>
      </c>
      <c r="Y2261" t="s">
        <v>47202</v>
      </c>
    </row>
    <row r="2262" spans="1:25" x14ac:dyDescent="0.3">
      <c r="A2262">
        <v>113050</v>
      </c>
      <c r="B2262" t="s">
        <v>47203</v>
      </c>
      <c r="C2262" t="s">
        <v>47204</v>
      </c>
      <c r="D2262" t="s">
        <v>47205</v>
      </c>
      <c r="E2262" t="s">
        <v>47206</v>
      </c>
      <c r="F2262" t="s">
        <v>47207</v>
      </c>
      <c r="G2262" t="s">
        <v>47208</v>
      </c>
      <c r="H2262" t="s">
        <v>47209</v>
      </c>
      <c r="I2262" t="s">
        <v>47210</v>
      </c>
      <c r="J2262" t="s">
        <v>47211</v>
      </c>
      <c r="K2262" t="s">
        <v>47212</v>
      </c>
      <c r="L2262" t="s">
        <v>47213</v>
      </c>
      <c r="M2262" t="s">
        <v>47214</v>
      </c>
      <c r="N2262" t="s">
        <v>47215</v>
      </c>
      <c r="O2262">
        <f>-916.943097755142 -43.5940382143099 -496.961850322073</f>
        <v>-1457.4989862915249</v>
      </c>
      <c r="P2262">
        <f>-942.690511807454 -79.5265611048678 -206.037402517445</f>
        <v>-1228.2544754297669</v>
      </c>
      <c r="Q2262" t="s">
        <v>47216</v>
      </c>
      <c r="R2262" t="s">
        <v>47217</v>
      </c>
      <c r="S2262" t="s">
        <v>47218</v>
      </c>
      <c r="T2262" t="s">
        <v>47219</v>
      </c>
      <c r="U2262" t="s">
        <v>47220</v>
      </c>
      <c r="V2262" t="s">
        <v>47221</v>
      </c>
      <c r="W2262" t="s">
        <v>47222</v>
      </c>
      <c r="X2262" t="s">
        <v>47223</v>
      </c>
      <c r="Y2262" t="s">
        <v>47224</v>
      </c>
    </row>
    <row r="2263" spans="1:25" x14ac:dyDescent="0.3">
      <c r="A2263">
        <v>113100</v>
      </c>
      <c r="B2263" t="s">
        <v>47225</v>
      </c>
      <c r="C2263" t="s">
        <v>47226</v>
      </c>
      <c r="D2263" t="s">
        <v>47227</v>
      </c>
      <c r="E2263" t="s">
        <v>47228</v>
      </c>
      <c r="F2263" t="s">
        <v>47229</v>
      </c>
      <c r="G2263" t="s">
        <v>47230</v>
      </c>
      <c r="H2263" t="s">
        <v>47231</v>
      </c>
      <c r="I2263" t="s">
        <v>47232</v>
      </c>
      <c r="J2263" t="s">
        <v>47233</v>
      </c>
      <c r="K2263" t="s">
        <v>47234</v>
      </c>
      <c r="L2263" t="s">
        <v>47235</v>
      </c>
      <c r="M2263" t="s">
        <v>47236</v>
      </c>
      <c r="N2263" t="s">
        <v>47237</v>
      </c>
      <c r="O2263">
        <f>-916.995618683084 -43.6454190039995 -496.939822712793</f>
        <v>-1457.5808603998764</v>
      </c>
      <c r="P2263">
        <f>-943.1816777723 -79.5772875196099 -206.054311973371</f>
        <v>-1228.8132772652807</v>
      </c>
      <c r="Q2263" t="s">
        <v>47238</v>
      </c>
      <c r="R2263" t="s">
        <v>47239</v>
      </c>
      <c r="S2263" t="s">
        <v>47240</v>
      </c>
      <c r="T2263" t="s">
        <v>47241</v>
      </c>
      <c r="U2263" t="s">
        <v>47242</v>
      </c>
      <c r="V2263" t="s">
        <v>47243</v>
      </c>
      <c r="W2263" t="s">
        <v>47244</v>
      </c>
      <c r="X2263" t="s">
        <v>47245</v>
      </c>
      <c r="Y2263" t="s">
        <v>47246</v>
      </c>
    </row>
    <row r="2264" spans="1:25" x14ac:dyDescent="0.3">
      <c r="A2264">
        <v>113150</v>
      </c>
      <c r="B2264" t="s">
        <v>47247</v>
      </c>
      <c r="C2264" t="s">
        <v>47248</v>
      </c>
      <c r="D2264" t="s">
        <v>47249</v>
      </c>
      <c r="E2264" t="s">
        <v>47250</v>
      </c>
      <c r="F2264" t="s">
        <v>47251</v>
      </c>
      <c r="G2264" t="s">
        <v>47252</v>
      </c>
      <c r="H2264" t="s">
        <v>47253</v>
      </c>
      <c r="I2264" t="s">
        <v>47254</v>
      </c>
      <c r="J2264" t="s">
        <v>47255</v>
      </c>
      <c r="K2264" t="s">
        <v>47256</v>
      </c>
      <c r="L2264" t="s">
        <v>47257</v>
      </c>
      <c r="M2264" t="s">
        <v>47258</v>
      </c>
      <c r="N2264" t="s">
        <v>47259</v>
      </c>
      <c r="O2264">
        <f>-917.10498955412 -43.5709829847146 -496.915459018875</f>
        <v>-1457.5914315577097</v>
      </c>
      <c r="P2264">
        <f>-943.460710359064 -79.4747582463399 -206.041688878206</f>
        <v>-1228.97715748361</v>
      </c>
      <c r="Q2264" t="s">
        <v>47260</v>
      </c>
      <c r="R2264" t="s">
        <v>47261</v>
      </c>
      <c r="S2264" t="s">
        <v>47262</v>
      </c>
      <c r="T2264" t="s">
        <v>47263</v>
      </c>
      <c r="U2264" t="s">
        <v>47264</v>
      </c>
      <c r="V2264" t="s">
        <v>47265</v>
      </c>
      <c r="W2264" t="s">
        <v>47266</v>
      </c>
      <c r="X2264" t="s">
        <v>47267</v>
      </c>
      <c r="Y2264" t="s">
        <v>47268</v>
      </c>
    </row>
    <row r="2265" spans="1:25" x14ac:dyDescent="0.3">
      <c r="A2265">
        <v>113200</v>
      </c>
      <c r="B2265" t="s">
        <v>47269</v>
      </c>
      <c r="C2265" t="s">
        <v>47270</v>
      </c>
      <c r="D2265" t="s">
        <v>47271</v>
      </c>
      <c r="E2265" t="s">
        <v>47272</v>
      </c>
      <c r="F2265" t="s">
        <v>47273</v>
      </c>
      <c r="G2265" t="s">
        <v>47274</v>
      </c>
      <c r="H2265" t="s">
        <v>47275</v>
      </c>
      <c r="I2265" t="s">
        <v>47276</v>
      </c>
      <c r="J2265" t="s">
        <v>47277</v>
      </c>
      <c r="K2265" t="s">
        <v>47278</v>
      </c>
      <c r="L2265" t="s">
        <v>47279</v>
      </c>
      <c r="M2265" t="s">
        <v>47280</v>
      </c>
      <c r="N2265" t="s">
        <v>47281</v>
      </c>
      <c r="O2265">
        <f>-917.614498135774 -43.4212552194754 -496.7748532123</f>
        <v>-1457.8106065675495</v>
      </c>
      <c r="P2265">
        <f>-944.738984672358 -78.6438824960219 -205.888649555642</f>
        <v>-1229.2715167240219</v>
      </c>
      <c r="Q2265" t="s">
        <v>47282</v>
      </c>
      <c r="R2265" t="s">
        <v>47283</v>
      </c>
      <c r="S2265" t="s">
        <v>47284</v>
      </c>
      <c r="T2265" t="s">
        <v>47285</v>
      </c>
      <c r="U2265" t="s">
        <v>47286</v>
      </c>
      <c r="V2265" t="s">
        <v>47287</v>
      </c>
      <c r="W2265" t="s">
        <v>47288</v>
      </c>
      <c r="X2265" t="s">
        <v>47289</v>
      </c>
      <c r="Y2265" t="s">
        <v>47290</v>
      </c>
    </row>
    <row r="2266" spans="1:25" x14ac:dyDescent="0.3">
      <c r="A2266">
        <v>113250</v>
      </c>
      <c r="B2266" t="s">
        <v>47291</v>
      </c>
      <c r="C2266" t="s">
        <v>47292</v>
      </c>
      <c r="D2266" t="s">
        <v>47293</v>
      </c>
      <c r="E2266" t="s">
        <v>47294</v>
      </c>
      <c r="F2266" t="s">
        <v>47295</v>
      </c>
      <c r="G2266" t="s">
        <v>47296</v>
      </c>
      <c r="H2266" t="s">
        <v>47297</v>
      </c>
      <c r="I2266" t="s">
        <v>47298</v>
      </c>
      <c r="J2266" t="s">
        <v>47299</v>
      </c>
      <c r="K2266" t="s">
        <v>47300</v>
      </c>
      <c r="L2266" t="s">
        <v>47301</v>
      </c>
      <c r="M2266" t="s">
        <v>47302</v>
      </c>
      <c r="N2266" t="s">
        <v>47303</v>
      </c>
      <c r="O2266">
        <f>-918.092834840952 -43.2516442456299 -496.589637543176</f>
        <v>-1457.9341166297579</v>
      </c>
      <c r="P2266">
        <f>-945.671713019638 -77.5960245575443 -205.641185718106</f>
        <v>-1228.9089232952883</v>
      </c>
      <c r="Q2266" t="s">
        <v>47304</v>
      </c>
      <c r="R2266" t="s">
        <v>47305</v>
      </c>
      <c r="S2266" t="s">
        <v>47306</v>
      </c>
      <c r="T2266" t="s">
        <v>47307</v>
      </c>
      <c r="U2266" t="s">
        <v>47308</v>
      </c>
      <c r="V2266" t="s">
        <v>47309</v>
      </c>
      <c r="W2266" t="s">
        <v>47310</v>
      </c>
      <c r="X2266" t="s">
        <v>47311</v>
      </c>
      <c r="Y2266" t="s">
        <v>47312</v>
      </c>
    </row>
    <row r="2267" spans="1:25" x14ac:dyDescent="0.3">
      <c r="A2267">
        <v>113300</v>
      </c>
      <c r="B2267" t="s">
        <v>47313</v>
      </c>
      <c r="C2267" t="s">
        <v>47314</v>
      </c>
      <c r="D2267" t="s">
        <v>47315</v>
      </c>
      <c r="E2267" t="s">
        <v>47316</v>
      </c>
      <c r="F2267" t="s">
        <v>47317</v>
      </c>
      <c r="G2267" t="s">
        <v>47318</v>
      </c>
      <c r="H2267" t="s">
        <v>47319</v>
      </c>
      <c r="I2267" t="s">
        <v>47320</v>
      </c>
      <c r="J2267" t="s">
        <v>47321</v>
      </c>
      <c r="K2267" t="s">
        <v>47322</v>
      </c>
      <c r="L2267" t="s">
        <v>47323</v>
      </c>
      <c r="M2267" t="s">
        <v>47324</v>
      </c>
      <c r="N2267" t="s">
        <v>47325</v>
      </c>
      <c r="O2267">
        <f>-919.365826390087 -43.3655833211685 -495.860603694518</f>
        <v>-1458.5920134057735</v>
      </c>
      <c r="P2267">
        <f>-947.65318147517 -75.3553773507713 -204.711754921469</f>
        <v>-1227.7203137474103</v>
      </c>
      <c r="Q2267">
        <f>-748.70941712366 -5.03029882938654 -321.015747139478</f>
        <v>-1074.7554630925247</v>
      </c>
      <c r="R2267" t="s">
        <v>47326</v>
      </c>
      <c r="S2267" t="s">
        <v>47327</v>
      </c>
      <c r="T2267" t="s">
        <v>47328</v>
      </c>
      <c r="U2267" t="s">
        <v>47329</v>
      </c>
      <c r="V2267" t="s">
        <v>47330</v>
      </c>
      <c r="W2267" t="s">
        <v>47331</v>
      </c>
      <c r="X2267" t="s">
        <v>47332</v>
      </c>
      <c r="Y2267" t="s">
        <v>47333</v>
      </c>
    </row>
    <row r="2268" spans="1:25" x14ac:dyDescent="0.3">
      <c r="A2268">
        <v>113350</v>
      </c>
      <c r="B2268" t="s">
        <v>47334</v>
      </c>
      <c r="C2268" t="s">
        <v>47335</v>
      </c>
      <c r="D2268" t="s">
        <v>47336</v>
      </c>
      <c r="E2268" t="s">
        <v>47337</v>
      </c>
      <c r="F2268" t="s">
        <v>47338</v>
      </c>
      <c r="G2268" t="s">
        <v>47339</v>
      </c>
      <c r="H2268" t="s">
        <v>47340</v>
      </c>
      <c r="I2268" t="s">
        <v>47341</v>
      </c>
      <c r="J2268" t="s">
        <v>47342</v>
      </c>
      <c r="K2268" t="s">
        <v>47343</v>
      </c>
      <c r="L2268" t="s">
        <v>47344</v>
      </c>
      <c r="M2268" t="s">
        <v>47345</v>
      </c>
      <c r="N2268" t="s">
        <v>47346</v>
      </c>
      <c r="O2268">
        <f>-920.337965238921 -43.5763893836395 -495.343638001986</f>
        <v>-1459.2579926245464</v>
      </c>
      <c r="P2268">
        <f>-948.722748040483 -74.1357092366484 -204.050609384422</f>
        <v>-1226.9090666615534</v>
      </c>
      <c r="Q2268">
        <f>-749.143162647275 -9.30533800947524 -322.439375904157</f>
        <v>-1080.8878765609072</v>
      </c>
      <c r="R2268" t="s">
        <v>47347</v>
      </c>
      <c r="S2268" t="s">
        <v>47348</v>
      </c>
      <c r="T2268" t="s">
        <v>47349</v>
      </c>
      <c r="U2268" t="s">
        <v>47350</v>
      </c>
      <c r="V2268" t="s">
        <v>47351</v>
      </c>
      <c r="W2268" t="s">
        <v>47352</v>
      </c>
      <c r="X2268" t="s">
        <v>47353</v>
      </c>
      <c r="Y2268" t="s">
        <v>47354</v>
      </c>
    </row>
    <row r="2269" spans="1:25" x14ac:dyDescent="0.3">
      <c r="A2269">
        <v>113400</v>
      </c>
      <c r="B2269" t="s">
        <v>47355</v>
      </c>
      <c r="C2269" t="s">
        <v>47356</v>
      </c>
      <c r="D2269" t="s">
        <v>47357</v>
      </c>
      <c r="E2269" t="s">
        <v>47358</v>
      </c>
      <c r="F2269" t="s">
        <v>47359</v>
      </c>
      <c r="G2269" t="s">
        <v>47360</v>
      </c>
      <c r="H2269" t="s">
        <v>47361</v>
      </c>
      <c r="I2269" t="s">
        <v>47362</v>
      </c>
      <c r="J2269" t="s">
        <v>47363</v>
      </c>
      <c r="K2269" t="s">
        <v>47364</v>
      </c>
      <c r="L2269" t="s">
        <v>47365</v>
      </c>
      <c r="M2269" t="s">
        <v>47366</v>
      </c>
      <c r="N2269" t="s">
        <v>47367</v>
      </c>
      <c r="O2269">
        <f>-923.672807291302 -43.4675573296715 -493.895426754126</f>
        <v>-1461.0357913750995</v>
      </c>
      <c r="P2269">
        <f>-952.525172550456 -70.5366617762809 -202.303376029132</f>
        <v>-1225.3652103558688</v>
      </c>
      <c r="Q2269">
        <f>-752.33285778728 -18.7018326755956 -325.944182885519</f>
        <v>-1096.9788733483947</v>
      </c>
      <c r="R2269" t="s">
        <v>47368</v>
      </c>
      <c r="S2269" t="s">
        <v>47369</v>
      </c>
      <c r="T2269" t="s">
        <v>47370</v>
      </c>
      <c r="U2269" t="s">
        <v>47371</v>
      </c>
      <c r="V2269" t="s">
        <v>47372</v>
      </c>
      <c r="W2269" t="s">
        <v>47373</v>
      </c>
      <c r="X2269" t="s">
        <v>47374</v>
      </c>
      <c r="Y2269" t="s">
        <v>47375</v>
      </c>
    </row>
    <row r="2270" spans="1:25" x14ac:dyDescent="0.3">
      <c r="A2270">
        <v>113450</v>
      </c>
      <c r="B2270" t="s">
        <v>47376</v>
      </c>
      <c r="C2270" t="s">
        <v>47377</v>
      </c>
      <c r="D2270" t="s">
        <v>47378</v>
      </c>
      <c r="E2270" t="s">
        <v>47379</v>
      </c>
      <c r="F2270" t="s">
        <v>47380</v>
      </c>
      <c r="G2270" t="s">
        <v>47381</v>
      </c>
      <c r="H2270" t="s">
        <v>47382</v>
      </c>
      <c r="I2270" t="s">
        <v>47383</v>
      </c>
      <c r="J2270" t="s">
        <v>47384</v>
      </c>
      <c r="K2270" t="s">
        <v>47385</v>
      </c>
      <c r="L2270" t="s">
        <v>47386</v>
      </c>
      <c r="M2270" t="s">
        <v>47387</v>
      </c>
      <c r="N2270" t="s">
        <v>47388</v>
      </c>
      <c r="O2270">
        <f>-926.202993178576 -42.9464648528719 -493.017739680855</f>
        <v>-1462.1671977123028</v>
      </c>
      <c r="P2270">
        <f>-955.6159825764 -68.1435014370402 -201.313735953239</f>
        <v>-1225.0732199666793</v>
      </c>
      <c r="Q2270">
        <f>-755.624912625284 -22.6911398417865 -327.759236705123</f>
        <v>-1106.0752891721934</v>
      </c>
      <c r="R2270" t="s">
        <v>47389</v>
      </c>
      <c r="S2270" t="s">
        <v>47390</v>
      </c>
      <c r="T2270" t="s">
        <v>47391</v>
      </c>
      <c r="U2270" t="s">
        <v>47392</v>
      </c>
      <c r="V2270" t="s">
        <v>47393</v>
      </c>
      <c r="W2270" t="s">
        <v>47394</v>
      </c>
      <c r="X2270" t="s">
        <v>47395</v>
      </c>
      <c r="Y2270" t="s">
        <v>47396</v>
      </c>
    </row>
    <row r="2271" spans="1:25" x14ac:dyDescent="0.3">
      <c r="A2271">
        <v>113500</v>
      </c>
      <c r="B2271" t="s">
        <v>47397</v>
      </c>
      <c r="C2271" t="s">
        <v>47398</v>
      </c>
      <c r="D2271" t="s">
        <v>47399</v>
      </c>
      <c r="E2271" t="s">
        <v>47400</v>
      </c>
      <c r="F2271" t="s">
        <v>47401</v>
      </c>
      <c r="G2271" t="s">
        <v>47402</v>
      </c>
      <c r="H2271" t="s">
        <v>47403</v>
      </c>
      <c r="I2271" t="s">
        <v>47404</v>
      </c>
      <c r="J2271" t="s">
        <v>47405</v>
      </c>
      <c r="K2271" t="s">
        <v>47406</v>
      </c>
      <c r="L2271" t="s">
        <v>47407</v>
      </c>
      <c r="M2271" t="s">
        <v>47408</v>
      </c>
      <c r="N2271" t="s">
        <v>47409</v>
      </c>
      <c r="O2271">
        <f>-932.214365870624 -41.5203997486931 -491.330142436506</f>
        <v>-1465.064908055823</v>
      </c>
      <c r="P2271">
        <f>-963.525777455656 -62.0923031446428 -199.460972882978</f>
        <v>-1225.0790534832768</v>
      </c>
      <c r="Q2271">
        <f>-765.042399242051 -29.3753837289282 -332.068586633753</f>
        <v>-1126.4863696047323</v>
      </c>
      <c r="R2271" t="s">
        <v>47410</v>
      </c>
      <c r="S2271" t="s">
        <v>47411</v>
      </c>
      <c r="T2271" t="s">
        <v>47412</v>
      </c>
      <c r="U2271" t="s">
        <v>47413</v>
      </c>
      <c r="V2271" t="s">
        <v>47414</v>
      </c>
      <c r="W2271" t="s">
        <v>47415</v>
      </c>
      <c r="X2271" t="s">
        <v>47416</v>
      </c>
      <c r="Y2271" t="s">
        <v>47417</v>
      </c>
    </row>
    <row r="2272" spans="1:25" x14ac:dyDescent="0.3">
      <c r="A2272">
        <v>113550</v>
      </c>
      <c r="B2272" t="s">
        <v>47418</v>
      </c>
      <c r="C2272" t="s">
        <v>47419</v>
      </c>
      <c r="D2272" t="s">
        <v>47420</v>
      </c>
      <c r="E2272" t="s">
        <v>47421</v>
      </c>
      <c r="F2272" t="s">
        <v>47422</v>
      </c>
      <c r="G2272" t="s">
        <v>47423</v>
      </c>
      <c r="H2272" t="s">
        <v>47424</v>
      </c>
      <c r="I2272" t="s">
        <v>47425</v>
      </c>
      <c r="J2272" t="s">
        <v>47426</v>
      </c>
      <c r="K2272" t="s">
        <v>47427</v>
      </c>
      <c r="L2272" t="s">
        <v>47428</v>
      </c>
      <c r="M2272" t="s">
        <v>47429</v>
      </c>
      <c r="N2272" t="s">
        <v>47430</v>
      </c>
      <c r="O2272">
        <f>-935.598123767525 -40.7452823889871 -490.545635938218</f>
        <v>-1466.88904209473</v>
      </c>
      <c r="P2272">
        <f>-967.790211622994 -58.7091413266821 -198.600131532311</f>
        <v>-1225.099484481987</v>
      </c>
      <c r="Q2272">
        <f>-770.240580401641 -32.1812271049203 -333.956134043406</f>
        <v>-1136.3779415499671</v>
      </c>
      <c r="R2272" t="s">
        <v>47431</v>
      </c>
      <c r="S2272" t="s">
        <v>47432</v>
      </c>
      <c r="T2272" t="s">
        <v>47433</v>
      </c>
      <c r="U2272" t="s">
        <v>47434</v>
      </c>
      <c r="V2272" t="s">
        <v>47435</v>
      </c>
      <c r="W2272" t="s">
        <v>47436</v>
      </c>
      <c r="X2272" t="s">
        <v>47437</v>
      </c>
      <c r="Y2272" t="s">
        <v>47438</v>
      </c>
    </row>
    <row r="2273" spans="1:25" x14ac:dyDescent="0.3">
      <c r="A2273">
        <v>113600</v>
      </c>
      <c r="B2273" t="s">
        <v>47439</v>
      </c>
      <c r="C2273" t="s">
        <v>47440</v>
      </c>
      <c r="D2273" t="s">
        <v>47441</v>
      </c>
      <c r="E2273" t="s">
        <v>47442</v>
      </c>
      <c r="F2273" t="s">
        <v>47443</v>
      </c>
      <c r="G2273" t="s">
        <v>47444</v>
      </c>
      <c r="H2273" t="s">
        <v>47445</v>
      </c>
      <c r="I2273" t="s">
        <v>47446</v>
      </c>
      <c r="J2273" t="s">
        <v>47447</v>
      </c>
      <c r="K2273" t="s">
        <v>47448</v>
      </c>
      <c r="L2273" t="s">
        <v>47449</v>
      </c>
      <c r="M2273" t="s">
        <v>47450</v>
      </c>
      <c r="N2273" t="s">
        <v>47451</v>
      </c>
      <c r="O2273">
        <f>-942.815915943418 -38.7341265537266 -489.123768088187</f>
        <v>-1470.6738105853315</v>
      </c>
      <c r="P2273">
        <f>-976.588412796931 -51.9681439485989 -197.104106860239</f>
        <v>-1225.6606636057688</v>
      </c>
      <c r="Q2273">
        <f>-780.678320028811 -36.5902162536024 -336.508375012684</f>
        <v>-1153.7769112950973</v>
      </c>
      <c r="R2273" t="s">
        <v>47452</v>
      </c>
      <c r="S2273" t="s">
        <v>47453</v>
      </c>
      <c r="T2273" t="s">
        <v>47454</v>
      </c>
      <c r="U2273" t="s">
        <v>47455</v>
      </c>
      <c r="V2273" t="s">
        <v>47456</v>
      </c>
      <c r="W2273" t="s">
        <v>47457</v>
      </c>
      <c r="X2273" t="s">
        <v>47458</v>
      </c>
      <c r="Y2273" t="s">
        <v>47459</v>
      </c>
    </row>
    <row r="2274" spans="1:25" x14ac:dyDescent="0.3">
      <c r="A2274">
        <v>113650</v>
      </c>
      <c r="B2274" t="s">
        <v>47460</v>
      </c>
      <c r="C2274" t="s">
        <v>47461</v>
      </c>
      <c r="D2274" t="s">
        <v>47462</v>
      </c>
      <c r="E2274" t="s">
        <v>47463</v>
      </c>
      <c r="F2274" t="s">
        <v>47464</v>
      </c>
      <c r="G2274" t="s">
        <v>47465</v>
      </c>
      <c r="H2274" t="s">
        <v>47466</v>
      </c>
      <c r="I2274" t="s">
        <v>47467</v>
      </c>
      <c r="J2274" t="s">
        <v>47468</v>
      </c>
      <c r="K2274" t="s">
        <v>47469</v>
      </c>
      <c r="L2274" t="s">
        <v>47470</v>
      </c>
      <c r="M2274" t="s">
        <v>47471</v>
      </c>
      <c r="N2274" t="s">
        <v>47472</v>
      </c>
      <c r="O2274">
        <f>-946.645159257389 -37.544259109626 -488.567430565617</f>
        <v>-1472.7568489326318</v>
      </c>
      <c r="P2274">
        <f>-981.094500764597 -48.810378010571 -196.54430214468</f>
        <v>-1226.449180919848</v>
      </c>
      <c r="Q2274">
        <f>-786.043591637552 -37.9679516502003 -337.570778649785</f>
        <v>-1161.5823219375375</v>
      </c>
      <c r="R2274" t="s">
        <v>47473</v>
      </c>
      <c r="S2274" t="s">
        <v>47474</v>
      </c>
      <c r="T2274" t="s">
        <v>47475</v>
      </c>
      <c r="U2274" t="s">
        <v>47476</v>
      </c>
      <c r="V2274" t="s">
        <v>47477</v>
      </c>
      <c r="W2274" t="s">
        <v>47478</v>
      </c>
      <c r="X2274" t="s">
        <v>47479</v>
      </c>
      <c r="Y2274" t="s">
        <v>47480</v>
      </c>
    </row>
    <row r="2275" spans="1:25" x14ac:dyDescent="0.3">
      <c r="A2275">
        <v>113700</v>
      </c>
      <c r="B2275" t="s">
        <v>47481</v>
      </c>
      <c r="C2275" t="s">
        <v>47482</v>
      </c>
      <c r="D2275" t="s">
        <v>47483</v>
      </c>
      <c r="E2275" t="s">
        <v>47484</v>
      </c>
      <c r="F2275" t="s">
        <v>47485</v>
      </c>
      <c r="G2275" t="s">
        <v>47486</v>
      </c>
      <c r="H2275" t="s">
        <v>47487</v>
      </c>
      <c r="I2275" t="s">
        <v>47488</v>
      </c>
      <c r="J2275" t="s">
        <v>47489</v>
      </c>
      <c r="K2275" t="s">
        <v>47490</v>
      </c>
      <c r="L2275" t="s">
        <v>47491</v>
      </c>
      <c r="M2275" t="s">
        <v>47492</v>
      </c>
      <c r="N2275" t="s">
        <v>47493</v>
      </c>
      <c r="O2275">
        <f>-954.303884500513 -35.4168310315063 -487.685008359816</f>
        <v>-1477.4057238918354</v>
      </c>
      <c r="P2275">
        <f>-989.469024614659 -43.5181137836619 -195.642164086397</f>
        <v>-1228.629302484718</v>
      </c>
      <c r="Q2275">
        <f>-795.875498558014 -40.0860443175427 -339.032185049073</f>
        <v>-1174.9937279246296</v>
      </c>
      <c r="R2275" t="s">
        <v>47494</v>
      </c>
      <c r="S2275" t="s">
        <v>47495</v>
      </c>
      <c r="T2275" t="s">
        <v>47496</v>
      </c>
      <c r="U2275" t="s">
        <v>47497</v>
      </c>
      <c r="V2275" t="s">
        <v>47498</v>
      </c>
      <c r="W2275" t="s">
        <v>47499</v>
      </c>
      <c r="X2275" t="s">
        <v>47500</v>
      </c>
      <c r="Y2275" t="s">
        <v>47501</v>
      </c>
    </row>
    <row r="2276" spans="1:25" x14ac:dyDescent="0.3">
      <c r="A2276">
        <v>113750</v>
      </c>
      <c r="B2276" t="s">
        <v>47502</v>
      </c>
      <c r="C2276" t="s">
        <v>47503</v>
      </c>
      <c r="D2276" t="s">
        <v>47504</v>
      </c>
      <c r="E2276" t="s">
        <v>47505</v>
      </c>
      <c r="F2276" t="s">
        <v>47506</v>
      </c>
      <c r="G2276" t="s">
        <v>47507</v>
      </c>
      <c r="H2276" t="s">
        <v>47508</v>
      </c>
      <c r="I2276" t="s">
        <v>47509</v>
      </c>
      <c r="J2276" t="s">
        <v>47510</v>
      </c>
      <c r="K2276" t="s">
        <v>47511</v>
      </c>
      <c r="L2276" t="s">
        <v>47512</v>
      </c>
      <c r="M2276" t="s">
        <v>47513</v>
      </c>
      <c r="N2276" t="s">
        <v>47514</v>
      </c>
      <c r="O2276">
        <f>-957.700606060625 -34.5124435529156 -487.340857558845</f>
        <v>-1479.5539071723856</v>
      </c>
      <c r="P2276">
        <f>-993.058679823467 -40.9942688104131 -195.28083413897</f>
        <v>-1229.3337827728501</v>
      </c>
      <c r="Q2276">
        <f>-800.059766828652 -41.0755566365783 -339.510724309692</f>
        <v>-1180.6460477749224</v>
      </c>
      <c r="R2276" t="s">
        <v>47515</v>
      </c>
      <c r="S2276" t="s">
        <v>47516</v>
      </c>
      <c r="T2276" t="s">
        <v>47517</v>
      </c>
      <c r="U2276" t="s">
        <v>47518</v>
      </c>
      <c r="V2276" t="s">
        <v>47519</v>
      </c>
      <c r="W2276" t="s">
        <v>47520</v>
      </c>
      <c r="X2276" t="s">
        <v>47521</v>
      </c>
      <c r="Y2276" t="s">
        <v>47522</v>
      </c>
    </row>
    <row r="2277" spans="1:25" x14ac:dyDescent="0.3">
      <c r="A2277">
        <v>113800</v>
      </c>
      <c r="B2277" t="s">
        <v>47523</v>
      </c>
      <c r="C2277" t="s">
        <v>47524</v>
      </c>
      <c r="D2277" t="s">
        <v>47525</v>
      </c>
      <c r="E2277" t="s">
        <v>47526</v>
      </c>
      <c r="F2277" t="s">
        <v>47527</v>
      </c>
      <c r="G2277" t="s">
        <v>47528</v>
      </c>
      <c r="H2277" t="s">
        <v>47529</v>
      </c>
      <c r="I2277" t="s">
        <v>47530</v>
      </c>
      <c r="J2277" t="s">
        <v>47531</v>
      </c>
      <c r="K2277" t="s">
        <v>47532</v>
      </c>
      <c r="L2277" t="s">
        <v>47533</v>
      </c>
      <c r="M2277" t="s">
        <v>47534</v>
      </c>
      <c r="N2277" t="s">
        <v>47535</v>
      </c>
      <c r="O2277">
        <f>-964.336226388446 -31.982854541377 -486.462705576093</f>
        <v>-1482.781786505916</v>
      </c>
      <c r="P2277">
        <f>-999.604854424638 -35.0730426876239 -194.336367225307</f>
        <v>-1229.0142643375689</v>
      </c>
      <c r="Q2277">
        <f>-807.8998288706 -42.5728731377835 -340.08896607628</f>
        <v>-1190.5616680846636</v>
      </c>
      <c r="R2277" t="s">
        <v>47536</v>
      </c>
      <c r="S2277" t="s">
        <v>47537</v>
      </c>
      <c r="T2277" t="s">
        <v>47538</v>
      </c>
      <c r="U2277" t="s">
        <v>47539</v>
      </c>
      <c r="V2277" t="s">
        <v>47540</v>
      </c>
      <c r="W2277" t="s">
        <v>47541</v>
      </c>
      <c r="X2277" t="s">
        <v>47542</v>
      </c>
      <c r="Y2277" t="s">
        <v>47543</v>
      </c>
    </row>
    <row r="2278" spans="1:25" x14ac:dyDescent="0.3">
      <c r="A2278">
        <v>113850</v>
      </c>
      <c r="B2278" t="s">
        <v>47544</v>
      </c>
      <c r="C2278" t="s">
        <v>47545</v>
      </c>
      <c r="D2278" t="s">
        <v>47546</v>
      </c>
      <c r="E2278" t="s">
        <v>47547</v>
      </c>
      <c r="F2278" t="s">
        <v>47548</v>
      </c>
      <c r="G2278" t="s">
        <v>47549</v>
      </c>
      <c r="H2278" t="s">
        <v>47550</v>
      </c>
      <c r="I2278" t="s">
        <v>47551</v>
      </c>
      <c r="J2278" t="s">
        <v>47552</v>
      </c>
      <c r="K2278" t="s">
        <v>47553</v>
      </c>
      <c r="L2278" t="s">
        <v>47554</v>
      </c>
      <c r="M2278" t="s">
        <v>47555</v>
      </c>
      <c r="N2278" t="s">
        <v>47556</v>
      </c>
      <c r="O2278">
        <f>-967.36983542271 -30.3076458626588 -485.898733626845</f>
        <v>-1483.5762149122138</v>
      </c>
      <c r="P2278">
        <f>-1002.52520737704 -31.5961838107778 -193.745315745114</f>
        <v>-1227.8667069329317</v>
      </c>
      <c r="Q2278">
        <f>-811.437394703272 -43.3057454455318 -340.029813836363</f>
        <v>-1194.7729539851669</v>
      </c>
      <c r="R2278" t="s">
        <v>47557</v>
      </c>
      <c r="S2278" t="s">
        <v>47558</v>
      </c>
      <c r="T2278" t="s">
        <v>47559</v>
      </c>
      <c r="U2278" t="s">
        <v>47560</v>
      </c>
      <c r="V2278" t="s">
        <v>47561</v>
      </c>
      <c r="W2278" t="s">
        <v>47562</v>
      </c>
      <c r="X2278" t="s">
        <v>47563</v>
      </c>
      <c r="Y2278" t="s">
        <v>47564</v>
      </c>
    </row>
    <row r="2279" spans="1:25" x14ac:dyDescent="0.3">
      <c r="A2279">
        <v>113900</v>
      </c>
      <c r="B2279" t="s">
        <v>47565</v>
      </c>
      <c r="C2279" t="s">
        <v>47566</v>
      </c>
      <c r="D2279" t="s">
        <v>47567</v>
      </c>
      <c r="E2279" t="s">
        <v>47568</v>
      </c>
      <c r="F2279" t="s">
        <v>47569</v>
      </c>
      <c r="G2279" t="s">
        <v>47570</v>
      </c>
      <c r="H2279" t="s">
        <v>47571</v>
      </c>
      <c r="I2279" t="s">
        <v>47572</v>
      </c>
      <c r="J2279" t="s">
        <v>47573</v>
      </c>
      <c r="K2279" t="s">
        <v>47574</v>
      </c>
      <c r="L2279" t="s">
        <v>47575</v>
      </c>
      <c r="M2279" t="s">
        <v>47576</v>
      </c>
      <c r="N2279" t="s">
        <v>47577</v>
      </c>
      <c r="O2279">
        <f>-971.986176366012 -26.9496972834877 -484.874086539761</f>
        <v>-1483.8099601892607</v>
      </c>
      <c r="P2279">
        <f>-1007.64091719057 -24.2719219201717 -192.790637974194</f>
        <v>-1224.7034770849357</v>
      </c>
      <c r="Q2279">
        <f>-816.475256782672 -45.4656736517115 -337.902110276219</f>
        <v>-1199.8430407106025</v>
      </c>
      <c r="R2279" t="s">
        <v>47578</v>
      </c>
      <c r="S2279" t="s">
        <v>47579</v>
      </c>
      <c r="T2279" t="s">
        <v>47580</v>
      </c>
      <c r="U2279" t="s">
        <v>47581</v>
      </c>
      <c r="V2279" t="s">
        <v>47582</v>
      </c>
      <c r="W2279" t="s">
        <v>47583</v>
      </c>
      <c r="X2279" t="s">
        <v>47584</v>
      </c>
      <c r="Y2279" t="s">
        <v>47585</v>
      </c>
    </row>
    <row r="2280" spans="1:25" x14ac:dyDescent="0.3">
      <c r="A2280">
        <v>113950</v>
      </c>
      <c r="B2280" t="s">
        <v>47586</v>
      </c>
      <c r="C2280" t="s">
        <v>47587</v>
      </c>
      <c r="D2280" t="s">
        <v>47588</v>
      </c>
      <c r="E2280" t="s">
        <v>47589</v>
      </c>
      <c r="F2280" t="s">
        <v>47590</v>
      </c>
      <c r="G2280" t="s">
        <v>47591</v>
      </c>
      <c r="H2280" t="s">
        <v>47592</v>
      </c>
      <c r="I2280" t="s">
        <v>47593</v>
      </c>
      <c r="J2280" t="s">
        <v>47594</v>
      </c>
      <c r="K2280" t="s">
        <v>47595</v>
      </c>
      <c r="L2280" t="s">
        <v>47596</v>
      </c>
      <c r="M2280" t="s">
        <v>47597</v>
      </c>
      <c r="N2280" t="s">
        <v>47598</v>
      </c>
      <c r="O2280">
        <f>-973.503023114018 -25.4991280956915 -484.430816590807</f>
        <v>-1483.4329678005165</v>
      </c>
      <c r="P2280">
        <f>-1009.84959556243 -21.0564184414097 -192.454250085477</f>
        <v>-1223.3602640893166</v>
      </c>
      <c r="Q2280">
        <f>-818.414083118884 -46.9041595707727 -336.451099362006</f>
        <v>-1201.7693420516628</v>
      </c>
      <c r="R2280" t="s">
        <v>47599</v>
      </c>
      <c r="S2280" t="s">
        <v>47600</v>
      </c>
      <c r="T2280" t="s">
        <v>47601</v>
      </c>
      <c r="U2280" t="s">
        <v>47602</v>
      </c>
      <c r="V2280" t="s">
        <v>47603</v>
      </c>
      <c r="W2280" t="s">
        <v>47604</v>
      </c>
      <c r="X2280" t="s">
        <v>47605</v>
      </c>
      <c r="Y2280" t="s">
        <v>47606</v>
      </c>
    </row>
    <row r="2281" spans="1:25" x14ac:dyDescent="0.3">
      <c r="A2281">
        <v>114000</v>
      </c>
      <c r="B2281" t="s">
        <v>47607</v>
      </c>
      <c r="C2281" t="s">
        <v>47608</v>
      </c>
      <c r="D2281" t="s">
        <v>47609</v>
      </c>
      <c r="E2281" t="s">
        <v>47610</v>
      </c>
      <c r="F2281" t="s">
        <v>47611</v>
      </c>
      <c r="G2281" t="s">
        <v>47612</v>
      </c>
      <c r="H2281" t="s">
        <v>47613</v>
      </c>
      <c r="I2281" t="s">
        <v>47614</v>
      </c>
      <c r="J2281" t="s">
        <v>47615</v>
      </c>
      <c r="K2281" t="s">
        <v>47616</v>
      </c>
      <c r="L2281" t="s">
        <v>47617</v>
      </c>
      <c r="M2281" t="s">
        <v>47618</v>
      </c>
      <c r="N2281" t="s">
        <v>47619</v>
      </c>
      <c r="O2281">
        <f>-976.00054835611 -23.101360933299 -483.607537577789</f>
        <v>-1482.709446867198</v>
      </c>
      <c r="P2281">
        <f>-1014.11225061573 -15.7310384707134 -191.915303610634</f>
        <v>-1221.7585926970773</v>
      </c>
      <c r="Q2281">
        <f>-821.320788914771 -49.1880305932491 -332.496387116436</f>
        <v>-1203.0052066244562</v>
      </c>
      <c r="R2281" t="s">
        <v>47620</v>
      </c>
      <c r="S2281" t="s">
        <v>47621</v>
      </c>
      <c r="T2281" t="s">
        <v>47622</v>
      </c>
      <c r="U2281" t="s">
        <v>47623</v>
      </c>
      <c r="V2281" t="s">
        <v>47624</v>
      </c>
      <c r="W2281" t="s">
        <v>47625</v>
      </c>
      <c r="X2281" t="s">
        <v>47626</v>
      </c>
      <c r="Y2281" t="s">
        <v>47627</v>
      </c>
    </row>
    <row r="2282" spans="1:25" x14ac:dyDescent="0.3">
      <c r="A2282">
        <v>114050</v>
      </c>
      <c r="B2282" t="s">
        <v>47628</v>
      </c>
      <c r="C2282" t="s">
        <v>47629</v>
      </c>
      <c r="D2282" t="s">
        <v>47630</v>
      </c>
      <c r="E2282" t="s">
        <v>47631</v>
      </c>
      <c r="F2282" t="s">
        <v>47632</v>
      </c>
      <c r="G2282" t="s">
        <v>47633</v>
      </c>
      <c r="H2282" t="s">
        <v>47634</v>
      </c>
      <c r="I2282" t="s">
        <v>47635</v>
      </c>
      <c r="J2282" t="s">
        <v>47636</v>
      </c>
      <c r="K2282" t="s">
        <v>47637</v>
      </c>
      <c r="L2282" t="s">
        <v>47638</v>
      </c>
      <c r="M2282" t="s">
        <v>47639</v>
      </c>
      <c r="N2282" t="s">
        <v>47640</v>
      </c>
      <c r="O2282">
        <f>-976.713653502453 -22.4347750035281 -483.220131156838</f>
        <v>-1482.3685596628191</v>
      </c>
      <c r="P2282">
        <f>-1015.81558871706 -13.7316562902688 -191.695664302666</f>
        <v>-1221.2429093099947</v>
      </c>
      <c r="Q2282">
        <f>-822.225619360482 -49.8021021586935 -330.522127114587</f>
        <v>-1202.5498486337626</v>
      </c>
      <c r="R2282" t="s">
        <v>47641</v>
      </c>
      <c r="S2282" t="s">
        <v>47642</v>
      </c>
      <c r="T2282" t="s">
        <v>47643</v>
      </c>
      <c r="U2282" t="s">
        <v>47644</v>
      </c>
      <c r="V2282" t="s">
        <v>47645</v>
      </c>
      <c r="W2282" t="s">
        <v>47646</v>
      </c>
      <c r="X2282" t="s">
        <v>47647</v>
      </c>
      <c r="Y2282" t="s">
        <v>47648</v>
      </c>
    </row>
    <row r="2283" spans="1:25" x14ac:dyDescent="0.3">
      <c r="A2283">
        <v>114100</v>
      </c>
      <c r="B2283" t="s">
        <v>47649</v>
      </c>
      <c r="C2283" t="s">
        <v>47650</v>
      </c>
      <c r="D2283" t="s">
        <v>47651</v>
      </c>
      <c r="E2283" t="s">
        <v>47652</v>
      </c>
      <c r="F2283" t="s">
        <v>47653</v>
      </c>
      <c r="G2283" t="s">
        <v>47654</v>
      </c>
      <c r="H2283" t="s">
        <v>47655</v>
      </c>
      <c r="I2283" t="s">
        <v>47656</v>
      </c>
      <c r="J2283" t="s">
        <v>47657</v>
      </c>
      <c r="K2283" t="s">
        <v>47658</v>
      </c>
      <c r="L2283" t="s">
        <v>47659</v>
      </c>
      <c r="M2283" t="s">
        <v>47660</v>
      </c>
      <c r="N2283" t="s">
        <v>47661</v>
      </c>
      <c r="O2283">
        <f>-977.497554835458 -21.7558615135081 -482.601706574016</f>
        <v>-1481.855122922982</v>
      </c>
      <c r="P2283">
        <f>-1017.91383804351 -11.2395604429767 -191.31639598765</f>
        <v>-1220.4697944741367</v>
      </c>
      <c r="Q2283">
        <f>-822.932758366599 -49.6714000075804 -327.53734900633</f>
        <v>-1200.1415073805094</v>
      </c>
      <c r="R2283" t="s">
        <v>47662</v>
      </c>
      <c r="S2283" t="s">
        <v>47663</v>
      </c>
      <c r="T2283" t="s">
        <v>47664</v>
      </c>
      <c r="U2283" t="s">
        <v>47665</v>
      </c>
      <c r="V2283" t="s">
        <v>47666</v>
      </c>
      <c r="W2283" t="s">
        <v>47667</v>
      </c>
      <c r="X2283" t="s">
        <v>47668</v>
      </c>
      <c r="Y2283" t="s">
        <v>47669</v>
      </c>
    </row>
    <row r="2284" spans="1:25" x14ac:dyDescent="0.3">
      <c r="A2284">
        <v>114150</v>
      </c>
      <c r="B2284" t="s">
        <v>47670</v>
      </c>
      <c r="C2284" t="s">
        <v>47671</v>
      </c>
      <c r="D2284" t="s">
        <v>47672</v>
      </c>
      <c r="E2284" t="s">
        <v>47673</v>
      </c>
      <c r="F2284" t="s">
        <v>47674</v>
      </c>
      <c r="G2284" t="s">
        <v>47675</v>
      </c>
      <c r="H2284" t="s">
        <v>47676</v>
      </c>
      <c r="I2284" t="s">
        <v>47677</v>
      </c>
      <c r="J2284" t="s">
        <v>47678</v>
      </c>
      <c r="K2284" t="s">
        <v>47679</v>
      </c>
      <c r="L2284" t="s">
        <v>47680</v>
      </c>
      <c r="M2284" t="s">
        <v>47681</v>
      </c>
      <c r="N2284" t="s">
        <v>47682</v>
      </c>
      <c r="O2284">
        <f>-977.732692360176 -21.4228761263548 -482.37607277438</f>
        <v>-1481.5316412609109</v>
      </c>
      <c r="P2284">
        <f>-1018.49210834364 -10.7284012846162 -191.144945559828</f>
        <v>-1220.3654551880841</v>
      </c>
      <c r="Q2284">
        <f>-822.869482567401 -48.6037042296603 -326.600271490206</f>
        <v>-1198.0734582872672</v>
      </c>
      <c r="R2284" t="s">
        <v>47683</v>
      </c>
      <c r="S2284" t="s">
        <v>47684</v>
      </c>
      <c r="T2284" t="s">
        <v>47685</v>
      </c>
      <c r="U2284" t="s">
        <v>47686</v>
      </c>
      <c r="V2284" t="s">
        <v>47687</v>
      </c>
      <c r="W2284" t="s">
        <v>47688</v>
      </c>
      <c r="X2284" t="s">
        <v>47689</v>
      </c>
      <c r="Y2284" t="s">
        <v>47690</v>
      </c>
    </row>
    <row r="2285" spans="1:25" x14ac:dyDescent="0.3">
      <c r="A2285">
        <v>114200</v>
      </c>
      <c r="B2285" t="s">
        <v>47691</v>
      </c>
      <c r="C2285" t="s">
        <v>47692</v>
      </c>
      <c r="D2285" t="s">
        <v>47693</v>
      </c>
      <c r="E2285" t="s">
        <v>47694</v>
      </c>
      <c r="F2285" t="s">
        <v>47695</v>
      </c>
      <c r="G2285" t="s">
        <v>47696</v>
      </c>
      <c r="H2285" t="s">
        <v>47697</v>
      </c>
      <c r="I2285" t="s">
        <v>47698</v>
      </c>
      <c r="J2285" t="s">
        <v>47699</v>
      </c>
      <c r="K2285" t="s">
        <v>47700</v>
      </c>
      <c r="L2285" t="s">
        <v>47701</v>
      </c>
      <c r="M2285" t="s">
        <v>47702</v>
      </c>
      <c r="N2285" t="s">
        <v>47703</v>
      </c>
      <c r="O2285">
        <f>-977.630704864585 -20.5243077576356 -482.18360131711</f>
        <v>-1480.3386139393306</v>
      </c>
      <c r="P2285">
        <f>-1018.68873680937 -10.3227812403948 -190.976923331063</f>
        <v>-1219.9884413808279</v>
      </c>
      <c r="Q2285">
        <f>-822.127214039787 -45.7609921488563 -325.730984809313</f>
        <v>-1193.6191909979561</v>
      </c>
      <c r="R2285" t="s">
        <v>47704</v>
      </c>
      <c r="S2285" t="s">
        <v>47705</v>
      </c>
      <c r="T2285" t="s">
        <v>47706</v>
      </c>
      <c r="U2285" t="s">
        <v>47707</v>
      </c>
      <c r="V2285" t="s">
        <v>47708</v>
      </c>
      <c r="W2285" t="s">
        <v>47709</v>
      </c>
      <c r="X2285" t="s">
        <v>47710</v>
      </c>
      <c r="Y2285" t="s">
        <v>47711</v>
      </c>
    </row>
    <row r="2286" spans="1:25" x14ac:dyDescent="0.3">
      <c r="A2286">
        <v>114250</v>
      </c>
      <c r="B2286" t="s">
        <v>47691</v>
      </c>
      <c r="C2286" t="s">
        <v>47692</v>
      </c>
      <c r="D2286" t="s">
        <v>47693</v>
      </c>
      <c r="E2286" t="s">
        <v>47694</v>
      </c>
      <c r="F2286" t="s">
        <v>47695</v>
      </c>
      <c r="G2286" t="s">
        <v>47696</v>
      </c>
      <c r="H2286" t="s">
        <v>47697</v>
      </c>
      <c r="I2286" t="s">
        <v>47698</v>
      </c>
      <c r="J2286" t="s">
        <v>47699</v>
      </c>
      <c r="K2286" t="s">
        <v>47700</v>
      </c>
      <c r="L2286" t="s">
        <v>47701</v>
      </c>
      <c r="M2286" t="s">
        <v>47702</v>
      </c>
      <c r="N2286" t="s">
        <v>47703</v>
      </c>
      <c r="O2286">
        <f>-977.630704864585 -20.5243077576356 -482.18360131711</f>
        <v>-1480.3386139393306</v>
      </c>
      <c r="P2286">
        <f>-1018.68873680937 -10.3227812403948 -190.976923331063</f>
        <v>-1219.9884413808279</v>
      </c>
      <c r="Q2286">
        <f>-822.127214039787 -45.7609921488563 -325.730984809313</f>
        <v>-1193.6191909979561</v>
      </c>
      <c r="R2286" t="s">
        <v>47704</v>
      </c>
      <c r="S2286" t="s">
        <v>47705</v>
      </c>
      <c r="T2286" t="s">
        <v>47706</v>
      </c>
      <c r="U2286" t="s">
        <v>47707</v>
      </c>
      <c r="V2286" t="s">
        <v>47708</v>
      </c>
      <c r="W2286" t="s">
        <v>47709</v>
      </c>
      <c r="X2286" t="s">
        <v>47710</v>
      </c>
      <c r="Y2286" t="s">
        <v>47711</v>
      </c>
    </row>
    <row r="2287" spans="1:25" x14ac:dyDescent="0.3">
      <c r="A2287">
        <v>114300</v>
      </c>
      <c r="B2287" t="s">
        <v>47712</v>
      </c>
      <c r="C2287" t="s">
        <v>47713</v>
      </c>
      <c r="D2287" t="s">
        <v>47714</v>
      </c>
      <c r="E2287" t="s">
        <v>47715</v>
      </c>
      <c r="F2287" t="s">
        <v>47716</v>
      </c>
      <c r="G2287" t="s">
        <v>47717</v>
      </c>
      <c r="H2287" t="s">
        <v>47718</v>
      </c>
      <c r="I2287" t="s">
        <v>47719</v>
      </c>
      <c r="J2287" t="s">
        <v>47720</v>
      </c>
      <c r="K2287" t="s">
        <v>47721</v>
      </c>
      <c r="L2287" t="s">
        <v>47722</v>
      </c>
      <c r="M2287" t="s">
        <v>47723</v>
      </c>
      <c r="N2287" t="s">
        <v>47724</v>
      </c>
      <c r="O2287">
        <f>-977.53952868636 -20.0313970306197 -482.15178052977</f>
        <v>-1479.7227062467496</v>
      </c>
      <c r="P2287">
        <f>-1018.52254551609 -10.1381921428956 -190.923824671764</f>
        <v>-1219.5845623307496</v>
      </c>
      <c r="Q2287">
        <f>-821.821753563511 -44.6124700764938 -325.724611462726</f>
        <v>-1192.1588351027308</v>
      </c>
      <c r="R2287" t="s">
        <v>47725</v>
      </c>
      <c r="S2287" t="s">
        <v>47726</v>
      </c>
      <c r="T2287" t="s">
        <v>47727</v>
      </c>
      <c r="U2287" t="s">
        <v>47728</v>
      </c>
      <c r="V2287" t="s">
        <v>47729</v>
      </c>
      <c r="W2287" t="s">
        <v>47730</v>
      </c>
      <c r="X2287" t="s">
        <v>47731</v>
      </c>
      <c r="Y2287" t="s">
        <v>47732</v>
      </c>
    </row>
    <row r="2288" spans="1:25" x14ac:dyDescent="0.3">
      <c r="A2288">
        <v>114350</v>
      </c>
      <c r="B2288" t="s">
        <v>47712</v>
      </c>
      <c r="C2288" t="s">
        <v>47713</v>
      </c>
      <c r="D2288" t="s">
        <v>47714</v>
      </c>
      <c r="E2288" t="s">
        <v>47715</v>
      </c>
      <c r="F2288" t="s">
        <v>47716</v>
      </c>
      <c r="G2288" t="s">
        <v>47717</v>
      </c>
      <c r="H2288" t="s">
        <v>47718</v>
      </c>
      <c r="I2288" t="s">
        <v>47719</v>
      </c>
      <c r="J2288" t="s">
        <v>47720</v>
      </c>
      <c r="K2288" t="s">
        <v>47721</v>
      </c>
      <c r="L2288" t="s">
        <v>47722</v>
      </c>
      <c r="M2288" t="s">
        <v>47723</v>
      </c>
      <c r="N2288" t="s">
        <v>47724</v>
      </c>
      <c r="O2288">
        <f>-977.53952868636 -20.0313970306197 -482.15178052977</f>
        <v>-1479.7227062467496</v>
      </c>
      <c r="P2288">
        <f>-1018.52254551609 -10.1381921428956 -190.923824671764</f>
        <v>-1219.5845623307496</v>
      </c>
      <c r="Q2288">
        <f>-821.821753563511 -44.6124700764938 -325.724611462726</f>
        <v>-1192.1588351027308</v>
      </c>
      <c r="R2288" t="s">
        <v>47725</v>
      </c>
      <c r="S2288" t="s">
        <v>47726</v>
      </c>
      <c r="T2288" t="s">
        <v>47727</v>
      </c>
      <c r="U2288" t="s">
        <v>47728</v>
      </c>
      <c r="V2288" t="s">
        <v>47729</v>
      </c>
      <c r="W2288" t="s">
        <v>47730</v>
      </c>
      <c r="X2288" t="s">
        <v>47731</v>
      </c>
      <c r="Y2288" t="s">
        <v>47732</v>
      </c>
    </row>
    <row r="2289" spans="1:25" x14ac:dyDescent="0.3">
      <c r="A2289">
        <v>114400</v>
      </c>
      <c r="B2289" t="s">
        <v>47733</v>
      </c>
      <c r="C2289" t="s">
        <v>47734</v>
      </c>
      <c r="D2289" t="s">
        <v>47735</v>
      </c>
      <c r="E2289" t="s">
        <v>47736</v>
      </c>
      <c r="F2289" t="s">
        <v>47737</v>
      </c>
      <c r="G2289" t="s">
        <v>47738</v>
      </c>
      <c r="H2289" t="s">
        <v>47739</v>
      </c>
      <c r="I2289" t="s">
        <v>47740</v>
      </c>
      <c r="J2289" t="s">
        <v>47741</v>
      </c>
      <c r="K2289" t="s">
        <v>47742</v>
      </c>
      <c r="L2289" t="s">
        <v>47743</v>
      </c>
      <c r="M2289" t="s">
        <v>47744</v>
      </c>
      <c r="N2289" t="s">
        <v>47745</v>
      </c>
      <c r="O2289">
        <f>-977.40712835988 -18.3305748818166 -482.253520170111</f>
        <v>-1477.9912234118076</v>
      </c>
      <c r="P2289">
        <f>-1016.66017770098 -10.7974555899568 -190.716714633192</f>
        <v>-1218.1743479241286</v>
      </c>
      <c r="Q2289">
        <f>-820.705235048487 -44.4944006254673 -326.794173448487</f>
        <v>-1191.9938091224412</v>
      </c>
      <c r="R2289" t="s">
        <v>47746</v>
      </c>
      <c r="S2289" t="s">
        <v>47747</v>
      </c>
      <c r="T2289" t="s">
        <v>47748</v>
      </c>
      <c r="U2289" t="s">
        <v>47749</v>
      </c>
      <c r="V2289" t="s">
        <v>47750</v>
      </c>
      <c r="W2289" t="s">
        <v>47751</v>
      </c>
      <c r="X2289" t="s">
        <v>47752</v>
      </c>
      <c r="Y2289" t="s">
        <v>47753</v>
      </c>
    </row>
    <row r="2290" spans="1:25" x14ac:dyDescent="0.3">
      <c r="A2290">
        <v>114450</v>
      </c>
      <c r="B2290" t="s">
        <v>47754</v>
      </c>
      <c r="C2290" t="s">
        <v>47755</v>
      </c>
      <c r="D2290" t="s">
        <v>47756</v>
      </c>
      <c r="E2290" t="s">
        <v>47757</v>
      </c>
      <c r="F2290" t="s">
        <v>47758</v>
      </c>
      <c r="G2290" t="s">
        <v>47759</v>
      </c>
      <c r="H2290" t="s">
        <v>47760</v>
      </c>
      <c r="I2290" t="s">
        <v>47761</v>
      </c>
      <c r="J2290" t="s">
        <v>47762</v>
      </c>
      <c r="K2290" t="s">
        <v>47763</v>
      </c>
      <c r="L2290" t="s">
        <v>47764</v>
      </c>
      <c r="M2290" t="s">
        <v>47765</v>
      </c>
      <c r="N2290" t="s">
        <v>47766</v>
      </c>
      <c r="O2290">
        <f>-977.44883581309 -18.1251557549895 -482.361786795267</f>
        <v>-1477.9357783633463</v>
      </c>
      <c r="P2290">
        <f>-1016.54653334121 -11.0659085993721 -190.792328060632</f>
        <v>-1218.404770001214</v>
      </c>
      <c r="Q2290">
        <f>-820.582161165502 -44.5792439853169 -326.901234175736</f>
        <v>-1192.062639326555</v>
      </c>
      <c r="R2290" t="s">
        <v>47767</v>
      </c>
      <c r="S2290" t="s">
        <v>47768</v>
      </c>
      <c r="T2290" t="s">
        <v>47769</v>
      </c>
      <c r="U2290" t="s">
        <v>47770</v>
      </c>
      <c r="V2290" t="s">
        <v>47771</v>
      </c>
      <c r="W2290" t="s">
        <v>47772</v>
      </c>
      <c r="X2290" t="s">
        <v>47773</v>
      </c>
      <c r="Y2290" t="s">
        <v>47774</v>
      </c>
    </row>
    <row r="2291" spans="1:25" x14ac:dyDescent="0.3">
      <c r="A2291">
        <v>114500</v>
      </c>
      <c r="B2291" t="s">
        <v>47775</v>
      </c>
      <c r="C2291" t="s">
        <v>47776</v>
      </c>
      <c r="D2291" t="s">
        <v>47777</v>
      </c>
      <c r="E2291" t="s">
        <v>47778</v>
      </c>
      <c r="F2291" t="s">
        <v>47779</v>
      </c>
      <c r="G2291" t="s">
        <v>47780</v>
      </c>
      <c r="H2291" t="s">
        <v>47781</v>
      </c>
      <c r="I2291" t="s">
        <v>47782</v>
      </c>
      <c r="J2291" t="s">
        <v>47783</v>
      </c>
      <c r="K2291" t="s">
        <v>47784</v>
      </c>
      <c r="L2291" t="s">
        <v>47785</v>
      </c>
      <c r="M2291" t="s">
        <v>47786</v>
      </c>
      <c r="N2291" t="s">
        <v>47787</v>
      </c>
      <c r="O2291">
        <f>-977.47919476351 -17.8386822432403 -482.603651246107</f>
        <v>-1477.9215282528573</v>
      </c>
      <c r="P2291">
        <f>-1016.30953402367 -11.5771848870104 -190.980196804498</f>
        <v>-1218.8669157151785</v>
      </c>
      <c r="Q2291">
        <f>-820.357858369714 -44.2437620613466 -327.313006498017</f>
        <v>-1191.9146269290777</v>
      </c>
      <c r="R2291" t="s">
        <v>47788</v>
      </c>
      <c r="S2291" t="s">
        <v>47789</v>
      </c>
      <c r="T2291" t="s">
        <v>47790</v>
      </c>
      <c r="U2291" t="s">
        <v>47791</v>
      </c>
      <c r="V2291" t="s">
        <v>47792</v>
      </c>
      <c r="W2291" t="s">
        <v>47793</v>
      </c>
      <c r="X2291" t="s">
        <v>47794</v>
      </c>
      <c r="Y2291" t="s">
        <v>47795</v>
      </c>
    </row>
    <row r="2292" spans="1:25" x14ac:dyDescent="0.3">
      <c r="A2292">
        <v>114550</v>
      </c>
      <c r="B2292" t="s">
        <v>47796</v>
      </c>
      <c r="C2292" t="s">
        <v>47797</v>
      </c>
      <c r="D2292" t="s">
        <v>47798</v>
      </c>
      <c r="E2292" t="s">
        <v>47799</v>
      </c>
      <c r="F2292" t="s">
        <v>47800</v>
      </c>
      <c r="G2292" t="s">
        <v>47801</v>
      </c>
      <c r="H2292" t="s">
        <v>47802</v>
      </c>
      <c r="I2292" t="s">
        <v>47803</v>
      </c>
      <c r="J2292" t="s">
        <v>47804</v>
      </c>
      <c r="K2292" t="s">
        <v>47805</v>
      </c>
      <c r="L2292" t="s">
        <v>47806</v>
      </c>
      <c r="M2292" t="s">
        <v>47807</v>
      </c>
      <c r="N2292" t="s">
        <v>47808</v>
      </c>
      <c r="O2292">
        <f>-977.596884077664 -17.7307633200835 -482.688677689273</f>
        <v>-1478.0163250870205</v>
      </c>
      <c r="P2292">
        <f>-1016.19132121311 -11.7399084521917 -191.028127845139</f>
        <v>-1218.9593575104409</v>
      </c>
      <c r="Q2292">
        <f>-820.28469572091 -44.0245044942544 -327.517016302773</f>
        <v>-1191.8262165179374</v>
      </c>
      <c r="R2292" t="s">
        <v>47809</v>
      </c>
      <c r="S2292" t="s">
        <v>47810</v>
      </c>
      <c r="T2292" t="s">
        <v>47811</v>
      </c>
      <c r="U2292" t="s">
        <v>47812</v>
      </c>
      <c r="V2292" t="s">
        <v>47813</v>
      </c>
      <c r="W2292" t="s">
        <v>47814</v>
      </c>
      <c r="X2292" t="s">
        <v>47815</v>
      </c>
      <c r="Y2292" t="s">
        <v>47816</v>
      </c>
    </row>
    <row r="2293" spans="1:25" x14ac:dyDescent="0.3">
      <c r="A2293">
        <v>114600</v>
      </c>
      <c r="B2293" t="s">
        <v>47817</v>
      </c>
      <c r="C2293" t="s">
        <v>47818</v>
      </c>
      <c r="D2293" t="s">
        <v>47819</v>
      </c>
      <c r="E2293" t="s">
        <v>47820</v>
      </c>
      <c r="F2293" t="s">
        <v>47821</v>
      </c>
      <c r="G2293" t="s">
        <v>47822</v>
      </c>
      <c r="H2293" t="s">
        <v>47823</v>
      </c>
      <c r="I2293" t="s">
        <v>47824</v>
      </c>
      <c r="J2293" t="s">
        <v>47825</v>
      </c>
      <c r="K2293" t="s">
        <v>47826</v>
      </c>
      <c r="L2293" t="s">
        <v>47827</v>
      </c>
      <c r="M2293" t="s">
        <v>47828</v>
      </c>
      <c r="N2293" t="s">
        <v>47829</v>
      </c>
      <c r="O2293">
        <f>-977.653661157832 -17.8858472060683 -482.796658476919</f>
        <v>-1478.3361668408193</v>
      </c>
      <c r="P2293">
        <f>-1015.47230205069 -12.4750538474773 -191.023331882539</f>
        <v>-1218.9706877807064</v>
      </c>
      <c r="Q2293">
        <f>-819.735441179053 -43.8361607082841 -327.970273277539</f>
        <v>-1191.541875164876</v>
      </c>
      <c r="R2293" t="s">
        <v>47830</v>
      </c>
      <c r="S2293" t="s">
        <v>47831</v>
      </c>
      <c r="T2293" t="s">
        <v>47832</v>
      </c>
      <c r="U2293" t="s">
        <v>47833</v>
      </c>
      <c r="V2293" t="s">
        <v>47834</v>
      </c>
      <c r="W2293" t="s">
        <v>47835</v>
      </c>
      <c r="X2293" t="s">
        <v>47836</v>
      </c>
      <c r="Y2293" t="s">
        <v>47837</v>
      </c>
    </row>
    <row r="2294" spans="1:25" x14ac:dyDescent="0.3">
      <c r="A2294">
        <v>114650</v>
      </c>
      <c r="B2294" t="s">
        <v>47838</v>
      </c>
      <c r="C2294" t="s">
        <v>47839</v>
      </c>
      <c r="D2294" t="s">
        <v>47840</v>
      </c>
      <c r="E2294" t="s">
        <v>47841</v>
      </c>
      <c r="F2294" t="s">
        <v>47842</v>
      </c>
      <c r="G2294" t="s">
        <v>47843</v>
      </c>
      <c r="H2294" t="s">
        <v>47844</v>
      </c>
      <c r="I2294" t="s">
        <v>47845</v>
      </c>
      <c r="J2294" t="s">
        <v>47846</v>
      </c>
      <c r="K2294" t="s">
        <v>47847</v>
      </c>
      <c r="L2294" t="s">
        <v>47848</v>
      </c>
      <c r="M2294" t="s">
        <v>47849</v>
      </c>
      <c r="N2294" t="s">
        <v>47850</v>
      </c>
      <c r="O2294">
        <f>-977.612194187878 -18.123348330394 -482.854133176024</f>
        <v>-1478.5896756942961</v>
      </c>
      <c r="P2294">
        <f>-1015.09786056077 -13.0004592529899 -191.032753078521</f>
        <v>-1219.1310728922808</v>
      </c>
      <c r="Q2294">
        <f>-819.47998718051 -43.9766887526469 -328.236747829142</f>
        <v>-1191.6934237622988</v>
      </c>
      <c r="R2294" t="s">
        <v>47851</v>
      </c>
      <c r="S2294" t="s">
        <v>47852</v>
      </c>
      <c r="T2294" t="s">
        <v>47853</v>
      </c>
      <c r="U2294" t="s">
        <v>47854</v>
      </c>
      <c r="V2294" t="s">
        <v>47855</v>
      </c>
      <c r="W2294" t="s">
        <v>47856</v>
      </c>
      <c r="X2294" t="s">
        <v>47857</v>
      </c>
      <c r="Y2294" t="s">
        <v>47858</v>
      </c>
    </row>
    <row r="2295" spans="1:25" x14ac:dyDescent="0.3">
      <c r="A2295">
        <v>114700</v>
      </c>
      <c r="B2295" t="s">
        <v>47859</v>
      </c>
      <c r="C2295" t="s">
        <v>47860</v>
      </c>
      <c r="D2295" t="s">
        <v>47861</v>
      </c>
      <c r="E2295" t="s">
        <v>47862</v>
      </c>
      <c r="F2295" t="s">
        <v>47863</v>
      </c>
      <c r="G2295" t="s">
        <v>47864</v>
      </c>
      <c r="H2295" t="s">
        <v>47865</v>
      </c>
      <c r="I2295" t="s">
        <v>47866</v>
      </c>
      <c r="J2295" t="s">
        <v>47867</v>
      </c>
      <c r="K2295" t="s">
        <v>47868</v>
      </c>
      <c r="L2295" t="s">
        <v>47869</v>
      </c>
      <c r="M2295" t="s">
        <v>47870</v>
      </c>
      <c r="N2295" t="s">
        <v>47871</v>
      </c>
      <c r="O2295">
        <f>-977.508580916629 -18.3298456875705 -482.899752370894</f>
        <v>-1478.7381789750934</v>
      </c>
      <c r="P2295">
        <f>-1014.67131941839 -13.5584365600284 -191.031103678763</f>
        <v>-1219.2608596571813</v>
      </c>
      <c r="Q2295">
        <f>-819.200079533716 -44.0293340625685 -328.556683081683</f>
        <v>-1191.7860966779676</v>
      </c>
      <c r="R2295" t="s">
        <v>47872</v>
      </c>
      <c r="S2295" t="s">
        <v>47873</v>
      </c>
      <c r="T2295" t="s">
        <v>47874</v>
      </c>
      <c r="U2295" t="s">
        <v>47875</v>
      </c>
      <c r="V2295" t="s">
        <v>47876</v>
      </c>
      <c r="W2295" t="s">
        <v>47877</v>
      </c>
      <c r="X2295" t="s">
        <v>47878</v>
      </c>
      <c r="Y2295" t="s">
        <v>47879</v>
      </c>
    </row>
    <row r="2296" spans="1:25" x14ac:dyDescent="0.3">
      <c r="A2296">
        <v>114750</v>
      </c>
      <c r="B2296" t="s">
        <v>47859</v>
      </c>
      <c r="C2296" t="s">
        <v>47860</v>
      </c>
      <c r="D2296" t="s">
        <v>47861</v>
      </c>
      <c r="E2296" t="s">
        <v>47862</v>
      </c>
      <c r="F2296" t="s">
        <v>47863</v>
      </c>
      <c r="G2296" t="s">
        <v>47864</v>
      </c>
      <c r="H2296" t="s">
        <v>47865</v>
      </c>
      <c r="I2296" t="s">
        <v>47866</v>
      </c>
      <c r="J2296" t="s">
        <v>47867</v>
      </c>
      <c r="K2296" t="s">
        <v>47868</v>
      </c>
      <c r="L2296" t="s">
        <v>47869</v>
      </c>
      <c r="M2296" t="s">
        <v>47870</v>
      </c>
      <c r="N2296" t="s">
        <v>47871</v>
      </c>
      <c r="O2296">
        <f>-977.508580916629 -18.3298456875705 -482.899752370894</f>
        <v>-1478.7381789750934</v>
      </c>
      <c r="P2296">
        <f>-1014.67131941839 -13.5584365600284 -191.031103678763</f>
        <v>-1219.2608596571813</v>
      </c>
      <c r="Q2296">
        <f>-819.200079533716 -44.0293340625685 -328.556683081683</f>
        <v>-1191.7860966779676</v>
      </c>
      <c r="R2296" t="s">
        <v>47872</v>
      </c>
      <c r="S2296" t="s">
        <v>47873</v>
      </c>
      <c r="T2296" t="s">
        <v>47874</v>
      </c>
      <c r="U2296" t="s">
        <v>47875</v>
      </c>
      <c r="V2296" t="s">
        <v>47876</v>
      </c>
      <c r="W2296" t="s">
        <v>47877</v>
      </c>
      <c r="X2296" t="s">
        <v>47878</v>
      </c>
      <c r="Y2296" t="s">
        <v>47879</v>
      </c>
    </row>
    <row r="2297" spans="1:25" x14ac:dyDescent="0.3">
      <c r="A2297">
        <v>114800</v>
      </c>
      <c r="B2297" t="s">
        <v>47880</v>
      </c>
      <c r="C2297" t="s">
        <v>47881</v>
      </c>
      <c r="D2297" t="s">
        <v>47882</v>
      </c>
      <c r="E2297" t="s">
        <v>47883</v>
      </c>
      <c r="F2297" t="s">
        <v>47884</v>
      </c>
      <c r="G2297" t="s">
        <v>47885</v>
      </c>
      <c r="H2297" t="s">
        <v>47886</v>
      </c>
      <c r="I2297" t="s">
        <v>47887</v>
      </c>
      <c r="J2297" t="s">
        <v>47888</v>
      </c>
      <c r="K2297" t="s">
        <v>47889</v>
      </c>
      <c r="L2297" t="s">
        <v>47890</v>
      </c>
      <c r="M2297" t="s">
        <v>47891</v>
      </c>
      <c r="N2297" t="s">
        <v>47892</v>
      </c>
      <c r="O2297">
        <f>-977.373254222472 -18.6346895955166 -482.914144471293</f>
        <v>-1478.9220882892816</v>
      </c>
      <c r="P2297">
        <f>-1014.19593380772 -14.2034086523931 -190.996903646447</f>
        <v>-1219.3962461065601</v>
      </c>
      <c r="Q2297">
        <f>-818.923169270802 -44.0464431007708 -328.941892768845</f>
        <v>-1191.9115051404178</v>
      </c>
      <c r="R2297" t="s">
        <v>47893</v>
      </c>
      <c r="S2297" t="s">
        <v>47894</v>
      </c>
      <c r="T2297" t="s">
        <v>47895</v>
      </c>
      <c r="U2297" t="s">
        <v>47896</v>
      </c>
      <c r="V2297" t="s">
        <v>47897</v>
      </c>
      <c r="W2297" t="s">
        <v>47898</v>
      </c>
      <c r="X2297" t="s">
        <v>47899</v>
      </c>
      <c r="Y2297" t="s">
        <v>47900</v>
      </c>
    </row>
    <row r="2298" spans="1:25" x14ac:dyDescent="0.3">
      <c r="A2298">
        <v>114850</v>
      </c>
      <c r="B2298" t="s">
        <v>47880</v>
      </c>
      <c r="C2298" t="s">
        <v>47881</v>
      </c>
      <c r="D2298" t="s">
        <v>47882</v>
      </c>
      <c r="E2298" t="s">
        <v>47883</v>
      </c>
      <c r="F2298" t="s">
        <v>47884</v>
      </c>
      <c r="G2298" t="s">
        <v>47885</v>
      </c>
      <c r="H2298" t="s">
        <v>47886</v>
      </c>
      <c r="I2298" t="s">
        <v>47887</v>
      </c>
      <c r="J2298" t="s">
        <v>47888</v>
      </c>
      <c r="K2298" t="s">
        <v>47889</v>
      </c>
      <c r="L2298" t="s">
        <v>47890</v>
      </c>
      <c r="M2298" t="s">
        <v>47891</v>
      </c>
      <c r="N2298" t="s">
        <v>47892</v>
      </c>
      <c r="O2298">
        <f>-977.373254222472 -18.6346895955166 -482.914144471293</f>
        <v>-1478.9220882892816</v>
      </c>
      <c r="P2298">
        <f>-1014.19593380772 -14.2034086523931 -190.996903646447</f>
        <v>-1219.3962461065601</v>
      </c>
      <c r="Q2298">
        <f>-818.923169270802 -44.0464431007708 -328.941892768845</f>
        <v>-1191.9115051404178</v>
      </c>
      <c r="R2298" t="s">
        <v>47893</v>
      </c>
      <c r="S2298" t="s">
        <v>47894</v>
      </c>
      <c r="T2298" t="s">
        <v>47895</v>
      </c>
      <c r="U2298" t="s">
        <v>47896</v>
      </c>
      <c r="V2298" t="s">
        <v>47897</v>
      </c>
      <c r="W2298" t="s">
        <v>47898</v>
      </c>
      <c r="X2298" t="s">
        <v>47899</v>
      </c>
      <c r="Y2298" t="s">
        <v>47900</v>
      </c>
    </row>
    <row r="2299" spans="1:25" x14ac:dyDescent="0.3">
      <c r="A2299">
        <v>114900</v>
      </c>
      <c r="B2299" t="s">
        <v>47901</v>
      </c>
      <c r="C2299" t="s">
        <v>47902</v>
      </c>
      <c r="D2299" t="s">
        <v>47903</v>
      </c>
      <c r="E2299" t="s">
        <v>47904</v>
      </c>
      <c r="F2299" t="s">
        <v>47905</v>
      </c>
      <c r="G2299" t="s">
        <v>47906</v>
      </c>
      <c r="H2299" t="s">
        <v>47907</v>
      </c>
      <c r="I2299" t="s">
        <v>47908</v>
      </c>
      <c r="J2299" t="s">
        <v>47909</v>
      </c>
      <c r="K2299" t="s">
        <v>47910</v>
      </c>
      <c r="L2299" t="s">
        <v>47911</v>
      </c>
      <c r="M2299" t="s">
        <v>47912</v>
      </c>
      <c r="N2299" t="s">
        <v>47913</v>
      </c>
      <c r="O2299">
        <f>-975.980801241121 -20.5921621009684 -482.872983690232</f>
        <v>-1479.4459470323213</v>
      </c>
      <c r="P2299">
        <f>-1010.98969172535 -16.6080734627849 -190.72621008456</f>
        <v>-1218.323975272695</v>
      </c>
      <c r="Q2299">
        <f>-816.471669217391 -43.3633065061595 -330.360733110462</f>
        <v>-1190.1957088340123</v>
      </c>
      <c r="R2299" t="s">
        <v>47914</v>
      </c>
      <c r="S2299" t="s">
        <v>47915</v>
      </c>
      <c r="T2299" t="s">
        <v>47916</v>
      </c>
      <c r="U2299" t="s">
        <v>47917</v>
      </c>
      <c r="V2299" t="s">
        <v>47918</v>
      </c>
      <c r="W2299" t="s">
        <v>47919</v>
      </c>
      <c r="X2299" t="s">
        <v>47920</v>
      </c>
      <c r="Y2299" t="s">
        <v>47921</v>
      </c>
    </row>
    <row r="2300" spans="1:25" x14ac:dyDescent="0.3">
      <c r="A2300">
        <v>114950</v>
      </c>
      <c r="B2300" t="s">
        <v>47922</v>
      </c>
      <c r="C2300" t="s">
        <v>47923</v>
      </c>
      <c r="D2300" t="s">
        <v>47924</v>
      </c>
      <c r="E2300" t="s">
        <v>47925</v>
      </c>
      <c r="F2300" t="s">
        <v>47926</v>
      </c>
      <c r="G2300" t="s">
        <v>47927</v>
      </c>
      <c r="H2300" t="s">
        <v>47928</v>
      </c>
      <c r="I2300" t="s">
        <v>47929</v>
      </c>
      <c r="J2300" t="s">
        <v>47930</v>
      </c>
      <c r="K2300" t="s">
        <v>47931</v>
      </c>
      <c r="L2300" t="s">
        <v>47932</v>
      </c>
      <c r="M2300" t="s">
        <v>47933</v>
      </c>
      <c r="N2300" t="s">
        <v>47934</v>
      </c>
      <c r="O2300">
        <f>-975.622834207503 -21.1089680277037 -483.015338804526</f>
        <v>-1479.7471410397327</v>
      </c>
      <c r="P2300">
        <f>-1010.73451339359 -17.6245119973933 -190.874524620028</f>
        <v>-1219.2335500110114</v>
      </c>
      <c r="Q2300">
        <f>-815.822889420901 -42.7740558983703 -330.25825710624</f>
        <v>-1188.8552024255114</v>
      </c>
      <c r="R2300" t="s">
        <v>47935</v>
      </c>
      <c r="S2300" t="s">
        <v>47936</v>
      </c>
      <c r="T2300" t="s">
        <v>47937</v>
      </c>
      <c r="U2300" t="s">
        <v>47938</v>
      </c>
      <c r="V2300" t="s">
        <v>47939</v>
      </c>
      <c r="W2300" t="s">
        <v>47940</v>
      </c>
      <c r="X2300" t="s">
        <v>47941</v>
      </c>
      <c r="Y2300" t="s">
        <v>47942</v>
      </c>
    </row>
    <row r="2301" spans="1:25" x14ac:dyDescent="0.3">
      <c r="A2301">
        <v>115000</v>
      </c>
      <c r="B2301" t="s">
        <v>47943</v>
      </c>
      <c r="C2301" t="s">
        <v>47944</v>
      </c>
      <c r="D2301" t="s">
        <v>47945</v>
      </c>
      <c r="E2301" t="s">
        <v>47946</v>
      </c>
      <c r="F2301" t="s">
        <v>47947</v>
      </c>
      <c r="G2301" t="s">
        <v>47948</v>
      </c>
      <c r="H2301" t="s">
        <v>47949</v>
      </c>
      <c r="I2301" t="s">
        <v>47950</v>
      </c>
      <c r="J2301" t="s">
        <v>47951</v>
      </c>
      <c r="K2301" t="s">
        <v>47952</v>
      </c>
      <c r="L2301" t="s">
        <v>47953</v>
      </c>
      <c r="M2301" t="s">
        <v>47954</v>
      </c>
      <c r="N2301" t="s">
        <v>47955</v>
      </c>
      <c r="O2301">
        <f>-975.531035488024 -21.9569883091431 -483.186003419602</f>
        <v>-1480.674027216769</v>
      </c>
      <c r="P2301">
        <f>-1010.77618295229 -18.7927320995377 -191.05763369587</f>
        <v>-1220.6265487476976</v>
      </c>
      <c r="Q2301">
        <f>-815.441054993932 -42.9295250604773 -330.027107118881</f>
        <v>-1188.3976871732903</v>
      </c>
      <c r="R2301" t="s">
        <v>47956</v>
      </c>
      <c r="S2301" t="s">
        <v>47957</v>
      </c>
      <c r="T2301" t="s">
        <v>47958</v>
      </c>
      <c r="U2301" t="s">
        <v>47959</v>
      </c>
      <c r="V2301" t="s">
        <v>47960</v>
      </c>
      <c r="W2301" t="s">
        <v>47961</v>
      </c>
      <c r="X2301" t="s">
        <v>47962</v>
      </c>
      <c r="Y2301" t="s">
        <v>47963</v>
      </c>
    </row>
    <row r="2302" spans="1:25" x14ac:dyDescent="0.3">
      <c r="A2302">
        <v>115050</v>
      </c>
      <c r="B2302" t="s">
        <v>47964</v>
      </c>
      <c r="C2302" t="s">
        <v>47965</v>
      </c>
      <c r="D2302" t="s">
        <v>47966</v>
      </c>
      <c r="E2302" t="s">
        <v>47967</v>
      </c>
      <c r="F2302" t="s">
        <v>47968</v>
      </c>
      <c r="G2302" t="s">
        <v>47969</v>
      </c>
      <c r="H2302" t="s">
        <v>47970</v>
      </c>
      <c r="I2302" t="s">
        <v>47971</v>
      </c>
      <c r="J2302" t="s">
        <v>47972</v>
      </c>
      <c r="K2302" t="s">
        <v>47973</v>
      </c>
      <c r="L2302" t="s">
        <v>47974</v>
      </c>
      <c r="M2302" t="s">
        <v>47975</v>
      </c>
      <c r="N2302" t="s">
        <v>47976</v>
      </c>
      <c r="O2302">
        <f>-975.515339225062 -22.3523838283663 -483.302746003432</f>
        <v>-1481.1704690568604</v>
      </c>
      <c r="P2302">
        <f>-1010.76462647407 -19.3382615599985 -191.173498872745</f>
        <v>-1221.2763869068137</v>
      </c>
      <c r="Q2302">
        <f>-815.262460799765 -42.9605363858714 -329.995936239907</f>
        <v>-1188.2189334255434</v>
      </c>
      <c r="R2302" t="s">
        <v>47977</v>
      </c>
      <c r="S2302" t="s">
        <v>47978</v>
      </c>
      <c r="T2302" t="s">
        <v>47979</v>
      </c>
      <c r="U2302" t="s">
        <v>47980</v>
      </c>
      <c r="V2302" t="s">
        <v>47981</v>
      </c>
      <c r="W2302" t="s">
        <v>47982</v>
      </c>
      <c r="X2302" t="s">
        <v>47983</v>
      </c>
      <c r="Y2302" t="s">
        <v>47984</v>
      </c>
    </row>
    <row r="2303" spans="1:25" x14ac:dyDescent="0.3">
      <c r="A2303">
        <v>115100</v>
      </c>
      <c r="B2303" t="s">
        <v>47985</v>
      </c>
      <c r="C2303" t="s">
        <v>47986</v>
      </c>
      <c r="D2303" t="s">
        <v>47987</v>
      </c>
      <c r="E2303" t="s">
        <v>47988</v>
      </c>
      <c r="F2303" t="s">
        <v>47989</v>
      </c>
      <c r="G2303" t="s">
        <v>47990</v>
      </c>
      <c r="H2303" t="s">
        <v>47991</v>
      </c>
      <c r="I2303" t="s">
        <v>47992</v>
      </c>
      <c r="J2303" t="s">
        <v>47993</v>
      </c>
      <c r="K2303" t="s">
        <v>47994</v>
      </c>
      <c r="L2303" t="s">
        <v>47995</v>
      </c>
      <c r="M2303" t="s">
        <v>47996</v>
      </c>
      <c r="N2303" t="s">
        <v>47997</v>
      </c>
      <c r="O2303">
        <f>-975.725665458652 -23.0852084049375 -483.515271355897</f>
        <v>-1482.3261452194865</v>
      </c>
      <c r="P2303">
        <f>-1011.00356245703 -20.5134321964374 -191.385100010488</f>
        <v>-1222.9020946639553</v>
      </c>
      <c r="Q2303">
        <f>-815.289370892952 -43.4061368460714 -330.030913229021</f>
        <v>-1188.7264209680443</v>
      </c>
      <c r="R2303" t="s">
        <v>47998</v>
      </c>
      <c r="S2303" t="s">
        <v>47999</v>
      </c>
      <c r="T2303" t="s">
        <v>48000</v>
      </c>
      <c r="U2303" t="s">
        <v>48001</v>
      </c>
      <c r="V2303" t="s">
        <v>48002</v>
      </c>
      <c r="W2303" t="s">
        <v>48003</v>
      </c>
      <c r="X2303" t="s">
        <v>48004</v>
      </c>
      <c r="Y2303" t="s">
        <v>48005</v>
      </c>
    </row>
    <row r="2304" spans="1:25" x14ac:dyDescent="0.3">
      <c r="A2304">
        <v>115150</v>
      </c>
      <c r="B2304" t="s">
        <v>48006</v>
      </c>
      <c r="C2304" t="s">
        <v>48007</v>
      </c>
      <c r="D2304" t="s">
        <v>48008</v>
      </c>
      <c r="E2304" t="s">
        <v>48009</v>
      </c>
      <c r="F2304" t="s">
        <v>48010</v>
      </c>
      <c r="G2304" t="s">
        <v>48011</v>
      </c>
      <c r="H2304" t="s">
        <v>48012</v>
      </c>
      <c r="I2304" t="s">
        <v>48013</v>
      </c>
      <c r="J2304" t="s">
        <v>48014</v>
      </c>
      <c r="K2304" t="s">
        <v>48015</v>
      </c>
      <c r="L2304" t="s">
        <v>48016</v>
      </c>
      <c r="M2304" t="s">
        <v>48017</v>
      </c>
      <c r="N2304" t="s">
        <v>48018</v>
      </c>
      <c r="O2304">
        <f>-975.966219555253 -23.3776667032785 -483.682509261964</f>
        <v>-1483.0263955204955</v>
      </c>
      <c r="P2304">
        <f>-1011.1120740026 -21.1174694068745 -191.533828475129</f>
        <v>-1223.7633718846034</v>
      </c>
      <c r="Q2304">
        <f>-815.314165452859 -43.6241232892332 -330.125036047589</f>
        <v>-1189.0633247896812</v>
      </c>
      <c r="R2304" t="s">
        <v>48019</v>
      </c>
      <c r="S2304" t="s">
        <v>48020</v>
      </c>
      <c r="T2304" t="s">
        <v>48021</v>
      </c>
      <c r="U2304" t="s">
        <v>48022</v>
      </c>
      <c r="V2304" t="s">
        <v>48023</v>
      </c>
      <c r="W2304" t="s">
        <v>48024</v>
      </c>
      <c r="X2304" t="s">
        <v>48025</v>
      </c>
      <c r="Y2304" t="s">
        <v>48026</v>
      </c>
    </row>
    <row r="2305" spans="1:25" x14ac:dyDescent="0.3">
      <c r="A2305">
        <v>115200</v>
      </c>
      <c r="B2305" t="s">
        <v>48027</v>
      </c>
      <c r="C2305" t="s">
        <v>48028</v>
      </c>
      <c r="D2305" t="s">
        <v>48029</v>
      </c>
      <c r="E2305" t="s">
        <v>48030</v>
      </c>
      <c r="F2305" t="s">
        <v>48031</v>
      </c>
      <c r="G2305" t="s">
        <v>48032</v>
      </c>
      <c r="H2305" t="s">
        <v>48033</v>
      </c>
      <c r="I2305" t="s">
        <v>48034</v>
      </c>
      <c r="J2305" t="s">
        <v>48035</v>
      </c>
      <c r="K2305" t="s">
        <v>48036</v>
      </c>
      <c r="L2305" t="s">
        <v>48037</v>
      </c>
      <c r="M2305" t="s">
        <v>48038</v>
      </c>
      <c r="N2305" t="s">
        <v>48039</v>
      </c>
      <c r="O2305">
        <f>-976.107134836372 -24.0255757596992 -484.036498059214</f>
        <v>-1484.1692086552853</v>
      </c>
      <c r="P2305">
        <f>-1010.77701462003 -22.5809385139141 -191.825770250125</f>
        <v>-1225.183723384069</v>
      </c>
      <c r="Q2305">
        <f>-814.868622759874 -43.9625586912725 -330.4387728053</f>
        <v>-1189.2699542564465</v>
      </c>
      <c r="R2305" t="s">
        <v>48040</v>
      </c>
      <c r="S2305" t="s">
        <v>48041</v>
      </c>
      <c r="T2305" t="s">
        <v>48042</v>
      </c>
      <c r="U2305" t="s">
        <v>48043</v>
      </c>
      <c r="V2305" t="s">
        <v>48044</v>
      </c>
      <c r="W2305" t="s">
        <v>48045</v>
      </c>
      <c r="X2305" t="s">
        <v>48046</v>
      </c>
      <c r="Y2305" t="s">
        <v>48047</v>
      </c>
    </row>
    <row r="2306" spans="1:25" x14ac:dyDescent="0.3">
      <c r="A2306">
        <v>115250</v>
      </c>
      <c r="B2306" t="s">
        <v>48048</v>
      </c>
      <c r="C2306" t="s">
        <v>48049</v>
      </c>
      <c r="D2306" t="s">
        <v>48050</v>
      </c>
      <c r="E2306" t="s">
        <v>48051</v>
      </c>
      <c r="F2306" t="s">
        <v>48052</v>
      </c>
      <c r="G2306" t="s">
        <v>48053</v>
      </c>
      <c r="H2306" t="s">
        <v>48054</v>
      </c>
      <c r="I2306" t="s">
        <v>48055</v>
      </c>
      <c r="J2306" t="s">
        <v>48056</v>
      </c>
      <c r="K2306" t="s">
        <v>48057</v>
      </c>
      <c r="L2306" t="s">
        <v>48058</v>
      </c>
      <c r="M2306" t="s">
        <v>48059</v>
      </c>
      <c r="N2306" t="s">
        <v>48060</v>
      </c>
      <c r="O2306">
        <f>-976.038672629474 -24.2957253188215 -484.152643793631</f>
        <v>-1484.4870417419265</v>
      </c>
      <c r="P2306">
        <f>-1010.45873727456 -23.2905222735239 -191.910594108668</f>
        <v>-1225.6598536567519</v>
      </c>
      <c r="Q2306">
        <f>-814.551297066035 -44.0574483272749 -330.618353746048</f>
        <v>-1189.227099139358</v>
      </c>
      <c r="R2306" t="s">
        <v>48061</v>
      </c>
      <c r="S2306" t="s">
        <v>48062</v>
      </c>
      <c r="T2306" t="s">
        <v>48063</v>
      </c>
      <c r="U2306" t="s">
        <v>48064</v>
      </c>
      <c r="V2306" t="s">
        <v>48065</v>
      </c>
      <c r="W2306" t="s">
        <v>48066</v>
      </c>
      <c r="X2306" t="s">
        <v>48067</v>
      </c>
      <c r="Y2306" t="s">
        <v>48068</v>
      </c>
    </row>
    <row r="2307" spans="1:25" x14ac:dyDescent="0.3">
      <c r="A2307">
        <v>115300</v>
      </c>
      <c r="B2307" t="s">
        <v>48069</v>
      </c>
      <c r="C2307" t="s">
        <v>48070</v>
      </c>
      <c r="D2307" t="s">
        <v>48071</v>
      </c>
      <c r="E2307" t="s">
        <v>48072</v>
      </c>
      <c r="F2307" t="s">
        <v>48073</v>
      </c>
      <c r="G2307" t="s">
        <v>48074</v>
      </c>
      <c r="H2307" t="s">
        <v>48075</v>
      </c>
      <c r="I2307" t="s">
        <v>48076</v>
      </c>
      <c r="J2307" t="s">
        <v>48077</v>
      </c>
      <c r="K2307" t="s">
        <v>48078</v>
      </c>
      <c r="L2307" t="s">
        <v>48079</v>
      </c>
      <c r="M2307" t="s">
        <v>48080</v>
      </c>
      <c r="N2307" t="s">
        <v>48081</v>
      </c>
      <c r="O2307">
        <f>-975.893796104388 -24.5597092508619 -484.247784824156</f>
        <v>-1484.701290179406</v>
      </c>
      <c r="P2307">
        <f>-1009.89162535367 -24.0879866470909 -191.954927757945</f>
        <v>-1225.9345397587058</v>
      </c>
      <c r="Q2307">
        <f>-814.001654244956 -43.7974475487001 -330.841473753749</f>
        <v>-1188.6405755474052</v>
      </c>
      <c r="R2307" t="s">
        <v>48082</v>
      </c>
      <c r="S2307" t="s">
        <v>48083</v>
      </c>
      <c r="T2307" t="s">
        <v>48084</v>
      </c>
      <c r="U2307" t="s">
        <v>48085</v>
      </c>
      <c r="V2307" t="s">
        <v>48086</v>
      </c>
      <c r="W2307" t="s">
        <v>48087</v>
      </c>
      <c r="X2307" t="s">
        <v>48088</v>
      </c>
      <c r="Y2307" t="s">
        <v>48089</v>
      </c>
    </row>
    <row r="2308" spans="1:25" x14ac:dyDescent="0.3">
      <c r="A2308">
        <v>115350</v>
      </c>
      <c r="B2308" t="s">
        <v>48090</v>
      </c>
      <c r="C2308" t="s">
        <v>48091</v>
      </c>
      <c r="D2308" t="s">
        <v>48092</v>
      </c>
      <c r="E2308" t="s">
        <v>48093</v>
      </c>
      <c r="F2308" t="s">
        <v>48094</v>
      </c>
      <c r="G2308" t="s">
        <v>48095</v>
      </c>
      <c r="H2308" t="s">
        <v>48096</v>
      </c>
      <c r="I2308" t="s">
        <v>48097</v>
      </c>
      <c r="J2308" t="s">
        <v>48098</v>
      </c>
      <c r="K2308" t="s">
        <v>48099</v>
      </c>
      <c r="L2308" t="s">
        <v>48100</v>
      </c>
      <c r="M2308" t="s">
        <v>48101</v>
      </c>
      <c r="N2308" t="s">
        <v>48102</v>
      </c>
      <c r="O2308">
        <f>-975.979988520967 -24.5546645330846 -484.249050359711</f>
        <v>-1484.7837034137626</v>
      </c>
      <c r="P2308">
        <f>-1009.87977557771 -24.2531804664732 -191.944589109469</f>
        <v>-1226.0775451536522</v>
      </c>
      <c r="Q2308">
        <f>-813.888914844772 -43.6294232069411 -330.73564215207</f>
        <v>-1188.2539802037832</v>
      </c>
      <c r="R2308" t="s">
        <v>48103</v>
      </c>
      <c r="S2308" t="s">
        <v>48104</v>
      </c>
      <c r="T2308" t="s">
        <v>48105</v>
      </c>
      <c r="U2308" t="s">
        <v>48106</v>
      </c>
      <c r="V2308" t="s">
        <v>48107</v>
      </c>
      <c r="W2308" t="s">
        <v>48108</v>
      </c>
      <c r="X2308" t="s">
        <v>48109</v>
      </c>
      <c r="Y2308" t="s">
        <v>48110</v>
      </c>
    </row>
    <row r="2309" spans="1:25" x14ac:dyDescent="0.3">
      <c r="A2309">
        <v>115400</v>
      </c>
      <c r="B2309" t="s">
        <v>48111</v>
      </c>
      <c r="C2309" t="s">
        <v>48112</v>
      </c>
      <c r="D2309" t="s">
        <v>48113</v>
      </c>
      <c r="E2309" t="s">
        <v>48114</v>
      </c>
      <c r="F2309" t="s">
        <v>48115</v>
      </c>
      <c r="G2309" t="s">
        <v>48116</v>
      </c>
      <c r="H2309" t="s">
        <v>48117</v>
      </c>
      <c r="I2309" t="s">
        <v>48118</v>
      </c>
      <c r="J2309" t="s">
        <v>48119</v>
      </c>
      <c r="K2309" t="s">
        <v>48120</v>
      </c>
      <c r="L2309" t="s">
        <v>48121</v>
      </c>
      <c r="M2309" t="s">
        <v>48122</v>
      </c>
      <c r="N2309" t="s">
        <v>48123</v>
      </c>
      <c r="O2309">
        <f>-976.36362457259 -24.5929803407121 -484.258412937329</f>
        <v>-1485.2150178506311</v>
      </c>
      <c r="P2309">
        <f>-1010.23246709545 -24.5781597747941 -191.950234138683</f>
        <v>-1226.7608610089271</v>
      </c>
      <c r="Q2309">
        <f>-813.868709762811 -43.4873650466816 -330.277971339762</f>
        <v>-1187.6340461492546</v>
      </c>
      <c r="R2309" t="s">
        <v>48124</v>
      </c>
      <c r="S2309" t="s">
        <v>48125</v>
      </c>
      <c r="T2309" t="s">
        <v>48126</v>
      </c>
      <c r="U2309" t="s">
        <v>48127</v>
      </c>
      <c r="V2309" t="s">
        <v>48128</v>
      </c>
      <c r="W2309" t="s">
        <v>48129</v>
      </c>
      <c r="X2309" t="s">
        <v>48130</v>
      </c>
      <c r="Y2309" t="s">
        <v>48131</v>
      </c>
    </row>
    <row r="2310" spans="1:25" x14ac:dyDescent="0.3">
      <c r="A2310">
        <v>115450</v>
      </c>
      <c r="B2310" t="s">
        <v>48132</v>
      </c>
      <c r="C2310" t="s">
        <v>48133</v>
      </c>
      <c r="D2310" t="s">
        <v>48134</v>
      </c>
      <c r="E2310" t="s">
        <v>48135</v>
      </c>
      <c r="F2310" t="s">
        <v>48136</v>
      </c>
      <c r="G2310" t="s">
        <v>48137</v>
      </c>
      <c r="H2310" t="s">
        <v>48138</v>
      </c>
      <c r="I2310" t="s">
        <v>48139</v>
      </c>
      <c r="J2310" t="s">
        <v>48140</v>
      </c>
      <c r="K2310" t="s">
        <v>48141</v>
      </c>
      <c r="L2310" t="s">
        <v>48142</v>
      </c>
      <c r="M2310" t="s">
        <v>48143</v>
      </c>
      <c r="N2310" t="s">
        <v>48144</v>
      </c>
      <c r="O2310">
        <f>-976.576270295859 -24.640970665283 -484.264106215034</f>
        <v>-1485.4813471761761</v>
      </c>
      <c r="P2310">
        <f>-1010.4535448026 -24.653810194719 -191.956790255473</f>
        <v>-1227.0641452527921</v>
      </c>
      <c r="Q2310">
        <f>-813.942288612585 -43.4751401899184 -330.086928857658</f>
        <v>-1187.5043576601615</v>
      </c>
      <c r="R2310" t="s">
        <v>48145</v>
      </c>
      <c r="S2310" t="s">
        <v>48146</v>
      </c>
      <c r="T2310" t="s">
        <v>48147</v>
      </c>
      <c r="U2310" t="s">
        <v>48148</v>
      </c>
      <c r="V2310" t="s">
        <v>48149</v>
      </c>
      <c r="W2310" t="s">
        <v>48150</v>
      </c>
      <c r="X2310" t="s">
        <v>48151</v>
      </c>
      <c r="Y2310" t="s">
        <v>48152</v>
      </c>
    </row>
    <row r="2311" spans="1:25" x14ac:dyDescent="0.3">
      <c r="A2311">
        <v>115500</v>
      </c>
      <c r="B2311" t="s">
        <v>48153</v>
      </c>
      <c r="C2311" t="s">
        <v>48154</v>
      </c>
      <c r="D2311" t="s">
        <v>48155</v>
      </c>
      <c r="E2311" t="s">
        <v>48156</v>
      </c>
      <c r="F2311" t="s">
        <v>48157</v>
      </c>
      <c r="G2311" t="s">
        <v>48158</v>
      </c>
      <c r="H2311" t="s">
        <v>48159</v>
      </c>
      <c r="I2311" t="s">
        <v>48160</v>
      </c>
      <c r="J2311" t="s">
        <v>48161</v>
      </c>
      <c r="K2311" t="s">
        <v>48162</v>
      </c>
      <c r="L2311" t="s">
        <v>48163</v>
      </c>
      <c r="M2311" t="s">
        <v>48164</v>
      </c>
      <c r="N2311" t="s">
        <v>48165</v>
      </c>
      <c r="O2311">
        <f>-976.951943687801 -24.8374404634237 -484.253269502574</f>
        <v>-1486.0426536537987</v>
      </c>
      <c r="P2311">
        <f>-1010.88715758839 -24.6659525193372 -191.95270517757</f>
        <v>-1227.5058152852971</v>
      </c>
      <c r="Q2311">
        <f>-814.217844679563 -43.5694600754373 -329.846885466114</f>
        <v>-1187.6341902211143</v>
      </c>
      <c r="R2311" t="s">
        <v>48166</v>
      </c>
      <c r="S2311" t="s">
        <v>48167</v>
      </c>
      <c r="T2311" t="s">
        <v>48168</v>
      </c>
      <c r="U2311" t="s">
        <v>48169</v>
      </c>
      <c r="V2311" t="s">
        <v>48170</v>
      </c>
      <c r="W2311" t="s">
        <v>48171</v>
      </c>
      <c r="X2311" t="s">
        <v>48172</v>
      </c>
      <c r="Y2311" t="s">
        <v>48173</v>
      </c>
    </row>
    <row r="2312" spans="1:25" x14ac:dyDescent="0.3">
      <c r="A2312">
        <v>115550</v>
      </c>
      <c r="B2312" t="s">
        <v>48174</v>
      </c>
      <c r="C2312" t="s">
        <v>48175</v>
      </c>
      <c r="D2312" t="s">
        <v>48176</v>
      </c>
      <c r="E2312" t="s">
        <v>48177</v>
      </c>
      <c r="F2312" t="s">
        <v>48178</v>
      </c>
      <c r="G2312" t="s">
        <v>48179</v>
      </c>
      <c r="H2312" t="s">
        <v>48180</v>
      </c>
      <c r="I2312" t="s">
        <v>48181</v>
      </c>
      <c r="J2312" t="s">
        <v>48182</v>
      </c>
      <c r="K2312" t="s">
        <v>48183</v>
      </c>
      <c r="L2312" t="s">
        <v>48184</v>
      </c>
      <c r="M2312" t="s">
        <v>48185</v>
      </c>
      <c r="N2312" t="s">
        <v>48186</v>
      </c>
      <c r="O2312">
        <f>-977.121300868914 -24.9173253369609 -484.241613961401</f>
        <v>-1486.2802401672759</v>
      </c>
      <c r="P2312">
        <f>-1011.04390300163 -24.7601718852347 -191.939552031185</f>
        <v>-1227.7436269180498</v>
      </c>
      <c r="Q2312">
        <f>-814.371805449262 -43.6230060067467 -329.835066912581</f>
        <v>-1187.8298783685896</v>
      </c>
      <c r="R2312" t="s">
        <v>48187</v>
      </c>
      <c r="S2312" t="s">
        <v>48188</v>
      </c>
      <c r="T2312" t="s">
        <v>48189</v>
      </c>
      <c r="U2312" t="s">
        <v>48190</v>
      </c>
      <c r="V2312" t="s">
        <v>48191</v>
      </c>
      <c r="W2312" t="s">
        <v>48192</v>
      </c>
      <c r="X2312" t="s">
        <v>48193</v>
      </c>
      <c r="Y2312" t="s">
        <v>48194</v>
      </c>
    </row>
    <row r="2313" spans="1:25" x14ac:dyDescent="0.3">
      <c r="A2313">
        <v>115600</v>
      </c>
      <c r="B2313" t="s">
        <v>48195</v>
      </c>
      <c r="C2313" t="s">
        <v>48196</v>
      </c>
      <c r="D2313" t="s">
        <v>48197</v>
      </c>
      <c r="E2313" t="s">
        <v>48198</v>
      </c>
      <c r="F2313" t="s">
        <v>48199</v>
      </c>
      <c r="G2313" t="s">
        <v>48200</v>
      </c>
      <c r="H2313" t="s">
        <v>48201</v>
      </c>
      <c r="I2313" t="s">
        <v>48202</v>
      </c>
      <c r="J2313" t="s">
        <v>48203</v>
      </c>
      <c r="K2313" t="s">
        <v>48204</v>
      </c>
      <c r="L2313" t="s">
        <v>48205</v>
      </c>
      <c r="M2313" t="s">
        <v>48206</v>
      </c>
      <c r="N2313" t="s">
        <v>48207</v>
      </c>
      <c r="O2313">
        <f>-977.159053126654 -25.0746732932398 -484.270908680376</f>
        <v>-1486.5046351002698</v>
      </c>
      <c r="P2313">
        <f>-1011.062754967 -25.1078125974486 -191.966694424952</f>
        <v>-1228.1372619894007</v>
      </c>
      <c r="Q2313">
        <f>-814.35646627898 -43.7830494316986 -329.838904576784</f>
        <v>-1187.9784202874625</v>
      </c>
      <c r="R2313" t="s">
        <v>48208</v>
      </c>
      <c r="S2313" t="s">
        <v>48209</v>
      </c>
      <c r="T2313" t="s">
        <v>48210</v>
      </c>
      <c r="U2313" t="s">
        <v>48211</v>
      </c>
      <c r="V2313" t="s">
        <v>48212</v>
      </c>
      <c r="W2313" t="s">
        <v>48213</v>
      </c>
      <c r="X2313" t="s">
        <v>48214</v>
      </c>
      <c r="Y2313" t="s">
        <v>48215</v>
      </c>
    </row>
    <row r="2314" spans="1:25" x14ac:dyDescent="0.3">
      <c r="A2314">
        <v>115650</v>
      </c>
      <c r="B2314" t="s">
        <v>48216</v>
      </c>
      <c r="C2314" t="s">
        <v>48217</v>
      </c>
      <c r="D2314" t="s">
        <v>48218</v>
      </c>
      <c r="E2314" t="s">
        <v>48219</v>
      </c>
      <c r="F2314" t="s">
        <v>48220</v>
      </c>
      <c r="G2314" t="s">
        <v>48221</v>
      </c>
      <c r="H2314" t="s">
        <v>48222</v>
      </c>
      <c r="I2314" t="s">
        <v>48223</v>
      </c>
      <c r="J2314" t="s">
        <v>48224</v>
      </c>
      <c r="K2314" t="s">
        <v>48225</v>
      </c>
      <c r="L2314" t="s">
        <v>48226</v>
      </c>
      <c r="M2314" t="s">
        <v>48227</v>
      </c>
      <c r="N2314" t="s">
        <v>48228</v>
      </c>
      <c r="O2314">
        <f>-977.150701245206 -25.2241896484652 -484.265229049981</f>
        <v>-1486.6401199436523</v>
      </c>
      <c r="P2314">
        <f>-1011.06588209226 -25.4015261447817 -191.962469489317</f>
        <v>-1228.4298777263589</v>
      </c>
      <c r="Q2314">
        <f>-814.345705382989 -43.8426056136775 -329.846257191432</f>
        <v>-1188.0345681880985</v>
      </c>
      <c r="R2314" t="s">
        <v>48229</v>
      </c>
      <c r="S2314" t="s">
        <v>48230</v>
      </c>
      <c r="T2314" t="s">
        <v>48231</v>
      </c>
      <c r="U2314" t="s">
        <v>48232</v>
      </c>
      <c r="V2314" t="s">
        <v>48233</v>
      </c>
      <c r="W2314" t="s">
        <v>48234</v>
      </c>
      <c r="X2314" t="s">
        <v>48235</v>
      </c>
      <c r="Y2314" t="s">
        <v>48236</v>
      </c>
    </row>
    <row r="2315" spans="1:25" x14ac:dyDescent="0.3">
      <c r="A2315">
        <v>115700</v>
      </c>
      <c r="B2315" t="s">
        <v>48237</v>
      </c>
      <c r="C2315" t="s">
        <v>48238</v>
      </c>
      <c r="D2315" t="s">
        <v>48239</v>
      </c>
      <c r="E2315" t="s">
        <v>48240</v>
      </c>
      <c r="F2315" t="s">
        <v>48241</v>
      </c>
      <c r="G2315" t="s">
        <v>48242</v>
      </c>
      <c r="H2315" t="s">
        <v>48243</v>
      </c>
      <c r="I2315" t="s">
        <v>48244</v>
      </c>
      <c r="J2315" t="s">
        <v>48245</v>
      </c>
      <c r="K2315" t="s">
        <v>48246</v>
      </c>
      <c r="L2315" t="s">
        <v>48247</v>
      </c>
      <c r="M2315" t="s">
        <v>48248</v>
      </c>
      <c r="N2315" t="s">
        <v>48249</v>
      </c>
      <c r="O2315">
        <f>-976.725471518077 -25.7674653195818 -484.220640595204</f>
        <v>-1486.7135774328628</v>
      </c>
      <c r="P2315">
        <f>-1010.55015564533 -26.1508993256125 -191.90758141962</f>
        <v>-1228.6086363905624</v>
      </c>
      <c r="Q2315">
        <f>-813.76936285005 -44.0890171375424 -329.77143269496</f>
        <v>-1187.6298126825525</v>
      </c>
      <c r="R2315" t="s">
        <v>48250</v>
      </c>
      <c r="S2315" t="s">
        <v>48251</v>
      </c>
      <c r="T2315" t="s">
        <v>48252</v>
      </c>
      <c r="U2315" t="s">
        <v>48253</v>
      </c>
      <c r="V2315" t="s">
        <v>48254</v>
      </c>
      <c r="W2315" t="s">
        <v>48255</v>
      </c>
      <c r="X2315" t="s">
        <v>48256</v>
      </c>
      <c r="Y2315" t="s">
        <v>48257</v>
      </c>
    </row>
    <row r="2316" spans="1:25" x14ac:dyDescent="0.3">
      <c r="A2316">
        <v>115750</v>
      </c>
      <c r="B2316" t="s">
        <v>48258</v>
      </c>
      <c r="C2316" t="s">
        <v>48259</v>
      </c>
      <c r="D2316" t="s">
        <v>48260</v>
      </c>
      <c r="E2316" t="s">
        <v>48261</v>
      </c>
      <c r="F2316" t="s">
        <v>48262</v>
      </c>
      <c r="G2316" t="s">
        <v>48263</v>
      </c>
      <c r="H2316" t="s">
        <v>48264</v>
      </c>
      <c r="I2316" t="s">
        <v>48265</v>
      </c>
      <c r="J2316" t="s">
        <v>48266</v>
      </c>
      <c r="K2316" t="s">
        <v>48267</v>
      </c>
      <c r="L2316" t="s">
        <v>48268</v>
      </c>
      <c r="M2316" t="s">
        <v>48269</v>
      </c>
      <c r="N2316" t="s">
        <v>48270</v>
      </c>
      <c r="O2316">
        <f>-976.379751538282 -25.8213321735007 -484.21894342078</f>
        <v>-1486.4200271325626</v>
      </c>
      <c r="P2316">
        <f>-1010.09159230489 -26.2885662855329 -191.892875425032</f>
        <v>-1228.2730340154549</v>
      </c>
      <c r="Q2316">
        <f>-813.31930946389 -43.8413869530914 -329.818373192411</f>
        <v>-1186.9790696093924</v>
      </c>
      <c r="R2316" t="s">
        <v>48271</v>
      </c>
      <c r="S2316" t="s">
        <v>48272</v>
      </c>
      <c r="T2316" t="s">
        <v>48273</v>
      </c>
      <c r="U2316" t="s">
        <v>48274</v>
      </c>
      <c r="V2316" t="s">
        <v>48275</v>
      </c>
      <c r="W2316" t="s">
        <v>48276</v>
      </c>
      <c r="X2316" t="s">
        <v>48277</v>
      </c>
      <c r="Y2316" t="s">
        <v>48278</v>
      </c>
    </row>
    <row r="2317" spans="1:25" x14ac:dyDescent="0.3">
      <c r="A2317">
        <v>115800</v>
      </c>
      <c r="B2317" t="s">
        <v>48279</v>
      </c>
      <c r="C2317" t="s">
        <v>48280</v>
      </c>
      <c r="D2317" t="s">
        <v>48281</v>
      </c>
      <c r="E2317" t="s">
        <v>48282</v>
      </c>
      <c r="F2317" t="s">
        <v>48283</v>
      </c>
      <c r="G2317" t="s">
        <v>48284</v>
      </c>
      <c r="H2317" t="s">
        <v>48285</v>
      </c>
      <c r="I2317" t="s">
        <v>48286</v>
      </c>
      <c r="J2317" t="s">
        <v>48287</v>
      </c>
      <c r="K2317" t="s">
        <v>48288</v>
      </c>
      <c r="L2317" t="s">
        <v>48289</v>
      </c>
      <c r="M2317" t="s">
        <v>48290</v>
      </c>
      <c r="N2317" t="s">
        <v>48291</v>
      </c>
      <c r="O2317">
        <f>-975.392072319177 -25.702272199389 -484.331381127115</f>
        <v>-1485.425725645681</v>
      </c>
      <c r="P2317">
        <f>-1009.02035543709 -26.2332080943397 -191.995803618501</f>
        <v>-1227.2493671499305</v>
      </c>
      <c r="Q2317">
        <f>-812.178124212231 -43.2067147848852 -329.893780488425</f>
        <v>-1185.2786194855412</v>
      </c>
      <c r="R2317" t="s">
        <v>48292</v>
      </c>
      <c r="S2317" t="s">
        <v>48293</v>
      </c>
      <c r="T2317" t="s">
        <v>48294</v>
      </c>
      <c r="U2317" t="s">
        <v>48295</v>
      </c>
      <c r="V2317" t="s">
        <v>48296</v>
      </c>
      <c r="W2317" t="s">
        <v>48297</v>
      </c>
      <c r="X2317" t="s">
        <v>48298</v>
      </c>
      <c r="Y2317" t="s">
        <v>48299</v>
      </c>
    </row>
    <row r="2318" spans="1:25" x14ac:dyDescent="0.3">
      <c r="A2318">
        <v>115850</v>
      </c>
      <c r="B2318" t="s">
        <v>48300</v>
      </c>
      <c r="C2318" t="s">
        <v>48301</v>
      </c>
      <c r="D2318" t="s">
        <v>48302</v>
      </c>
      <c r="E2318" t="s">
        <v>48303</v>
      </c>
      <c r="F2318" t="s">
        <v>48304</v>
      </c>
      <c r="G2318" t="s">
        <v>48305</v>
      </c>
      <c r="H2318" t="s">
        <v>48306</v>
      </c>
      <c r="I2318" t="s">
        <v>48307</v>
      </c>
      <c r="J2318" t="s">
        <v>48308</v>
      </c>
      <c r="K2318" t="s">
        <v>48309</v>
      </c>
      <c r="L2318" t="s">
        <v>48310</v>
      </c>
      <c r="M2318" t="s">
        <v>48311</v>
      </c>
      <c r="N2318" t="s">
        <v>48312</v>
      </c>
      <c r="O2318">
        <f>-974.736116992834 -25.7018582407572 -484.452423407247</f>
        <v>-1484.8903986408382</v>
      </c>
      <c r="P2318">
        <f>-1008.32302145737 -26.3609381710748 -192.112231145098</f>
        <v>-1226.796190773543</v>
      </c>
      <c r="Q2318">
        <f>-811.405867955857 -42.8803746714577 -329.959032643778</f>
        <v>-1184.2452752710929</v>
      </c>
      <c r="R2318" t="s">
        <v>48313</v>
      </c>
      <c r="S2318" t="s">
        <v>48314</v>
      </c>
      <c r="T2318" t="s">
        <v>48315</v>
      </c>
      <c r="U2318" t="s">
        <v>48316</v>
      </c>
      <c r="V2318" t="s">
        <v>48317</v>
      </c>
      <c r="W2318" t="s">
        <v>48318</v>
      </c>
      <c r="X2318" t="s">
        <v>48319</v>
      </c>
      <c r="Y2318" t="s">
        <v>48320</v>
      </c>
    </row>
    <row r="2319" spans="1:25" x14ac:dyDescent="0.3">
      <c r="A2319">
        <v>115900</v>
      </c>
      <c r="B2319" t="s">
        <v>48321</v>
      </c>
      <c r="C2319" t="s">
        <v>48322</v>
      </c>
      <c r="D2319" t="s">
        <v>48323</v>
      </c>
      <c r="E2319" t="s">
        <v>48324</v>
      </c>
      <c r="F2319" t="s">
        <v>48325</v>
      </c>
      <c r="G2319" t="s">
        <v>48326</v>
      </c>
      <c r="H2319" t="s">
        <v>48327</v>
      </c>
      <c r="I2319" t="s">
        <v>48328</v>
      </c>
      <c r="J2319" t="s">
        <v>48329</v>
      </c>
      <c r="K2319" t="s">
        <v>48330</v>
      </c>
      <c r="L2319" t="s">
        <v>48331</v>
      </c>
      <c r="M2319" t="s">
        <v>48332</v>
      </c>
      <c r="N2319" t="s">
        <v>48333</v>
      </c>
      <c r="O2319">
        <f>-973.40279349128 -25.7840740554348 -484.657063281904</f>
        <v>-1483.8439308286188</v>
      </c>
      <c r="P2319">
        <f>-1006.85874989418 -26.8330512161706 -192.303253556275</f>
        <v>-1225.9950546666257</v>
      </c>
      <c r="Q2319">
        <f>-809.830065707133 -42.3771945473759 -330.103230762459</f>
        <v>-1182.3104910169679</v>
      </c>
      <c r="R2319" t="s">
        <v>48334</v>
      </c>
      <c r="S2319" t="s">
        <v>48335</v>
      </c>
      <c r="T2319" t="s">
        <v>48336</v>
      </c>
      <c r="U2319" t="s">
        <v>48337</v>
      </c>
      <c r="V2319" t="s">
        <v>48338</v>
      </c>
      <c r="W2319" t="s">
        <v>48339</v>
      </c>
      <c r="X2319" t="s">
        <v>48340</v>
      </c>
      <c r="Y2319" t="s">
        <v>48341</v>
      </c>
    </row>
    <row r="2320" spans="1:25" x14ac:dyDescent="0.3">
      <c r="A2320">
        <v>115950</v>
      </c>
      <c r="B2320" t="s">
        <v>48342</v>
      </c>
      <c r="C2320" t="s">
        <v>48343</v>
      </c>
      <c r="D2320" t="s">
        <v>48344</v>
      </c>
      <c r="E2320" t="s">
        <v>48345</v>
      </c>
      <c r="F2320" t="s">
        <v>48346</v>
      </c>
      <c r="G2320" t="s">
        <v>48347</v>
      </c>
      <c r="H2320" t="s">
        <v>48348</v>
      </c>
      <c r="I2320" t="s">
        <v>48349</v>
      </c>
      <c r="J2320" t="s">
        <v>48350</v>
      </c>
      <c r="K2320" t="s">
        <v>48351</v>
      </c>
      <c r="L2320" t="s">
        <v>48352</v>
      </c>
      <c r="M2320" t="s">
        <v>48353</v>
      </c>
      <c r="N2320" t="s">
        <v>48354</v>
      </c>
      <c r="O2320">
        <f>-972.958151694445 -25.940589731315 -484.650329919998</f>
        <v>-1483.549071345758</v>
      </c>
      <c r="P2320">
        <f>-1006.28023549384 -27.0109545640507 -192.281126929085</f>
        <v>-1225.5723169869757</v>
      </c>
      <c r="Q2320">
        <f>-809.281466923866 -42.1084256877739 -330.173924069578</f>
        <v>-1181.5638166812178</v>
      </c>
      <c r="R2320" t="s">
        <v>48355</v>
      </c>
      <c r="S2320" t="s">
        <v>48356</v>
      </c>
      <c r="T2320" t="s">
        <v>48357</v>
      </c>
      <c r="U2320" t="s">
        <v>48358</v>
      </c>
      <c r="V2320" t="s">
        <v>48359</v>
      </c>
      <c r="W2320" t="s">
        <v>48360</v>
      </c>
      <c r="X2320" t="s">
        <v>48361</v>
      </c>
      <c r="Y2320" t="s">
        <v>48362</v>
      </c>
    </row>
    <row r="2321" spans="1:25" x14ac:dyDescent="0.3">
      <c r="A2321">
        <v>116000</v>
      </c>
      <c r="B2321" t="s">
        <v>48363</v>
      </c>
      <c r="C2321" t="s">
        <v>48364</v>
      </c>
      <c r="D2321" t="s">
        <v>48365</v>
      </c>
      <c r="E2321" t="s">
        <v>48366</v>
      </c>
      <c r="F2321" t="s">
        <v>48367</v>
      </c>
      <c r="G2321" t="s">
        <v>48368</v>
      </c>
      <c r="H2321" t="s">
        <v>48369</v>
      </c>
      <c r="I2321" t="s">
        <v>48370</v>
      </c>
      <c r="J2321" t="s">
        <v>48371</v>
      </c>
      <c r="K2321" t="s">
        <v>48372</v>
      </c>
      <c r="L2321" t="s">
        <v>48373</v>
      </c>
      <c r="M2321" t="s">
        <v>48374</v>
      </c>
      <c r="N2321" t="s">
        <v>48375</v>
      </c>
      <c r="O2321">
        <f>-972.529265083108 -26.2931922721209 -484.602337859565</f>
        <v>-1483.4247952147939</v>
      </c>
      <c r="P2321">
        <f>-1005.72147814813 -27.4444598708264 -192.218714677858</f>
        <v>-1225.3846526968146</v>
      </c>
      <c r="Q2321">
        <f>-808.903409427443 -41.6875633053205 -330.459853642744</f>
        <v>-1181.0508263755075</v>
      </c>
      <c r="R2321" t="s">
        <v>48376</v>
      </c>
      <c r="S2321" t="s">
        <v>48377</v>
      </c>
      <c r="T2321" t="s">
        <v>48378</v>
      </c>
      <c r="U2321" t="s">
        <v>48379</v>
      </c>
      <c r="V2321" t="s">
        <v>48380</v>
      </c>
      <c r="W2321" t="s">
        <v>48381</v>
      </c>
      <c r="X2321" t="s">
        <v>48382</v>
      </c>
      <c r="Y2321" t="s">
        <v>48383</v>
      </c>
    </row>
    <row r="2322" spans="1:25" x14ac:dyDescent="0.3">
      <c r="A2322">
        <v>116050</v>
      </c>
      <c r="B2322" t="s">
        <v>48384</v>
      </c>
      <c r="C2322" t="s">
        <v>48385</v>
      </c>
      <c r="D2322" t="s">
        <v>48386</v>
      </c>
      <c r="E2322" t="s">
        <v>48387</v>
      </c>
      <c r="F2322" t="s">
        <v>48388</v>
      </c>
      <c r="G2322" t="s">
        <v>48389</v>
      </c>
      <c r="H2322" t="s">
        <v>48390</v>
      </c>
      <c r="I2322" t="s">
        <v>48391</v>
      </c>
      <c r="J2322" t="s">
        <v>48392</v>
      </c>
      <c r="K2322" t="s">
        <v>48393</v>
      </c>
      <c r="L2322" t="s">
        <v>48394</v>
      </c>
      <c r="M2322" t="s">
        <v>48395</v>
      </c>
      <c r="N2322" t="s">
        <v>48396</v>
      </c>
      <c r="O2322">
        <f>-972.409015253342 -26.3831893608049 -484.644540260447</f>
        <v>-1483.4367448745938</v>
      </c>
      <c r="P2322">
        <f>-1005.60780936732 -27.5927372661317 -192.261952355337</f>
        <v>-1225.4624989887886</v>
      </c>
      <c r="Q2322">
        <f>-808.735637598826 -41.494086130084 -330.460909079921</f>
        <v>-1180.690632808831</v>
      </c>
      <c r="R2322" t="s">
        <v>48397</v>
      </c>
      <c r="S2322" t="s">
        <v>48398</v>
      </c>
      <c r="T2322" t="s">
        <v>48399</v>
      </c>
      <c r="U2322" t="s">
        <v>48400</v>
      </c>
      <c r="V2322" t="s">
        <v>48401</v>
      </c>
      <c r="W2322" t="s">
        <v>48402</v>
      </c>
      <c r="X2322" t="s">
        <v>48403</v>
      </c>
      <c r="Y2322" t="s">
        <v>48404</v>
      </c>
    </row>
    <row r="2323" spans="1:25" x14ac:dyDescent="0.3">
      <c r="A2323">
        <v>116100</v>
      </c>
      <c r="B2323" t="s">
        <v>48405</v>
      </c>
      <c r="C2323" t="s">
        <v>48406</v>
      </c>
      <c r="D2323" t="s">
        <v>48407</v>
      </c>
      <c r="E2323" t="s">
        <v>48408</v>
      </c>
      <c r="F2323" t="s">
        <v>48409</v>
      </c>
      <c r="G2323" t="s">
        <v>48410</v>
      </c>
      <c r="H2323" t="s">
        <v>48411</v>
      </c>
      <c r="I2323" t="s">
        <v>48412</v>
      </c>
      <c r="J2323" t="s">
        <v>48413</v>
      </c>
      <c r="K2323" t="s">
        <v>48414</v>
      </c>
      <c r="L2323" t="s">
        <v>48415</v>
      </c>
      <c r="M2323" t="s">
        <v>48416</v>
      </c>
      <c r="N2323" t="s">
        <v>48417</v>
      </c>
      <c r="O2323">
        <f>-972.313763052903 -26.6483707265324 -484.72960974335</f>
        <v>-1483.6917435227856</v>
      </c>
      <c r="P2323">
        <f>-1005.5245419092 -28.272453930987 -192.350411993388</f>
        <v>-1226.147407833575</v>
      </c>
      <c r="Q2323">
        <f>-808.541972287067 -41.5000195144044 -330.458367791704</f>
        <v>-1180.5003595931753</v>
      </c>
      <c r="R2323" t="s">
        <v>48418</v>
      </c>
      <c r="S2323" t="s">
        <v>48419</v>
      </c>
      <c r="T2323" t="s">
        <v>48420</v>
      </c>
      <c r="U2323" t="s">
        <v>48421</v>
      </c>
      <c r="V2323" t="s">
        <v>48422</v>
      </c>
      <c r="W2323" t="s">
        <v>48423</v>
      </c>
      <c r="X2323" t="s">
        <v>48424</v>
      </c>
      <c r="Y2323" t="s">
        <v>48425</v>
      </c>
    </row>
    <row r="2324" spans="1:25" x14ac:dyDescent="0.3">
      <c r="A2324">
        <v>116150</v>
      </c>
      <c r="B2324" t="s">
        <v>48426</v>
      </c>
      <c r="C2324" t="s">
        <v>48427</v>
      </c>
      <c r="D2324" t="s">
        <v>48428</v>
      </c>
      <c r="E2324" t="s">
        <v>48429</v>
      </c>
      <c r="F2324" t="s">
        <v>48430</v>
      </c>
      <c r="G2324" t="s">
        <v>48431</v>
      </c>
      <c r="H2324" t="s">
        <v>48432</v>
      </c>
      <c r="I2324" t="s">
        <v>48433</v>
      </c>
      <c r="J2324" t="s">
        <v>48434</v>
      </c>
      <c r="K2324" t="s">
        <v>48435</v>
      </c>
      <c r="L2324" t="s">
        <v>48436</v>
      </c>
      <c r="M2324" t="s">
        <v>48437</v>
      </c>
      <c r="N2324" t="s">
        <v>48438</v>
      </c>
      <c r="O2324">
        <f>-972.233934221106 -26.8260335812065 -484.749565902542</f>
        <v>-1483.8095337048544</v>
      </c>
      <c r="P2324">
        <f>-1005.55843286462 -28.4834210742438 -192.383419919644</f>
        <v>-1226.4252738585078</v>
      </c>
      <c r="Q2324">
        <f>-808.424805205536 -41.5361753933962 -330.292358349934</f>
        <v>-1180.2533389488663</v>
      </c>
      <c r="R2324" t="s">
        <v>48439</v>
      </c>
      <c r="S2324" t="s">
        <v>48440</v>
      </c>
      <c r="T2324" t="s">
        <v>48441</v>
      </c>
      <c r="U2324" t="s">
        <v>48442</v>
      </c>
      <c r="V2324" t="s">
        <v>48443</v>
      </c>
      <c r="W2324" t="s">
        <v>48444</v>
      </c>
      <c r="X2324" t="s">
        <v>48445</v>
      </c>
      <c r="Y2324" t="s">
        <v>48446</v>
      </c>
    </row>
    <row r="2325" spans="1:25" x14ac:dyDescent="0.3">
      <c r="A2325">
        <v>116200</v>
      </c>
      <c r="B2325" t="s">
        <v>48447</v>
      </c>
      <c r="C2325" t="s">
        <v>48448</v>
      </c>
      <c r="D2325" t="s">
        <v>48449</v>
      </c>
      <c r="E2325" t="s">
        <v>48450</v>
      </c>
      <c r="F2325" t="s">
        <v>48451</v>
      </c>
      <c r="G2325" t="s">
        <v>48452</v>
      </c>
      <c r="H2325" t="s">
        <v>48453</v>
      </c>
      <c r="I2325" t="s">
        <v>48454</v>
      </c>
      <c r="J2325" t="s">
        <v>48455</v>
      </c>
      <c r="K2325" t="s">
        <v>48456</v>
      </c>
      <c r="L2325" t="s">
        <v>48457</v>
      </c>
      <c r="M2325" t="s">
        <v>48458</v>
      </c>
      <c r="N2325" t="s">
        <v>48459</v>
      </c>
      <c r="O2325">
        <f>-971.760410957236 -27.2564576851337 -484.75108367426</f>
        <v>-1483.7679523166296</v>
      </c>
      <c r="P2325">
        <f>-1005.32558977791 -28.9870532387845 -192.412983262436</f>
        <v>-1226.7256262791304</v>
      </c>
      <c r="Q2325">
        <f>-807.975643025263 -41.6153216094106 -330.051617701432</f>
        <v>-1179.6425823361055</v>
      </c>
      <c r="R2325" t="s">
        <v>48460</v>
      </c>
      <c r="S2325" t="s">
        <v>48461</v>
      </c>
      <c r="T2325" t="s">
        <v>48462</v>
      </c>
      <c r="U2325" t="s">
        <v>48463</v>
      </c>
      <c r="V2325" t="s">
        <v>48464</v>
      </c>
      <c r="W2325" t="s">
        <v>48465</v>
      </c>
      <c r="X2325" t="s">
        <v>48466</v>
      </c>
      <c r="Y2325" t="s">
        <v>48467</v>
      </c>
    </row>
    <row r="2326" spans="1:25" x14ac:dyDescent="0.3">
      <c r="A2326">
        <v>116250</v>
      </c>
      <c r="B2326" t="s">
        <v>48468</v>
      </c>
      <c r="C2326" t="s">
        <v>48469</v>
      </c>
      <c r="D2326" t="s">
        <v>48470</v>
      </c>
      <c r="E2326" t="s">
        <v>48471</v>
      </c>
      <c r="F2326" t="s">
        <v>48472</v>
      </c>
      <c r="G2326" t="s">
        <v>48473</v>
      </c>
      <c r="H2326" t="s">
        <v>48474</v>
      </c>
      <c r="I2326" t="s">
        <v>48475</v>
      </c>
      <c r="J2326" t="s">
        <v>48476</v>
      </c>
      <c r="K2326" t="s">
        <v>48477</v>
      </c>
      <c r="L2326" t="s">
        <v>48478</v>
      </c>
      <c r="M2326" t="s">
        <v>48479</v>
      </c>
      <c r="N2326" t="s">
        <v>48480</v>
      </c>
      <c r="O2326">
        <f>-971.213548756316 -27.4449379798466 -484.771578051449</f>
        <v>-1483.4300647876116</v>
      </c>
      <c r="P2326">
        <f>-1004.93046728455 -29.2070497016161 -192.45110924409</f>
        <v>-1226.5886262302561</v>
      </c>
      <c r="Q2326">
        <f>-807.484269707767 -41.7826891290338 -329.955960460737</f>
        <v>-1179.2229192975378</v>
      </c>
      <c r="R2326" t="s">
        <v>48481</v>
      </c>
      <c r="S2326" t="s">
        <v>48482</v>
      </c>
      <c r="T2326" t="s">
        <v>48483</v>
      </c>
      <c r="U2326" t="s">
        <v>48484</v>
      </c>
      <c r="V2326" t="s">
        <v>48485</v>
      </c>
      <c r="W2326" t="s">
        <v>48486</v>
      </c>
      <c r="X2326" t="s">
        <v>48487</v>
      </c>
      <c r="Y2326" t="s">
        <v>48488</v>
      </c>
    </row>
    <row r="2327" spans="1:25" x14ac:dyDescent="0.3">
      <c r="A2327">
        <v>116300</v>
      </c>
      <c r="B2327" t="s">
        <v>48489</v>
      </c>
      <c r="C2327" t="s">
        <v>48490</v>
      </c>
      <c r="D2327" t="s">
        <v>48491</v>
      </c>
      <c r="E2327" t="s">
        <v>48492</v>
      </c>
      <c r="F2327" t="s">
        <v>48493</v>
      </c>
      <c r="G2327" t="s">
        <v>48494</v>
      </c>
      <c r="H2327" t="s">
        <v>48495</v>
      </c>
      <c r="I2327" t="s">
        <v>48496</v>
      </c>
      <c r="J2327" t="s">
        <v>48497</v>
      </c>
      <c r="K2327" t="s">
        <v>48498</v>
      </c>
      <c r="L2327" t="s">
        <v>48499</v>
      </c>
      <c r="M2327" t="s">
        <v>48500</v>
      </c>
      <c r="N2327" t="s">
        <v>48501</v>
      </c>
      <c r="O2327">
        <f>-970.698167798013 -27.5431621727566 -484.791343029051</f>
        <v>-1483.0326729998205</v>
      </c>
      <c r="P2327">
        <f>-1004.54034762565 -29.3552799786548 -192.485680776426</f>
        <v>-1226.3813083807308</v>
      </c>
      <c r="Q2327">
        <f>-806.992194733683 -41.8420538567077 -329.852823287686</f>
        <v>-1178.6870718780767</v>
      </c>
      <c r="R2327" t="s">
        <v>48502</v>
      </c>
      <c r="S2327" t="s">
        <v>48503</v>
      </c>
      <c r="T2327" t="s">
        <v>48504</v>
      </c>
      <c r="U2327" t="s">
        <v>48505</v>
      </c>
      <c r="V2327" t="s">
        <v>48506</v>
      </c>
      <c r="W2327" t="s">
        <v>48507</v>
      </c>
      <c r="X2327" t="s">
        <v>48508</v>
      </c>
      <c r="Y2327" t="s">
        <v>48509</v>
      </c>
    </row>
    <row r="2328" spans="1:25" x14ac:dyDescent="0.3">
      <c r="A2328">
        <v>116350</v>
      </c>
      <c r="B2328" t="s">
        <v>48489</v>
      </c>
      <c r="C2328" t="s">
        <v>48490</v>
      </c>
      <c r="D2328" t="s">
        <v>48491</v>
      </c>
      <c r="E2328" t="s">
        <v>48492</v>
      </c>
      <c r="F2328" t="s">
        <v>48493</v>
      </c>
      <c r="G2328" t="s">
        <v>48494</v>
      </c>
      <c r="H2328" t="s">
        <v>48495</v>
      </c>
      <c r="I2328" t="s">
        <v>48496</v>
      </c>
      <c r="J2328" t="s">
        <v>48497</v>
      </c>
      <c r="K2328" t="s">
        <v>48498</v>
      </c>
      <c r="L2328" t="s">
        <v>48499</v>
      </c>
      <c r="M2328" t="s">
        <v>48500</v>
      </c>
      <c r="N2328" t="s">
        <v>48501</v>
      </c>
      <c r="O2328">
        <f>-970.698167798013 -27.5431621727566 -484.791343029051</f>
        <v>-1483.0326729998205</v>
      </c>
      <c r="P2328">
        <f>-1004.54034762565 -29.3552799786548 -192.485680776426</f>
        <v>-1226.3813083807308</v>
      </c>
      <c r="Q2328">
        <f>-806.992194733683 -41.8420538567077 -329.852823287686</f>
        <v>-1178.6870718780767</v>
      </c>
      <c r="R2328" t="s">
        <v>48502</v>
      </c>
      <c r="S2328" t="s">
        <v>48503</v>
      </c>
      <c r="T2328" t="s">
        <v>48504</v>
      </c>
      <c r="U2328" t="s">
        <v>48505</v>
      </c>
      <c r="V2328" t="s">
        <v>48506</v>
      </c>
      <c r="W2328" t="s">
        <v>48507</v>
      </c>
      <c r="X2328" t="s">
        <v>48508</v>
      </c>
      <c r="Y2328" t="s">
        <v>48509</v>
      </c>
    </row>
    <row r="2329" spans="1:25" x14ac:dyDescent="0.3">
      <c r="A2329">
        <v>116400</v>
      </c>
      <c r="B2329" t="s">
        <v>48510</v>
      </c>
      <c r="C2329" t="s">
        <v>48511</v>
      </c>
      <c r="D2329" t="s">
        <v>48512</v>
      </c>
      <c r="E2329" t="s">
        <v>48513</v>
      </c>
      <c r="F2329" t="s">
        <v>48514</v>
      </c>
      <c r="G2329" t="s">
        <v>48515</v>
      </c>
      <c r="H2329" t="s">
        <v>48516</v>
      </c>
      <c r="I2329" t="s">
        <v>48517</v>
      </c>
      <c r="J2329" t="s">
        <v>48518</v>
      </c>
      <c r="K2329" t="s">
        <v>48519</v>
      </c>
      <c r="L2329" t="s">
        <v>48520</v>
      </c>
      <c r="M2329" t="s">
        <v>48521</v>
      </c>
      <c r="N2329" t="s">
        <v>48522</v>
      </c>
      <c r="O2329">
        <f>-968.909149883151 -27.7068268822172 -484.977661822231</f>
        <v>-1481.5936385875993</v>
      </c>
      <c r="P2329">
        <f>-1003.39391238166 -29.9554775455708 -192.750196445946</f>
        <v>-1226.0995863731766</v>
      </c>
      <c r="Q2329">
        <f>-805.365505638778 -41.8323153133899 -329.478113357555</f>
        <v>-1176.6759343097228</v>
      </c>
      <c r="R2329" t="s">
        <v>48523</v>
      </c>
      <c r="S2329" t="s">
        <v>48524</v>
      </c>
      <c r="T2329" t="s">
        <v>48525</v>
      </c>
      <c r="U2329" t="s">
        <v>48526</v>
      </c>
      <c r="V2329" t="s">
        <v>48527</v>
      </c>
      <c r="W2329" t="s">
        <v>48528</v>
      </c>
      <c r="X2329" t="s">
        <v>48529</v>
      </c>
      <c r="Y2329" t="s">
        <v>48530</v>
      </c>
    </row>
    <row r="2330" spans="1:25" x14ac:dyDescent="0.3">
      <c r="A2330">
        <v>116450</v>
      </c>
      <c r="B2330" t="s">
        <v>48531</v>
      </c>
      <c r="C2330" t="s">
        <v>48532</v>
      </c>
      <c r="D2330" t="s">
        <v>48533</v>
      </c>
      <c r="E2330" t="s">
        <v>48534</v>
      </c>
      <c r="F2330" t="s">
        <v>48535</v>
      </c>
      <c r="G2330" t="s">
        <v>48536</v>
      </c>
      <c r="H2330" t="s">
        <v>48537</v>
      </c>
      <c r="I2330" t="s">
        <v>48538</v>
      </c>
      <c r="J2330" t="s">
        <v>48539</v>
      </c>
      <c r="K2330" t="s">
        <v>48540</v>
      </c>
      <c r="L2330" t="s">
        <v>48541</v>
      </c>
      <c r="M2330" t="s">
        <v>48542</v>
      </c>
      <c r="N2330" t="s">
        <v>48543</v>
      </c>
      <c r="O2330">
        <f>-968.483382163088 -27.810503315055 -485.026418216083</f>
        <v>-1481.3203036942259</v>
      </c>
      <c r="P2330">
        <f>-1003.10903509555 -30.1297667009349 -192.816009111685</f>
        <v>-1226.0548109081699</v>
      </c>
      <c r="Q2330">
        <f>-805.001683423332 -41.9165948673012 -329.437941395136</f>
        <v>-1176.3562196857692</v>
      </c>
      <c r="R2330" t="s">
        <v>48544</v>
      </c>
      <c r="S2330" t="s">
        <v>48545</v>
      </c>
      <c r="T2330" t="s">
        <v>48546</v>
      </c>
      <c r="U2330" t="s">
        <v>48547</v>
      </c>
      <c r="V2330" t="s">
        <v>48548</v>
      </c>
      <c r="W2330" t="s">
        <v>48549</v>
      </c>
      <c r="X2330" t="s">
        <v>48550</v>
      </c>
      <c r="Y2330" t="s">
        <v>48551</v>
      </c>
    </row>
    <row r="2331" spans="1:25" x14ac:dyDescent="0.3">
      <c r="A2331">
        <v>116500</v>
      </c>
      <c r="B2331" t="s">
        <v>48552</v>
      </c>
      <c r="C2331" t="s">
        <v>48553</v>
      </c>
      <c r="D2331" t="s">
        <v>48554</v>
      </c>
      <c r="E2331" t="s">
        <v>48555</v>
      </c>
      <c r="F2331" t="s">
        <v>48556</v>
      </c>
      <c r="G2331" t="s">
        <v>48557</v>
      </c>
      <c r="H2331" t="s">
        <v>48558</v>
      </c>
      <c r="I2331" t="s">
        <v>48559</v>
      </c>
      <c r="J2331" t="s">
        <v>48560</v>
      </c>
      <c r="K2331" t="s">
        <v>48561</v>
      </c>
      <c r="L2331" t="s">
        <v>48562</v>
      </c>
      <c r="M2331" t="s">
        <v>48563</v>
      </c>
      <c r="N2331" t="s">
        <v>48564</v>
      </c>
      <c r="O2331">
        <f>-967.792270915742 -27.9821962879132 -485.108810523206</f>
        <v>-1480.8832777268613</v>
      </c>
      <c r="P2331">
        <f>-1002.51233226025 -30.4171438826356 -192.910483441192</f>
        <v>-1225.8399595840774</v>
      </c>
      <c r="Q2331">
        <f>-804.308901002957 -41.989071342628 -329.410774067851</f>
        <v>-1175.7087464134361</v>
      </c>
      <c r="R2331" t="s">
        <v>48565</v>
      </c>
      <c r="S2331" t="s">
        <v>48566</v>
      </c>
      <c r="T2331" t="s">
        <v>48567</v>
      </c>
      <c r="U2331" t="s">
        <v>48568</v>
      </c>
      <c r="V2331" t="s">
        <v>48569</v>
      </c>
      <c r="W2331" t="s">
        <v>48570</v>
      </c>
      <c r="X2331" t="s">
        <v>48571</v>
      </c>
      <c r="Y2331" t="s">
        <v>48572</v>
      </c>
    </row>
    <row r="2332" spans="1:25" x14ac:dyDescent="0.3">
      <c r="A2332">
        <v>116550</v>
      </c>
      <c r="B2332" t="s">
        <v>48552</v>
      </c>
      <c r="C2332" t="s">
        <v>48553</v>
      </c>
      <c r="D2332" t="s">
        <v>48554</v>
      </c>
      <c r="E2332" t="s">
        <v>48555</v>
      </c>
      <c r="F2332" t="s">
        <v>48556</v>
      </c>
      <c r="G2332" t="s">
        <v>48557</v>
      </c>
      <c r="H2332" t="s">
        <v>48558</v>
      </c>
      <c r="I2332" t="s">
        <v>48559</v>
      </c>
      <c r="J2332" t="s">
        <v>48560</v>
      </c>
      <c r="K2332" t="s">
        <v>48561</v>
      </c>
      <c r="L2332" t="s">
        <v>48562</v>
      </c>
      <c r="M2332" t="s">
        <v>48563</v>
      </c>
      <c r="N2332" t="s">
        <v>48564</v>
      </c>
      <c r="O2332">
        <f>-967.792270915742 -27.9821962879132 -485.108810523206</f>
        <v>-1480.8832777268613</v>
      </c>
      <c r="P2332">
        <f>-1002.51233226025 -30.4171438826356 -192.910483441192</f>
        <v>-1225.8399595840774</v>
      </c>
      <c r="Q2332">
        <f>-804.308901002957 -41.989071342628 -329.410774067851</f>
        <v>-1175.7087464134361</v>
      </c>
      <c r="R2332" t="s">
        <v>48565</v>
      </c>
      <c r="S2332" t="s">
        <v>48566</v>
      </c>
      <c r="T2332" t="s">
        <v>48567</v>
      </c>
      <c r="U2332" t="s">
        <v>48568</v>
      </c>
      <c r="V2332" t="s">
        <v>48569</v>
      </c>
      <c r="W2332" t="s">
        <v>48570</v>
      </c>
      <c r="X2332" t="s">
        <v>48571</v>
      </c>
      <c r="Y2332" t="s">
        <v>48572</v>
      </c>
    </row>
    <row r="2333" spans="1:25" x14ac:dyDescent="0.3">
      <c r="A2333">
        <v>116600</v>
      </c>
      <c r="B2333" t="s">
        <v>48552</v>
      </c>
      <c r="C2333" t="s">
        <v>48553</v>
      </c>
      <c r="D2333" t="s">
        <v>48554</v>
      </c>
      <c r="E2333" t="s">
        <v>48555</v>
      </c>
      <c r="F2333" t="s">
        <v>48556</v>
      </c>
      <c r="G2333" t="s">
        <v>48557</v>
      </c>
      <c r="H2333" t="s">
        <v>48558</v>
      </c>
      <c r="I2333" t="s">
        <v>48559</v>
      </c>
      <c r="J2333" t="s">
        <v>48560</v>
      </c>
      <c r="K2333" t="s">
        <v>48561</v>
      </c>
      <c r="L2333" t="s">
        <v>48562</v>
      </c>
      <c r="M2333" t="s">
        <v>48563</v>
      </c>
      <c r="N2333" t="s">
        <v>48564</v>
      </c>
      <c r="O2333">
        <f>-967.792270915742 -27.9821962879132 -485.108810523206</f>
        <v>-1480.8832777268613</v>
      </c>
      <c r="P2333">
        <f>-1002.51233226025 -30.4171438826356 -192.910483441192</f>
        <v>-1225.8399595840774</v>
      </c>
      <c r="Q2333">
        <f>-804.308901002957 -41.989071342628 -329.410774067851</f>
        <v>-1175.7087464134361</v>
      </c>
      <c r="R2333" t="s">
        <v>48565</v>
      </c>
      <c r="S2333" t="s">
        <v>48566</v>
      </c>
      <c r="T2333" t="s">
        <v>48567</v>
      </c>
      <c r="U2333" t="s">
        <v>48568</v>
      </c>
      <c r="V2333" t="s">
        <v>48569</v>
      </c>
      <c r="W2333" t="s">
        <v>48570</v>
      </c>
      <c r="X2333" t="s">
        <v>48571</v>
      </c>
      <c r="Y2333" t="s">
        <v>48572</v>
      </c>
    </row>
    <row r="2334" spans="1:25" x14ac:dyDescent="0.3">
      <c r="A2334">
        <v>116650</v>
      </c>
      <c r="B2334" t="s">
        <v>48573</v>
      </c>
      <c r="C2334" t="s">
        <v>48574</v>
      </c>
      <c r="D2334" t="s">
        <v>48575</v>
      </c>
      <c r="E2334" t="s">
        <v>48576</v>
      </c>
      <c r="F2334" t="s">
        <v>48577</v>
      </c>
      <c r="G2334" t="s">
        <v>48578</v>
      </c>
      <c r="H2334" t="s">
        <v>48579</v>
      </c>
      <c r="I2334" t="s">
        <v>48580</v>
      </c>
      <c r="J2334" t="s">
        <v>48581</v>
      </c>
      <c r="K2334" t="s">
        <v>48582</v>
      </c>
      <c r="L2334" t="s">
        <v>48583</v>
      </c>
      <c r="M2334" t="s">
        <v>48584</v>
      </c>
      <c r="N2334" t="s">
        <v>48585</v>
      </c>
      <c r="O2334">
        <f>-967.457340666531 -28.0106206597525 -485.139491080736</f>
        <v>-1480.6074524070195</v>
      </c>
      <c r="P2334">
        <f>-1002.19535796501 -30.528670649951 -192.944128193874</f>
        <v>-1225.6681568088352</v>
      </c>
      <c r="Q2334">
        <f>-803.960986919286 -41.9890302062443 -329.408759037495</f>
        <v>-1175.3587761630251</v>
      </c>
      <c r="R2334" t="s">
        <v>48586</v>
      </c>
      <c r="S2334" t="s">
        <v>48587</v>
      </c>
      <c r="T2334" t="s">
        <v>48588</v>
      </c>
      <c r="U2334" t="s">
        <v>48589</v>
      </c>
      <c r="V2334" t="s">
        <v>48590</v>
      </c>
      <c r="W2334" t="s">
        <v>48591</v>
      </c>
      <c r="X2334" t="s">
        <v>48592</v>
      </c>
      <c r="Y2334" t="s">
        <v>48593</v>
      </c>
    </row>
    <row r="2335" spans="1:25" x14ac:dyDescent="0.3">
      <c r="A2335">
        <v>116700</v>
      </c>
      <c r="B2335" t="s">
        <v>48573</v>
      </c>
      <c r="C2335" t="s">
        <v>48574</v>
      </c>
      <c r="D2335" t="s">
        <v>48575</v>
      </c>
      <c r="E2335" t="s">
        <v>48576</v>
      </c>
      <c r="F2335" t="s">
        <v>48577</v>
      </c>
      <c r="G2335" t="s">
        <v>48578</v>
      </c>
      <c r="H2335" t="s">
        <v>48579</v>
      </c>
      <c r="I2335" t="s">
        <v>48580</v>
      </c>
      <c r="J2335" t="s">
        <v>48581</v>
      </c>
      <c r="K2335" t="s">
        <v>48582</v>
      </c>
      <c r="L2335" t="s">
        <v>48583</v>
      </c>
      <c r="M2335" t="s">
        <v>48584</v>
      </c>
      <c r="N2335" t="s">
        <v>48585</v>
      </c>
      <c r="O2335">
        <f>-967.457340666531 -28.0106206597525 -485.139491080736</f>
        <v>-1480.6074524070195</v>
      </c>
      <c r="P2335">
        <f>-1002.19535796501 -30.528670649951 -192.944128193874</f>
        <v>-1225.6681568088352</v>
      </c>
      <c r="Q2335">
        <f>-803.960986919286 -41.9890302062443 -329.408759037495</f>
        <v>-1175.3587761630251</v>
      </c>
      <c r="R2335" t="s">
        <v>48586</v>
      </c>
      <c r="S2335" t="s">
        <v>48587</v>
      </c>
      <c r="T2335" t="s">
        <v>48588</v>
      </c>
      <c r="U2335" t="s">
        <v>48589</v>
      </c>
      <c r="V2335" t="s">
        <v>48590</v>
      </c>
      <c r="W2335" t="s">
        <v>48591</v>
      </c>
      <c r="X2335" t="s">
        <v>48592</v>
      </c>
      <c r="Y2335" t="s">
        <v>48593</v>
      </c>
    </row>
    <row r="2336" spans="1:25" x14ac:dyDescent="0.3">
      <c r="A2336">
        <v>116750</v>
      </c>
      <c r="B2336" t="s">
        <v>48573</v>
      </c>
      <c r="C2336" t="s">
        <v>48574</v>
      </c>
      <c r="D2336" t="s">
        <v>48575</v>
      </c>
      <c r="E2336" t="s">
        <v>48576</v>
      </c>
      <c r="F2336" t="s">
        <v>48577</v>
      </c>
      <c r="G2336" t="s">
        <v>48578</v>
      </c>
      <c r="H2336" t="s">
        <v>48579</v>
      </c>
      <c r="I2336" t="s">
        <v>48580</v>
      </c>
      <c r="J2336" t="s">
        <v>48581</v>
      </c>
      <c r="K2336" t="s">
        <v>48582</v>
      </c>
      <c r="L2336" t="s">
        <v>48583</v>
      </c>
      <c r="M2336" t="s">
        <v>48584</v>
      </c>
      <c r="N2336" t="s">
        <v>48585</v>
      </c>
      <c r="O2336">
        <f>-967.457340666531 -28.0106206597525 -485.139491080736</f>
        <v>-1480.6074524070195</v>
      </c>
      <c r="P2336">
        <f>-1002.19535796501 -30.528670649951 -192.944128193874</f>
        <v>-1225.6681568088352</v>
      </c>
      <c r="Q2336">
        <f>-803.960986919286 -41.9890302062443 -329.408759037495</f>
        <v>-1175.3587761630251</v>
      </c>
      <c r="R2336" t="s">
        <v>48586</v>
      </c>
      <c r="S2336" t="s">
        <v>48587</v>
      </c>
      <c r="T2336" t="s">
        <v>48588</v>
      </c>
      <c r="U2336" t="s">
        <v>48589</v>
      </c>
      <c r="V2336" t="s">
        <v>48590</v>
      </c>
      <c r="W2336" t="s">
        <v>48591</v>
      </c>
      <c r="X2336" t="s">
        <v>48592</v>
      </c>
      <c r="Y2336" t="s">
        <v>48593</v>
      </c>
    </row>
    <row r="2337" spans="1:25" x14ac:dyDescent="0.3">
      <c r="A2337">
        <v>116800</v>
      </c>
      <c r="B2337" t="s">
        <v>48594</v>
      </c>
      <c r="C2337" t="s">
        <v>48595</v>
      </c>
      <c r="D2337" t="s">
        <v>48596</v>
      </c>
      <c r="E2337" t="s">
        <v>48597</v>
      </c>
      <c r="F2337" t="s">
        <v>48598</v>
      </c>
      <c r="G2337" t="s">
        <v>48599</v>
      </c>
      <c r="H2337" t="s">
        <v>48600</v>
      </c>
      <c r="I2337" t="s">
        <v>48601</v>
      </c>
      <c r="J2337" t="s">
        <v>48602</v>
      </c>
      <c r="K2337" t="s">
        <v>48603</v>
      </c>
      <c r="L2337" t="s">
        <v>48604</v>
      </c>
      <c r="M2337" t="s">
        <v>48605</v>
      </c>
      <c r="N2337" t="s">
        <v>48606</v>
      </c>
      <c r="O2337">
        <f>-967.007508666014 -27.8594169077896 -485.146682426028</f>
        <v>-1480.0136079998317</v>
      </c>
      <c r="P2337">
        <f>-1001.85496638147 -30.3948780852043 -192.964542280186</f>
        <v>-1225.2143867468603</v>
      </c>
      <c r="Q2337">
        <f>-803.605679439002 -41.8377454199842 -329.409106186535</f>
        <v>-1174.8525310455211</v>
      </c>
      <c r="R2337" t="s">
        <v>48607</v>
      </c>
      <c r="S2337" t="s">
        <v>48608</v>
      </c>
      <c r="T2337" t="s">
        <v>48609</v>
      </c>
      <c r="U2337" t="s">
        <v>48610</v>
      </c>
      <c r="V2337" t="s">
        <v>48611</v>
      </c>
      <c r="W2337" t="s">
        <v>48612</v>
      </c>
      <c r="X2337" t="s">
        <v>48613</v>
      </c>
      <c r="Y2337" t="s">
        <v>48614</v>
      </c>
    </row>
    <row r="2338" spans="1:25" x14ac:dyDescent="0.3">
      <c r="A2338">
        <v>116850</v>
      </c>
      <c r="B2338" t="s">
        <v>48615</v>
      </c>
      <c r="C2338" t="s">
        <v>48616</v>
      </c>
      <c r="D2338" t="s">
        <v>48617</v>
      </c>
      <c r="E2338" t="s">
        <v>48618</v>
      </c>
      <c r="F2338" t="s">
        <v>48619</v>
      </c>
      <c r="G2338" t="s">
        <v>48620</v>
      </c>
      <c r="H2338" t="s">
        <v>48621</v>
      </c>
      <c r="I2338" t="s">
        <v>48622</v>
      </c>
      <c r="J2338" t="s">
        <v>48623</v>
      </c>
      <c r="K2338" t="s">
        <v>48624</v>
      </c>
      <c r="L2338" t="s">
        <v>48625</v>
      </c>
      <c r="M2338" t="s">
        <v>48626</v>
      </c>
      <c r="N2338" t="s">
        <v>48627</v>
      </c>
      <c r="O2338">
        <f>-967.125276849509 -27.3271530112397 -484.897025716655</f>
        <v>-1479.3494555774037</v>
      </c>
      <c r="P2338">
        <f>-1002.24065282642 -29.1753520758939 -192.74172823047</f>
        <v>-1224.157733132784</v>
      </c>
      <c r="Q2338">
        <f>-804.058224371383 -42.1969205457217 -329.141995288669</f>
        <v>-1175.3971402057737</v>
      </c>
      <c r="R2338" t="s">
        <v>48628</v>
      </c>
      <c r="S2338" t="s">
        <v>48629</v>
      </c>
      <c r="T2338" t="s">
        <v>48630</v>
      </c>
      <c r="U2338" t="s">
        <v>48631</v>
      </c>
      <c r="V2338" t="s">
        <v>48632</v>
      </c>
      <c r="W2338" t="s">
        <v>48633</v>
      </c>
      <c r="X2338" t="s">
        <v>48634</v>
      </c>
      <c r="Y2338" t="s">
        <v>48635</v>
      </c>
    </row>
    <row r="2339" spans="1:25" x14ac:dyDescent="0.3">
      <c r="A2339">
        <v>116900</v>
      </c>
      <c r="B2339" t="s">
        <v>48636</v>
      </c>
      <c r="C2339" t="s">
        <v>48637</v>
      </c>
      <c r="D2339" t="s">
        <v>48638</v>
      </c>
      <c r="E2339" t="s">
        <v>48639</v>
      </c>
      <c r="F2339" t="s">
        <v>48640</v>
      </c>
      <c r="G2339" t="s">
        <v>48641</v>
      </c>
      <c r="H2339" t="s">
        <v>48642</v>
      </c>
      <c r="I2339" t="s">
        <v>48643</v>
      </c>
      <c r="J2339" t="s">
        <v>48644</v>
      </c>
      <c r="K2339" t="s">
        <v>48645</v>
      </c>
      <c r="L2339" t="s">
        <v>48646</v>
      </c>
      <c r="M2339" t="s">
        <v>48647</v>
      </c>
      <c r="N2339" t="s">
        <v>48648</v>
      </c>
      <c r="O2339">
        <f>-967.30569304276 -27.1819227256651 -484.821080405177</f>
        <v>-1479.3086961736021</v>
      </c>
      <c r="P2339">
        <f>-1002.53210841443 -28.8103841709089 -192.677774786812</f>
        <v>-1224.020267372151</v>
      </c>
      <c r="Q2339">
        <f>-804.355677681987 -42.3283548381141 -329.038834142936</f>
        <v>-1175.7228666630372</v>
      </c>
      <c r="R2339" t="s">
        <v>48649</v>
      </c>
      <c r="S2339" t="s">
        <v>48650</v>
      </c>
      <c r="T2339" t="s">
        <v>48651</v>
      </c>
      <c r="U2339" t="s">
        <v>48652</v>
      </c>
      <c r="V2339" t="s">
        <v>48653</v>
      </c>
      <c r="W2339" t="s">
        <v>48654</v>
      </c>
      <c r="X2339" t="s">
        <v>48655</v>
      </c>
      <c r="Y2339" t="s">
        <v>48656</v>
      </c>
    </row>
    <row r="2340" spans="1:25" x14ac:dyDescent="0.3">
      <c r="A2340">
        <v>116950</v>
      </c>
      <c r="B2340" t="s">
        <v>48657</v>
      </c>
      <c r="C2340" t="s">
        <v>48658</v>
      </c>
      <c r="D2340" t="s">
        <v>48659</v>
      </c>
      <c r="E2340" t="s">
        <v>48660</v>
      </c>
      <c r="F2340" t="s">
        <v>48661</v>
      </c>
      <c r="G2340" t="s">
        <v>48662</v>
      </c>
      <c r="H2340" t="s">
        <v>48663</v>
      </c>
      <c r="I2340" t="s">
        <v>48664</v>
      </c>
      <c r="J2340" t="s">
        <v>48665</v>
      </c>
      <c r="K2340" t="s">
        <v>48666</v>
      </c>
      <c r="L2340" t="s">
        <v>48667</v>
      </c>
      <c r="M2340" t="s">
        <v>48668</v>
      </c>
      <c r="N2340" t="s">
        <v>48669</v>
      </c>
      <c r="O2340">
        <f>-967.479447315716 -27.0157436098034 -484.740381132667</f>
        <v>-1479.2355720581863</v>
      </c>
      <c r="P2340">
        <f>-1002.83168458291 -28.387472105539 -192.610920156391</f>
        <v>-1223.8300768448398</v>
      </c>
      <c r="Q2340">
        <f>-804.628971212063 -42.3968048537647 -328.884050712559</f>
        <v>-1175.9098267783866</v>
      </c>
      <c r="R2340" t="s">
        <v>48670</v>
      </c>
      <c r="S2340" t="s">
        <v>48671</v>
      </c>
      <c r="T2340" t="s">
        <v>48672</v>
      </c>
      <c r="U2340" t="s">
        <v>48673</v>
      </c>
      <c r="V2340" t="s">
        <v>48674</v>
      </c>
      <c r="W2340" t="s">
        <v>48675</v>
      </c>
      <c r="X2340" t="s">
        <v>48676</v>
      </c>
      <c r="Y2340" t="s">
        <v>48677</v>
      </c>
    </row>
    <row r="2341" spans="1:25" x14ac:dyDescent="0.3">
      <c r="A2341">
        <v>117000</v>
      </c>
      <c r="B2341" t="s">
        <v>48678</v>
      </c>
      <c r="C2341" t="s">
        <v>48679</v>
      </c>
      <c r="D2341" t="s">
        <v>48680</v>
      </c>
      <c r="E2341" t="s">
        <v>48681</v>
      </c>
      <c r="F2341" t="s">
        <v>48682</v>
      </c>
      <c r="G2341" t="s">
        <v>48683</v>
      </c>
      <c r="H2341" t="s">
        <v>48684</v>
      </c>
      <c r="I2341" t="s">
        <v>48685</v>
      </c>
      <c r="J2341" t="s">
        <v>48686</v>
      </c>
      <c r="K2341" t="s">
        <v>48687</v>
      </c>
      <c r="L2341" t="s">
        <v>48688</v>
      </c>
      <c r="M2341" t="s">
        <v>48689</v>
      </c>
      <c r="N2341" t="s">
        <v>48690</v>
      </c>
      <c r="O2341">
        <f>-967.857655838523 -26.8104511664656 -484.544629152179</f>
        <v>-1479.2127361571675</v>
      </c>
      <c r="P2341">
        <f>-1003.40660016438 -27.7104316599421 -192.437283058347</f>
        <v>-1223.5543148826691</v>
      </c>
      <c r="Q2341">
        <f>-805.164332472704 -42.5907397732801 -328.560166015384</f>
        <v>-1176.3152382613682</v>
      </c>
      <c r="R2341" t="s">
        <v>48691</v>
      </c>
      <c r="S2341" t="s">
        <v>48692</v>
      </c>
      <c r="T2341" t="s">
        <v>48693</v>
      </c>
      <c r="U2341" t="s">
        <v>48694</v>
      </c>
      <c r="V2341" t="s">
        <v>48695</v>
      </c>
      <c r="W2341" t="s">
        <v>48696</v>
      </c>
      <c r="X2341" t="s">
        <v>48697</v>
      </c>
      <c r="Y2341" t="s">
        <v>48698</v>
      </c>
    </row>
    <row r="2342" spans="1:25" x14ac:dyDescent="0.3">
      <c r="A2342">
        <v>117050</v>
      </c>
      <c r="B2342" t="s">
        <v>48699</v>
      </c>
      <c r="C2342" t="s">
        <v>48700</v>
      </c>
      <c r="D2342" t="s">
        <v>48701</v>
      </c>
      <c r="E2342" t="s">
        <v>48702</v>
      </c>
      <c r="F2342" t="s">
        <v>48703</v>
      </c>
      <c r="G2342" t="s">
        <v>48704</v>
      </c>
      <c r="H2342" t="s">
        <v>48705</v>
      </c>
      <c r="I2342" t="s">
        <v>48706</v>
      </c>
      <c r="J2342" t="s">
        <v>48707</v>
      </c>
      <c r="K2342" t="s">
        <v>48708</v>
      </c>
      <c r="L2342" t="s">
        <v>48709</v>
      </c>
      <c r="M2342" t="s">
        <v>48710</v>
      </c>
      <c r="N2342" t="s">
        <v>48711</v>
      </c>
      <c r="O2342">
        <f>-968.134025091115 -26.6284902732614 -484.301038751364</f>
        <v>-1479.0635541157403</v>
      </c>
      <c r="P2342">
        <f>-1004.08455430912 -26.9586667830831 -192.241709834537</f>
        <v>-1223.2849309267401</v>
      </c>
      <c r="Q2342">
        <f>-805.845757289724 -42.8652154464862 -328.253647550213</f>
        <v>-1176.9646202864233</v>
      </c>
      <c r="R2342" t="s">
        <v>48712</v>
      </c>
      <c r="S2342" t="s">
        <v>48713</v>
      </c>
      <c r="T2342" t="s">
        <v>48714</v>
      </c>
      <c r="U2342" t="s">
        <v>48715</v>
      </c>
      <c r="V2342" t="s">
        <v>48716</v>
      </c>
      <c r="W2342" t="s">
        <v>48717</v>
      </c>
      <c r="X2342" t="s">
        <v>48718</v>
      </c>
      <c r="Y2342" t="s">
        <v>48719</v>
      </c>
    </row>
    <row r="2343" spans="1:25" x14ac:dyDescent="0.3">
      <c r="A2343">
        <v>117100</v>
      </c>
      <c r="B2343" t="s">
        <v>48720</v>
      </c>
      <c r="C2343" t="s">
        <v>48721</v>
      </c>
      <c r="D2343" t="s">
        <v>48722</v>
      </c>
      <c r="E2343" t="s">
        <v>48723</v>
      </c>
      <c r="F2343" t="s">
        <v>48724</v>
      </c>
      <c r="G2343" t="s">
        <v>48725</v>
      </c>
      <c r="H2343" t="s">
        <v>48726</v>
      </c>
      <c r="I2343" t="s">
        <v>48727</v>
      </c>
      <c r="J2343" t="s">
        <v>48728</v>
      </c>
      <c r="K2343" t="s">
        <v>48729</v>
      </c>
      <c r="L2343" t="s">
        <v>48730</v>
      </c>
      <c r="M2343" t="s">
        <v>48731</v>
      </c>
      <c r="N2343" t="s">
        <v>48732</v>
      </c>
      <c r="O2343">
        <f>-968.931195951009 -26.53475157395 -484.062998959865</f>
        <v>-1479.528946484824</v>
      </c>
      <c r="P2343">
        <f>-1005.34314693494 -26.1585379812691 -192.060994696178</f>
        <v>-1223.562679612387</v>
      </c>
      <c r="Q2343">
        <f>-807.047380992207 -43.3237636726542 -327.836487996291</f>
        <v>-1178.2076326611523</v>
      </c>
      <c r="R2343" t="s">
        <v>48733</v>
      </c>
      <c r="S2343" t="s">
        <v>48734</v>
      </c>
      <c r="T2343" t="s">
        <v>48735</v>
      </c>
      <c r="U2343" t="s">
        <v>48736</v>
      </c>
      <c r="V2343" t="s">
        <v>48737</v>
      </c>
      <c r="W2343" t="s">
        <v>48738</v>
      </c>
      <c r="X2343" t="s">
        <v>48739</v>
      </c>
      <c r="Y2343" t="s">
        <v>48740</v>
      </c>
    </row>
    <row r="2344" spans="1:25" x14ac:dyDescent="0.3">
      <c r="A2344">
        <v>117150</v>
      </c>
      <c r="B2344" t="s">
        <v>48741</v>
      </c>
      <c r="C2344" t="s">
        <v>48742</v>
      </c>
      <c r="D2344" t="s">
        <v>48743</v>
      </c>
      <c r="E2344" t="s">
        <v>48744</v>
      </c>
      <c r="F2344" t="s">
        <v>48745</v>
      </c>
      <c r="G2344" t="s">
        <v>48746</v>
      </c>
      <c r="H2344" t="s">
        <v>48747</v>
      </c>
      <c r="I2344" t="s">
        <v>48748</v>
      </c>
      <c r="J2344" t="s">
        <v>48749</v>
      </c>
      <c r="K2344" t="s">
        <v>48750</v>
      </c>
      <c r="L2344" t="s">
        <v>48751</v>
      </c>
      <c r="M2344" t="s">
        <v>48752</v>
      </c>
      <c r="N2344" t="s">
        <v>48753</v>
      </c>
      <c r="O2344">
        <f>-969.578318006579 -26.3824477611875 -483.934752846898</f>
        <v>-1479.8955186146645</v>
      </c>
      <c r="P2344">
        <f>-1006.17952233348 -25.5919755370605 -191.957019365973</f>
        <v>-1223.7285172365137</v>
      </c>
      <c r="Q2344">
        <f>-807.896685119157 -43.5004729311847 -327.655269047393</f>
        <v>-1179.0524270977348</v>
      </c>
      <c r="R2344" t="s">
        <v>48754</v>
      </c>
      <c r="S2344" t="s">
        <v>48755</v>
      </c>
      <c r="T2344" t="s">
        <v>48756</v>
      </c>
      <c r="U2344" t="s">
        <v>48757</v>
      </c>
      <c r="V2344" t="s">
        <v>48758</v>
      </c>
      <c r="W2344" t="s">
        <v>48759</v>
      </c>
      <c r="X2344" t="s">
        <v>48760</v>
      </c>
      <c r="Y2344" t="s">
        <v>48761</v>
      </c>
    </row>
    <row r="2345" spans="1:25" x14ac:dyDescent="0.3">
      <c r="A2345">
        <v>117200</v>
      </c>
      <c r="B2345" t="s">
        <v>48762</v>
      </c>
      <c r="C2345" t="s">
        <v>48763</v>
      </c>
      <c r="D2345" t="s">
        <v>48764</v>
      </c>
      <c r="E2345" t="s">
        <v>48765</v>
      </c>
      <c r="F2345" t="s">
        <v>48766</v>
      </c>
      <c r="G2345" t="s">
        <v>48767</v>
      </c>
      <c r="H2345" t="s">
        <v>48768</v>
      </c>
      <c r="I2345" t="s">
        <v>48769</v>
      </c>
      <c r="J2345" t="s">
        <v>48770</v>
      </c>
      <c r="K2345" t="s">
        <v>48771</v>
      </c>
      <c r="L2345" t="s">
        <v>48772</v>
      </c>
      <c r="M2345" t="s">
        <v>48773</v>
      </c>
      <c r="N2345" t="s">
        <v>48774</v>
      </c>
      <c r="O2345">
        <f>-970.664844719423 -25.9305112093211 -483.630468448922</f>
        <v>-1480.225824377666</v>
      </c>
      <c r="P2345">
        <f>-1007.6966518399 -24.3189032189966 -191.710516634496</f>
        <v>-1223.7260716933924</v>
      </c>
      <c r="Q2345">
        <f>-809.561975800365 -43.6522730973456 -327.430017680002</f>
        <v>-1180.6442665777126</v>
      </c>
      <c r="R2345" t="s">
        <v>48775</v>
      </c>
      <c r="S2345" t="s">
        <v>48776</v>
      </c>
      <c r="T2345" t="s">
        <v>48777</v>
      </c>
      <c r="U2345" t="s">
        <v>48778</v>
      </c>
      <c r="V2345" t="s">
        <v>48779</v>
      </c>
      <c r="W2345" t="s">
        <v>48780</v>
      </c>
      <c r="X2345" t="s">
        <v>48781</v>
      </c>
      <c r="Y2345" t="s">
        <v>48782</v>
      </c>
    </row>
    <row r="2346" spans="1:25" x14ac:dyDescent="0.3">
      <c r="A2346">
        <v>117250</v>
      </c>
      <c r="B2346" t="s">
        <v>48783</v>
      </c>
      <c r="C2346" t="s">
        <v>48784</v>
      </c>
      <c r="D2346" t="s">
        <v>48785</v>
      </c>
      <c r="E2346" t="s">
        <v>48786</v>
      </c>
      <c r="F2346" t="s">
        <v>48787</v>
      </c>
      <c r="G2346" t="s">
        <v>48788</v>
      </c>
      <c r="H2346" t="s">
        <v>48789</v>
      </c>
      <c r="I2346" t="s">
        <v>48790</v>
      </c>
      <c r="J2346" t="s">
        <v>48791</v>
      </c>
      <c r="K2346" t="s">
        <v>48792</v>
      </c>
      <c r="L2346" t="s">
        <v>48793</v>
      </c>
      <c r="M2346" t="s">
        <v>48794</v>
      </c>
      <c r="N2346" t="s">
        <v>48795</v>
      </c>
      <c r="O2346">
        <f>-970.902984776971 -25.5457298969059 -483.48993264224</f>
        <v>-1479.9386473161169</v>
      </c>
      <c r="P2346">
        <f>-1008.23840622849 -23.4572626536265 -191.611577121291</f>
        <v>-1223.3072460034075</v>
      </c>
      <c r="Q2346">
        <f>-810.096176744915 -43.6739463175641 -327.191018379822</f>
        <v>-1180.9611414423011</v>
      </c>
      <c r="R2346" t="s">
        <v>48796</v>
      </c>
      <c r="S2346" t="s">
        <v>48797</v>
      </c>
      <c r="T2346" t="s">
        <v>48798</v>
      </c>
      <c r="U2346" t="s">
        <v>48799</v>
      </c>
      <c r="V2346" t="s">
        <v>48800</v>
      </c>
      <c r="W2346" t="s">
        <v>48801</v>
      </c>
      <c r="X2346" t="s">
        <v>48802</v>
      </c>
      <c r="Y2346" t="s">
        <v>48803</v>
      </c>
    </row>
    <row r="2347" spans="1:25" x14ac:dyDescent="0.3">
      <c r="A2347">
        <v>117300</v>
      </c>
      <c r="B2347" t="s">
        <v>48804</v>
      </c>
      <c r="C2347" t="s">
        <v>48805</v>
      </c>
      <c r="D2347" t="s">
        <v>48806</v>
      </c>
      <c r="E2347" t="s">
        <v>48807</v>
      </c>
      <c r="F2347" t="s">
        <v>48808</v>
      </c>
      <c r="G2347" t="s">
        <v>48809</v>
      </c>
      <c r="H2347" t="s">
        <v>48810</v>
      </c>
      <c r="I2347" t="s">
        <v>48811</v>
      </c>
      <c r="J2347" t="s">
        <v>48812</v>
      </c>
      <c r="K2347" t="s">
        <v>48813</v>
      </c>
      <c r="L2347" t="s">
        <v>48814</v>
      </c>
      <c r="M2347" t="s">
        <v>48815</v>
      </c>
      <c r="N2347" t="s">
        <v>48816</v>
      </c>
      <c r="O2347">
        <f>-970.430711118704 -24.5982089184731 -483.376473137172</f>
        <v>-1478.4053931743492</v>
      </c>
      <c r="P2347">
        <f>-1008.52442800357 -21.7247830934034 -191.602823587474</f>
        <v>-1221.8520346844473</v>
      </c>
      <c r="Q2347">
        <f>-810.270522692082 -43.7486241386052 -326.737142020281</f>
        <v>-1180.7562888509683</v>
      </c>
      <c r="R2347" t="s">
        <v>48817</v>
      </c>
      <c r="S2347" t="s">
        <v>48818</v>
      </c>
      <c r="T2347" t="s">
        <v>48819</v>
      </c>
      <c r="U2347" t="s">
        <v>48820</v>
      </c>
      <c r="V2347" t="s">
        <v>48821</v>
      </c>
      <c r="W2347" t="s">
        <v>48822</v>
      </c>
      <c r="X2347" t="s">
        <v>48823</v>
      </c>
      <c r="Y2347" t="s">
        <v>48824</v>
      </c>
    </row>
    <row r="2348" spans="1:25" x14ac:dyDescent="0.3">
      <c r="A2348">
        <v>117350</v>
      </c>
      <c r="B2348" t="s">
        <v>48825</v>
      </c>
      <c r="C2348" t="s">
        <v>48826</v>
      </c>
      <c r="D2348" t="s">
        <v>48827</v>
      </c>
      <c r="E2348" t="s">
        <v>48828</v>
      </c>
      <c r="F2348" t="s">
        <v>48829</v>
      </c>
      <c r="G2348" t="s">
        <v>48830</v>
      </c>
      <c r="H2348" t="s">
        <v>48831</v>
      </c>
      <c r="I2348" t="s">
        <v>48832</v>
      </c>
      <c r="J2348" t="s">
        <v>48833</v>
      </c>
      <c r="K2348" t="s">
        <v>48834</v>
      </c>
      <c r="L2348" t="s">
        <v>48835</v>
      </c>
      <c r="M2348" t="s">
        <v>48836</v>
      </c>
      <c r="N2348" t="s">
        <v>48837</v>
      </c>
      <c r="O2348">
        <f>-969.249210362177 -23.9427589074276 -483.536513034322</f>
        <v>-1476.7284823039265</v>
      </c>
      <c r="P2348">
        <f>-1007.81970507539 -20.7282166542382 -191.829183778363</f>
        <v>-1220.377105507991</v>
      </c>
      <c r="Q2348">
        <f>-809.468287609555 -43.7122214031938 -326.659765163908</f>
        <v>-1179.8402741766567</v>
      </c>
      <c r="R2348" t="s">
        <v>48838</v>
      </c>
      <c r="S2348" t="s">
        <v>48839</v>
      </c>
      <c r="T2348" t="s">
        <v>48840</v>
      </c>
      <c r="U2348" t="s">
        <v>48841</v>
      </c>
      <c r="V2348" t="s">
        <v>48842</v>
      </c>
      <c r="W2348" t="s">
        <v>48843</v>
      </c>
      <c r="X2348" t="s">
        <v>48844</v>
      </c>
      <c r="Y2348" t="s">
        <v>48845</v>
      </c>
    </row>
    <row r="2349" spans="1:25" x14ac:dyDescent="0.3">
      <c r="A2349">
        <v>117400</v>
      </c>
      <c r="B2349" t="s">
        <v>48846</v>
      </c>
      <c r="C2349" t="s">
        <v>48847</v>
      </c>
      <c r="D2349" t="s">
        <v>48848</v>
      </c>
      <c r="E2349" t="s">
        <v>48849</v>
      </c>
      <c r="F2349" t="s">
        <v>48850</v>
      </c>
      <c r="G2349" t="s">
        <v>48851</v>
      </c>
      <c r="H2349" t="s">
        <v>48852</v>
      </c>
      <c r="I2349" t="s">
        <v>48853</v>
      </c>
      <c r="J2349" t="s">
        <v>48854</v>
      </c>
      <c r="K2349" t="s">
        <v>48855</v>
      </c>
      <c r="L2349" t="s">
        <v>48856</v>
      </c>
      <c r="M2349" t="s">
        <v>48857</v>
      </c>
      <c r="N2349" t="s">
        <v>48858</v>
      </c>
      <c r="O2349">
        <f>-966.591658842922 -26.1978351853336 -483.348410121504</f>
        <v>-1476.1379041497596</v>
      </c>
      <c r="P2349">
        <f>-1006.67449659639 -22.223803410639 -191.854437876178</f>
        <v>-1220.7527378832071</v>
      </c>
      <c r="Q2349">
        <f>-807.857267027361 -47.303670647256 -325.621488090294</f>
        <v>-1180.7824257649111</v>
      </c>
      <c r="R2349" t="s">
        <v>48859</v>
      </c>
      <c r="S2349" t="s">
        <v>48860</v>
      </c>
      <c r="T2349" t="s">
        <v>48861</v>
      </c>
      <c r="U2349" t="s">
        <v>48862</v>
      </c>
      <c r="V2349" t="s">
        <v>48863</v>
      </c>
      <c r="W2349" t="s">
        <v>48864</v>
      </c>
      <c r="X2349" t="s">
        <v>48865</v>
      </c>
      <c r="Y2349" t="s">
        <v>48866</v>
      </c>
    </row>
    <row r="2350" spans="1:25" x14ac:dyDescent="0.3">
      <c r="A2350">
        <v>117450</v>
      </c>
      <c r="B2350" t="s">
        <v>48867</v>
      </c>
      <c r="C2350" t="s">
        <v>48868</v>
      </c>
      <c r="D2350" t="s">
        <v>48869</v>
      </c>
      <c r="E2350" t="s">
        <v>48870</v>
      </c>
      <c r="F2350" t="s">
        <v>48871</v>
      </c>
      <c r="G2350" t="s">
        <v>48872</v>
      </c>
      <c r="H2350" t="s">
        <v>48873</v>
      </c>
      <c r="I2350" t="s">
        <v>48874</v>
      </c>
      <c r="J2350" t="s">
        <v>48875</v>
      </c>
      <c r="K2350" t="s">
        <v>48876</v>
      </c>
      <c r="L2350" t="s">
        <v>48877</v>
      </c>
      <c r="M2350" t="s">
        <v>48878</v>
      </c>
      <c r="N2350" t="s">
        <v>48879</v>
      </c>
      <c r="O2350">
        <f>-965.083062644922 -27.3664099815055 -482.645007921382</f>
        <v>-1475.0944805478096</v>
      </c>
      <c r="P2350">
        <f>-1006.12588581169 -23.6593491227864 -191.281050232576</f>
        <v>-1221.0662851670525</v>
      </c>
      <c r="Q2350">
        <f>-807.034160580942 -49.2482494223095 -324.542489916946</f>
        <v>-1180.8248999201974</v>
      </c>
      <c r="R2350" t="s">
        <v>48880</v>
      </c>
      <c r="S2350" t="s">
        <v>48881</v>
      </c>
      <c r="T2350" t="s">
        <v>48882</v>
      </c>
      <c r="U2350" t="s">
        <v>48883</v>
      </c>
      <c r="V2350" t="s">
        <v>48884</v>
      </c>
      <c r="W2350" t="s">
        <v>48885</v>
      </c>
      <c r="X2350" t="s">
        <v>48886</v>
      </c>
      <c r="Y2350" t="s">
        <v>48887</v>
      </c>
    </row>
    <row r="2351" spans="1:25" x14ac:dyDescent="0.3">
      <c r="A2351">
        <v>117500</v>
      </c>
      <c r="B2351" t="s">
        <v>48888</v>
      </c>
      <c r="C2351" t="s">
        <v>48889</v>
      </c>
      <c r="D2351" t="s">
        <v>48890</v>
      </c>
      <c r="E2351" t="s">
        <v>48891</v>
      </c>
      <c r="F2351" t="s">
        <v>48892</v>
      </c>
      <c r="G2351" t="s">
        <v>48893</v>
      </c>
      <c r="H2351" t="s">
        <v>48894</v>
      </c>
      <c r="I2351" t="s">
        <v>48895</v>
      </c>
      <c r="J2351" t="s">
        <v>48896</v>
      </c>
      <c r="K2351" t="s">
        <v>48897</v>
      </c>
      <c r="L2351" t="s">
        <v>48898</v>
      </c>
      <c r="M2351" t="s">
        <v>48899</v>
      </c>
      <c r="N2351" t="s">
        <v>48900</v>
      </c>
      <c r="O2351">
        <f>-962.086436673635 -26.7628654878781 -480.711196931006</f>
        <v>-1469.5604990925192</v>
      </c>
      <c r="P2351">
        <f>-1004.35266697162 -23.9418405283623 -189.512316493843</f>
        <v>-1217.8068239938252</v>
      </c>
      <c r="Q2351">
        <f>-804.634669010529 -50.5026283138673 -321.641249338148</f>
        <v>-1176.7785466625442</v>
      </c>
      <c r="R2351" t="s">
        <v>48901</v>
      </c>
      <c r="S2351" t="s">
        <v>48902</v>
      </c>
      <c r="T2351" t="s">
        <v>48903</v>
      </c>
      <c r="U2351" t="s">
        <v>48904</v>
      </c>
      <c r="V2351" t="s">
        <v>48905</v>
      </c>
      <c r="W2351" t="s">
        <v>48906</v>
      </c>
      <c r="X2351" t="s">
        <v>48907</v>
      </c>
      <c r="Y2351" t="s">
        <v>48908</v>
      </c>
    </row>
    <row r="2352" spans="1:25" x14ac:dyDescent="0.3">
      <c r="A2352">
        <v>117550</v>
      </c>
      <c r="B2352" t="s">
        <v>48909</v>
      </c>
      <c r="C2352" t="s">
        <v>48910</v>
      </c>
      <c r="D2352" t="s">
        <v>48911</v>
      </c>
      <c r="E2352" t="s">
        <v>48912</v>
      </c>
      <c r="F2352" t="s">
        <v>48913</v>
      </c>
      <c r="G2352" t="s">
        <v>48914</v>
      </c>
      <c r="H2352" t="s">
        <v>48915</v>
      </c>
      <c r="I2352" t="s">
        <v>48916</v>
      </c>
      <c r="J2352" t="s">
        <v>48917</v>
      </c>
      <c r="K2352" t="s">
        <v>48918</v>
      </c>
      <c r="L2352" t="s">
        <v>48919</v>
      </c>
      <c r="M2352" t="s">
        <v>48920</v>
      </c>
      <c r="N2352" t="s">
        <v>48921</v>
      </c>
      <c r="O2352">
        <f>-962.200385955401 -25.1632996367343 -479.524819143321</f>
        <v>-1466.8885047354563</v>
      </c>
      <c r="P2352">
        <f>-1004.34874787634 -22.4709674442806 -188.307611021982</f>
        <v>-1215.1273263426026</v>
      </c>
      <c r="Q2352">
        <f>-804.416869325369 -50.1787492957908 -319.876586913808</f>
        <v>-1174.4722055349678</v>
      </c>
      <c r="R2352" t="s">
        <v>48922</v>
      </c>
      <c r="S2352" t="s">
        <v>48923</v>
      </c>
      <c r="T2352" t="s">
        <v>48924</v>
      </c>
      <c r="U2352" t="s">
        <v>48925</v>
      </c>
      <c r="V2352" t="s">
        <v>48926</v>
      </c>
      <c r="W2352" t="s">
        <v>48927</v>
      </c>
      <c r="X2352" t="s">
        <v>48928</v>
      </c>
      <c r="Y2352" t="s">
        <v>48929</v>
      </c>
    </row>
    <row r="2353" spans="1:25" x14ac:dyDescent="0.3">
      <c r="A2353">
        <v>117600</v>
      </c>
      <c r="B2353" t="s">
        <v>48930</v>
      </c>
      <c r="C2353" t="s">
        <v>48931</v>
      </c>
      <c r="D2353" t="s">
        <v>48932</v>
      </c>
      <c r="E2353" t="s">
        <v>48933</v>
      </c>
      <c r="F2353" t="s">
        <v>48934</v>
      </c>
      <c r="G2353" t="s">
        <v>48935</v>
      </c>
      <c r="H2353" t="s">
        <v>48936</v>
      </c>
      <c r="I2353" t="s">
        <v>48937</v>
      </c>
      <c r="J2353" t="s">
        <v>48938</v>
      </c>
      <c r="K2353" t="s">
        <v>48939</v>
      </c>
      <c r="L2353" t="s">
        <v>48940</v>
      </c>
      <c r="M2353" t="s">
        <v>48941</v>
      </c>
      <c r="N2353" t="s">
        <v>48942</v>
      </c>
      <c r="O2353">
        <f>-966.427611137241 -20.0212631715431 -477.869808861341</f>
        <v>-1464.318683170125</v>
      </c>
      <c r="P2353">
        <f>-1007.47489762461 -17.4509751029877 -186.494194177667</f>
        <v>-1211.4200669052645</v>
      </c>
      <c r="Q2353">
        <f>-808.062446454351 -47.1908587112187 -318.407406774992</f>
        <v>-1173.6607119405617</v>
      </c>
      <c r="R2353" t="s">
        <v>48943</v>
      </c>
      <c r="S2353" t="s">
        <v>48944</v>
      </c>
      <c r="T2353" t="s">
        <v>48945</v>
      </c>
      <c r="U2353" t="s">
        <v>48946</v>
      </c>
      <c r="V2353" t="s">
        <v>48947</v>
      </c>
      <c r="W2353" t="s">
        <v>48948</v>
      </c>
      <c r="X2353" t="s">
        <v>48949</v>
      </c>
      <c r="Y2353" t="s">
        <v>48950</v>
      </c>
    </row>
    <row r="2354" spans="1:25" x14ac:dyDescent="0.3">
      <c r="A2354">
        <v>117650</v>
      </c>
      <c r="B2354" t="s">
        <v>48951</v>
      </c>
      <c r="C2354" t="s">
        <v>48952</v>
      </c>
      <c r="D2354" t="s">
        <v>48953</v>
      </c>
      <c r="E2354" t="s">
        <v>48954</v>
      </c>
      <c r="F2354" t="s">
        <v>48955</v>
      </c>
      <c r="G2354" t="s">
        <v>48956</v>
      </c>
      <c r="H2354" t="s">
        <v>48957</v>
      </c>
      <c r="I2354" t="s">
        <v>48958</v>
      </c>
      <c r="J2354" t="s">
        <v>48959</v>
      </c>
      <c r="K2354" t="s">
        <v>48960</v>
      </c>
      <c r="L2354" t="s">
        <v>48961</v>
      </c>
      <c r="M2354" t="s">
        <v>48962</v>
      </c>
      <c r="N2354" t="s">
        <v>48963</v>
      </c>
      <c r="O2354">
        <f>-968.985576350381 -17.630457168355 -477.374137117889</f>
        <v>-1463.990170636625</v>
      </c>
      <c r="P2354">
        <f>-1009.48020993654 -15.3414091791369 -185.91884321139</f>
        <v>-1210.7404623270668</v>
      </c>
      <c r="Q2354">
        <f>-810.516983846747 -45.3453062718584 -318.449409806409</f>
        <v>-1174.3116999250144</v>
      </c>
      <c r="R2354" t="s">
        <v>48964</v>
      </c>
      <c r="S2354" t="s">
        <v>48965</v>
      </c>
      <c r="T2354" t="s">
        <v>48966</v>
      </c>
      <c r="U2354" t="s">
        <v>48967</v>
      </c>
      <c r="V2354" t="s">
        <v>48968</v>
      </c>
      <c r="W2354" t="s">
        <v>48969</v>
      </c>
      <c r="X2354" t="s">
        <v>48970</v>
      </c>
      <c r="Y2354" t="s">
        <v>48971</v>
      </c>
    </row>
    <row r="2355" spans="1:25" x14ac:dyDescent="0.3">
      <c r="A2355">
        <v>117700</v>
      </c>
      <c r="B2355" t="s">
        <v>48972</v>
      </c>
      <c r="C2355" t="s">
        <v>48973</v>
      </c>
      <c r="D2355" t="s">
        <v>48974</v>
      </c>
      <c r="E2355" t="s">
        <v>48975</v>
      </c>
      <c r="F2355" t="s">
        <v>48976</v>
      </c>
      <c r="G2355" t="s">
        <v>48977</v>
      </c>
      <c r="H2355" t="s">
        <v>48978</v>
      </c>
      <c r="I2355" t="s">
        <v>48979</v>
      </c>
      <c r="J2355" t="s">
        <v>48980</v>
      </c>
      <c r="K2355" t="s">
        <v>48981</v>
      </c>
      <c r="L2355" t="s">
        <v>48982</v>
      </c>
      <c r="M2355" t="s">
        <v>48983</v>
      </c>
      <c r="N2355" t="s">
        <v>48984</v>
      </c>
      <c r="O2355">
        <f>-972.89803072982 -14.1990985325069 -476.820861452946</f>
        <v>-1463.9179907152729</v>
      </c>
      <c r="P2355">
        <f>-1011.84631583053 -15.0604869074077 -185.147201842511</f>
        <v>-1212.0540045804487</v>
      </c>
      <c r="Q2355">
        <f>-813.697492069402 -40.3238619703768 -319.868142083526</f>
        <v>-1173.8894961233048</v>
      </c>
      <c r="R2355" t="s">
        <v>48985</v>
      </c>
      <c r="S2355" t="s">
        <v>48986</v>
      </c>
      <c r="T2355" t="s">
        <v>48987</v>
      </c>
      <c r="U2355" t="s">
        <v>48988</v>
      </c>
      <c r="V2355" t="s">
        <v>48989</v>
      </c>
      <c r="W2355" t="s">
        <v>48990</v>
      </c>
      <c r="X2355" t="s">
        <v>48991</v>
      </c>
      <c r="Y2355" t="s">
        <v>48992</v>
      </c>
    </row>
    <row r="2356" spans="1:25" x14ac:dyDescent="0.3">
      <c r="A2356">
        <v>117750</v>
      </c>
      <c r="B2356" t="s">
        <v>48993</v>
      </c>
      <c r="C2356" t="s">
        <v>48994</v>
      </c>
      <c r="D2356" t="s">
        <v>48995</v>
      </c>
      <c r="E2356" t="s">
        <v>48996</v>
      </c>
      <c r="F2356" t="s">
        <v>48997</v>
      </c>
      <c r="G2356" t="s">
        <v>48998</v>
      </c>
      <c r="H2356" t="s">
        <v>48999</v>
      </c>
      <c r="I2356" t="s">
        <v>49000</v>
      </c>
      <c r="J2356" t="s">
        <v>49001</v>
      </c>
      <c r="K2356" t="s">
        <v>49002</v>
      </c>
      <c r="L2356" t="s">
        <v>49003</v>
      </c>
      <c r="M2356" t="s">
        <v>49004</v>
      </c>
      <c r="N2356" t="s">
        <v>49005</v>
      </c>
      <c r="O2356">
        <f>-976.338807281679 -9.79836718636989 -476.71520606923</f>
        <v>-1462.8523805372788</v>
      </c>
      <c r="P2356">
        <f>-1013.65427229699 -13.7577405089451 -184.853751690607</f>
        <v>-1212.265764496542</v>
      </c>
      <c r="Q2356">
        <f>-815.904792032696 -35.7614516431136 -320.728336682512</f>
        <v>-1172.3945803583215</v>
      </c>
      <c r="R2356" t="s">
        <v>49006</v>
      </c>
      <c r="S2356" t="s">
        <v>49007</v>
      </c>
      <c r="T2356" t="s">
        <v>49008</v>
      </c>
      <c r="U2356" t="s">
        <v>49009</v>
      </c>
      <c r="V2356" t="s">
        <v>49010</v>
      </c>
      <c r="W2356" t="s">
        <v>49011</v>
      </c>
      <c r="X2356" t="s">
        <v>49012</v>
      </c>
      <c r="Y2356" t="s">
        <v>49013</v>
      </c>
    </row>
    <row r="2357" spans="1:25" x14ac:dyDescent="0.3">
      <c r="A2357">
        <v>117800</v>
      </c>
      <c r="B2357" t="s">
        <v>49014</v>
      </c>
      <c r="C2357" t="s">
        <v>49015</v>
      </c>
      <c r="D2357" t="s">
        <v>49016</v>
      </c>
      <c r="E2357" t="s">
        <v>49017</v>
      </c>
      <c r="F2357" t="s">
        <v>49018</v>
      </c>
      <c r="G2357" t="s">
        <v>49019</v>
      </c>
      <c r="H2357" t="s">
        <v>49020</v>
      </c>
      <c r="I2357" t="s">
        <v>49021</v>
      </c>
      <c r="J2357" t="s">
        <v>49022</v>
      </c>
      <c r="K2357" t="s">
        <v>49023</v>
      </c>
      <c r="L2357" t="s">
        <v>49024</v>
      </c>
      <c r="M2357" t="s">
        <v>49025</v>
      </c>
      <c r="N2357" t="s">
        <v>49026</v>
      </c>
      <c r="O2357" t="s">
        <v>49027</v>
      </c>
      <c r="P2357">
        <f>-1015.51509027003 -9.04714674250863 -186.640775615047</f>
        <v>-1211.2030126275856</v>
      </c>
      <c r="Q2357">
        <f>-818.711373701691 -21.7945331431602 -325.047927582994</f>
        <v>-1165.5538344278452</v>
      </c>
      <c r="R2357" t="s">
        <v>49028</v>
      </c>
      <c r="S2357" t="s">
        <v>49029</v>
      </c>
      <c r="T2357" t="s">
        <v>49030</v>
      </c>
      <c r="U2357" t="s">
        <v>49031</v>
      </c>
      <c r="V2357" t="s">
        <v>49032</v>
      </c>
      <c r="W2357" t="s">
        <v>49033</v>
      </c>
      <c r="X2357" t="s">
        <v>49034</v>
      </c>
      <c r="Y2357" t="s">
        <v>49035</v>
      </c>
    </row>
    <row r="2358" spans="1:25" x14ac:dyDescent="0.3">
      <c r="A2358">
        <v>117850</v>
      </c>
      <c r="B2358" t="s">
        <v>49036</v>
      </c>
      <c r="C2358" t="s">
        <v>49037</v>
      </c>
      <c r="D2358" t="s">
        <v>49038</v>
      </c>
      <c r="E2358" t="s">
        <v>49039</v>
      </c>
      <c r="F2358" t="s">
        <v>49040</v>
      </c>
      <c r="G2358" t="s">
        <v>49041</v>
      </c>
      <c r="H2358" t="s">
        <v>49042</v>
      </c>
      <c r="I2358" t="s">
        <v>49043</v>
      </c>
      <c r="J2358" t="s">
        <v>49044</v>
      </c>
      <c r="K2358" t="s">
        <v>49045</v>
      </c>
      <c r="L2358" t="s">
        <v>49046</v>
      </c>
      <c r="M2358" t="s">
        <v>49047</v>
      </c>
      <c r="N2358" t="s">
        <v>49048</v>
      </c>
      <c r="O2358" t="s">
        <v>49049</v>
      </c>
      <c r="P2358">
        <f>-1015.95347872807 -6.95031617243058 -187.898212719536</f>
        <v>-1210.8020076200364</v>
      </c>
      <c r="Q2358">
        <f>-819.861253706307 -14.6008887694275 -327.683920241705</f>
        <v>-1162.1460627174395</v>
      </c>
      <c r="R2358" t="s">
        <v>49050</v>
      </c>
      <c r="S2358" t="s">
        <v>49051</v>
      </c>
      <c r="T2358" t="s">
        <v>49052</v>
      </c>
      <c r="U2358" t="s">
        <v>49053</v>
      </c>
      <c r="V2358" t="s">
        <v>49054</v>
      </c>
      <c r="W2358" t="s">
        <v>49055</v>
      </c>
      <c r="X2358" t="s">
        <v>49056</v>
      </c>
      <c r="Y2358" t="s">
        <v>49057</v>
      </c>
    </row>
    <row r="2359" spans="1:25" x14ac:dyDescent="0.3">
      <c r="A2359">
        <v>117900</v>
      </c>
      <c r="B2359" t="s">
        <v>49058</v>
      </c>
      <c r="C2359" t="s">
        <v>49059</v>
      </c>
      <c r="D2359" t="s">
        <v>49060</v>
      </c>
      <c r="E2359" t="s">
        <v>49061</v>
      </c>
      <c r="F2359" t="s">
        <v>49062</v>
      </c>
      <c r="G2359" t="s">
        <v>49063</v>
      </c>
      <c r="H2359" t="s">
        <v>49064</v>
      </c>
      <c r="I2359" t="s">
        <v>49065</v>
      </c>
      <c r="J2359" t="s">
        <v>49066</v>
      </c>
      <c r="K2359" t="s">
        <v>49067</v>
      </c>
      <c r="L2359" t="s">
        <v>49068</v>
      </c>
      <c r="M2359" t="s">
        <v>49069</v>
      </c>
      <c r="N2359" t="s">
        <v>49070</v>
      </c>
      <c r="O2359" t="s">
        <v>49071</v>
      </c>
      <c r="P2359">
        <f>-1031.33981738565 -1.91425069710976 -190.384220288639</f>
        <v>-1223.6382883713986</v>
      </c>
      <c r="Q2359" t="s">
        <v>49072</v>
      </c>
      <c r="R2359" t="s">
        <v>49073</v>
      </c>
      <c r="S2359" t="s">
        <v>49074</v>
      </c>
      <c r="T2359" t="s">
        <v>49075</v>
      </c>
      <c r="U2359" t="s">
        <v>49076</v>
      </c>
      <c r="V2359" t="s">
        <v>49077</v>
      </c>
      <c r="W2359" t="s">
        <v>49078</v>
      </c>
      <c r="X2359" t="s">
        <v>49079</v>
      </c>
      <c r="Y2359" t="s">
        <v>49080</v>
      </c>
    </row>
    <row r="2360" spans="1:25" x14ac:dyDescent="0.3">
      <c r="A2360">
        <v>117950</v>
      </c>
      <c r="B2360" t="s">
        <v>49081</v>
      </c>
      <c r="C2360" t="s">
        <v>49082</v>
      </c>
      <c r="D2360" t="s">
        <v>49083</v>
      </c>
      <c r="E2360" t="s">
        <v>49084</v>
      </c>
      <c r="F2360" t="s">
        <v>49085</v>
      </c>
      <c r="G2360" t="s">
        <v>49086</v>
      </c>
      <c r="H2360" t="s">
        <v>49087</v>
      </c>
      <c r="I2360" t="s">
        <v>49088</v>
      </c>
      <c r="J2360" t="s">
        <v>49089</v>
      </c>
      <c r="K2360" t="s">
        <v>49090</v>
      </c>
      <c r="L2360" t="s">
        <v>49091</v>
      </c>
      <c r="M2360" t="s">
        <v>49092</v>
      </c>
      <c r="N2360" t="s">
        <v>49093</v>
      </c>
      <c r="O2360" t="s">
        <v>49094</v>
      </c>
      <c r="P2360">
        <f>-1038.22330684583 -1.01236429341589 -191.4966305161</f>
        <v>-1230.7323016553457</v>
      </c>
      <c r="Q2360" t="s">
        <v>49095</v>
      </c>
      <c r="R2360" t="s">
        <v>49096</v>
      </c>
      <c r="S2360" t="s">
        <v>49097</v>
      </c>
      <c r="T2360" t="s">
        <v>49098</v>
      </c>
      <c r="U2360" t="s">
        <v>49099</v>
      </c>
      <c r="V2360" t="s">
        <v>49100</v>
      </c>
      <c r="W2360" t="s">
        <v>49101</v>
      </c>
      <c r="X2360" t="s">
        <v>49102</v>
      </c>
      <c r="Y2360" t="s">
        <v>49103</v>
      </c>
    </row>
    <row r="2361" spans="1:25" x14ac:dyDescent="0.3">
      <c r="A2361">
        <v>118000</v>
      </c>
      <c r="B2361" t="s">
        <v>49104</v>
      </c>
      <c r="C2361" t="s">
        <v>49105</v>
      </c>
      <c r="D2361" t="s">
        <v>49106</v>
      </c>
      <c r="E2361" t="s">
        <v>49107</v>
      </c>
      <c r="F2361" t="s">
        <v>49108</v>
      </c>
      <c r="G2361" t="s">
        <v>49109</v>
      </c>
      <c r="H2361" t="s">
        <v>49110</v>
      </c>
      <c r="I2361" t="s">
        <v>49111</v>
      </c>
      <c r="J2361" t="s">
        <v>49112</v>
      </c>
      <c r="K2361" t="s">
        <v>49113</v>
      </c>
      <c r="L2361" t="s">
        <v>49114</v>
      </c>
      <c r="M2361" t="s">
        <v>49115</v>
      </c>
      <c r="N2361" t="s">
        <v>49116</v>
      </c>
      <c r="O2361" t="s">
        <v>49117</v>
      </c>
      <c r="P2361">
        <f>-1039.66739517797 -1.97212063205507 -193.398776608394</f>
        <v>-1235.0382924184191</v>
      </c>
      <c r="Q2361" t="s">
        <v>49118</v>
      </c>
      <c r="R2361" t="s">
        <v>49119</v>
      </c>
      <c r="S2361" t="s">
        <v>49120</v>
      </c>
      <c r="T2361" t="s">
        <v>49121</v>
      </c>
      <c r="U2361" t="s">
        <v>49122</v>
      </c>
      <c r="V2361" t="s">
        <v>49123</v>
      </c>
      <c r="W2361" t="s">
        <v>49124</v>
      </c>
      <c r="X2361" t="s">
        <v>49125</v>
      </c>
      <c r="Y2361" t="s">
        <v>49126</v>
      </c>
    </row>
    <row r="2362" spans="1:25" x14ac:dyDescent="0.3">
      <c r="A2362">
        <v>118050</v>
      </c>
      <c r="B2362" t="s">
        <v>49127</v>
      </c>
      <c r="C2362" t="s">
        <v>49128</v>
      </c>
      <c r="D2362" t="s">
        <v>49129</v>
      </c>
      <c r="E2362" t="s">
        <v>49130</v>
      </c>
      <c r="F2362" t="s">
        <v>49131</v>
      </c>
      <c r="G2362" t="s">
        <v>49132</v>
      </c>
      <c r="H2362" t="s">
        <v>49133</v>
      </c>
      <c r="I2362" t="s">
        <v>49134</v>
      </c>
      <c r="J2362" t="s">
        <v>49135</v>
      </c>
      <c r="K2362" t="s">
        <v>49136</v>
      </c>
      <c r="L2362" t="s">
        <v>49137</v>
      </c>
      <c r="M2362" t="s">
        <v>49138</v>
      </c>
      <c r="N2362" t="s">
        <v>49139</v>
      </c>
      <c r="O2362" t="s">
        <v>49140</v>
      </c>
      <c r="P2362">
        <f>-1036.81666128564 -3.22595186747139 -194.144907510291</f>
        <v>-1234.1875206634024</v>
      </c>
      <c r="Q2362" t="s">
        <v>49141</v>
      </c>
      <c r="R2362" t="s">
        <v>49142</v>
      </c>
      <c r="S2362" t="s">
        <v>49143</v>
      </c>
      <c r="T2362" t="s">
        <v>49144</v>
      </c>
      <c r="U2362" t="s">
        <v>49145</v>
      </c>
      <c r="V2362" t="s">
        <v>49146</v>
      </c>
      <c r="W2362" t="s">
        <v>49147</v>
      </c>
      <c r="X2362" t="s">
        <v>49148</v>
      </c>
      <c r="Y2362" t="s">
        <v>49149</v>
      </c>
    </row>
    <row r="2363" spans="1:25" x14ac:dyDescent="0.3">
      <c r="A2363">
        <v>118100</v>
      </c>
      <c r="B2363" t="s">
        <v>49150</v>
      </c>
      <c r="C2363" t="s">
        <v>49151</v>
      </c>
      <c r="D2363" t="s">
        <v>49152</v>
      </c>
      <c r="E2363" t="s">
        <v>49153</v>
      </c>
      <c r="F2363" t="s">
        <v>49154</v>
      </c>
      <c r="G2363" t="s">
        <v>49155</v>
      </c>
      <c r="H2363" t="s">
        <v>49156</v>
      </c>
      <c r="I2363" t="s">
        <v>49157</v>
      </c>
      <c r="J2363" t="s">
        <v>49158</v>
      </c>
      <c r="K2363" t="s">
        <v>49159</v>
      </c>
      <c r="L2363" t="s">
        <v>49160</v>
      </c>
      <c r="M2363" t="s">
        <v>49161</v>
      </c>
      <c r="N2363" t="s">
        <v>49162</v>
      </c>
      <c r="O2363" t="s">
        <v>49163</v>
      </c>
      <c r="P2363">
        <f>-1030.37171913294 -6.71441178822079 -195.606704534115</f>
        <v>-1232.6928354552756</v>
      </c>
      <c r="Q2363" t="s">
        <v>49164</v>
      </c>
      <c r="R2363" t="s">
        <v>49165</v>
      </c>
      <c r="S2363" t="s">
        <v>49166</v>
      </c>
      <c r="T2363" t="s">
        <v>49167</v>
      </c>
      <c r="U2363" t="s">
        <v>49168</v>
      </c>
      <c r="V2363" t="s">
        <v>49169</v>
      </c>
      <c r="W2363" t="s">
        <v>49170</v>
      </c>
      <c r="X2363" t="s">
        <v>49171</v>
      </c>
      <c r="Y2363" t="s">
        <v>49172</v>
      </c>
    </row>
    <row r="2364" spans="1:25" x14ac:dyDescent="0.3">
      <c r="A2364">
        <v>118150</v>
      </c>
      <c r="B2364" t="s">
        <v>49173</v>
      </c>
      <c r="C2364" t="s">
        <v>49174</v>
      </c>
      <c r="D2364" t="s">
        <v>49175</v>
      </c>
      <c r="E2364" t="s">
        <v>49176</v>
      </c>
      <c r="F2364" t="s">
        <v>49177</v>
      </c>
      <c r="G2364" t="s">
        <v>49178</v>
      </c>
      <c r="H2364" t="s">
        <v>49179</v>
      </c>
      <c r="I2364" t="s">
        <v>49180</v>
      </c>
      <c r="J2364" t="s">
        <v>49181</v>
      </c>
      <c r="K2364" t="s">
        <v>49182</v>
      </c>
      <c r="L2364" t="s">
        <v>49183</v>
      </c>
      <c r="M2364" t="s">
        <v>49184</v>
      </c>
      <c r="N2364" t="s">
        <v>49185</v>
      </c>
      <c r="O2364" t="s">
        <v>49186</v>
      </c>
      <c r="P2364">
        <f>-1027.37522592759 -8.07693815133644 -196.345867190553</f>
        <v>-1231.7980312694795</v>
      </c>
      <c r="Q2364" t="s">
        <v>49187</v>
      </c>
      <c r="R2364" t="s">
        <v>49188</v>
      </c>
      <c r="S2364" t="s">
        <v>49189</v>
      </c>
      <c r="T2364" t="s">
        <v>49190</v>
      </c>
      <c r="U2364" t="s">
        <v>49191</v>
      </c>
      <c r="V2364" t="s">
        <v>49192</v>
      </c>
      <c r="W2364" t="s">
        <v>49193</v>
      </c>
      <c r="X2364" t="s">
        <v>49194</v>
      </c>
      <c r="Y2364" t="s">
        <v>49195</v>
      </c>
    </row>
    <row r="2365" spans="1:25" x14ac:dyDescent="0.3">
      <c r="A2365">
        <v>118200</v>
      </c>
      <c r="B2365" t="s">
        <v>49196</v>
      </c>
      <c r="C2365" t="s">
        <v>49197</v>
      </c>
      <c r="D2365" t="s">
        <v>49198</v>
      </c>
      <c r="E2365" t="s">
        <v>49199</v>
      </c>
      <c r="F2365" t="s">
        <v>49200</v>
      </c>
      <c r="G2365" t="s">
        <v>49201</v>
      </c>
      <c r="H2365" t="s">
        <v>49202</v>
      </c>
      <c r="I2365" t="s">
        <v>49203</v>
      </c>
      <c r="J2365" t="s">
        <v>49204</v>
      </c>
      <c r="K2365" t="s">
        <v>49205</v>
      </c>
      <c r="L2365" t="s">
        <v>49206</v>
      </c>
      <c r="M2365" t="s">
        <v>49207</v>
      </c>
      <c r="N2365" t="s">
        <v>49208</v>
      </c>
      <c r="O2365" t="s">
        <v>49209</v>
      </c>
      <c r="P2365">
        <f>-1020.92729382141 -12.0059872828056 -197.376221025617</f>
        <v>-1230.3095021298327</v>
      </c>
      <c r="Q2365" t="s">
        <v>49210</v>
      </c>
      <c r="R2365" t="s">
        <v>49211</v>
      </c>
      <c r="S2365" t="s">
        <v>49212</v>
      </c>
      <c r="T2365" t="s">
        <v>49213</v>
      </c>
      <c r="U2365" t="s">
        <v>49214</v>
      </c>
      <c r="V2365" t="s">
        <v>49215</v>
      </c>
      <c r="W2365" t="s">
        <v>49216</v>
      </c>
      <c r="X2365" t="s">
        <v>49217</v>
      </c>
      <c r="Y2365" t="s">
        <v>49218</v>
      </c>
    </row>
    <row r="2366" spans="1:25" x14ac:dyDescent="0.3">
      <c r="A2366">
        <v>118250</v>
      </c>
      <c r="B2366" t="s">
        <v>49219</v>
      </c>
      <c r="C2366" t="s">
        <v>49220</v>
      </c>
      <c r="D2366" t="s">
        <v>49221</v>
      </c>
      <c r="E2366" t="s">
        <v>49222</v>
      </c>
      <c r="F2366" t="s">
        <v>49223</v>
      </c>
      <c r="G2366" t="s">
        <v>49224</v>
      </c>
      <c r="H2366" t="s">
        <v>49225</v>
      </c>
      <c r="I2366" t="s">
        <v>49226</v>
      </c>
      <c r="J2366" t="s">
        <v>49227</v>
      </c>
      <c r="K2366" t="s">
        <v>49228</v>
      </c>
      <c r="L2366" t="s">
        <v>49229</v>
      </c>
      <c r="M2366" t="s">
        <v>49230</v>
      </c>
      <c r="N2366" t="s">
        <v>49231</v>
      </c>
      <c r="O2366" t="s">
        <v>49232</v>
      </c>
      <c r="P2366">
        <f>-1018.08904589081 -13.7469101282854 -197.820455310561</f>
        <v>-1229.6564113296563</v>
      </c>
      <c r="Q2366" t="s">
        <v>49233</v>
      </c>
      <c r="R2366" t="s">
        <v>49234</v>
      </c>
      <c r="S2366" t="s">
        <v>49235</v>
      </c>
      <c r="T2366" t="s">
        <v>49236</v>
      </c>
      <c r="U2366" t="s">
        <v>49237</v>
      </c>
      <c r="V2366" t="s">
        <v>49238</v>
      </c>
      <c r="W2366" t="s">
        <v>49239</v>
      </c>
      <c r="X2366" t="s">
        <v>49240</v>
      </c>
      <c r="Y2366" t="s">
        <v>49241</v>
      </c>
    </row>
    <row r="2367" spans="1:25" x14ac:dyDescent="0.3">
      <c r="A2367">
        <v>118300</v>
      </c>
      <c r="B2367" t="s">
        <v>49242</v>
      </c>
      <c r="C2367" t="s">
        <v>49243</v>
      </c>
      <c r="D2367" t="s">
        <v>49244</v>
      </c>
      <c r="E2367" t="s">
        <v>49245</v>
      </c>
      <c r="F2367" t="s">
        <v>49246</v>
      </c>
      <c r="G2367" t="s">
        <v>49247</v>
      </c>
      <c r="H2367" t="s">
        <v>49248</v>
      </c>
      <c r="I2367" t="s">
        <v>49249</v>
      </c>
      <c r="J2367" t="s">
        <v>49250</v>
      </c>
      <c r="K2367" t="s">
        <v>49251</v>
      </c>
      <c r="L2367" t="s">
        <v>49252</v>
      </c>
      <c r="M2367" t="s">
        <v>49253</v>
      </c>
      <c r="N2367" t="s">
        <v>49254</v>
      </c>
      <c r="O2367" t="s">
        <v>49255</v>
      </c>
      <c r="P2367">
        <f>-1015.06343747246 -16.5362616149496 -197.863825859264</f>
        <v>-1229.4635249466737</v>
      </c>
      <c r="Q2367" t="s">
        <v>49256</v>
      </c>
      <c r="R2367" t="s">
        <v>49257</v>
      </c>
      <c r="S2367" t="s">
        <v>49258</v>
      </c>
      <c r="T2367" t="s">
        <v>49259</v>
      </c>
      <c r="U2367" t="s">
        <v>49260</v>
      </c>
      <c r="V2367" t="s">
        <v>49261</v>
      </c>
      <c r="W2367" t="s">
        <v>49262</v>
      </c>
      <c r="X2367" t="s">
        <v>49263</v>
      </c>
      <c r="Y2367" t="s">
        <v>49264</v>
      </c>
    </row>
    <row r="2368" spans="1:25" x14ac:dyDescent="0.3">
      <c r="A2368">
        <v>118350</v>
      </c>
      <c r="B2368" t="s">
        <v>49265</v>
      </c>
      <c r="C2368" t="s">
        <v>49266</v>
      </c>
      <c r="D2368" t="s">
        <v>49267</v>
      </c>
      <c r="E2368" t="s">
        <v>49268</v>
      </c>
      <c r="F2368" t="s">
        <v>49269</v>
      </c>
      <c r="G2368" t="s">
        <v>49270</v>
      </c>
      <c r="H2368" t="s">
        <v>49271</v>
      </c>
      <c r="I2368" t="s">
        <v>49272</v>
      </c>
      <c r="J2368" t="s">
        <v>49273</v>
      </c>
      <c r="K2368" t="s">
        <v>49274</v>
      </c>
      <c r="L2368" t="s">
        <v>49275</v>
      </c>
      <c r="M2368" t="s">
        <v>49276</v>
      </c>
      <c r="N2368" t="s">
        <v>49277</v>
      </c>
      <c r="O2368" t="s">
        <v>49278</v>
      </c>
      <c r="P2368">
        <f>-1013.50962964187 -17.9918240598154 -197.404002666369</f>
        <v>-1228.9054563680545</v>
      </c>
      <c r="Q2368" t="s">
        <v>49279</v>
      </c>
      <c r="R2368" t="s">
        <v>49280</v>
      </c>
      <c r="S2368" t="s">
        <v>49281</v>
      </c>
      <c r="T2368" t="s">
        <v>49282</v>
      </c>
      <c r="U2368" t="s">
        <v>49283</v>
      </c>
      <c r="V2368" t="s">
        <v>49284</v>
      </c>
      <c r="W2368" t="s">
        <v>49285</v>
      </c>
      <c r="X2368" t="s">
        <v>49286</v>
      </c>
      <c r="Y2368" t="s">
        <v>49287</v>
      </c>
    </row>
    <row r="2369" spans="1:25" x14ac:dyDescent="0.3">
      <c r="A2369">
        <v>118400</v>
      </c>
      <c r="B2369" t="s">
        <v>49288</v>
      </c>
      <c r="C2369" t="s">
        <v>49289</v>
      </c>
      <c r="D2369" t="s">
        <v>49290</v>
      </c>
      <c r="E2369" t="s">
        <v>49291</v>
      </c>
      <c r="F2369" t="s">
        <v>49292</v>
      </c>
      <c r="G2369" t="s">
        <v>49293</v>
      </c>
      <c r="H2369" t="s">
        <v>49294</v>
      </c>
      <c r="I2369" t="s">
        <v>49295</v>
      </c>
      <c r="J2369" t="s">
        <v>49296</v>
      </c>
      <c r="K2369" t="s">
        <v>49297</v>
      </c>
      <c r="L2369" t="s">
        <v>49298</v>
      </c>
      <c r="M2369" t="s">
        <v>49299</v>
      </c>
      <c r="N2369" t="s">
        <v>49300</v>
      </c>
      <c r="O2369" t="s">
        <v>49301</v>
      </c>
      <c r="P2369">
        <f>-1010.68659132037 -20.7615461408959 -197.056025641731</f>
        <v>-1228.5041631029967</v>
      </c>
      <c r="Q2369" t="s">
        <v>49302</v>
      </c>
      <c r="R2369" t="s">
        <v>49303</v>
      </c>
      <c r="S2369" t="s">
        <v>49304</v>
      </c>
      <c r="T2369" t="s">
        <v>49305</v>
      </c>
      <c r="U2369" t="s">
        <v>49306</v>
      </c>
      <c r="V2369" t="s">
        <v>49307</v>
      </c>
      <c r="W2369" t="s">
        <v>49308</v>
      </c>
      <c r="X2369" t="s">
        <v>49309</v>
      </c>
      <c r="Y2369" t="s">
        <v>49310</v>
      </c>
    </row>
    <row r="2370" spans="1:25" x14ac:dyDescent="0.3">
      <c r="A2370">
        <v>118450</v>
      </c>
      <c r="B2370" t="s">
        <v>49311</v>
      </c>
      <c r="C2370" t="s">
        <v>49312</v>
      </c>
      <c r="D2370" t="s">
        <v>49313</v>
      </c>
      <c r="E2370" t="s">
        <v>49314</v>
      </c>
      <c r="F2370" t="s">
        <v>49315</v>
      </c>
      <c r="G2370" t="s">
        <v>49316</v>
      </c>
      <c r="H2370" t="s">
        <v>49317</v>
      </c>
      <c r="I2370" t="s">
        <v>49318</v>
      </c>
      <c r="J2370" t="s">
        <v>49319</v>
      </c>
      <c r="K2370" t="s">
        <v>49320</v>
      </c>
      <c r="L2370" t="s">
        <v>49321</v>
      </c>
      <c r="M2370" t="s">
        <v>49322</v>
      </c>
      <c r="N2370" t="s">
        <v>49323</v>
      </c>
      <c r="O2370" t="s">
        <v>49324</v>
      </c>
      <c r="P2370">
        <f>-1009.59174206016 -22.5380676699465 -197.270350941799</f>
        <v>-1229.4001606719055</v>
      </c>
      <c r="Q2370" t="s">
        <v>49325</v>
      </c>
      <c r="R2370" t="s">
        <v>49326</v>
      </c>
      <c r="S2370" t="s">
        <v>49327</v>
      </c>
      <c r="T2370" t="s">
        <v>49328</v>
      </c>
      <c r="U2370" t="s">
        <v>49329</v>
      </c>
      <c r="V2370" t="s">
        <v>49330</v>
      </c>
      <c r="W2370" t="s">
        <v>49331</v>
      </c>
      <c r="X2370" t="s">
        <v>49332</v>
      </c>
      <c r="Y2370" t="s">
        <v>49333</v>
      </c>
    </row>
    <row r="2371" spans="1:25" x14ac:dyDescent="0.3">
      <c r="A2371">
        <v>118500</v>
      </c>
      <c r="B2371" t="s">
        <v>49334</v>
      </c>
      <c r="C2371" t="s">
        <v>49335</v>
      </c>
      <c r="D2371" t="s">
        <v>49336</v>
      </c>
      <c r="E2371" t="s">
        <v>49337</v>
      </c>
      <c r="F2371" t="s">
        <v>49338</v>
      </c>
      <c r="G2371" t="s">
        <v>49339</v>
      </c>
      <c r="H2371" t="s">
        <v>49340</v>
      </c>
      <c r="I2371" t="s">
        <v>49341</v>
      </c>
      <c r="J2371" t="s">
        <v>49342</v>
      </c>
      <c r="K2371" t="s">
        <v>49343</v>
      </c>
      <c r="L2371" t="s">
        <v>49344</v>
      </c>
      <c r="M2371" t="s">
        <v>49345</v>
      </c>
      <c r="N2371" t="s">
        <v>49346</v>
      </c>
      <c r="O2371" t="s">
        <v>49347</v>
      </c>
      <c r="P2371">
        <f>-1007.90303524403 -26.3920680623319 -197.522521800715</f>
        <v>-1231.8176251070768</v>
      </c>
      <c r="Q2371" t="s">
        <v>49348</v>
      </c>
      <c r="R2371" t="s">
        <v>49349</v>
      </c>
      <c r="S2371" t="s">
        <v>49350</v>
      </c>
      <c r="T2371" t="s">
        <v>49351</v>
      </c>
      <c r="U2371" t="s">
        <v>49352</v>
      </c>
      <c r="V2371" t="s">
        <v>49353</v>
      </c>
      <c r="W2371" t="s">
        <v>49354</v>
      </c>
      <c r="X2371" t="s">
        <v>49355</v>
      </c>
      <c r="Y2371" t="s">
        <v>49356</v>
      </c>
    </row>
    <row r="2372" spans="1:25" x14ac:dyDescent="0.3">
      <c r="A2372">
        <v>118550</v>
      </c>
      <c r="B2372" t="s">
        <v>49357</v>
      </c>
      <c r="C2372" t="s">
        <v>49358</v>
      </c>
      <c r="D2372" t="s">
        <v>49359</v>
      </c>
      <c r="E2372" t="s">
        <v>49360</v>
      </c>
      <c r="F2372" t="s">
        <v>49361</v>
      </c>
      <c r="G2372" t="s">
        <v>49362</v>
      </c>
      <c r="H2372" t="s">
        <v>49363</v>
      </c>
      <c r="I2372" t="s">
        <v>49364</v>
      </c>
      <c r="J2372" t="s">
        <v>49365</v>
      </c>
      <c r="K2372" t="s">
        <v>49366</v>
      </c>
      <c r="L2372" t="s">
        <v>49367</v>
      </c>
      <c r="M2372" t="s">
        <v>49368</v>
      </c>
      <c r="N2372" t="s">
        <v>49369</v>
      </c>
      <c r="O2372" t="s">
        <v>49370</v>
      </c>
      <c r="P2372">
        <f>-1007.32713368511 -28.2344889298101 -197.700977121604</f>
        <v>-1233.262599736524</v>
      </c>
      <c r="Q2372" t="s">
        <v>49371</v>
      </c>
      <c r="R2372" t="s">
        <v>49372</v>
      </c>
      <c r="S2372" t="s">
        <v>49373</v>
      </c>
      <c r="T2372" t="s">
        <v>49374</v>
      </c>
      <c r="U2372" t="s">
        <v>49375</v>
      </c>
      <c r="V2372" t="s">
        <v>49376</v>
      </c>
      <c r="W2372" t="s">
        <v>49377</v>
      </c>
      <c r="X2372" t="s">
        <v>49378</v>
      </c>
      <c r="Y2372" t="s">
        <v>49379</v>
      </c>
    </row>
    <row r="2373" spans="1:25" x14ac:dyDescent="0.3">
      <c r="A2373">
        <v>118600</v>
      </c>
      <c r="B2373" t="s">
        <v>49380</v>
      </c>
      <c r="C2373" t="s">
        <v>49381</v>
      </c>
      <c r="D2373" t="s">
        <v>49382</v>
      </c>
      <c r="E2373" t="s">
        <v>49383</v>
      </c>
      <c r="F2373" t="s">
        <v>49384</v>
      </c>
      <c r="G2373" t="s">
        <v>49385</v>
      </c>
      <c r="H2373" t="s">
        <v>49386</v>
      </c>
      <c r="I2373" t="s">
        <v>49387</v>
      </c>
      <c r="J2373" t="s">
        <v>49388</v>
      </c>
      <c r="K2373" t="s">
        <v>49389</v>
      </c>
      <c r="L2373" t="s">
        <v>49390</v>
      </c>
      <c r="M2373" t="s">
        <v>49391</v>
      </c>
      <c r="N2373" t="s">
        <v>49392</v>
      </c>
      <c r="O2373" t="s">
        <v>49393</v>
      </c>
      <c r="P2373">
        <f>-1006.2282555492 -31.7990393913592 -197.729085879455</f>
        <v>-1235.7563808200141</v>
      </c>
      <c r="Q2373" t="s">
        <v>49394</v>
      </c>
      <c r="R2373" t="s">
        <v>49395</v>
      </c>
      <c r="S2373" t="s">
        <v>49396</v>
      </c>
      <c r="T2373" t="s">
        <v>49397</v>
      </c>
      <c r="U2373" t="s">
        <v>49398</v>
      </c>
      <c r="V2373" t="s">
        <v>49399</v>
      </c>
      <c r="W2373" t="s">
        <v>49400</v>
      </c>
      <c r="X2373" t="s">
        <v>49401</v>
      </c>
      <c r="Y2373" t="s">
        <v>49402</v>
      </c>
    </row>
    <row r="2374" spans="1:25" x14ac:dyDescent="0.3">
      <c r="A2374">
        <v>118650</v>
      </c>
      <c r="B2374" t="s">
        <v>49403</v>
      </c>
      <c r="C2374" t="s">
        <v>49404</v>
      </c>
      <c r="D2374" t="s">
        <v>49405</v>
      </c>
      <c r="E2374" t="s">
        <v>49406</v>
      </c>
      <c r="F2374" t="s">
        <v>49407</v>
      </c>
      <c r="G2374" t="s">
        <v>49408</v>
      </c>
      <c r="H2374" t="s">
        <v>49409</v>
      </c>
      <c r="I2374" t="s">
        <v>49410</v>
      </c>
      <c r="J2374" t="s">
        <v>49411</v>
      </c>
      <c r="K2374" t="s">
        <v>49412</v>
      </c>
      <c r="L2374" t="s">
        <v>49413</v>
      </c>
      <c r="M2374" t="s">
        <v>49414</v>
      </c>
      <c r="N2374" t="s">
        <v>49415</v>
      </c>
      <c r="O2374">
        <f>-1003.97641301886 -1.62745045432757 -490.050732575646</f>
        <v>-1495.6545960488336</v>
      </c>
      <c r="P2374">
        <f>-1005.60813241007 -33.9641659780596 -197.573640766883</f>
        <v>-1237.1459391550127</v>
      </c>
      <c r="Q2374" t="s">
        <v>49416</v>
      </c>
      <c r="R2374" t="s">
        <v>49417</v>
      </c>
      <c r="S2374" t="s">
        <v>49418</v>
      </c>
      <c r="T2374" t="s">
        <v>49419</v>
      </c>
      <c r="U2374" t="s">
        <v>49420</v>
      </c>
      <c r="V2374" t="s">
        <v>49421</v>
      </c>
      <c r="W2374" t="s">
        <v>49422</v>
      </c>
      <c r="X2374" t="s">
        <v>49423</v>
      </c>
      <c r="Y2374" t="s">
        <v>49424</v>
      </c>
    </row>
    <row r="2375" spans="1:25" x14ac:dyDescent="0.3">
      <c r="A2375">
        <v>118700</v>
      </c>
      <c r="B2375" t="s">
        <v>49425</v>
      </c>
      <c r="C2375" t="s">
        <v>49426</v>
      </c>
      <c r="D2375" t="s">
        <v>49427</v>
      </c>
      <c r="E2375" t="s">
        <v>49428</v>
      </c>
      <c r="F2375" t="s">
        <v>49429</v>
      </c>
      <c r="G2375" t="s">
        <v>49430</v>
      </c>
      <c r="H2375" t="s">
        <v>49431</v>
      </c>
      <c r="I2375" t="s">
        <v>49432</v>
      </c>
      <c r="J2375" t="s">
        <v>49433</v>
      </c>
      <c r="K2375" t="s">
        <v>49434</v>
      </c>
      <c r="L2375" t="s">
        <v>49435</v>
      </c>
      <c r="M2375" t="s">
        <v>49436</v>
      </c>
      <c r="N2375" t="s">
        <v>49437</v>
      </c>
      <c r="O2375">
        <f>-1003.12465097177 -6.14101206976784 -489.80854140892</f>
        <v>-1499.074204450458</v>
      </c>
      <c r="P2375">
        <f>-1003.77551359339 -38.6032644701772 -197.341521192854</f>
        <v>-1239.7202992564212</v>
      </c>
      <c r="Q2375">
        <f>-815.339821240992 -2.60384189750266 -343.104298060431</f>
        <v>-1161.0479611989258</v>
      </c>
      <c r="R2375" t="s">
        <v>49438</v>
      </c>
      <c r="S2375" t="s">
        <v>49439</v>
      </c>
      <c r="T2375" t="s">
        <v>49440</v>
      </c>
      <c r="U2375" t="s">
        <v>49441</v>
      </c>
      <c r="V2375" t="s">
        <v>49442</v>
      </c>
      <c r="W2375" t="s">
        <v>49443</v>
      </c>
      <c r="X2375" t="s">
        <v>49444</v>
      </c>
      <c r="Y2375" t="s">
        <v>49445</v>
      </c>
    </row>
    <row r="2376" spans="1:25" x14ac:dyDescent="0.3">
      <c r="A2376">
        <v>118750</v>
      </c>
      <c r="B2376" t="s">
        <v>49446</v>
      </c>
      <c r="C2376" t="s">
        <v>49447</v>
      </c>
      <c r="D2376" t="s">
        <v>49448</v>
      </c>
      <c r="E2376" t="s">
        <v>49449</v>
      </c>
      <c r="F2376" t="s">
        <v>49450</v>
      </c>
      <c r="G2376" t="s">
        <v>49451</v>
      </c>
      <c r="H2376" t="s">
        <v>49452</v>
      </c>
      <c r="I2376" t="s">
        <v>49453</v>
      </c>
      <c r="J2376" t="s">
        <v>49454</v>
      </c>
      <c r="K2376" t="s">
        <v>49455</v>
      </c>
      <c r="L2376" t="s">
        <v>49456</v>
      </c>
      <c r="M2376" t="s">
        <v>49457</v>
      </c>
      <c r="N2376" t="s">
        <v>49458</v>
      </c>
      <c r="O2376">
        <f>-1002.63580366258 -8.24359564974338 -489.767696462385</f>
        <v>-1500.6470957747083</v>
      </c>
      <c r="P2376">
        <f>-1002.69683957773 -40.9133514314731 -197.32306278239</f>
        <v>-1240.9332537915932</v>
      </c>
      <c r="Q2376">
        <f>-814.512401936687 -4.37758174591409 -343.277457319904</f>
        <v>-1162.167441002505</v>
      </c>
      <c r="R2376" t="s">
        <v>49459</v>
      </c>
      <c r="S2376" t="s">
        <v>49460</v>
      </c>
      <c r="T2376" t="s">
        <v>49461</v>
      </c>
      <c r="U2376" t="s">
        <v>49462</v>
      </c>
      <c r="V2376" t="s">
        <v>49463</v>
      </c>
      <c r="W2376" t="s">
        <v>49464</v>
      </c>
      <c r="X2376" t="s">
        <v>49465</v>
      </c>
      <c r="Y2376" t="s">
        <v>49466</v>
      </c>
    </row>
    <row r="2377" spans="1:25" x14ac:dyDescent="0.3">
      <c r="A2377">
        <v>118800</v>
      </c>
      <c r="B2377" t="s">
        <v>49467</v>
      </c>
      <c r="C2377" t="s">
        <v>49468</v>
      </c>
      <c r="D2377" t="s">
        <v>49469</v>
      </c>
      <c r="E2377" t="s">
        <v>49470</v>
      </c>
      <c r="F2377" t="s">
        <v>49471</v>
      </c>
      <c r="G2377" t="s">
        <v>49472</v>
      </c>
      <c r="H2377" t="s">
        <v>49473</v>
      </c>
      <c r="I2377" t="s">
        <v>49474</v>
      </c>
      <c r="J2377" t="s">
        <v>49475</v>
      </c>
      <c r="K2377" t="s">
        <v>49476</v>
      </c>
      <c r="L2377" t="s">
        <v>49477</v>
      </c>
      <c r="M2377" t="s">
        <v>49478</v>
      </c>
      <c r="N2377" t="s">
        <v>49479</v>
      </c>
      <c r="O2377">
        <f>-1001.79177801582 -11.5679867615349 -489.567216442727</f>
        <v>-1502.9269812200819</v>
      </c>
      <c r="P2377">
        <f>-1000.72442760408 -44.8268852830749 -197.190881233321</f>
        <v>-1242.7421941204759</v>
      </c>
      <c r="Q2377">
        <f>-812.976202446965 -6.87196039047831 -343.34465098003</f>
        <v>-1163.1928138174733</v>
      </c>
      <c r="R2377" t="s">
        <v>49480</v>
      </c>
      <c r="S2377" t="s">
        <v>49481</v>
      </c>
      <c r="T2377" t="s">
        <v>49482</v>
      </c>
      <c r="U2377" t="s">
        <v>49483</v>
      </c>
      <c r="V2377" t="s">
        <v>49484</v>
      </c>
      <c r="W2377" t="s">
        <v>49485</v>
      </c>
      <c r="X2377" t="s">
        <v>49486</v>
      </c>
      <c r="Y2377" t="s">
        <v>49487</v>
      </c>
    </row>
    <row r="2378" spans="1:25" x14ac:dyDescent="0.3">
      <c r="A2378">
        <v>118850</v>
      </c>
      <c r="B2378" t="s">
        <v>49488</v>
      </c>
      <c r="C2378" t="s">
        <v>49489</v>
      </c>
      <c r="D2378" t="s">
        <v>49490</v>
      </c>
      <c r="E2378" t="s">
        <v>49491</v>
      </c>
      <c r="F2378" t="s">
        <v>49492</v>
      </c>
      <c r="G2378" t="s">
        <v>49493</v>
      </c>
      <c r="H2378" t="s">
        <v>49494</v>
      </c>
      <c r="I2378" t="s">
        <v>49495</v>
      </c>
      <c r="J2378" t="s">
        <v>49496</v>
      </c>
      <c r="K2378" t="s">
        <v>49497</v>
      </c>
      <c r="L2378" t="s">
        <v>49498</v>
      </c>
      <c r="M2378" t="s">
        <v>49499</v>
      </c>
      <c r="N2378" t="s">
        <v>49500</v>
      </c>
      <c r="O2378">
        <f>-1001.34461460832 -12.6252681246856 -489.355554140141</f>
        <v>-1503.3254368731466</v>
      </c>
      <c r="P2378">
        <f>-999.721044586413 -46.1519662626413 -197.012276933935</f>
        <v>-1242.8852877829893</v>
      </c>
      <c r="Q2378">
        <f>-812.19436736184 -7.52991244400982 -343.275390790829</f>
        <v>-1162.9996705966789</v>
      </c>
      <c r="R2378" t="s">
        <v>49501</v>
      </c>
      <c r="S2378" t="s">
        <v>49502</v>
      </c>
      <c r="T2378" t="s">
        <v>49503</v>
      </c>
      <c r="U2378" t="s">
        <v>49504</v>
      </c>
      <c r="V2378" t="s">
        <v>49505</v>
      </c>
      <c r="W2378" t="s">
        <v>49506</v>
      </c>
      <c r="X2378" t="s">
        <v>49507</v>
      </c>
      <c r="Y2378" t="s">
        <v>49508</v>
      </c>
    </row>
    <row r="2379" spans="1:25" x14ac:dyDescent="0.3">
      <c r="A2379">
        <v>118900</v>
      </c>
      <c r="B2379" t="s">
        <v>49509</v>
      </c>
      <c r="C2379" t="s">
        <v>49510</v>
      </c>
      <c r="D2379" t="s">
        <v>49511</v>
      </c>
      <c r="E2379" t="s">
        <v>49512</v>
      </c>
      <c r="F2379" t="s">
        <v>49513</v>
      </c>
      <c r="G2379" t="s">
        <v>49514</v>
      </c>
      <c r="H2379" t="s">
        <v>49515</v>
      </c>
      <c r="I2379" t="s">
        <v>49516</v>
      </c>
      <c r="J2379" t="s">
        <v>49517</v>
      </c>
      <c r="K2379" t="s">
        <v>49518</v>
      </c>
      <c r="L2379" t="s">
        <v>49519</v>
      </c>
      <c r="M2379" t="s">
        <v>49520</v>
      </c>
      <c r="N2379" t="s">
        <v>49521</v>
      </c>
      <c r="O2379">
        <f>-1000.50043934939 -14.2507980401792 -488.871306049739</f>
        <v>-1503.6225434393082</v>
      </c>
      <c r="P2379">
        <f>-997.473717497129 -48.3102254775984 -196.600952057558</f>
        <v>-1242.3848950322854</v>
      </c>
      <c r="Q2379">
        <f>-810.479876746153 -8.32604041692593 -343.180120833409</f>
        <v>-1161.986037996488</v>
      </c>
      <c r="R2379" t="s">
        <v>49522</v>
      </c>
      <c r="S2379" t="s">
        <v>49523</v>
      </c>
      <c r="T2379" t="s">
        <v>49524</v>
      </c>
      <c r="U2379" t="s">
        <v>49525</v>
      </c>
      <c r="V2379" t="s">
        <v>49526</v>
      </c>
      <c r="W2379" t="s">
        <v>49527</v>
      </c>
      <c r="X2379" t="s">
        <v>49528</v>
      </c>
      <c r="Y2379" t="s">
        <v>49529</v>
      </c>
    </row>
    <row r="2380" spans="1:25" x14ac:dyDescent="0.3">
      <c r="A2380">
        <v>118950</v>
      </c>
      <c r="B2380" t="s">
        <v>49530</v>
      </c>
      <c r="C2380" t="s">
        <v>49531</v>
      </c>
      <c r="D2380" t="s">
        <v>49532</v>
      </c>
      <c r="E2380" t="s">
        <v>49533</v>
      </c>
      <c r="F2380" t="s">
        <v>49534</v>
      </c>
      <c r="G2380" t="s">
        <v>49535</v>
      </c>
      <c r="H2380" t="s">
        <v>49536</v>
      </c>
      <c r="I2380" t="s">
        <v>49537</v>
      </c>
      <c r="J2380" t="s">
        <v>49538</v>
      </c>
      <c r="K2380" t="s">
        <v>49539</v>
      </c>
      <c r="L2380" t="s">
        <v>49540</v>
      </c>
      <c r="M2380" t="s">
        <v>49541</v>
      </c>
      <c r="N2380" t="s">
        <v>49542</v>
      </c>
      <c r="O2380">
        <f>-1000.00448890332 -14.8374763577322 -488.662695908598</f>
        <v>-1503.50466116965</v>
      </c>
      <c r="P2380">
        <f>-996.382222999185 -48.9563690657901 -196.405957507923</f>
        <v>-1241.744549572898</v>
      </c>
      <c r="Q2380">
        <f>-809.640214328289 -8.37419043569344 -343.141940900703</f>
        <v>-1161.1563456646854</v>
      </c>
      <c r="R2380" t="s">
        <v>49543</v>
      </c>
      <c r="S2380" t="s">
        <v>49544</v>
      </c>
      <c r="T2380" t="s">
        <v>49545</v>
      </c>
      <c r="U2380" t="s">
        <v>49546</v>
      </c>
      <c r="V2380" t="s">
        <v>49547</v>
      </c>
      <c r="W2380" t="s">
        <v>49548</v>
      </c>
      <c r="X2380" t="s">
        <v>49549</v>
      </c>
      <c r="Y2380" t="s">
        <v>49550</v>
      </c>
    </row>
    <row r="2381" spans="1:25" x14ac:dyDescent="0.3">
      <c r="A2381">
        <v>119000</v>
      </c>
      <c r="B2381" t="s">
        <v>49551</v>
      </c>
      <c r="C2381" t="s">
        <v>49552</v>
      </c>
      <c r="D2381" t="s">
        <v>49553</v>
      </c>
      <c r="E2381" t="s">
        <v>49554</v>
      </c>
      <c r="F2381" t="s">
        <v>49555</v>
      </c>
      <c r="G2381" t="s">
        <v>49556</v>
      </c>
      <c r="H2381" t="s">
        <v>49557</v>
      </c>
      <c r="I2381" t="s">
        <v>49558</v>
      </c>
      <c r="J2381" t="s">
        <v>49559</v>
      </c>
      <c r="K2381" t="s">
        <v>49560</v>
      </c>
      <c r="L2381" t="s">
        <v>49561</v>
      </c>
      <c r="M2381" t="s">
        <v>49562</v>
      </c>
      <c r="N2381" t="s">
        <v>49563</v>
      </c>
      <c r="O2381">
        <f>-998.965782614406 -15.8185600668799 -488.30910789229</f>
        <v>-1503.0934505735759</v>
      </c>
      <c r="P2381">
        <f>-994.366503837453 -50.1085537229376 -196.086241587201</f>
        <v>-1240.5612991475916</v>
      </c>
      <c r="Q2381">
        <f>-807.934598671317 -7.81095758660285 -342.731696064802</f>
        <v>-1158.4772523227218</v>
      </c>
      <c r="R2381" t="s">
        <v>49564</v>
      </c>
      <c r="S2381" t="s">
        <v>49565</v>
      </c>
      <c r="T2381" t="s">
        <v>49566</v>
      </c>
      <c r="U2381" t="s">
        <v>49567</v>
      </c>
      <c r="V2381" t="s">
        <v>49568</v>
      </c>
      <c r="W2381" t="s">
        <v>49569</v>
      </c>
      <c r="X2381" t="s">
        <v>49570</v>
      </c>
      <c r="Y2381" t="s">
        <v>49571</v>
      </c>
    </row>
    <row r="2382" spans="1:25" x14ac:dyDescent="0.3">
      <c r="A2382">
        <v>119050</v>
      </c>
      <c r="B2382" t="s">
        <v>49572</v>
      </c>
      <c r="C2382" t="s">
        <v>49573</v>
      </c>
      <c r="D2382" t="s">
        <v>49574</v>
      </c>
      <c r="E2382" t="s">
        <v>49575</v>
      </c>
      <c r="F2382" t="s">
        <v>49576</v>
      </c>
      <c r="G2382" t="s">
        <v>49577</v>
      </c>
      <c r="H2382" t="s">
        <v>49578</v>
      </c>
      <c r="I2382" t="s">
        <v>49579</v>
      </c>
      <c r="J2382" t="s">
        <v>49580</v>
      </c>
      <c r="K2382" t="s">
        <v>49581</v>
      </c>
      <c r="L2382" t="s">
        <v>49582</v>
      </c>
      <c r="M2382" t="s">
        <v>49583</v>
      </c>
      <c r="N2382" t="s">
        <v>49584</v>
      </c>
      <c r="O2382">
        <f>-998.437238791327 -16.4286157535594 -488.317448783823</f>
        <v>-1503.1833033287094</v>
      </c>
      <c r="P2382">
        <f>-993.341596474529 -50.9697039429577 -196.132310190741</f>
        <v>-1240.4436106082276</v>
      </c>
      <c r="Q2382">
        <f>-807.064583386385 -6.94884694393249 -342.467548641423</f>
        <v>-1156.4809789717406</v>
      </c>
      <c r="R2382" t="s">
        <v>49585</v>
      </c>
      <c r="S2382" t="s">
        <v>49586</v>
      </c>
      <c r="T2382" t="s">
        <v>49587</v>
      </c>
      <c r="U2382" t="s">
        <v>49588</v>
      </c>
      <c r="V2382" t="s">
        <v>49589</v>
      </c>
      <c r="W2382" t="s">
        <v>49590</v>
      </c>
      <c r="X2382" t="s">
        <v>49591</v>
      </c>
      <c r="Y2382" t="s">
        <v>49592</v>
      </c>
    </row>
    <row r="2383" spans="1:25" x14ac:dyDescent="0.3">
      <c r="A2383">
        <v>119100</v>
      </c>
      <c r="B2383" t="s">
        <v>49593</v>
      </c>
      <c r="C2383" t="s">
        <v>49594</v>
      </c>
      <c r="D2383" t="s">
        <v>49595</v>
      </c>
      <c r="E2383" t="s">
        <v>49596</v>
      </c>
      <c r="F2383" t="s">
        <v>49597</v>
      </c>
      <c r="G2383" t="s">
        <v>49598</v>
      </c>
      <c r="H2383" t="s">
        <v>49599</v>
      </c>
      <c r="I2383" t="s">
        <v>49600</v>
      </c>
      <c r="J2383" t="s">
        <v>49601</v>
      </c>
      <c r="K2383" t="s">
        <v>49602</v>
      </c>
      <c r="L2383" t="s">
        <v>49603</v>
      </c>
      <c r="M2383" t="s">
        <v>49604</v>
      </c>
      <c r="N2383" t="s">
        <v>49605</v>
      </c>
      <c r="O2383">
        <f>-997.072290236582 -17.8814644694562 -488.412270691089</f>
        <v>-1503.3660253971273</v>
      </c>
      <c r="P2383">
        <f>-990.667362621793 -53.3703540508654 -196.366426854969</f>
        <v>-1240.4041435276274</v>
      </c>
      <c r="Q2383">
        <f>-805.303093324257 -2.4965109548275 -341.634683488047</f>
        <v>-1149.4342877671315</v>
      </c>
      <c r="R2383" t="s">
        <v>49606</v>
      </c>
      <c r="S2383" t="s">
        <v>49607</v>
      </c>
      <c r="T2383" t="s">
        <v>49608</v>
      </c>
      <c r="U2383" t="s">
        <v>49609</v>
      </c>
      <c r="V2383" t="s">
        <v>49610</v>
      </c>
      <c r="W2383" t="s">
        <v>49611</v>
      </c>
      <c r="X2383" t="s">
        <v>49612</v>
      </c>
      <c r="Y2383" t="s">
        <v>49613</v>
      </c>
    </row>
    <row r="2384" spans="1:25" x14ac:dyDescent="0.3">
      <c r="A2384">
        <v>119150</v>
      </c>
      <c r="B2384" t="s">
        <v>49614</v>
      </c>
      <c r="C2384" t="s">
        <v>49615</v>
      </c>
      <c r="D2384" t="s">
        <v>49616</v>
      </c>
      <c r="E2384" t="s">
        <v>49617</v>
      </c>
      <c r="F2384" t="s">
        <v>49618</v>
      </c>
      <c r="G2384" t="s">
        <v>49619</v>
      </c>
      <c r="H2384" t="s">
        <v>49620</v>
      </c>
      <c r="I2384" t="s">
        <v>49621</v>
      </c>
      <c r="J2384" t="s">
        <v>49622</v>
      </c>
      <c r="K2384" t="s">
        <v>49623</v>
      </c>
      <c r="L2384" t="s">
        <v>49624</v>
      </c>
      <c r="M2384" t="s">
        <v>49625</v>
      </c>
      <c r="N2384" t="s">
        <v>49626</v>
      </c>
      <c r="O2384">
        <f>-996.403138242608 -18.4481402203755 -488.404224628161</f>
        <v>-1503.2555030911444</v>
      </c>
      <c r="P2384">
        <f>-989.313557631627 -53.830134255991 -196.361210674646</f>
        <v>-1239.5049025622639</v>
      </c>
      <c r="Q2384">
        <f>-804.265180913288 -0.576824777018373 -341.178751216412</f>
        <v>-1146.0207569067184</v>
      </c>
      <c r="R2384" t="s">
        <v>49627</v>
      </c>
      <c r="S2384" t="s">
        <v>49628</v>
      </c>
      <c r="T2384" t="s">
        <v>49629</v>
      </c>
      <c r="U2384" t="s">
        <v>49630</v>
      </c>
      <c r="V2384" t="s">
        <v>49631</v>
      </c>
      <c r="W2384" t="s">
        <v>49632</v>
      </c>
      <c r="X2384" t="s">
        <v>49633</v>
      </c>
      <c r="Y2384" t="s">
        <v>49634</v>
      </c>
    </row>
    <row r="2385" spans="1:25" x14ac:dyDescent="0.3">
      <c r="A2385">
        <v>119200</v>
      </c>
      <c r="B2385" t="s">
        <v>49635</v>
      </c>
      <c r="C2385" t="s">
        <v>49636</v>
      </c>
      <c r="D2385" t="s">
        <v>49637</v>
      </c>
      <c r="E2385" t="s">
        <v>49638</v>
      </c>
      <c r="F2385" t="s">
        <v>49639</v>
      </c>
      <c r="G2385" t="s">
        <v>49640</v>
      </c>
      <c r="H2385" t="s">
        <v>49641</v>
      </c>
      <c r="I2385" t="s">
        <v>49642</v>
      </c>
      <c r="J2385" t="s">
        <v>49643</v>
      </c>
      <c r="K2385" t="s">
        <v>49644</v>
      </c>
      <c r="L2385" t="s">
        <v>49645</v>
      </c>
      <c r="M2385" t="s">
        <v>49646</v>
      </c>
      <c r="N2385" t="s">
        <v>49647</v>
      </c>
      <c r="O2385">
        <f>-995.320155164865 -19.1291560478699 -488.552876590683</f>
        <v>-1503.0021878034179</v>
      </c>
      <c r="P2385">
        <f>-986.833674170937 -53.7874543965816 -196.460390883698</f>
        <v>-1237.0815194512165</v>
      </c>
      <c r="Q2385" t="s">
        <v>49648</v>
      </c>
      <c r="R2385" t="s">
        <v>49649</v>
      </c>
      <c r="S2385" t="s">
        <v>49650</v>
      </c>
      <c r="T2385" t="s">
        <v>49651</v>
      </c>
      <c r="U2385" t="s">
        <v>49652</v>
      </c>
      <c r="V2385" t="s">
        <v>49653</v>
      </c>
      <c r="W2385" t="s">
        <v>49654</v>
      </c>
      <c r="X2385" t="s">
        <v>49655</v>
      </c>
      <c r="Y2385" t="s">
        <v>49656</v>
      </c>
    </row>
    <row r="2386" spans="1:25" x14ac:dyDescent="0.3">
      <c r="A2386">
        <v>119250</v>
      </c>
      <c r="B2386" t="s">
        <v>49657</v>
      </c>
      <c r="C2386" t="s">
        <v>49658</v>
      </c>
      <c r="D2386" t="s">
        <v>49659</v>
      </c>
      <c r="E2386" t="s">
        <v>49660</v>
      </c>
      <c r="F2386" t="s">
        <v>49661</v>
      </c>
      <c r="G2386" t="s">
        <v>49662</v>
      </c>
      <c r="H2386" t="s">
        <v>49663</v>
      </c>
      <c r="I2386" t="s">
        <v>49664</v>
      </c>
      <c r="J2386" t="s">
        <v>49665</v>
      </c>
      <c r="K2386" t="s">
        <v>49666</v>
      </c>
      <c r="L2386" t="s">
        <v>49667</v>
      </c>
      <c r="M2386" t="s">
        <v>49668</v>
      </c>
      <c r="N2386" t="s">
        <v>49669</v>
      </c>
      <c r="O2386">
        <f>-994.730166439845 -19.3946393114034 -488.634088682708</f>
        <v>-1502.7588944339564</v>
      </c>
      <c r="P2386">
        <f>-985.703590937669 -54.0213647993971 -196.554159471536</f>
        <v>-1236.279115208602</v>
      </c>
      <c r="Q2386" t="s">
        <v>49670</v>
      </c>
      <c r="R2386" t="s">
        <v>49671</v>
      </c>
      <c r="S2386" t="s">
        <v>49672</v>
      </c>
      <c r="T2386" t="s">
        <v>49673</v>
      </c>
      <c r="U2386" t="s">
        <v>49674</v>
      </c>
      <c r="V2386" t="s">
        <v>49675</v>
      </c>
      <c r="W2386" t="s">
        <v>49676</v>
      </c>
      <c r="X2386" t="s">
        <v>49677</v>
      </c>
      <c r="Y2386" t="s">
        <v>49678</v>
      </c>
    </row>
    <row r="2387" spans="1:25" x14ac:dyDescent="0.3">
      <c r="A2387">
        <v>119300</v>
      </c>
      <c r="B2387" t="s">
        <v>49679</v>
      </c>
      <c r="C2387" t="s">
        <v>49680</v>
      </c>
      <c r="D2387" t="s">
        <v>49681</v>
      </c>
      <c r="E2387" t="s">
        <v>49682</v>
      </c>
      <c r="F2387" t="s">
        <v>49683</v>
      </c>
      <c r="G2387" t="s">
        <v>49684</v>
      </c>
      <c r="H2387" t="s">
        <v>49685</v>
      </c>
      <c r="I2387" t="s">
        <v>49686</v>
      </c>
      <c r="J2387" t="s">
        <v>49687</v>
      </c>
      <c r="K2387" t="s">
        <v>49688</v>
      </c>
      <c r="L2387" t="s">
        <v>49689</v>
      </c>
      <c r="M2387" t="s">
        <v>49690</v>
      </c>
      <c r="N2387" t="s">
        <v>49691</v>
      </c>
      <c r="O2387">
        <f>-993.305029358158 -19.7536112384446 -488.858150582411</f>
        <v>-1501.9167911790137</v>
      </c>
      <c r="P2387">
        <f>-984.125179062005 -53.5123242551201 -196.681364299412</f>
        <v>-1234.3188676165371</v>
      </c>
      <c r="Q2387">
        <f>-796.161031839682 -1.58524445224293 -338.187415865279</f>
        <v>-1135.933692157204</v>
      </c>
      <c r="R2387" t="s">
        <v>49692</v>
      </c>
      <c r="S2387" t="s">
        <v>49693</v>
      </c>
      <c r="T2387" t="s">
        <v>49694</v>
      </c>
      <c r="U2387" t="s">
        <v>49695</v>
      </c>
      <c r="V2387" t="s">
        <v>49696</v>
      </c>
      <c r="W2387" t="s">
        <v>49697</v>
      </c>
      <c r="X2387" t="s">
        <v>49698</v>
      </c>
      <c r="Y2387" t="s">
        <v>49699</v>
      </c>
    </row>
    <row r="2388" spans="1:25" x14ac:dyDescent="0.3">
      <c r="A2388">
        <v>119350</v>
      </c>
      <c r="B2388" t="s">
        <v>49700</v>
      </c>
      <c r="C2388" t="s">
        <v>49701</v>
      </c>
      <c r="D2388" t="s">
        <v>49702</v>
      </c>
      <c r="E2388" t="s">
        <v>49703</v>
      </c>
      <c r="F2388" t="s">
        <v>49704</v>
      </c>
      <c r="G2388" t="s">
        <v>49705</v>
      </c>
      <c r="H2388" t="s">
        <v>49706</v>
      </c>
      <c r="I2388" t="s">
        <v>49707</v>
      </c>
      <c r="J2388" t="s">
        <v>49708</v>
      </c>
      <c r="K2388" t="s">
        <v>49709</v>
      </c>
      <c r="L2388" t="s">
        <v>49710</v>
      </c>
      <c r="M2388" t="s">
        <v>49711</v>
      </c>
      <c r="N2388" t="s">
        <v>49712</v>
      </c>
      <c r="O2388">
        <f>-992.483078979614 -19.9041228560563 -488.945143091794</f>
        <v>-1501.3323449274644</v>
      </c>
      <c r="P2388">
        <f>-983.347116183513 -52.8058354996899 -196.669228814819</f>
        <v>-1232.8221804980219</v>
      </c>
      <c r="Q2388">
        <f>-794.390641056206 -2.21746533419173 -337.335934462182</f>
        <v>-1133.9440408525797</v>
      </c>
      <c r="R2388" t="s">
        <v>49713</v>
      </c>
      <c r="S2388" t="s">
        <v>49714</v>
      </c>
      <c r="T2388" t="s">
        <v>49715</v>
      </c>
      <c r="U2388" t="s">
        <v>49716</v>
      </c>
      <c r="V2388" t="s">
        <v>49717</v>
      </c>
      <c r="W2388" t="s">
        <v>49718</v>
      </c>
      <c r="X2388" t="s">
        <v>49719</v>
      </c>
      <c r="Y2388" t="s">
        <v>49720</v>
      </c>
    </row>
    <row r="2389" spans="1:25" x14ac:dyDescent="0.3">
      <c r="A2389">
        <v>119400</v>
      </c>
      <c r="B2389" t="s">
        <v>49721</v>
      </c>
      <c r="C2389" t="s">
        <v>49722</v>
      </c>
      <c r="D2389" t="s">
        <v>49723</v>
      </c>
      <c r="E2389" t="s">
        <v>49724</v>
      </c>
      <c r="F2389" t="s">
        <v>49725</v>
      </c>
      <c r="G2389" t="s">
        <v>49726</v>
      </c>
      <c r="H2389" t="s">
        <v>49727</v>
      </c>
      <c r="I2389" t="s">
        <v>49728</v>
      </c>
      <c r="J2389" t="s">
        <v>49729</v>
      </c>
      <c r="K2389" t="s">
        <v>49730</v>
      </c>
      <c r="L2389" t="s">
        <v>49731</v>
      </c>
      <c r="M2389" t="s">
        <v>49732</v>
      </c>
      <c r="N2389" t="s">
        <v>49733</v>
      </c>
      <c r="O2389">
        <f>-990.858449717099 -20.3610195542865 -489.029977958857</f>
        <v>-1500.2494472302424</v>
      </c>
      <c r="P2389">
        <f>-982.60026383249 -52.1939677613302 -196.609585451123</f>
        <v>-1231.403817044943</v>
      </c>
      <c r="Q2389">
        <f>-792.432954999002 -3.86710548340261 -336.437447600572</f>
        <v>-1132.7375080829765</v>
      </c>
      <c r="R2389" t="s">
        <v>49734</v>
      </c>
      <c r="S2389" t="s">
        <v>49735</v>
      </c>
      <c r="T2389" t="s">
        <v>49736</v>
      </c>
      <c r="U2389" t="s">
        <v>49737</v>
      </c>
      <c r="V2389" t="s">
        <v>49738</v>
      </c>
      <c r="W2389" t="s">
        <v>49739</v>
      </c>
      <c r="X2389" t="s">
        <v>49740</v>
      </c>
      <c r="Y2389" t="s">
        <v>49741</v>
      </c>
    </row>
    <row r="2390" spans="1:25" x14ac:dyDescent="0.3">
      <c r="A2390">
        <v>119450</v>
      </c>
      <c r="B2390" t="s">
        <v>49742</v>
      </c>
      <c r="C2390" t="s">
        <v>49743</v>
      </c>
      <c r="D2390" t="s">
        <v>49744</v>
      </c>
      <c r="E2390" t="s">
        <v>49745</v>
      </c>
      <c r="F2390" t="s">
        <v>49746</v>
      </c>
      <c r="G2390" t="s">
        <v>49747</v>
      </c>
      <c r="H2390" t="s">
        <v>49748</v>
      </c>
      <c r="I2390" t="s">
        <v>49749</v>
      </c>
      <c r="J2390" t="s">
        <v>49750</v>
      </c>
      <c r="K2390" t="s">
        <v>49751</v>
      </c>
      <c r="L2390" t="s">
        <v>49752</v>
      </c>
      <c r="M2390" t="s">
        <v>49753</v>
      </c>
      <c r="N2390" t="s">
        <v>49754</v>
      </c>
      <c r="O2390">
        <f>-990.16756337634 -20.5027165686138 -489.04516195029</f>
        <v>-1499.7154418952437</v>
      </c>
      <c r="P2390">
        <f>-982.368524672783 -51.7008622024748 -196.543583067941</f>
        <v>-1230.6129699431988</v>
      </c>
      <c r="Q2390">
        <f>-791.991244933445 -4.64908782049679 -336.520540754669</f>
        <v>-1133.1608735086108</v>
      </c>
      <c r="R2390" t="s">
        <v>49755</v>
      </c>
      <c r="S2390" t="s">
        <v>49756</v>
      </c>
      <c r="T2390" t="s">
        <v>49757</v>
      </c>
      <c r="U2390" t="s">
        <v>49758</v>
      </c>
      <c r="V2390" t="s">
        <v>49759</v>
      </c>
      <c r="W2390" t="s">
        <v>49760</v>
      </c>
      <c r="X2390" t="s">
        <v>49761</v>
      </c>
      <c r="Y2390" t="s">
        <v>49762</v>
      </c>
    </row>
    <row r="2391" spans="1:25" x14ac:dyDescent="0.3">
      <c r="A2391">
        <v>119500</v>
      </c>
      <c r="B2391" t="s">
        <v>49763</v>
      </c>
      <c r="C2391" t="s">
        <v>49764</v>
      </c>
      <c r="D2391" t="s">
        <v>49765</v>
      </c>
      <c r="E2391" t="s">
        <v>49766</v>
      </c>
      <c r="F2391" t="s">
        <v>49767</v>
      </c>
      <c r="G2391" t="s">
        <v>49768</v>
      </c>
      <c r="H2391" t="s">
        <v>49769</v>
      </c>
      <c r="I2391" t="s">
        <v>49770</v>
      </c>
      <c r="J2391" t="s">
        <v>49771</v>
      </c>
      <c r="K2391" t="s">
        <v>49772</v>
      </c>
      <c r="L2391" t="s">
        <v>49773</v>
      </c>
      <c r="M2391" t="s">
        <v>49774</v>
      </c>
      <c r="N2391" t="s">
        <v>49775</v>
      </c>
      <c r="O2391">
        <f>-989.072644836005 -20.7705399051997 -489.22557742857</f>
        <v>-1499.0687621697748</v>
      </c>
      <c r="P2391">
        <f>-982.553897304421 -51.7963916880908 -196.67454884953</f>
        <v>-1231.0248378420417</v>
      </c>
      <c r="Q2391">
        <f>-791.693809232251 -7.79493886757746 -336.985624777862</f>
        <v>-1136.4743728776905</v>
      </c>
      <c r="R2391" t="s">
        <v>49776</v>
      </c>
      <c r="S2391" t="s">
        <v>49777</v>
      </c>
      <c r="T2391" t="s">
        <v>49778</v>
      </c>
      <c r="U2391" t="s">
        <v>49779</v>
      </c>
      <c r="V2391" t="s">
        <v>49780</v>
      </c>
      <c r="W2391" t="s">
        <v>49781</v>
      </c>
      <c r="X2391" t="s">
        <v>49782</v>
      </c>
      <c r="Y2391" t="s">
        <v>49783</v>
      </c>
    </row>
    <row r="2392" spans="1:25" x14ac:dyDescent="0.3">
      <c r="A2392">
        <v>119550</v>
      </c>
      <c r="B2392" t="s">
        <v>49784</v>
      </c>
      <c r="C2392" t="s">
        <v>49785</v>
      </c>
      <c r="D2392" t="s">
        <v>49786</v>
      </c>
      <c r="E2392" t="s">
        <v>49787</v>
      </c>
      <c r="F2392" t="s">
        <v>49788</v>
      </c>
      <c r="G2392" t="s">
        <v>49789</v>
      </c>
      <c r="H2392" t="s">
        <v>49790</v>
      </c>
      <c r="I2392" t="s">
        <v>49791</v>
      </c>
      <c r="J2392" t="s">
        <v>49792</v>
      </c>
      <c r="K2392" t="s">
        <v>49793</v>
      </c>
      <c r="L2392" t="s">
        <v>49794</v>
      </c>
      <c r="M2392" t="s">
        <v>49795</v>
      </c>
      <c r="N2392" t="s">
        <v>49796</v>
      </c>
      <c r="O2392">
        <f>-988.64645568784 -20.778264258965 -489.374435877056</f>
        <v>-1498.7991558238609</v>
      </c>
      <c r="P2392">
        <f>-982.723417834212 -51.5218434502135 -196.780892231295</f>
        <v>-1231.0261535157204</v>
      </c>
      <c r="Q2392">
        <f>-791.259379602899 -9.35941660540766 -336.833344808963</f>
        <v>-1137.4521410172697</v>
      </c>
      <c r="R2392" t="s">
        <v>49797</v>
      </c>
      <c r="S2392" t="s">
        <v>49798</v>
      </c>
      <c r="T2392" t="s">
        <v>49799</v>
      </c>
      <c r="U2392" t="s">
        <v>49800</v>
      </c>
      <c r="V2392" t="s">
        <v>49801</v>
      </c>
      <c r="W2392" t="s">
        <v>49802</v>
      </c>
      <c r="X2392" t="s">
        <v>49803</v>
      </c>
      <c r="Y2392" t="s">
        <v>49804</v>
      </c>
    </row>
    <row r="2393" spans="1:25" x14ac:dyDescent="0.3">
      <c r="A2393">
        <v>119600</v>
      </c>
      <c r="B2393" t="s">
        <v>49805</v>
      </c>
      <c r="C2393" t="s">
        <v>49806</v>
      </c>
      <c r="D2393" t="s">
        <v>49807</v>
      </c>
      <c r="E2393" t="s">
        <v>49808</v>
      </c>
      <c r="F2393" t="s">
        <v>49809</v>
      </c>
      <c r="G2393" t="s">
        <v>49810</v>
      </c>
      <c r="H2393" t="s">
        <v>49811</v>
      </c>
      <c r="I2393" t="s">
        <v>49812</v>
      </c>
      <c r="J2393" t="s">
        <v>49813</v>
      </c>
      <c r="K2393" t="s">
        <v>49814</v>
      </c>
      <c r="L2393" t="s">
        <v>49815</v>
      </c>
      <c r="M2393" t="s">
        <v>49816</v>
      </c>
      <c r="N2393" t="s">
        <v>49817</v>
      </c>
      <c r="O2393">
        <f>-987.873150524388 -20.1529769180365 -489.606957781631</f>
        <v>-1497.6330852240555</v>
      </c>
      <c r="P2393">
        <f>-983.792487643457 -49.8827968073433 -196.877261974427</f>
        <v>-1230.5525464252273</v>
      </c>
      <c r="Q2393">
        <f>-790.594646114107 -11.2089865782291 -335.548555704979</f>
        <v>-1137.3521883973151</v>
      </c>
      <c r="R2393" t="s">
        <v>49818</v>
      </c>
      <c r="S2393" t="s">
        <v>49819</v>
      </c>
      <c r="T2393" t="s">
        <v>49820</v>
      </c>
      <c r="U2393" t="s">
        <v>49821</v>
      </c>
      <c r="V2393" t="s">
        <v>49822</v>
      </c>
      <c r="W2393" t="s">
        <v>49823</v>
      </c>
      <c r="X2393" t="s">
        <v>49824</v>
      </c>
      <c r="Y2393" t="s">
        <v>49825</v>
      </c>
    </row>
    <row r="2394" spans="1:25" x14ac:dyDescent="0.3">
      <c r="A2394">
        <v>119650</v>
      </c>
      <c r="B2394" t="s">
        <v>49826</v>
      </c>
      <c r="C2394" t="s">
        <v>49827</v>
      </c>
      <c r="D2394" t="s">
        <v>49828</v>
      </c>
      <c r="E2394" t="s">
        <v>49829</v>
      </c>
      <c r="F2394" t="s">
        <v>49830</v>
      </c>
      <c r="G2394" t="s">
        <v>49831</v>
      </c>
      <c r="H2394" t="s">
        <v>49832</v>
      </c>
      <c r="I2394" t="s">
        <v>49833</v>
      </c>
      <c r="J2394" t="s">
        <v>49834</v>
      </c>
      <c r="K2394" t="s">
        <v>49835</v>
      </c>
      <c r="L2394" t="s">
        <v>49836</v>
      </c>
      <c r="M2394" t="s">
        <v>49837</v>
      </c>
      <c r="N2394" t="s">
        <v>49838</v>
      </c>
      <c r="O2394">
        <f>-987.595337252421 -19.74820475864 -489.70278768928</f>
        <v>-1497.0463297003409</v>
      </c>
      <c r="P2394">
        <f>-984.616045437674 -48.7136289866107 -196.883135846761</f>
        <v>-1230.2128102710456</v>
      </c>
      <c r="Q2394">
        <f>-790.334393163378 -12.2314513630445 -334.631236377997</f>
        <v>-1137.1970809044194</v>
      </c>
      <c r="R2394" t="s">
        <v>49839</v>
      </c>
      <c r="S2394" t="s">
        <v>49840</v>
      </c>
      <c r="T2394" t="s">
        <v>49841</v>
      </c>
      <c r="U2394" t="s">
        <v>49842</v>
      </c>
      <c r="V2394" t="s">
        <v>49843</v>
      </c>
      <c r="W2394" t="s">
        <v>49844</v>
      </c>
      <c r="X2394" t="s">
        <v>49845</v>
      </c>
      <c r="Y2394" t="s">
        <v>49846</v>
      </c>
    </row>
    <row r="2395" spans="1:25" x14ac:dyDescent="0.3">
      <c r="A2395">
        <v>119700</v>
      </c>
      <c r="B2395" t="s">
        <v>49847</v>
      </c>
      <c r="C2395" t="s">
        <v>49848</v>
      </c>
      <c r="D2395" t="s">
        <v>49849</v>
      </c>
      <c r="E2395" t="s">
        <v>49850</v>
      </c>
      <c r="F2395" t="s">
        <v>49851</v>
      </c>
      <c r="G2395" t="s">
        <v>49852</v>
      </c>
      <c r="H2395" t="s">
        <v>49853</v>
      </c>
      <c r="I2395" t="s">
        <v>49854</v>
      </c>
      <c r="J2395" t="s">
        <v>49855</v>
      </c>
      <c r="K2395" t="s">
        <v>49856</v>
      </c>
      <c r="L2395" t="s">
        <v>49857</v>
      </c>
      <c r="M2395" t="s">
        <v>49858</v>
      </c>
      <c r="N2395" t="s">
        <v>49859</v>
      </c>
      <c r="O2395">
        <f>-986.998005260785 -19.2009780749886 -489.709894740916</f>
        <v>-1495.9088780766897</v>
      </c>
      <c r="P2395">
        <f>-985.856141905979 -46.5545169969164 -196.722314132984</f>
        <v>-1229.1329730358793</v>
      </c>
      <c r="Q2395">
        <f>-789.912641172015 -13.8884825836694 -333.067260861761</f>
        <v>-1136.8683846174454</v>
      </c>
      <c r="R2395" t="s">
        <v>49860</v>
      </c>
      <c r="S2395" t="s">
        <v>49861</v>
      </c>
      <c r="T2395" t="s">
        <v>49862</v>
      </c>
      <c r="U2395" t="s">
        <v>49863</v>
      </c>
      <c r="V2395" t="s">
        <v>49864</v>
      </c>
      <c r="W2395" t="s">
        <v>49865</v>
      </c>
      <c r="X2395" t="s">
        <v>49866</v>
      </c>
      <c r="Y2395" t="s">
        <v>49867</v>
      </c>
    </row>
    <row r="2396" spans="1:25" x14ac:dyDescent="0.3">
      <c r="A2396">
        <v>119750</v>
      </c>
      <c r="B2396" t="s">
        <v>49868</v>
      </c>
      <c r="C2396" t="s">
        <v>49869</v>
      </c>
      <c r="D2396" t="s">
        <v>49870</v>
      </c>
      <c r="E2396" t="s">
        <v>49871</v>
      </c>
      <c r="F2396" t="s">
        <v>49872</v>
      </c>
      <c r="G2396" t="s">
        <v>49873</v>
      </c>
      <c r="H2396" t="s">
        <v>49874</v>
      </c>
      <c r="I2396" t="s">
        <v>49875</v>
      </c>
      <c r="J2396" t="s">
        <v>49876</v>
      </c>
      <c r="K2396" t="s">
        <v>49877</v>
      </c>
      <c r="L2396" t="s">
        <v>49878</v>
      </c>
      <c r="M2396" t="s">
        <v>49879</v>
      </c>
      <c r="N2396" t="s">
        <v>49880</v>
      </c>
      <c r="O2396">
        <f>-986.884287778429 -19.0124224439664 -489.704909261356</f>
        <v>-1495.6016194837514</v>
      </c>
      <c r="P2396">
        <f>-986.553306284544 -45.6764703431656 -196.651700174953</f>
        <v>-1228.8814768026625</v>
      </c>
      <c r="Q2396">
        <f>-790.262803891278 -15.12431723087 -332.987834970045</f>
        <v>-1138.3749560921931</v>
      </c>
      <c r="R2396" t="s">
        <v>49881</v>
      </c>
      <c r="S2396" t="s">
        <v>49882</v>
      </c>
      <c r="T2396" t="s">
        <v>49883</v>
      </c>
      <c r="U2396" t="s">
        <v>49884</v>
      </c>
      <c r="V2396" t="s">
        <v>49885</v>
      </c>
      <c r="W2396" t="s">
        <v>49886</v>
      </c>
      <c r="X2396" t="s">
        <v>49887</v>
      </c>
      <c r="Y2396" t="s">
        <v>49888</v>
      </c>
    </row>
    <row r="2397" spans="1:25" x14ac:dyDescent="0.3">
      <c r="A2397">
        <v>119800</v>
      </c>
      <c r="B2397" t="s">
        <v>49889</v>
      </c>
      <c r="C2397" t="s">
        <v>49890</v>
      </c>
      <c r="D2397" t="s">
        <v>49891</v>
      </c>
      <c r="E2397" t="s">
        <v>49892</v>
      </c>
      <c r="F2397" t="s">
        <v>49893</v>
      </c>
      <c r="G2397" t="s">
        <v>49894</v>
      </c>
      <c r="H2397" t="s">
        <v>49895</v>
      </c>
      <c r="I2397" t="s">
        <v>49896</v>
      </c>
      <c r="J2397" t="s">
        <v>49897</v>
      </c>
      <c r="K2397" t="s">
        <v>49898</v>
      </c>
      <c r="L2397" t="s">
        <v>49899</v>
      </c>
      <c r="M2397" t="s">
        <v>49900</v>
      </c>
      <c r="N2397" t="s">
        <v>49901</v>
      </c>
      <c r="O2397">
        <f>-987.06790833728 -18.751113359544 -489.675793119125</f>
        <v>-1495.494814815949</v>
      </c>
      <c r="P2397">
        <f>-986.927051500909 -45.394852033794 -196.620712739768</f>
        <v>-1228.9426162744712</v>
      </c>
      <c r="Q2397">
        <f>-790.914893610342 -14.3336234072081 -333.241176715244</f>
        <v>-1138.489693732794</v>
      </c>
      <c r="R2397" t="s">
        <v>49902</v>
      </c>
      <c r="S2397" t="s">
        <v>49903</v>
      </c>
      <c r="T2397" t="s">
        <v>49904</v>
      </c>
      <c r="U2397" t="s">
        <v>49905</v>
      </c>
      <c r="V2397" t="s">
        <v>49906</v>
      </c>
      <c r="W2397" t="s">
        <v>49907</v>
      </c>
      <c r="X2397" t="s">
        <v>49908</v>
      </c>
      <c r="Y2397" t="s">
        <v>49909</v>
      </c>
    </row>
    <row r="2398" spans="1:25" x14ac:dyDescent="0.3">
      <c r="A2398">
        <v>119850</v>
      </c>
      <c r="B2398" t="s">
        <v>49910</v>
      </c>
      <c r="C2398" t="s">
        <v>49911</v>
      </c>
      <c r="D2398" t="s">
        <v>49912</v>
      </c>
      <c r="E2398" t="s">
        <v>49913</v>
      </c>
      <c r="F2398" t="s">
        <v>49914</v>
      </c>
      <c r="G2398" t="s">
        <v>49915</v>
      </c>
      <c r="H2398" t="s">
        <v>49916</v>
      </c>
      <c r="I2398" t="s">
        <v>49917</v>
      </c>
      <c r="J2398" t="s">
        <v>49918</v>
      </c>
      <c r="K2398" t="s">
        <v>49919</v>
      </c>
      <c r="L2398" t="s">
        <v>49920</v>
      </c>
      <c r="M2398" t="s">
        <v>49921</v>
      </c>
      <c r="N2398" t="s">
        <v>49922</v>
      </c>
      <c r="O2398">
        <f>-987.04645457291 -18.6007572767458 -489.779057847765</f>
        <v>-1495.4262696974206</v>
      </c>
      <c r="P2398">
        <f>-987.036428300448 -46.023590028308 -196.795810005829</f>
        <v>-1229.8558283345851</v>
      </c>
      <c r="Q2398">
        <f>-791.291484166924 -14.2221844083065 -333.629048758101</f>
        <v>-1139.1427173333313</v>
      </c>
      <c r="R2398" t="s">
        <v>49923</v>
      </c>
      <c r="S2398" t="s">
        <v>49924</v>
      </c>
      <c r="T2398" t="s">
        <v>49925</v>
      </c>
      <c r="U2398" t="s">
        <v>49926</v>
      </c>
      <c r="V2398" t="s">
        <v>49927</v>
      </c>
      <c r="W2398" t="s">
        <v>49928</v>
      </c>
      <c r="X2398" t="s">
        <v>49929</v>
      </c>
      <c r="Y2398" t="s">
        <v>49930</v>
      </c>
    </row>
    <row r="2399" spans="1:25" x14ac:dyDescent="0.3">
      <c r="A2399">
        <v>119900</v>
      </c>
      <c r="B2399" t="s">
        <v>49931</v>
      </c>
      <c r="C2399" t="s">
        <v>49932</v>
      </c>
      <c r="D2399" t="s">
        <v>49933</v>
      </c>
      <c r="E2399" t="s">
        <v>49934</v>
      </c>
      <c r="F2399" t="s">
        <v>49935</v>
      </c>
      <c r="G2399" t="s">
        <v>49936</v>
      </c>
      <c r="H2399" t="s">
        <v>49937</v>
      </c>
      <c r="I2399" t="s">
        <v>49938</v>
      </c>
      <c r="J2399" t="s">
        <v>49939</v>
      </c>
      <c r="K2399" t="s">
        <v>49940</v>
      </c>
      <c r="L2399" t="s">
        <v>49941</v>
      </c>
      <c r="M2399" t="s">
        <v>49942</v>
      </c>
      <c r="N2399" t="s">
        <v>49943</v>
      </c>
      <c r="O2399">
        <f>-986.990370323152 -18.3785869840813 -490.102035170437</f>
        <v>-1495.4709924776703</v>
      </c>
      <c r="P2399">
        <f>-986.612673148348 -46.9145650664857 -197.225297495544</f>
        <v>-1230.7525357103777</v>
      </c>
      <c r="Q2399">
        <f>-791.717330294135 -13.2166395763174 -334.815931671683</f>
        <v>-1139.7499015421354</v>
      </c>
      <c r="R2399" t="s">
        <v>49944</v>
      </c>
      <c r="S2399" t="s">
        <v>49945</v>
      </c>
      <c r="T2399" t="s">
        <v>49946</v>
      </c>
      <c r="U2399" t="s">
        <v>49947</v>
      </c>
      <c r="V2399" t="s">
        <v>49948</v>
      </c>
      <c r="W2399" t="s">
        <v>49949</v>
      </c>
      <c r="X2399" t="s">
        <v>49950</v>
      </c>
      <c r="Y2399" t="s">
        <v>49951</v>
      </c>
    </row>
    <row r="2400" spans="1:25" x14ac:dyDescent="0.3">
      <c r="A2400">
        <v>119950</v>
      </c>
      <c r="B2400" t="s">
        <v>49952</v>
      </c>
      <c r="C2400" t="s">
        <v>49953</v>
      </c>
      <c r="D2400" t="s">
        <v>49954</v>
      </c>
      <c r="E2400" t="s">
        <v>49955</v>
      </c>
      <c r="F2400" t="s">
        <v>49956</v>
      </c>
      <c r="G2400" t="s">
        <v>49957</v>
      </c>
      <c r="H2400" t="s">
        <v>49958</v>
      </c>
      <c r="I2400" t="s">
        <v>49959</v>
      </c>
      <c r="J2400" t="s">
        <v>49960</v>
      </c>
      <c r="K2400" t="s">
        <v>49961</v>
      </c>
      <c r="L2400" t="s">
        <v>49962</v>
      </c>
      <c r="M2400" t="s">
        <v>49963</v>
      </c>
      <c r="N2400" t="s">
        <v>49964</v>
      </c>
      <c r="O2400">
        <f>-986.88584040276 -18.4543372889812 -490.173115189968</f>
        <v>-1495.513292881709</v>
      </c>
      <c r="P2400">
        <f>-986.594703298133 -47.3806613360871 -197.334651048517</f>
        <v>-1231.3100156827372</v>
      </c>
      <c r="Q2400">
        <f>-792.100100906019 -12.8888236048583 -335.294885542832</f>
        <v>-1140.2838100537092</v>
      </c>
      <c r="R2400" t="s">
        <v>49965</v>
      </c>
      <c r="S2400" t="s">
        <v>49966</v>
      </c>
      <c r="T2400" t="s">
        <v>49967</v>
      </c>
      <c r="U2400" t="s">
        <v>49968</v>
      </c>
      <c r="V2400" t="s">
        <v>49969</v>
      </c>
      <c r="W2400" t="s">
        <v>49970</v>
      </c>
      <c r="X2400" t="s">
        <v>49971</v>
      </c>
      <c r="Y2400" t="s">
        <v>49972</v>
      </c>
    </row>
    <row r="2401" spans="1:25" x14ac:dyDescent="0.3">
      <c r="A2401">
        <v>120000</v>
      </c>
      <c r="B2401" t="s">
        <v>49973</v>
      </c>
      <c r="C2401" t="s">
        <v>49974</v>
      </c>
      <c r="D2401" t="s">
        <v>49975</v>
      </c>
      <c r="E2401" t="s">
        <v>49976</v>
      </c>
      <c r="F2401" t="s">
        <v>49977</v>
      </c>
      <c r="G2401" t="s">
        <v>49978</v>
      </c>
      <c r="H2401" t="s">
        <v>49979</v>
      </c>
      <c r="I2401" t="s">
        <v>49980</v>
      </c>
      <c r="J2401" t="s">
        <v>49981</v>
      </c>
      <c r="K2401" t="s">
        <v>49982</v>
      </c>
      <c r="L2401" t="s">
        <v>49983</v>
      </c>
      <c r="M2401" t="s">
        <v>49984</v>
      </c>
      <c r="N2401" t="s">
        <v>49985</v>
      </c>
      <c r="O2401">
        <f>-986.548838428381 -18.6649597311848 -490.177794217071</f>
        <v>-1495.3915923766367</v>
      </c>
      <c r="P2401">
        <f>-986.313113044051 -47.2256313220744 -197.303434648519</f>
        <v>-1230.8421790146444</v>
      </c>
      <c r="Q2401">
        <f>-792.133495315962 -10.9783900176126 -335.257151185123</f>
        <v>-1138.3690365186976</v>
      </c>
      <c r="R2401" t="s">
        <v>49986</v>
      </c>
      <c r="S2401" t="s">
        <v>49987</v>
      </c>
      <c r="T2401" t="s">
        <v>49988</v>
      </c>
      <c r="U2401" t="s">
        <v>49989</v>
      </c>
      <c r="V2401" t="s">
        <v>49990</v>
      </c>
      <c r="W2401" t="s">
        <v>49991</v>
      </c>
      <c r="X2401" t="s">
        <v>49992</v>
      </c>
      <c r="Y2401" t="s">
        <v>49993</v>
      </c>
    </row>
    <row r="2402" spans="1:25" x14ac:dyDescent="0.3">
      <c r="A2402">
        <v>120050</v>
      </c>
      <c r="B2402" t="s">
        <v>49994</v>
      </c>
      <c r="C2402" t="s">
        <v>49995</v>
      </c>
      <c r="D2402" t="s">
        <v>49996</v>
      </c>
      <c r="E2402" t="s">
        <v>49997</v>
      </c>
      <c r="F2402" t="s">
        <v>49998</v>
      </c>
      <c r="G2402" t="s">
        <v>49999</v>
      </c>
      <c r="H2402" t="s">
        <v>50000</v>
      </c>
      <c r="I2402" t="s">
        <v>50001</v>
      </c>
      <c r="J2402" t="s">
        <v>50002</v>
      </c>
      <c r="K2402" t="s">
        <v>50003</v>
      </c>
      <c r="L2402" t="s">
        <v>50004</v>
      </c>
      <c r="M2402" t="s">
        <v>50005</v>
      </c>
      <c r="N2402" t="s">
        <v>50006</v>
      </c>
      <c r="O2402">
        <f>-986.509443532887 -18.8394673629045 -490.06934613504</f>
        <v>-1495.4182570308315</v>
      </c>
      <c r="P2402">
        <f>-986.139848408308 -46.8026159073702 -197.137277031325</f>
        <v>-1230.0797413470034</v>
      </c>
      <c r="Q2402">
        <f>-791.882495014807 -10.5164047365156 -334.971380395606</f>
        <v>-1137.3702801469285</v>
      </c>
      <c r="R2402" t="s">
        <v>50007</v>
      </c>
      <c r="S2402" t="s">
        <v>50008</v>
      </c>
      <c r="T2402" t="s">
        <v>50009</v>
      </c>
      <c r="U2402" t="s">
        <v>50010</v>
      </c>
      <c r="V2402" t="s">
        <v>50011</v>
      </c>
      <c r="W2402" t="s">
        <v>50012</v>
      </c>
      <c r="X2402" t="s">
        <v>50013</v>
      </c>
      <c r="Y2402" t="s">
        <v>50014</v>
      </c>
    </row>
    <row r="2403" spans="1:25" x14ac:dyDescent="0.3">
      <c r="A2403">
        <v>120100</v>
      </c>
      <c r="B2403" t="s">
        <v>50015</v>
      </c>
      <c r="C2403" t="s">
        <v>50016</v>
      </c>
      <c r="D2403" t="s">
        <v>50017</v>
      </c>
      <c r="E2403" t="s">
        <v>50018</v>
      </c>
      <c r="F2403" t="s">
        <v>50019</v>
      </c>
      <c r="G2403" t="s">
        <v>50020</v>
      </c>
      <c r="H2403" t="s">
        <v>50021</v>
      </c>
      <c r="I2403" t="s">
        <v>50022</v>
      </c>
      <c r="J2403" t="s">
        <v>50023</v>
      </c>
      <c r="K2403" t="s">
        <v>50024</v>
      </c>
      <c r="L2403" t="s">
        <v>50025</v>
      </c>
      <c r="M2403" t="s">
        <v>50026</v>
      </c>
      <c r="N2403" t="s">
        <v>50027</v>
      </c>
      <c r="O2403">
        <f>-986.666258689324 -19.0459948696994 -489.819594124195</f>
        <v>-1495.5318476832183</v>
      </c>
      <c r="P2403">
        <f>-985.538028760399 -46.7472279818282 -196.864590743045</f>
        <v>-1229.1498474852722</v>
      </c>
      <c r="Q2403">
        <f>-791.461464783968 -9.13369847185868 -334.597466876072</f>
        <v>-1135.1926301318988</v>
      </c>
      <c r="R2403" t="s">
        <v>50028</v>
      </c>
      <c r="S2403" t="s">
        <v>50029</v>
      </c>
      <c r="T2403" t="s">
        <v>50030</v>
      </c>
      <c r="U2403" t="s">
        <v>50031</v>
      </c>
      <c r="V2403" t="s">
        <v>50032</v>
      </c>
      <c r="W2403" t="s">
        <v>50033</v>
      </c>
      <c r="X2403" t="s">
        <v>50034</v>
      </c>
      <c r="Y2403" t="s">
        <v>50035</v>
      </c>
    </row>
    <row r="2404" spans="1:25" x14ac:dyDescent="0.3">
      <c r="A2404">
        <v>120150</v>
      </c>
      <c r="B2404" t="s">
        <v>50036</v>
      </c>
      <c r="C2404" t="s">
        <v>50037</v>
      </c>
      <c r="D2404" t="s">
        <v>50038</v>
      </c>
      <c r="E2404" t="s">
        <v>50039</v>
      </c>
      <c r="F2404" t="s">
        <v>50040</v>
      </c>
      <c r="G2404" t="s">
        <v>50041</v>
      </c>
      <c r="H2404" t="s">
        <v>50042</v>
      </c>
      <c r="I2404" t="s">
        <v>50043</v>
      </c>
      <c r="J2404" t="s">
        <v>50044</v>
      </c>
      <c r="K2404" t="s">
        <v>50045</v>
      </c>
      <c r="L2404" t="s">
        <v>50046</v>
      </c>
      <c r="M2404" t="s">
        <v>50047</v>
      </c>
      <c r="N2404" t="s">
        <v>50048</v>
      </c>
      <c r="O2404">
        <f>-986.796380645923 -18.9172688969052 -489.84494749927</f>
        <v>-1495.5585970420982</v>
      </c>
      <c r="P2404">
        <f>-985.367110692908 -46.6435617896752 -196.893620198634</f>
        <v>-1228.9042926812172</v>
      </c>
      <c r="Q2404">
        <f>-790.923603230918 -8.77427992986622 -334.038077002365</f>
        <v>-1133.7359601631492</v>
      </c>
      <c r="R2404" t="s">
        <v>50049</v>
      </c>
      <c r="S2404" t="s">
        <v>50050</v>
      </c>
      <c r="T2404" t="s">
        <v>50051</v>
      </c>
      <c r="U2404" t="s">
        <v>50052</v>
      </c>
      <c r="V2404" t="s">
        <v>50053</v>
      </c>
      <c r="W2404" t="s">
        <v>50054</v>
      </c>
      <c r="X2404" t="s">
        <v>50055</v>
      </c>
      <c r="Y2404" t="s">
        <v>50056</v>
      </c>
    </row>
    <row r="2405" spans="1:25" x14ac:dyDescent="0.3">
      <c r="A2405">
        <v>120200</v>
      </c>
      <c r="B2405" t="s">
        <v>50057</v>
      </c>
      <c r="C2405" t="s">
        <v>50058</v>
      </c>
      <c r="D2405" t="s">
        <v>50059</v>
      </c>
      <c r="E2405" t="s">
        <v>50060</v>
      </c>
      <c r="F2405" t="s">
        <v>50061</v>
      </c>
      <c r="G2405" t="s">
        <v>50062</v>
      </c>
      <c r="H2405" t="s">
        <v>50063</v>
      </c>
      <c r="I2405" t="s">
        <v>50064</v>
      </c>
      <c r="J2405" t="s">
        <v>50065</v>
      </c>
      <c r="K2405" t="s">
        <v>50066</v>
      </c>
      <c r="L2405" t="s">
        <v>50067</v>
      </c>
      <c r="M2405" t="s">
        <v>50068</v>
      </c>
      <c r="N2405" t="s">
        <v>50069</v>
      </c>
      <c r="O2405">
        <f>-986.913414189806 -18.8247839916799 -489.953078860789</f>
        <v>-1495.6912770422748</v>
      </c>
      <c r="P2405">
        <f>-984.881714234686 -46.7073180718241 -197.02020957643</f>
        <v>-1228.6092418829401</v>
      </c>
      <c r="Q2405">
        <f>-789.436735839027 -8.19740000964111 -332.552902748643</f>
        <v>-1130.1870385973111</v>
      </c>
      <c r="R2405" t="s">
        <v>50070</v>
      </c>
      <c r="S2405" t="s">
        <v>50071</v>
      </c>
      <c r="T2405" t="s">
        <v>50072</v>
      </c>
      <c r="U2405" t="s">
        <v>50073</v>
      </c>
      <c r="V2405" t="s">
        <v>50074</v>
      </c>
      <c r="W2405" t="s">
        <v>50075</v>
      </c>
      <c r="X2405" t="s">
        <v>50076</v>
      </c>
      <c r="Y2405" t="s">
        <v>50077</v>
      </c>
    </row>
    <row r="2406" spans="1:25" x14ac:dyDescent="0.3">
      <c r="A2406">
        <v>120250</v>
      </c>
      <c r="B2406" t="s">
        <v>50078</v>
      </c>
      <c r="C2406" t="s">
        <v>50079</v>
      </c>
      <c r="D2406" t="s">
        <v>50080</v>
      </c>
      <c r="E2406" t="s">
        <v>50081</v>
      </c>
      <c r="F2406" t="s">
        <v>50082</v>
      </c>
      <c r="G2406" t="s">
        <v>50083</v>
      </c>
      <c r="H2406" t="s">
        <v>50084</v>
      </c>
      <c r="I2406" t="s">
        <v>50085</v>
      </c>
      <c r="J2406" t="s">
        <v>50086</v>
      </c>
      <c r="K2406" t="s">
        <v>50087</v>
      </c>
      <c r="L2406" t="s">
        <v>50088</v>
      </c>
      <c r="M2406" t="s">
        <v>50089</v>
      </c>
      <c r="N2406" t="s">
        <v>50090</v>
      </c>
      <c r="O2406">
        <f>-986.817638315918 -18.8612340905397 -490.036419607006</f>
        <v>-1495.7152920134636</v>
      </c>
      <c r="P2406">
        <f>-984.536945659455 -46.7400631945306 -197.105010321474</f>
        <v>-1228.3820191754596</v>
      </c>
      <c r="Q2406">
        <f>-788.465476422249 -8.01888666490368 -331.668853293924</f>
        <v>-1128.1532163810766</v>
      </c>
      <c r="R2406" t="s">
        <v>50091</v>
      </c>
      <c r="S2406" t="s">
        <v>50092</v>
      </c>
      <c r="T2406" t="s">
        <v>50093</v>
      </c>
      <c r="U2406" t="s">
        <v>50094</v>
      </c>
      <c r="V2406" t="s">
        <v>50095</v>
      </c>
      <c r="W2406" t="s">
        <v>50096</v>
      </c>
      <c r="X2406" t="s">
        <v>50097</v>
      </c>
      <c r="Y2406" t="s">
        <v>50098</v>
      </c>
    </row>
    <row r="2407" spans="1:25" x14ac:dyDescent="0.3">
      <c r="A2407">
        <v>120300</v>
      </c>
      <c r="B2407" t="s">
        <v>50099</v>
      </c>
      <c r="C2407" t="s">
        <v>50100</v>
      </c>
      <c r="D2407" t="s">
        <v>50101</v>
      </c>
      <c r="E2407" t="s">
        <v>50102</v>
      </c>
      <c r="F2407" t="s">
        <v>50103</v>
      </c>
      <c r="G2407" t="s">
        <v>50104</v>
      </c>
      <c r="H2407" t="s">
        <v>50105</v>
      </c>
      <c r="I2407" t="s">
        <v>50106</v>
      </c>
      <c r="J2407" t="s">
        <v>50107</v>
      </c>
      <c r="K2407" t="s">
        <v>50108</v>
      </c>
      <c r="L2407" t="s">
        <v>50109</v>
      </c>
      <c r="M2407" t="s">
        <v>50110</v>
      </c>
      <c r="N2407" t="s">
        <v>50111</v>
      </c>
      <c r="O2407">
        <f>-986.413565994583 -19.2892135850825 -490.112788761511</f>
        <v>-1495.8155683411765</v>
      </c>
      <c r="P2407">
        <f>-984.514553330885 -46.4828788022903 -197.114392644829</f>
        <v>-1228.1118247780041</v>
      </c>
      <c r="Q2407">
        <f>-786.723665326062 -9.22070565518607 -329.556831185153</f>
        <v>-1125.5012021664011</v>
      </c>
      <c r="R2407" t="s">
        <v>50112</v>
      </c>
      <c r="S2407" t="s">
        <v>50113</v>
      </c>
      <c r="T2407" t="s">
        <v>50114</v>
      </c>
      <c r="U2407" t="s">
        <v>50115</v>
      </c>
      <c r="V2407" t="s">
        <v>50116</v>
      </c>
      <c r="W2407" t="s">
        <v>50117</v>
      </c>
      <c r="X2407" t="s">
        <v>50118</v>
      </c>
      <c r="Y2407" t="s">
        <v>50119</v>
      </c>
    </row>
    <row r="2408" spans="1:25" x14ac:dyDescent="0.3">
      <c r="A2408">
        <v>120350</v>
      </c>
      <c r="B2408" t="s">
        <v>50120</v>
      </c>
      <c r="C2408" t="s">
        <v>50121</v>
      </c>
      <c r="D2408" t="s">
        <v>50122</v>
      </c>
      <c r="E2408" t="s">
        <v>50123</v>
      </c>
      <c r="F2408" t="s">
        <v>50124</v>
      </c>
      <c r="G2408" t="s">
        <v>50125</v>
      </c>
      <c r="H2408" t="s">
        <v>50126</v>
      </c>
      <c r="I2408" t="s">
        <v>50127</v>
      </c>
      <c r="J2408" t="s">
        <v>50128</v>
      </c>
      <c r="K2408" t="s">
        <v>50129</v>
      </c>
      <c r="L2408" t="s">
        <v>50130</v>
      </c>
      <c r="M2408" t="s">
        <v>50131</v>
      </c>
      <c r="N2408" t="s">
        <v>50132</v>
      </c>
      <c r="O2408">
        <f>-986.074557513756 -19.6040415425914 -490.128800485556</f>
        <v>-1495.8073995419034</v>
      </c>
      <c r="P2408">
        <f>-984.538919035915 -46.4022847872834 -197.091683398307</f>
        <v>-1228.0328872215052</v>
      </c>
      <c r="Q2408">
        <f>-786.438168989305 -9.5418506664364 -329.183382394175</f>
        <v>-1125.1634020499164</v>
      </c>
      <c r="R2408" t="s">
        <v>50133</v>
      </c>
      <c r="S2408" t="s">
        <v>50134</v>
      </c>
      <c r="T2408" t="s">
        <v>50135</v>
      </c>
      <c r="U2408" t="s">
        <v>50136</v>
      </c>
      <c r="V2408" t="s">
        <v>50137</v>
      </c>
      <c r="W2408" t="s">
        <v>50138</v>
      </c>
      <c r="X2408" t="s">
        <v>50139</v>
      </c>
      <c r="Y2408" t="s">
        <v>50140</v>
      </c>
    </row>
    <row r="2409" spans="1:25" x14ac:dyDescent="0.3">
      <c r="A2409">
        <v>120400</v>
      </c>
      <c r="B2409" t="s">
        <v>50141</v>
      </c>
      <c r="C2409" t="s">
        <v>50142</v>
      </c>
      <c r="D2409" t="s">
        <v>50143</v>
      </c>
      <c r="E2409" t="s">
        <v>50144</v>
      </c>
      <c r="F2409" t="s">
        <v>50145</v>
      </c>
      <c r="G2409" t="s">
        <v>50146</v>
      </c>
      <c r="H2409" t="s">
        <v>50147</v>
      </c>
      <c r="I2409" t="s">
        <v>50148</v>
      </c>
      <c r="J2409" t="s">
        <v>50149</v>
      </c>
      <c r="K2409" t="s">
        <v>50150</v>
      </c>
      <c r="L2409" t="s">
        <v>50151</v>
      </c>
      <c r="M2409" t="s">
        <v>50152</v>
      </c>
      <c r="N2409" t="s">
        <v>50153</v>
      </c>
      <c r="O2409">
        <f>-985.370215262606 -19.9271398292572 -490.132695385382</f>
        <v>-1495.4300504772452</v>
      </c>
      <c r="P2409">
        <f>-984.050158929172 -46.5253688769501 -197.076311473835</f>
        <v>-1227.6518392799569</v>
      </c>
      <c r="Q2409">
        <f>-786.674583410161 -9.62865566811251 -330.239155180084</f>
        <v>-1126.5423942583575</v>
      </c>
      <c r="R2409" t="s">
        <v>50154</v>
      </c>
      <c r="S2409" t="s">
        <v>50155</v>
      </c>
      <c r="T2409" t="s">
        <v>50156</v>
      </c>
      <c r="U2409" t="s">
        <v>50157</v>
      </c>
      <c r="V2409" t="s">
        <v>50158</v>
      </c>
      <c r="W2409" t="s">
        <v>50159</v>
      </c>
      <c r="X2409" t="s">
        <v>50160</v>
      </c>
      <c r="Y2409" t="s">
        <v>50161</v>
      </c>
    </row>
    <row r="2410" spans="1:25" x14ac:dyDescent="0.3">
      <c r="A2410">
        <v>120450</v>
      </c>
      <c r="B2410" t="s">
        <v>50162</v>
      </c>
      <c r="C2410" t="s">
        <v>50163</v>
      </c>
      <c r="D2410" t="s">
        <v>50164</v>
      </c>
      <c r="E2410" t="s">
        <v>50165</v>
      </c>
      <c r="F2410" t="s">
        <v>50166</v>
      </c>
      <c r="G2410" t="s">
        <v>50167</v>
      </c>
      <c r="H2410" t="s">
        <v>50168</v>
      </c>
      <c r="I2410" t="s">
        <v>50169</v>
      </c>
      <c r="J2410" t="s">
        <v>50170</v>
      </c>
      <c r="K2410" t="s">
        <v>50171</v>
      </c>
      <c r="L2410" t="s">
        <v>50172</v>
      </c>
      <c r="M2410" t="s">
        <v>50173</v>
      </c>
      <c r="N2410" t="s">
        <v>50174</v>
      </c>
      <c r="O2410">
        <f>-985.366212619451 -20.0418536011111 -490.095701925962</f>
        <v>-1495.5037681465242</v>
      </c>
      <c r="P2410">
        <f>-983.816047363387 -46.5526815653404 -197.032631243309</f>
        <v>-1227.4013601720364</v>
      </c>
      <c r="Q2410">
        <f>-786.884100551746 -9.84215349516171 -330.90203962618</f>
        <v>-1127.6282936730877</v>
      </c>
      <c r="R2410" t="s">
        <v>50175</v>
      </c>
      <c r="S2410" t="s">
        <v>50176</v>
      </c>
      <c r="T2410" t="s">
        <v>50177</v>
      </c>
      <c r="U2410" t="s">
        <v>50178</v>
      </c>
      <c r="V2410" t="s">
        <v>50179</v>
      </c>
      <c r="W2410" t="s">
        <v>50180</v>
      </c>
      <c r="X2410" t="s">
        <v>50181</v>
      </c>
      <c r="Y2410" t="s">
        <v>50182</v>
      </c>
    </row>
    <row r="2411" spans="1:25" x14ac:dyDescent="0.3">
      <c r="A2411">
        <v>120500</v>
      </c>
      <c r="B2411" t="s">
        <v>50183</v>
      </c>
      <c r="C2411" t="s">
        <v>50184</v>
      </c>
      <c r="D2411" t="s">
        <v>50185</v>
      </c>
      <c r="E2411" t="s">
        <v>50186</v>
      </c>
      <c r="F2411" t="s">
        <v>50187</v>
      </c>
      <c r="G2411" t="s">
        <v>50188</v>
      </c>
      <c r="H2411" t="s">
        <v>50189</v>
      </c>
      <c r="I2411" t="s">
        <v>50190</v>
      </c>
      <c r="J2411" t="s">
        <v>50191</v>
      </c>
      <c r="K2411" t="s">
        <v>50192</v>
      </c>
      <c r="L2411" t="s">
        <v>50193</v>
      </c>
      <c r="M2411" t="s">
        <v>50194</v>
      </c>
      <c r="N2411" t="s">
        <v>50195</v>
      </c>
      <c r="O2411">
        <f>-985.116353226182 -20.176128842993 -490.047517148655</f>
        <v>-1495.3399992178299</v>
      </c>
      <c r="P2411">
        <f>-983.457383216133 -46.8990174603441 -197.004331027288</f>
        <v>-1227.3607317037649</v>
      </c>
      <c r="Q2411">
        <f>-787.015882701973 -10.44571641834 -331.66233850519</f>
        <v>-1129.123937625503</v>
      </c>
      <c r="R2411" t="s">
        <v>50196</v>
      </c>
      <c r="S2411" t="s">
        <v>50197</v>
      </c>
      <c r="T2411" t="s">
        <v>50198</v>
      </c>
      <c r="U2411" t="s">
        <v>50199</v>
      </c>
      <c r="V2411" t="s">
        <v>50200</v>
      </c>
      <c r="W2411" t="s">
        <v>50201</v>
      </c>
      <c r="X2411" t="s">
        <v>50202</v>
      </c>
      <c r="Y2411" t="s">
        <v>50203</v>
      </c>
    </row>
    <row r="2412" spans="1:25" x14ac:dyDescent="0.3">
      <c r="A2412">
        <v>120550</v>
      </c>
      <c r="B2412" t="s">
        <v>50204</v>
      </c>
      <c r="C2412" t="s">
        <v>50205</v>
      </c>
      <c r="D2412" t="s">
        <v>50206</v>
      </c>
      <c r="E2412" t="s">
        <v>50207</v>
      </c>
      <c r="F2412" t="s">
        <v>50208</v>
      </c>
      <c r="G2412" t="s">
        <v>50209</v>
      </c>
      <c r="H2412" t="s">
        <v>50210</v>
      </c>
      <c r="I2412" t="s">
        <v>50211</v>
      </c>
      <c r="J2412" t="s">
        <v>50212</v>
      </c>
      <c r="K2412" t="s">
        <v>50213</v>
      </c>
      <c r="L2412" t="s">
        <v>50214</v>
      </c>
      <c r="M2412" t="s">
        <v>50215</v>
      </c>
      <c r="N2412" t="s">
        <v>50216</v>
      </c>
      <c r="O2412">
        <f>-984.97272003051 -20.3272341455195 -490.081591785369</f>
        <v>-1495.3815459613984</v>
      </c>
      <c r="P2412">
        <f>-983.608779884577 -47.0383235829945 -197.0357155033</f>
        <v>-1227.6828189708715</v>
      </c>
      <c r="Q2412">
        <f>-787.310349902604 -10.9612702328304 -332.003318778085</f>
        <v>-1130.2749389135195</v>
      </c>
      <c r="R2412" t="s">
        <v>50217</v>
      </c>
      <c r="S2412" t="s">
        <v>50218</v>
      </c>
      <c r="T2412" t="s">
        <v>50219</v>
      </c>
      <c r="U2412" t="s">
        <v>50220</v>
      </c>
      <c r="V2412" t="s">
        <v>50221</v>
      </c>
      <c r="W2412" t="s">
        <v>50222</v>
      </c>
      <c r="X2412" t="s">
        <v>50223</v>
      </c>
      <c r="Y2412" t="s">
        <v>50224</v>
      </c>
    </row>
    <row r="2413" spans="1:25" x14ac:dyDescent="0.3">
      <c r="A2413">
        <v>120600</v>
      </c>
      <c r="B2413" t="s">
        <v>50225</v>
      </c>
      <c r="C2413" t="s">
        <v>50226</v>
      </c>
      <c r="D2413" t="s">
        <v>50227</v>
      </c>
      <c r="E2413" t="s">
        <v>50228</v>
      </c>
      <c r="F2413" t="s">
        <v>50229</v>
      </c>
      <c r="G2413" t="s">
        <v>50230</v>
      </c>
      <c r="H2413" t="s">
        <v>50231</v>
      </c>
      <c r="I2413" t="s">
        <v>50232</v>
      </c>
      <c r="J2413" t="s">
        <v>50233</v>
      </c>
      <c r="K2413" t="s">
        <v>50234</v>
      </c>
      <c r="L2413" t="s">
        <v>50235</v>
      </c>
      <c r="M2413" t="s">
        <v>50236</v>
      </c>
      <c r="N2413" t="s">
        <v>50237</v>
      </c>
      <c r="O2413">
        <f>-985.298122806747 -20.5678412446759 -490.080475569692</f>
        <v>-1495.9464396211149</v>
      </c>
      <c r="P2413">
        <f>-984.509539971293 -47.140441357124 -197.019952787452</f>
        <v>-1228.669934115869</v>
      </c>
      <c r="Q2413">
        <f>-788.308674843506 -11.2982386455533 -332.191864167457</f>
        <v>-1131.7987776565162</v>
      </c>
      <c r="R2413" t="s">
        <v>50238</v>
      </c>
      <c r="S2413" t="s">
        <v>50239</v>
      </c>
      <c r="T2413" t="s">
        <v>50240</v>
      </c>
      <c r="U2413" t="s">
        <v>50241</v>
      </c>
      <c r="V2413" t="s">
        <v>50242</v>
      </c>
      <c r="W2413" t="s">
        <v>50243</v>
      </c>
      <c r="X2413" t="s">
        <v>50244</v>
      </c>
      <c r="Y2413" t="s">
        <v>50245</v>
      </c>
    </row>
    <row r="2414" spans="1:25" x14ac:dyDescent="0.3">
      <c r="A2414">
        <v>120650</v>
      </c>
      <c r="B2414" t="s">
        <v>50246</v>
      </c>
      <c r="C2414" t="s">
        <v>50247</v>
      </c>
      <c r="D2414" t="s">
        <v>50248</v>
      </c>
      <c r="E2414" t="s">
        <v>50249</v>
      </c>
      <c r="F2414" t="s">
        <v>50250</v>
      </c>
      <c r="G2414" t="s">
        <v>50251</v>
      </c>
      <c r="H2414" t="s">
        <v>50252</v>
      </c>
      <c r="I2414" t="s">
        <v>50253</v>
      </c>
      <c r="J2414" t="s">
        <v>50254</v>
      </c>
      <c r="K2414" t="s">
        <v>50255</v>
      </c>
      <c r="L2414" t="s">
        <v>50256</v>
      </c>
      <c r="M2414" t="s">
        <v>50257</v>
      </c>
      <c r="N2414" t="s">
        <v>50258</v>
      </c>
      <c r="O2414">
        <f>-985.642188024072 -20.6654873944403 -490.057394458731</f>
        <v>-1496.3650698772433</v>
      </c>
      <c r="P2414">
        <f>-985.214628088028 -47.0367167528775 -196.977809698344</f>
        <v>-1229.2291545392495</v>
      </c>
      <c r="Q2414">
        <f>-789.159351435003 -11.4713869913444 -332.433797544339</f>
        <v>-1133.0645359706864</v>
      </c>
      <c r="R2414" t="s">
        <v>50259</v>
      </c>
      <c r="S2414" t="s">
        <v>50260</v>
      </c>
      <c r="T2414" t="s">
        <v>50261</v>
      </c>
      <c r="U2414" t="s">
        <v>50262</v>
      </c>
      <c r="V2414" t="s">
        <v>50263</v>
      </c>
      <c r="W2414" t="s">
        <v>50264</v>
      </c>
      <c r="X2414" t="s">
        <v>50265</v>
      </c>
      <c r="Y2414" t="s">
        <v>50266</v>
      </c>
    </row>
    <row r="2415" spans="1:25" x14ac:dyDescent="0.3">
      <c r="A2415">
        <v>120700</v>
      </c>
      <c r="B2415" t="s">
        <v>50267</v>
      </c>
      <c r="C2415" t="s">
        <v>50268</v>
      </c>
      <c r="D2415" t="s">
        <v>50269</v>
      </c>
      <c r="E2415" t="s">
        <v>50270</v>
      </c>
      <c r="F2415" t="s">
        <v>50271</v>
      </c>
      <c r="G2415" t="s">
        <v>50272</v>
      </c>
      <c r="H2415" t="s">
        <v>50273</v>
      </c>
      <c r="I2415" t="s">
        <v>50274</v>
      </c>
      <c r="J2415" t="s">
        <v>50275</v>
      </c>
      <c r="K2415" t="s">
        <v>50276</v>
      </c>
      <c r="L2415" t="s">
        <v>50277</v>
      </c>
      <c r="M2415" t="s">
        <v>50278</v>
      </c>
      <c r="N2415" t="s">
        <v>50279</v>
      </c>
      <c r="O2415">
        <f>-986.793395236442 -20.7253449938848 -490.082418084076</f>
        <v>-1497.6011583144029</v>
      </c>
      <c r="P2415">
        <f>-986.96252545575 -46.5504443549673 -196.954018497009</f>
        <v>-1230.4669883077263</v>
      </c>
      <c r="Q2415">
        <f>-791.030005072491 -11.8696690947777 -332.816155587692</f>
        <v>-1135.7158297549606</v>
      </c>
      <c r="R2415" t="s">
        <v>50280</v>
      </c>
      <c r="S2415" t="s">
        <v>50281</v>
      </c>
      <c r="T2415" t="s">
        <v>50282</v>
      </c>
      <c r="U2415" t="s">
        <v>50283</v>
      </c>
      <c r="V2415" t="s">
        <v>50284</v>
      </c>
      <c r="W2415" t="s">
        <v>50285</v>
      </c>
      <c r="X2415" t="s">
        <v>50286</v>
      </c>
      <c r="Y2415" t="s">
        <v>50287</v>
      </c>
    </row>
    <row r="2416" spans="1:25" x14ac:dyDescent="0.3">
      <c r="A2416">
        <v>120750</v>
      </c>
      <c r="B2416" t="s">
        <v>50288</v>
      </c>
      <c r="C2416" t="s">
        <v>50289</v>
      </c>
      <c r="D2416" t="s">
        <v>50290</v>
      </c>
      <c r="E2416" t="s">
        <v>50291</v>
      </c>
      <c r="F2416" t="s">
        <v>50292</v>
      </c>
      <c r="G2416" t="s">
        <v>50293</v>
      </c>
      <c r="H2416" t="s">
        <v>50294</v>
      </c>
      <c r="I2416" t="s">
        <v>50295</v>
      </c>
      <c r="J2416" t="s">
        <v>50296</v>
      </c>
      <c r="K2416" t="s">
        <v>50297</v>
      </c>
      <c r="L2416" t="s">
        <v>50298</v>
      </c>
      <c r="M2416" t="s">
        <v>50299</v>
      </c>
      <c r="N2416" t="s">
        <v>50300</v>
      </c>
      <c r="O2416">
        <f>-987.497391255552 -20.8334120834274 -490.0669099548</f>
        <v>-1498.3977132937794</v>
      </c>
      <c r="P2416">
        <f>-987.853255138977 -46.3657033712627 -196.912986753454</f>
        <v>-1231.1319452636935</v>
      </c>
      <c r="Q2416">
        <f>-791.93526603062 -12.3409138971906 -332.962033656023</f>
        <v>-1137.2382135838336</v>
      </c>
      <c r="R2416" t="s">
        <v>50301</v>
      </c>
      <c r="S2416" t="s">
        <v>50302</v>
      </c>
      <c r="T2416" t="s">
        <v>50303</v>
      </c>
      <c r="U2416" t="s">
        <v>50304</v>
      </c>
      <c r="V2416" t="s">
        <v>50305</v>
      </c>
      <c r="W2416" t="s">
        <v>50306</v>
      </c>
      <c r="X2416" t="s">
        <v>50307</v>
      </c>
      <c r="Y2416" t="s">
        <v>50308</v>
      </c>
    </row>
    <row r="2417" spans="1:25" x14ac:dyDescent="0.3">
      <c r="A2417">
        <v>120800</v>
      </c>
      <c r="B2417" t="s">
        <v>50309</v>
      </c>
      <c r="C2417" t="s">
        <v>50310</v>
      </c>
      <c r="D2417" t="s">
        <v>50311</v>
      </c>
      <c r="E2417" t="s">
        <v>50312</v>
      </c>
      <c r="F2417" t="s">
        <v>50313</v>
      </c>
      <c r="G2417" t="s">
        <v>50314</v>
      </c>
      <c r="H2417" t="s">
        <v>50315</v>
      </c>
      <c r="I2417" t="s">
        <v>50316</v>
      </c>
      <c r="J2417" t="s">
        <v>50317</v>
      </c>
      <c r="K2417" t="s">
        <v>50318</v>
      </c>
      <c r="L2417" t="s">
        <v>50319</v>
      </c>
      <c r="M2417" t="s">
        <v>50320</v>
      </c>
      <c r="N2417" t="s">
        <v>50321</v>
      </c>
      <c r="O2417">
        <f>-988.917983322924 -21.2019710288409 -489.918226098849</f>
        <v>-1500.0381804506139</v>
      </c>
      <c r="P2417">
        <f>-989.494156656834 -46.4455254462316 -196.739705935911</f>
        <v>-1232.6793880389764</v>
      </c>
      <c r="Q2417">
        <f>-793.746333443158 -13.0513487567332 -333.189425895465</f>
        <v>-1139.9871080953562</v>
      </c>
      <c r="R2417" t="s">
        <v>50322</v>
      </c>
      <c r="S2417" t="s">
        <v>50323</v>
      </c>
      <c r="T2417" t="s">
        <v>50324</v>
      </c>
      <c r="U2417" t="s">
        <v>50325</v>
      </c>
      <c r="V2417" t="s">
        <v>50326</v>
      </c>
      <c r="W2417" t="s">
        <v>50327</v>
      </c>
      <c r="X2417" t="s">
        <v>50328</v>
      </c>
      <c r="Y2417" t="s">
        <v>50329</v>
      </c>
    </row>
    <row r="2418" spans="1:25" x14ac:dyDescent="0.3">
      <c r="A2418">
        <v>120850</v>
      </c>
      <c r="B2418" t="s">
        <v>50330</v>
      </c>
      <c r="C2418" t="s">
        <v>50331</v>
      </c>
      <c r="D2418" t="s">
        <v>50332</v>
      </c>
      <c r="E2418" t="s">
        <v>50333</v>
      </c>
      <c r="F2418" t="s">
        <v>50334</v>
      </c>
      <c r="G2418" t="s">
        <v>50335</v>
      </c>
      <c r="H2418" t="s">
        <v>50336</v>
      </c>
      <c r="I2418" t="s">
        <v>50337</v>
      </c>
      <c r="J2418" t="s">
        <v>50338</v>
      </c>
      <c r="K2418" t="s">
        <v>50339</v>
      </c>
      <c r="L2418" t="s">
        <v>50340</v>
      </c>
      <c r="M2418" t="s">
        <v>50341</v>
      </c>
      <c r="N2418" t="s">
        <v>50342</v>
      </c>
      <c r="O2418">
        <f>-989.667801460382 -21.3904776092713 -489.812037959663</f>
        <v>-1500.8703170293163</v>
      </c>
      <c r="P2418">
        <f>-990.310688905802 -46.410693111133 -196.614524045876</f>
        <v>-1233.3359060628109</v>
      </c>
      <c r="Q2418">
        <f>-794.631853424375 -13.2261738539733 -333.214328898142</f>
        <v>-1141.0723561764903</v>
      </c>
      <c r="R2418" t="s">
        <v>50343</v>
      </c>
      <c r="S2418" t="s">
        <v>50344</v>
      </c>
      <c r="T2418" t="s">
        <v>50345</v>
      </c>
      <c r="U2418" t="s">
        <v>50346</v>
      </c>
      <c r="V2418" t="s">
        <v>50347</v>
      </c>
      <c r="W2418" t="s">
        <v>50348</v>
      </c>
      <c r="X2418" t="s">
        <v>50349</v>
      </c>
      <c r="Y2418" t="s">
        <v>50350</v>
      </c>
    </row>
    <row r="2419" spans="1:25" x14ac:dyDescent="0.3">
      <c r="A2419">
        <v>120900</v>
      </c>
      <c r="B2419" t="s">
        <v>50351</v>
      </c>
      <c r="C2419" t="s">
        <v>50352</v>
      </c>
      <c r="D2419" t="s">
        <v>50353</v>
      </c>
      <c r="E2419" t="s">
        <v>50354</v>
      </c>
      <c r="F2419" t="s">
        <v>50355</v>
      </c>
      <c r="G2419" t="s">
        <v>50356</v>
      </c>
      <c r="H2419" t="s">
        <v>50357</v>
      </c>
      <c r="I2419" t="s">
        <v>50358</v>
      </c>
      <c r="J2419" t="s">
        <v>50359</v>
      </c>
      <c r="K2419" t="s">
        <v>50360</v>
      </c>
      <c r="L2419" t="s">
        <v>50361</v>
      </c>
      <c r="M2419" t="s">
        <v>50362</v>
      </c>
      <c r="N2419" t="s">
        <v>50363</v>
      </c>
      <c r="O2419">
        <f>-991.118708274772 -21.629769878698 -489.610468994341</f>
        <v>-1502.3589471478108</v>
      </c>
      <c r="P2419">
        <f>-991.864472205228 -46.1997012181976 -196.375023540323</f>
        <v>-1234.4391969637486</v>
      </c>
      <c r="Q2419">
        <f>-796.299026453074 -13.6874225514553 -333.298517543533</f>
        <v>-1143.2849665480624</v>
      </c>
      <c r="R2419" t="s">
        <v>50364</v>
      </c>
      <c r="S2419" t="s">
        <v>50365</v>
      </c>
      <c r="T2419" t="s">
        <v>50366</v>
      </c>
      <c r="U2419" t="s">
        <v>50367</v>
      </c>
      <c r="V2419" t="s">
        <v>50368</v>
      </c>
      <c r="W2419" t="s">
        <v>50369</v>
      </c>
      <c r="X2419" t="s">
        <v>50370</v>
      </c>
      <c r="Y2419" t="s">
        <v>50371</v>
      </c>
    </row>
    <row r="2420" spans="1:25" x14ac:dyDescent="0.3">
      <c r="A2420">
        <v>120950</v>
      </c>
      <c r="B2420" t="s">
        <v>50372</v>
      </c>
      <c r="C2420" t="s">
        <v>50373</v>
      </c>
      <c r="D2420" t="s">
        <v>50374</v>
      </c>
      <c r="E2420" t="s">
        <v>50375</v>
      </c>
      <c r="F2420" t="s">
        <v>50376</v>
      </c>
      <c r="G2420" t="s">
        <v>50377</v>
      </c>
      <c r="H2420" t="s">
        <v>50378</v>
      </c>
      <c r="I2420" t="s">
        <v>50379</v>
      </c>
      <c r="J2420" t="s">
        <v>50380</v>
      </c>
      <c r="K2420" t="s">
        <v>50381</v>
      </c>
      <c r="L2420" t="s">
        <v>50382</v>
      </c>
      <c r="M2420" t="s">
        <v>50383</v>
      </c>
      <c r="N2420" t="s">
        <v>50384</v>
      </c>
      <c r="O2420">
        <f>-991.805900118097 -21.7227561741097 -489.509411939496</f>
        <v>-1503.0380682317027</v>
      </c>
      <c r="P2420">
        <f>-992.575400636711 -46.0522181650795 -196.254082500723</f>
        <v>-1234.8817013025134</v>
      </c>
      <c r="Q2420">
        <f>-797.017606442226 -13.9326498440678 -333.280739786394</f>
        <v>-1144.2309960726877</v>
      </c>
      <c r="R2420" t="s">
        <v>50385</v>
      </c>
      <c r="S2420" t="s">
        <v>50386</v>
      </c>
      <c r="T2420" t="s">
        <v>50387</v>
      </c>
      <c r="U2420" t="s">
        <v>50388</v>
      </c>
      <c r="V2420" t="s">
        <v>50389</v>
      </c>
      <c r="W2420" t="s">
        <v>50390</v>
      </c>
      <c r="X2420" t="s">
        <v>50391</v>
      </c>
      <c r="Y2420" t="s">
        <v>50392</v>
      </c>
    </row>
    <row r="2421" spans="1:25" x14ac:dyDescent="0.3">
      <c r="A2421">
        <v>121000</v>
      </c>
      <c r="B2421" t="s">
        <v>50393</v>
      </c>
      <c r="C2421" t="s">
        <v>50394</v>
      </c>
      <c r="D2421" t="s">
        <v>50395</v>
      </c>
      <c r="E2421" t="s">
        <v>50396</v>
      </c>
      <c r="F2421" t="s">
        <v>50397</v>
      </c>
      <c r="G2421" t="s">
        <v>50398</v>
      </c>
      <c r="H2421" t="s">
        <v>50399</v>
      </c>
      <c r="I2421" t="s">
        <v>50400</v>
      </c>
      <c r="J2421" t="s">
        <v>50401</v>
      </c>
      <c r="K2421" t="s">
        <v>50402</v>
      </c>
      <c r="L2421" t="s">
        <v>50403</v>
      </c>
      <c r="M2421" t="s">
        <v>50404</v>
      </c>
      <c r="N2421" t="s">
        <v>50405</v>
      </c>
      <c r="O2421">
        <f>-993.05702788121 -21.8552296678986 -489.266726249883</f>
        <v>-1504.1789837989916</v>
      </c>
      <c r="P2421">
        <f>-993.926562962599 -45.8333620473995 -195.982756086072</f>
        <v>-1235.7426810960703</v>
      </c>
      <c r="Q2421">
        <f>-798.551332994338 -14.7449382217451 -333.506906033606</f>
        <v>-1146.8031772496893</v>
      </c>
      <c r="R2421" t="s">
        <v>50406</v>
      </c>
      <c r="S2421" t="s">
        <v>50407</v>
      </c>
      <c r="T2421" t="s">
        <v>50408</v>
      </c>
      <c r="U2421" t="s">
        <v>50409</v>
      </c>
      <c r="V2421" t="s">
        <v>50410</v>
      </c>
      <c r="W2421" t="s">
        <v>50411</v>
      </c>
      <c r="X2421" t="s">
        <v>50412</v>
      </c>
      <c r="Y2421" t="s">
        <v>50413</v>
      </c>
    </row>
    <row r="2422" spans="1:25" x14ac:dyDescent="0.3">
      <c r="A2422">
        <v>121050</v>
      </c>
      <c r="B2422" t="s">
        <v>50414</v>
      </c>
      <c r="C2422" t="s">
        <v>50415</v>
      </c>
      <c r="D2422" t="s">
        <v>50416</v>
      </c>
      <c r="E2422" t="s">
        <v>50417</v>
      </c>
      <c r="F2422" t="s">
        <v>50418</v>
      </c>
      <c r="G2422" t="s">
        <v>50419</v>
      </c>
      <c r="H2422" t="s">
        <v>50420</v>
      </c>
      <c r="I2422" t="s">
        <v>50421</v>
      </c>
      <c r="J2422" t="s">
        <v>50422</v>
      </c>
      <c r="K2422" t="s">
        <v>50423</v>
      </c>
      <c r="L2422" t="s">
        <v>50424</v>
      </c>
      <c r="M2422" t="s">
        <v>50425</v>
      </c>
      <c r="N2422" t="s">
        <v>50426</v>
      </c>
      <c r="O2422">
        <f>-993.679132666456 -21.8612806583292 -489.144285555952</f>
        <v>-1504.6846988807372</v>
      </c>
      <c r="P2422">
        <f>-994.471425376197 -45.4373738023965 -195.82737770474</f>
        <v>-1235.7361768833334</v>
      </c>
      <c r="Q2422">
        <f>-799.254314255768 -15.1439889998856 -333.753250540036</f>
        <v>-1148.1515537956896</v>
      </c>
      <c r="R2422" t="s">
        <v>50427</v>
      </c>
      <c r="S2422" t="s">
        <v>50428</v>
      </c>
      <c r="T2422" t="s">
        <v>50429</v>
      </c>
      <c r="U2422" t="s">
        <v>50430</v>
      </c>
      <c r="V2422" t="s">
        <v>50431</v>
      </c>
      <c r="W2422" t="s">
        <v>50432</v>
      </c>
      <c r="X2422" t="s">
        <v>50433</v>
      </c>
      <c r="Y2422" t="s">
        <v>50434</v>
      </c>
    </row>
    <row r="2423" spans="1:25" x14ac:dyDescent="0.3">
      <c r="A2423">
        <v>121100</v>
      </c>
      <c r="B2423" t="s">
        <v>50435</v>
      </c>
      <c r="C2423" t="s">
        <v>50436</v>
      </c>
      <c r="D2423" t="s">
        <v>50437</v>
      </c>
      <c r="E2423" t="s">
        <v>50438</v>
      </c>
      <c r="F2423" t="s">
        <v>50439</v>
      </c>
      <c r="G2423" t="s">
        <v>50440</v>
      </c>
      <c r="H2423" t="s">
        <v>50441</v>
      </c>
      <c r="I2423" t="s">
        <v>50442</v>
      </c>
      <c r="J2423" t="s">
        <v>50443</v>
      </c>
      <c r="K2423" t="s">
        <v>50444</v>
      </c>
      <c r="L2423" t="s">
        <v>50445</v>
      </c>
      <c r="M2423" t="s">
        <v>50446</v>
      </c>
      <c r="N2423" t="s">
        <v>50447</v>
      </c>
      <c r="O2423">
        <f>-995.057553311609 -21.7033412263604 -488.852558927174</f>
        <v>-1505.6134534651435</v>
      </c>
      <c r="P2423">
        <f>-995.581078054408 -44.5190666509552 -195.475023406295</f>
        <v>-1235.5751681116581</v>
      </c>
      <c r="Q2423">
        <f>-800.673134197793 -16.1202617186018 -334.23845274652</f>
        <v>-1151.0318486629149</v>
      </c>
      <c r="R2423" t="s">
        <v>50448</v>
      </c>
      <c r="S2423" t="s">
        <v>50449</v>
      </c>
      <c r="T2423" t="s">
        <v>50450</v>
      </c>
      <c r="U2423" t="s">
        <v>50451</v>
      </c>
      <c r="V2423" t="s">
        <v>50452</v>
      </c>
      <c r="W2423" t="s">
        <v>50453</v>
      </c>
      <c r="X2423" t="s">
        <v>50454</v>
      </c>
      <c r="Y2423" t="s">
        <v>50455</v>
      </c>
    </row>
    <row r="2424" spans="1:25" x14ac:dyDescent="0.3">
      <c r="A2424">
        <v>121150</v>
      </c>
      <c r="B2424" t="s">
        <v>50456</v>
      </c>
      <c r="C2424" t="s">
        <v>50457</v>
      </c>
      <c r="D2424" t="s">
        <v>50458</v>
      </c>
      <c r="E2424" t="s">
        <v>50459</v>
      </c>
      <c r="F2424" t="s">
        <v>50460</v>
      </c>
      <c r="G2424" t="s">
        <v>50461</v>
      </c>
      <c r="H2424" t="s">
        <v>50462</v>
      </c>
      <c r="I2424" t="s">
        <v>50463</v>
      </c>
      <c r="J2424" t="s">
        <v>50464</v>
      </c>
      <c r="K2424" t="s">
        <v>50465</v>
      </c>
      <c r="L2424" t="s">
        <v>50466</v>
      </c>
      <c r="M2424" t="s">
        <v>50467</v>
      </c>
      <c r="N2424" t="s">
        <v>50468</v>
      </c>
      <c r="O2424">
        <f>-995.711639916125 -21.6079381187324 -488.703620123188</f>
        <v>-1506.0231981580455</v>
      </c>
      <c r="P2424">
        <f>-996.187705419319 -44.0578342731553 -195.297820036017</f>
        <v>-1235.5433597284912</v>
      </c>
      <c r="Q2424">
        <f>-801.381751093567 -16.5242656304467 -334.378670529386</f>
        <v>-1152.2846872533996</v>
      </c>
      <c r="R2424" t="s">
        <v>50469</v>
      </c>
      <c r="S2424" t="s">
        <v>50470</v>
      </c>
      <c r="T2424" t="s">
        <v>50471</v>
      </c>
      <c r="U2424" t="s">
        <v>50472</v>
      </c>
      <c r="V2424" t="s">
        <v>50473</v>
      </c>
      <c r="W2424" t="s">
        <v>50474</v>
      </c>
      <c r="X2424" t="s">
        <v>50475</v>
      </c>
      <c r="Y2424" t="s">
        <v>50476</v>
      </c>
    </row>
    <row r="2425" spans="1:25" x14ac:dyDescent="0.3">
      <c r="A2425">
        <v>121200</v>
      </c>
      <c r="B2425" t="s">
        <v>50477</v>
      </c>
      <c r="C2425" t="s">
        <v>50478</v>
      </c>
      <c r="D2425" t="s">
        <v>50479</v>
      </c>
      <c r="E2425" t="s">
        <v>50480</v>
      </c>
      <c r="F2425" t="s">
        <v>50481</v>
      </c>
      <c r="G2425" t="s">
        <v>50482</v>
      </c>
      <c r="H2425" t="s">
        <v>50483</v>
      </c>
      <c r="I2425" t="s">
        <v>50484</v>
      </c>
      <c r="J2425" t="s">
        <v>50485</v>
      </c>
      <c r="K2425" t="s">
        <v>50486</v>
      </c>
      <c r="L2425" t="s">
        <v>50487</v>
      </c>
      <c r="M2425" t="s">
        <v>50488</v>
      </c>
      <c r="N2425" t="s">
        <v>50489</v>
      </c>
      <c r="O2425">
        <f>-996.776488230327 -21.6104791735779 -488.452899168117</f>
        <v>-1506.8398665720219</v>
      </c>
      <c r="P2425">
        <f>-997.344436328872 -43.5468552003297 -195.008407438257</f>
        <v>-1235.8996989674588</v>
      </c>
      <c r="Q2425">
        <f>-802.810998195786 -17.3934602023273 -334.735266377446</f>
        <v>-1154.9397247755594</v>
      </c>
      <c r="R2425" t="s">
        <v>50490</v>
      </c>
      <c r="S2425" t="s">
        <v>50491</v>
      </c>
      <c r="T2425" t="s">
        <v>50492</v>
      </c>
      <c r="U2425" t="s">
        <v>50493</v>
      </c>
      <c r="V2425" t="s">
        <v>50494</v>
      </c>
      <c r="W2425" t="s">
        <v>50495</v>
      </c>
      <c r="X2425" t="s">
        <v>50496</v>
      </c>
      <c r="Y2425" t="s">
        <v>50497</v>
      </c>
    </row>
    <row r="2426" spans="1:25" x14ac:dyDescent="0.3">
      <c r="A2426">
        <v>121250</v>
      </c>
      <c r="B2426" t="s">
        <v>50498</v>
      </c>
      <c r="C2426" t="s">
        <v>50499</v>
      </c>
      <c r="D2426" t="s">
        <v>50500</v>
      </c>
      <c r="E2426" t="s">
        <v>50501</v>
      </c>
      <c r="F2426" t="s">
        <v>50502</v>
      </c>
      <c r="G2426" t="s">
        <v>50503</v>
      </c>
      <c r="H2426" t="s">
        <v>50504</v>
      </c>
      <c r="I2426" t="s">
        <v>50505</v>
      </c>
      <c r="J2426" t="s">
        <v>50506</v>
      </c>
      <c r="K2426" t="s">
        <v>50507</v>
      </c>
      <c r="L2426" t="s">
        <v>50508</v>
      </c>
      <c r="M2426" t="s">
        <v>50509</v>
      </c>
      <c r="N2426" t="s">
        <v>50510</v>
      </c>
      <c r="O2426">
        <f>-997.33402905424 -21.8064374937794 -488.306696739584</f>
        <v>-1507.4471632876034</v>
      </c>
      <c r="P2426">
        <f>-998.004061316494 -43.4683375215047 -194.842124080137</f>
        <v>-1236.3145229181357</v>
      </c>
      <c r="Q2426">
        <f>-803.664686723055 -17.9299462839044 -334.952218902998</f>
        <v>-1156.5468519099575</v>
      </c>
      <c r="R2426" t="s">
        <v>50511</v>
      </c>
      <c r="S2426" t="s">
        <v>50512</v>
      </c>
      <c r="T2426" t="s">
        <v>50513</v>
      </c>
      <c r="U2426" t="s">
        <v>50514</v>
      </c>
      <c r="V2426" t="s">
        <v>50515</v>
      </c>
      <c r="W2426" t="s">
        <v>50516</v>
      </c>
      <c r="X2426" t="s">
        <v>50517</v>
      </c>
      <c r="Y2426" t="s">
        <v>50518</v>
      </c>
    </row>
    <row r="2427" spans="1:25" x14ac:dyDescent="0.3">
      <c r="A2427">
        <v>121300</v>
      </c>
      <c r="B2427" t="s">
        <v>50519</v>
      </c>
      <c r="C2427" t="s">
        <v>50520</v>
      </c>
      <c r="D2427" t="s">
        <v>50521</v>
      </c>
      <c r="E2427" t="s">
        <v>50522</v>
      </c>
      <c r="F2427" t="s">
        <v>50523</v>
      </c>
      <c r="G2427" t="s">
        <v>50524</v>
      </c>
      <c r="H2427" t="s">
        <v>50525</v>
      </c>
      <c r="I2427" t="s">
        <v>50526</v>
      </c>
      <c r="J2427" t="s">
        <v>50527</v>
      </c>
      <c r="K2427" t="s">
        <v>50528</v>
      </c>
      <c r="L2427" t="s">
        <v>50529</v>
      </c>
      <c r="M2427" t="s">
        <v>50530</v>
      </c>
      <c r="N2427" t="s">
        <v>50531</v>
      </c>
      <c r="O2427">
        <f>-998.321801525227 -22.1742601230903 -487.992937438086</f>
        <v>-1508.4889990864033</v>
      </c>
      <c r="P2427">
        <f>-998.974234182671 -43.2813780027939 -194.487908229492</f>
        <v>-1236.7435204149569</v>
      </c>
      <c r="Q2427">
        <f>-805.224434340006 -18.3080895987187 -335.5131984116</f>
        <v>-1159.0457223503247</v>
      </c>
      <c r="R2427" t="s">
        <v>50532</v>
      </c>
      <c r="S2427" t="s">
        <v>50533</v>
      </c>
      <c r="T2427" t="s">
        <v>50534</v>
      </c>
      <c r="U2427" t="s">
        <v>50535</v>
      </c>
      <c r="V2427" t="s">
        <v>50536</v>
      </c>
      <c r="W2427" t="s">
        <v>50537</v>
      </c>
      <c r="X2427" t="s">
        <v>50538</v>
      </c>
      <c r="Y2427" t="s">
        <v>50539</v>
      </c>
    </row>
    <row r="2428" spans="1:25" x14ac:dyDescent="0.3">
      <c r="A2428">
        <v>121350</v>
      </c>
      <c r="B2428" t="s">
        <v>50540</v>
      </c>
      <c r="C2428" t="s">
        <v>50541</v>
      </c>
      <c r="D2428" t="s">
        <v>50542</v>
      </c>
      <c r="E2428" t="s">
        <v>50543</v>
      </c>
      <c r="F2428" t="s">
        <v>50544</v>
      </c>
      <c r="G2428" t="s">
        <v>50545</v>
      </c>
      <c r="H2428" t="s">
        <v>50546</v>
      </c>
      <c r="I2428" t="s">
        <v>50547</v>
      </c>
      <c r="J2428" t="s">
        <v>50548</v>
      </c>
      <c r="K2428" t="s">
        <v>50549</v>
      </c>
      <c r="L2428" t="s">
        <v>50550</v>
      </c>
      <c r="M2428" t="s">
        <v>50551</v>
      </c>
      <c r="N2428" t="s">
        <v>50552</v>
      </c>
      <c r="O2428">
        <f>-998.741576319089 -22.3772910289922 -487.876301194897</f>
        <v>-1508.9951685429783</v>
      </c>
      <c r="P2428">
        <f>-999.274429207143 -43.3277899829632 -194.359847008572</f>
        <v>-1236.9620661986783</v>
      </c>
      <c r="Q2428">
        <f>-805.793858491972 -18.3865878859433 -335.760550098188</f>
        <v>-1159.9409964761032</v>
      </c>
      <c r="R2428" t="s">
        <v>50553</v>
      </c>
      <c r="S2428" t="s">
        <v>50554</v>
      </c>
      <c r="T2428" t="s">
        <v>50555</v>
      </c>
      <c r="U2428" t="s">
        <v>50556</v>
      </c>
      <c r="V2428" t="s">
        <v>50557</v>
      </c>
      <c r="W2428" t="s">
        <v>50558</v>
      </c>
      <c r="X2428" t="s">
        <v>50559</v>
      </c>
      <c r="Y2428" t="s">
        <v>50560</v>
      </c>
    </row>
    <row r="2429" spans="1:25" x14ac:dyDescent="0.3">
      <c r="A2429">
        <v>121400</v>
      </c>
      <c r="B2429" t="s">
        <v>50561</v>
      </c>
      <c r="C2429" t="s">
        <v>50562</v>
      </c>
      <c r="D2429" t="s">
        <v>50563</v>
      </c>
      <c r="E2429" t="s">
        <v>50564</v>
      </c>
      <c r="F2429" t="s">
        <v>50565</v>
      </c>
      <c r="G2429" t="s">
        <v>50566</v>
      </c>
      <c r="H2429" t="s">
        <v>50567</v>
      </c>
      <c r="I2429" t="s">
        <v>50568</v>
      </c>
      <c r="J2429" t="s">
        <v>50569</v>
      </c>
      <c r="K2429" t="s">
        <v>50570</v>
      </c>
      <c r="L2429" t="s">
        <v>50571</v>
      </c>
      <c r="M2429" t="s">
        <v>50572</v>
      </c>
      <c r="N2429" t="s">
        <v>50573</v>
      </c>
      <c r="O2429">
        <f>-999.401513030585 -22.6813340066415 -487.762002737275</f>
        <v>-1509.8448497745014</v>
      </c>
      <c r="P2429">
        <f>-999.670879159688 -43.4723607207045 -194.233601362262</f>
        <v>-1237.3768412426543</v>
      </c>
      <c r="Q2429">
        <f>-806.559116636168 -18.2559465902436 -336.088758881664</f>
        <v>-1160.9038221080757</v>
      </c>
      <c r="R2429" t="s">
        <v>50574</v>
      </c>
      <c r="S2429" t="s">
        <v>50575</v>
      </c>
      <c r="T2429" t="s">
        <v>50576</v>
      </c>
      <c r="U2429" t="s">
        <v>50577</v>
      </c>
      <c r="V2429" t="s">
        <v>50578</v>
      </c>
      <c r="W2429" t="s">
        <v>50579</v>
      </c>
      <c r="X2429" t="s">
        <v>50580</v>
      </c>
      <c r="Y2429" t="s">
        <v>50581</v>
      </c>
    </row>
    <row r="2430" spans="1:25" x14ac:dyDescent="0.3">
      <c r="A2430">
        <v>121450</v>
      </c>
      <c r="B2430" t="s">
        <v>50582</v>
      </c>
      <c r="C2430" t="s">
        <v>50583</v>
      </c>
      <c r="D2430" t="s">
        <v>50584</v>
      </c>
      <c r="E2430" t="s">
        <v>50585</v>
      </c>
      <c r="F2430" t="s">
        <v>50586</v>
      </c>
      <c r="G2430" t="s">
        <v>50587</v>
      </c>
      <c r="H2430" t="s">
        <v>50588</v>
      </c>
      <c r="I2430" t="s">
        <v>50589</v>
      </c>
      <c r="J2430" t="s">
        <v>50590</v>
      </c>
      <c r="K2430" t="s">
        <v>50591</v>
      </c>
      <c r="L2430" t="s">
        <v>50592</v>
      </c>
      <c r="M2430" t="s">
        <v>50593</v>
      </c>
      <c r="N2430" t="s">
        <v>50594</v>
      </c>
      <c r="O2430">
        <f>-999.767416999583 -22.8519873524169 -487.741263506013</f>
        <v>-1510.3606678580129</v>
      </c>
      <c r="P2430">
        <f>-999.906216770179 -43.6577800143159 -194.213765082348</f>
        <v>-1237.7777618668429</v>
      </c>
      <c r="Q2430">
        <f>-806.9108714978 -18.2442003113279 -336.192215643264</f>
        <v>-1161.3472874523918</v>
      </c>
      <c r="R2430" t="s">
        <v>50595</v>
      </c>
      <c r="S2430" t="s">
        <v>50596</v>
      </c>
      <c r="T2430" t="s">
        <v>50597</v>
      </c>
      <c r="U2430" t="s">
        <v>50598</v>
      </c>
      <c r="V2430" t="s">
        <v>50599</v>
      </c>
      <c r="W2430" t="s">
        <v>50600</v>
      </c>
      <c r="X2430" t="s">
        <v>50601</v>
      </c>
      <c r="Y2430" t="s">
        <v>50602</v>
      </c>
    </row>
    <row r="2431" spans="1:25" x14ac:dyDescent="0.3">
      <c r="A2431">
        <v>121500</v>
      </c>
      <c r="B2431" t="s">
        <v>50603</v>
      </c>
      <c r="C2431" t="s">
        <v>50604</v>
      </c>
      <c r="D2431" t="s">
        <v>50605</v>
      </c>
      <c r="E2431" t="s">
        <v>50606</v>
      </c>
      <c r="F2431" t="s">
        <v>50607</v>
      </c>
      <c r="G2431" t="s">
        <v>50608</v>
      </c>
      <c r="H2431" t="s">
        <v>50609</v>
      </c>
      <c r="I2431" t="s">
        <v>50610</v>
      </c>
      <c r="J2431" t="s">
        <v>50611</v>
      </c>
      <c r="K2431" t="s">
        <v>50612</v>
      </c>
      <c r="L2431" t="s">
        <v>50613</v>
      </c>
      <c r="M2431" t="s">
        <v>50614</v>
      </c>
      <c r="N2431" t="s">
        <v>50615</v>
      </c>
      <c r="O2431">
        <f>-1000.34954832121 -23.0509422544851 -487.745755489639</f>
        <v>-1511.1462460653343</v>
      </c>
      <c r="P2431">
        <f>-1000.26234223811 -43.9416973497835 -194.224446693508</f>
        <v>-1238.4284862814015</v>
      </c>
      <c r="Q2431">
        <f>-807.505013094842 -18.0975305558013 -336.44823246759</f>
        <v>-1162.0507761182332</v>
      </c>
      <c r="R2431" t="s">
        <v>50616</v>
      </c>
      <c r="S2431" t="s">
        <v>50617</v>
      </c>
      <c r="T2431" t="s">
        <v>50618</v>
      </c>
      <c r="U2431" t="s">
        <v>50619</v>
      </c>
      <c r="V2431" t="s">
        <v>50620</v>
      </c>
      <c r="W2431" t="s">
        <v>50621</v>
      </c>
      <c r="X2431" t="s">
        <v>50622</v>
      </c>
      <c r="Y2431" t="s">
        <v>50623</v>
      </c>
    </row>
    <row r="2432" spans="1:25" x14ac:dyDescent="0.3">
      <c r="A2432">
        <v>121550</v>
      </c>
      <c r="B2432" t="s">
        <v>50624</v>
      </c>
      <c r="C2432" t="s">
        <v>50625</v>
      </c>
      <c r="D2432" t="s">
        <v>50626</v>
      </c>
      <c r="E2432" t="s">
        <v>50627</v>
      </c>
      <c r="F2432" t="s">
        <v>50628</v>
      </c>
      <c r="G2432" t="s">
        <v>50629</v>
      </c>
      <c r="H2432" t="s">
        <v>50630</v>
      </c>
      <c r="I2432" t="s">
        <v>50631</v>
      </c>
      <c r="J2432" t="s">
        <v>50632</v>
      </c>
      <c r="K2432" t="s">
        <v>50633</v>
      </c>
      <c r="L2432" t="s">
        <v>50634</v>
      </c>
      <c r="M2432" t="s">
        <v>50635</v>
      </c>
      <c r="N2432" t="s">
        <v>50636</v>
      </c>
      <c r="O2432">
        <f>-1000.58699682419 -23.1523847765789 -487.753920094863</f>
        <v>-1511.493301695632</v>
      </c>
      <c r="P2432">
        <f>-1000.44625587849 -43.9394988912318 -194.225160471805</f>
        <v>-1238.610915241527</v>
      </c>
      <c r="Q2432">
        <f>-807.744297071431 -18.0804685841435 -336.521416102617</f>
        <v>-1162.3461817581915</v>
      </c>
      <c r="R2432" t="s">
        <v>50637</v>
      </c>
      <c r="S2432" t="s">
        <v>50638</v>
      </c>
      <c r="T2432" t="s">
        <v>50639</v>
      </c>
      <c r="U2432" t="s">
        <v>50640</v>
      </c>
      <c r="V2432" t="s">
        <v>50641</v>
      </c>
      <c r="W2432" t="s">
        <v>50642</v>
      </c>
      <c r="X2432" t="s">
        <v>50643</v>
      </c>
      <c r="Y2432" t="s">
        <v>50644</v>
      </c>
    </row>
    <row r="2433" spans="1:25" x14ac:dyDescent="0.3">
      <c r="A2433">
        <v>121600</v>
      </c>
      <c r="B2433" t="s">
        <v>50645</v>
      </c>
      <c r="C2433" t="s">
        <v>50646</v>
      </c>
      <c r="D2433" t="s">
        <v>50647</v>
      </c>
      <c r="E2433" t="s">
        <v>50648</v>
      </c>
      <c r="F2433" t="s">
        <v>50649</v>
      </c>
      <c r="G2433" t="s">
        <v>50650</v>
      </c>
      <c r="H2433" t="s">
        <v>50651</v>
      </c>
      <c r="I2433" t="s">
        <v>50652</v>
      </c>
      <c r="J2433" t="s">
        <v>50653</v>
      </c>
      <c r="K2433" t="s">
        <v>50654</v>
      </c>
      <c r="L2433" t="s">
        <v>50655</v>
      </c>
      <c r="M2433" t="s">
        <v>50656</v>
      </c>
      <c r="N2433" t="s">
        <v>50657</v>
      </c>
      <c r="O2433">
        <f>-1000.92092902412 -23.5342080031633 -487.702873964976</f>
        <v>-1512.1580109922593</v>
      </c>
      <c r="P2433">
        <f>-1000.60253570722 -44.153502673483 -194.162548370907</f>
        <v>-1238.9185867516101</v>
      </c>
      <c r="Q2433">
        <f>-807.873964633623 -18.5301875132641 -336.465220240543</f>
        <v>-1162.8693723874301</v>
      </c>
      <c r="R2433" t="s">
        <v>50658</v>
      </c>
      <c r="S2433" t="s">
        <v>50659</v>
      </c>
      <c r="T2433" t="s">
        <v>50660</v>
      </c>
      <c r="U2433" t="s">
        <v>50661</v>
      </c>
      <c r="V2433" t="s">
        <v>50662</v>
      </c>
      <c r="W2433" t="s">
        <v>50663</v>
      </c>
      <c r="X2433" t="s">
        <v>50664</v>
      </c>
      <c r="Y2433" t="s">
        <v>50665</v>
      </c>
    </row>
    <row r="2434" spans="1:25" x14ac:dyDescent="0.3">
      <c r="A2434">
        <v>121650</v>
      </c>
      <c r="B2434" t="s">
        <v>50666</v>
      </c>
      <c r="C2434" t="s">
        <v>50667</v>
      </c>
      <c r="D2434" t="s">
        <v>50668</v>
      </c>
      <c r="E2434" t="s">
        <v>50669</v>
      </c>
      <c r="F2434" t="s">
        <v>50670</v>
      </c>
      <c r="G2434" t="s">
        <v>50671</v>
      </c>
      <c r="H2434" t="s">
        <v>50672</v>
      </c>
      <c r="I2434" t="s">
        <v>50673</v>
      </c>
      <c r="J2434" t="s">
        <v>50674</v>
      </c>
      <c r="K2434" t="s">
        <v>50675</v>
      </c>
      <c r="L2434" t="s">
        <v>50676</v>
      </c>
      <c r="M2434" t="s">
        <v>50677</v>
      </c>
      <c r="N2434" t="s">
        <v>50678</v>
      </c>
      <c r="O2434">
        <f>-1001.07458120984 -23.6901897766643 -487.684533531186</f>
        <v>-1512.4493045176903</v>
      </c>
      <c r="P2434">
        <f>-1000.7412791065 -44.2210812316368 -194.137967779791</f>
        <v>-1239.1003281179278</v>
      </c>
      <c r="Q2434">
        <f>-807.973529889892 -18.8267230467436 -336.42859969217</f>
        <v>-1163.2288526288057</v>
      </c>
      <c r="R2434" t="s">
        <v>50679</v>
      </c>
      <c r="S2434" t="s">
        <v>50680</v>
      </c>
      <c r="T2434" t="s">
        <v>50681</v>
      </c>
      <c r="U2434" t="s">
        <v>50682</v>
      </c>
      <c r="V2434" t="s">
        <v>50683</v>
      </c>
      <c r="W2434" t="s">
        <v>50684</v>
      </c>
      <c r="X2434" t="s">
        <v>50685</v>
      </c>
      <c r="Y2434" t="s">
        <v>50686</v>
      </c>
    </row>
    <row r="2435" spans="1:25" x14ac:dyDescent="0.3">
      <c r="A2435">
        <v>121700</v>
      </c>
      <c r="B2435" t="s">
        <v>50687</v>
      </c>
      <c r="C2435" t="s">
        <v>50688</v>
      </c>
      <c r="D2435" t="s">
        <v>50689</v>
      </c>
      <c r="E2435" t="s">
        <v>50690</v>
      </c>
      <c r="F2435" t="s">
        <v>50691</v>
      </c>
      <c r="G2435" t="s">
        <v>50692</v>
      </c>
      <c r="H2435" t="s">
        <v>50693</v>
      </c>
      <c r="I2435" t="s">
        <v>50694</v>
      </c>
      <c r="J2435" t="s">
        <v>50695</v>
      </c>
      <c r="K2435" t="s">
        <v>50696</v>
      </c>
      <c r="L2435" t="s">
        <v>50697</v>
      </c>
      <c r="M2435" t="s">
        <v>50698</v>
      </c>
      <c r="N2435" t="s">
        <v>50699</v>
      </c>
      <c r="O2435">
        <f>-1001.3306864958 -24.0956107537127 -487.583459438481</f>
        <v>-1513.0097566879938</v>
      </c>
      <c r="P2435">
        <f>-1000.90178016512 -44.4713350603997 -194.02606167735</f>
        <v>-1239.3991769028698</v>
      </c>
      <c r="Q2435">
        <f>-808.126647576865 -19.6059759355576 -336.400194122001</f>
        <v>-1164.1328176344236</v>
      </c>
      <c r="R2435" t="s">
        <v>50700</v>
      </c>
      <c r="S2435" t="s">
        <v>50701</v>
      </c>
      <c r="T2435" t="s">
        <v>50702</v>
      </c>
      <c r="U2435" t="s">
        <v>50703</v>
      </c>
      <c r="V2435" t="s">
        <v>50704</v>
      </c>
      <c r="W2435" t="s">
        <v>50705</v>
      </c>
      <c r="X2435" t="s">
        <v>50706</v>
      </c>
      <c r="Y2435" t="s">
        <v>50707</v>
      </c>
    </row>
    <row r="2436" spans="1:25" x14ac:dyDescent="0.3">
      <c r="A2436">
        <v>121750</v>
      </c>
      <c r="B2436" t="s">
        <v>50708</v>
      </c>
      <c r="C2436" t="s">
        <v>50709</v>
      </c>
      <c r="D2436" t="s">
        <v>50710</v>
      </c>
      <c r="E2436" t="s">
        <v>50711</v>
      </c>
      <c r="F2436" t="s">
        <v>50712</v>
      </c>
      <c r="G2436" t="s">
        <v>50713</v>
      </c>
      <c r="H2436" t="s">
        <v>50714</v>
      </c>
      <c r="I2436" t="s">
        <v>50715</v>
      </c>
      <c r="J2436" t="s">
        <v>50716</v>
      </c>
      <c r="K2436" t="s">
        <v>50717</v>
      </c>
      <c r="L2436" t="s">
        <v>50718</v>
      </c>
      <c r="M2436" t="s">
        <v>50719</v>
      </c>
      <c r="N2436" t="s">
        <v>50720</v>
      </c>
      <c r="O2436">
        <f>-1001.5826442288 -24.3313666254658 -487.48251801135</f>
        <v>-1513.3965288656159</v>
      </c>
      <c r="P2436">
        <f>-1000.98890388316 -44.5613710557361 -193.91537704158</f>
        <v>-1239.4656519804762</v>
      </c>
      <c r="Q2436">
        <f>-808.221216616305 -19.9336640702873 -336.34087286039</f>
        <v>-1164.4957535469823</v>
      </c>
      <c r="R2436" t="s">
        <v>50721</v>
      </c>
      <c r="S2436" t="s">
        <v>50722</v>
      </c>
      <c r="T2436" t="s">
        <v>50723</v>
      </c>
      <c r="U2436" t="s">
        <v>50724</v>
      </c>
      <c r="V2436" t="s">
        <v>50725</v>
      </c>
      <c r="W2436" t="s">
        <v>50726</v>
      </c>
      <c r="X2436" t="s">
        <v>50727</v>
      </c>
      <c r="Y2436" t="s">
        <v>50728</v>
      </c>
    </row>
    <row r="2437" spans="1:25" x14ac:dyDescent="0.3">
      <c r="A2437">
        <v>121800</v>
      </c>
      <c r="B2437" t="s">
        <v>50729</v>
      </c>
      <c r="C2437" t="s">
        <v>50730</v>
      </c>
      <c r="D2437" t="s">
        <v>50731</v>
      </c>
      <c r="E2437" t="s">
        <v>50732</v>
      </c>
      <c r="F2437" t="s">
        <v>50733</v>
      </c>
      <c r="G2437" t="s">
        <v>50734</v>
      </c>
      <c r="H2437" t="s">
        <v>50735</v>
      </c>
      <c r="I2437" t="s">
        <v>50736</v>
      </c>
      <c r="J2437" t="s">
        <v>50737</v>
      </c>
      <c r="K2437" t="s">
        <v>50738</v>
      </c>
      <c r="L2437" t="s">
        <v>50739</v>
      </c>
      <c r="M2437" t="s">
        <v>50740</v>
      </c>
      <c r="N2437" t="s">
        <v>50741</v>
      </c>
      <c r="O2437">
        <f>-1001.93669749458 -24.8943014681158 -487.238188483076</f>
        <v>-1514.0691874457716</v>
      </c>
      <c r="P2437">
        <f>-1000.95857699781 -44.9172324834472 -193.658011087372</f>
        <v>-1239.5338205686292</v>
      </c>
      <c r="Q2437">
        <f>-808.199290814317 -20.547693971168 -336.139101099919</f>
        <v>-1164.8860858854041</v>
      </c>
      <c r="R2437" t="s">
        <v>50742</v>
      </c>
      <c r="S2437" t="s">
        <v>50743</v>
      </c>
      <c r="T2437" t="s">
        <v>50744</v>
      </c>
      <c r="U2437" t="s">
        <v>50745</v>
      </c>
      <c r="V2437" t="s">
        <v>50746</v>
      </c>
      <c r="W2437" t="s">
        <v>50747</v>
      </c>
      <c r="X2437" t="s">
        <v>50748</v>
      </c>
      <c r="Y2437" t="s">
        <v>50749</v>
      </c>
    </row>
    <row r="2438" spans="1:25" x14ac:dyDescent="0.3">
      <c r="A2438">
        <v>121850</v>
      </c>
      <c r="B2438" t="s">
        <v>50750</v>
      </c>
      <c r="C2438" t="s">
        <v>50751</v>
      </c>
      <c r="D2438" t="s">
        <v>50752</v>
      </c>
      <c r="E2438" t="s">
        <v>50753</v>
      </c>
      <c r="F2438" t="s">
        <v>50754</v>
      </c>
      <c r="G2438" t="s">
        <v>50755</v>
      </c>
      <c r="H2438" t="s">
        <v>50756</v>
      </c>
      <c r="I2438" t="s">
        <v>50757</v>
      </c>
      <c r="J2438" t="s">
        <v>50758</v>
      </c>
      <c r="K2438" t="s">
        <v>50759</v>
      </c>
      <c r="L2438" t="s">
        <v>50760</v>
      </c>
      <c r="M2438" t="s">
        <v>50761</v>
      </c>
      <c r="N2438" t="s">
        <v>50762</v>
      </c>
      <c r="O2438">
        <f>-1002.06853039522 -25.2254225391371 -487.121522353523</f>
        <v>-1514.4154752878801</v>
      </c>
      <c r="P2438">
        <f>-1000.94145977914 -45.1307020521449 -193.533904769251</f>
        <v>-1239.606066600536</v>
      </c>
      <c r="Q2438">
        <f>-808.175524212783 -20.8663736781177 -336.023899382943</f>
        <v>-1165.0657972738436</v>
      </c>
      <c r="R2438" t="s">
        <v>50763</v>
      </c>
      <c r="S2438" t="s">
        <v>50764</v>
      </c>
      <c r="T2438" t="s">
        <v>50765</v>
      </c>
      <c r="U2438" t="s">
        <v>50766</v>
      </c>
      <c r="V2438" t="s">
        <v>50767</v>
      </c>
      <c r="W2438" t="s">
        <v>50768</v>
      </c>
      <c r="X2438" t="s">
        <v>50769</v>
      </c>
      <c r="Y2438" t="s">
        <v>50770</v>
      </c>
    </row>
    <row r="2439" spans="1:25" x14ac:dyDescent="0.3">
      <c r="A2439">
        <v>121900</v>
      </c>
      <c r="B2439" t="s">
        <v>50771</v>
      </c>
      <c r="C2439" t="s">
        <v>50772</v>
      </c>
      <c r="D2439" t="s">
        <v>50773</v>
      </c>
      <c r="E2439" t="s">
        <v>50774</v>
      </c>
      <c r="F2439" t="s">
        <v>50775</v>
      </c>
      <c r="G2439" t="s">
        <v>50776</v>
      </c>
      <c r="H2439" t="s">
        <v>50777</v>
      </c>
      <c r="I2439" t="s">
        <v>50778</v>
      </c>
      <c r="J2439" t="s">
        <v>50779</v>
      </c>
      <c r="K2439" t="s">
        <v>50780</v>
      </c>
      <c r="L2439" t="s">
        <v>50781</v>
      </c>
      <c r="M2439" t="s">
        <v>50782</v>
      </c>
      <c r="N2439" t="s">
        <v>50783</v>
      </c>
      <c r="O2439">
        <f>-1002.46377875794 -25.993088625813 -486.897268737067</f>
        <v>-1515.3541361208199</v>
      </c>
      <c r="P2439">
        <f>-1000.97169082495 -45.6884103039815 -193.296986005792</f>
        <v>-1239.9570871347235</v>
      </c>
      <c r="Q2439">
        <f>-808.29772512085 -21.5295201598833 -335.929154368548</f>
        <v>-1165.7563996492813</v>
      </c>
      <c r="R2439" t="s">
        <v>50784</v>
      </c>
      <c r="S2439" t="s">
        <v>50785</v>
      </c>
      <c r="T2439" t="s">
        <v>50786</v>
      </c>
      <c r="U2439" t="s">
        <v>50787</v>
      </c>
      <c r="V2439" t="s">
        <v>50788</v>
      </c>
      <c r="W2439" t="s">
        <v>50789</v>
      </c>
      <c r="X2439" t="s">
        <v>50790</v>
      </c>
      <c r="Y2439" t="s">
        <v>50791</v>
      </c>
    </row>
    <row r="2440" spans="1:25" x14ac:dyDescent="0.3">
      <c r="A2440">
        <v>121950</v>
      </c>
      <c r="B2440" t="s">
        <v>50792</v>
      </c>
      <c r="C2440" t="s">
        <v>50793</v>
      </c>
      <c r="D2440" t="s">
        <v>50794</v>
      </c>
      <c r="E2440" t="s">
        <v>50795</v>
      </c>
      <c r="F2440" t="s">
        <v>50796</v>
      </c>
      <c r="G2440" t="s">
        <v>50797</v>
      </c>
      <c r="H2440" t="s">
        <v>50798</v>
      </c>
      <c r="I2440" t="s">
        <v>50799</v>
      </c>
      <c r="J2440" t="s">
        <v>50800</v>
      </c>
      <c r="K2440" t="s">
        <v>50801</v>
      </c>
      <c r="L2440" t="s">
        <v>50802</v>
      </c>
      <c r="M2440" t="s">
        <v>50803</v>
      </c>
      <c r="N2440" t="s">
        <v>50804</v>
      </c>
      <c r="O2440">
        <f>-1002.66523093086 -26.3507753000126 -486.809410695246</f>
        <v>-1515.8254169261186</v>
      </c>
      <c r="P2440">
        <f>-1000.98675643496 -45.9270073454757 -193.20229791845</f>
        <v>-1240.1160616988857</v>
      </c>
      <c r="Q2440">
        <f>-808.352332581342 -21.7728350547986 -335.888561845117</f>
        <v>-1166.0137294812575</v>
      </c>
      <c r="R2440" t="s">
        <v>50805</v>
      </c>
      <c r="S2440" t="s">
        <v>50806</v>
      </c>
      <c r="T2440" t="s">
        <v>50807</v>
      </c>
      <c r="U2440" t="s">
        <v>50808</v>
      </c>
      <c r="V2440" t="s">
        <v>50809</v>
      </c>
      <c r="W2440" t="s">
        <v>50810</v>
      </c>
      <c r="X2440" t="s">
        <v>50811</v>
      </c>
      <c r="Y2440" t="s">
        <v>50812</v>
      </c>
    </row>
    <row r="2441" spans="1:25" x14ac:dyDescent="0.3">
      <c r="A2441">
        <v>122000</v>
      </c>
      <c r="B2441" t="s">
        <v>50813</v>
      </c>
      <c r="C2441" t="s">
        <v>50814</v>
      </c>
      <c r="D2441" t="s">
        <v>50815</v>
      </c>
      <c r="E2441" t="s">
        <v>50816</v>
      </c>
      <c r="F2441" t="s">
        <v>50817</v>
      </c>
      <c r="G2441" t="s">
        <v>50818</v>
      </c>
      <c r="H2441" t="s">
        <v>50819</v>
      </c>
      <c r="I2441" t="s">
        <v>50820</v>
      </c>
      <c r="J2441" t="s">
        <v>50821</v>
      </c>
      <c r="K2441" t="s">
        <v>50822</v>
      </c>
      <c r="L2441" t="s">
        <v>50823</v>
      </c>
      <c r="M2441" t="s">
        <v>50824</v>
      </c>
      <c r="N2441" t="s">
        <v>50825</v>
      </c>
      <c r="O2441">
        <f>-1002.97280456817 -26.9127396445419 -486.708947841307</f>
        <v>-1516.5944920540189</v>
      </c>
      <c r="P2441">
        <f>-1000.86578151323 -46.2934588512883 -193.09164812807</f>
        <v>-1240.2508884925883</v>
      </c>
      <c r="Q2441">
        <f>-808.359394876425 -22.152617089318 -335.952841174432</f>
        <v>-1166.4648531401749</v>
      </c>
      <c r="R2441" t="s">
        <v>50826</v>
      </c>
      <c r="S2441" t="s">
        <v>50827</v>
      </c>
      <c r="T2441" t="s">
        <v>50828</v>
      </c>
      <c r="U2441" t="s">
        <v>50829</v>
      </c>
      <c r="V2441" t="s">
        <v>50830</v>
      </c>
      <c r="W2441" t="s">
        <v>50831</v>
      </c>
      <c r="X2441" t="s">
        <v>50832</v>
      </c>
      <c r="Y2441" t="s">
        <v>50833</v>
      </c>
    </row>
    <row r="2442" spans="1:25" x14ac:dyDescent="0.3">
      <c r="A2442">
        <v>122050</v>
      </c>
      <c r="B2442" t="s">
        <v>50834</v>
      </c>
      <c r="C2442" t="s">
        <v>50835</v>
      </c>
      <c r="D2442" t="s">
        <v>50836</v>
      </c>
      <c r="E2442" t="s">
        <v>50837</v>
      </c>
      <c r="F2442" t="s">
        <v>50838</v>
      </c>
      <c r="G2442" t="s">
        <v>50839</v>
      </c>
      <c r="H2442" t="s">
        <v>50840</v>
      </c>
      <c r="I2442" t="s">
        <v>50841</v>
      </c>
      <c r="J2442" t="s">
        <v>50842</v>
      </c>
      <c r="K2442" t="s">
        <v>50843</v>
      </c>
      <c r="L2442" t="s">
        <v>50844</v>
      </c>
      <c r="M2442" t="s">
        <v>50845</v>
      </c>
      <c r="N2442" t="s">
        <v>50846</v>
      </c>
      <c r="O2442">
        <f>-1003.19151825093 -27.1049266221798 -486.670466967727</f>
        <v>-1516.9669118408367</v>
      </c>
      <c r="P2442">
        <f>-1000.90287633894 -46.4228916476061 -193.050415674283</f>
        <v>-1240.3761836608292</v>
      </c>
      <c r="Q2442">
        <f>-808.433050305414 -22.3506918241201 -335.972434066544</f>
        <v>-1166.7561761960781</v>
      </c>
      <c r="R2442" t="s">
        <v>50847</v>
      </c>
      <c r="S2442" t="s">
        <v>50848</v>
      </c>
      <c r="T2442" t="s">
        <v>50849</v>
      </c>
      <c r="U2442" t="s">
        <v>50850</v>
      </c>
      <c r="V2442" t="s">
        <v>50851</v>
      </c>
      <c r="W2442" t="s">
        <v>50852</v>
      </c>
      <c r="X2442" t="s">
        <v>50853</v>
      </c>
      <c r="Y2442" t="s">
        <v>50854</v>
      </c>
    </row>
    <row r="2443" spans="1:25" x14ac:dyDescent="0.3">
      <c r="A2443">
        <v>122100</v>
      </c>
      <c r="B2443" t="s">
        <v>50855</v>
      </c>
      <c r="C2443" t="s">
        <v>50856</v>
      </c>
      <c r="D2443" t="s">
        <v>50857</v>
      </c>
      <c r="E2443" t="s">
        <v>50858</v>
      </c>
      <c r="F2443" t="s">
        <v>50859</v>
      </c>
      <c r="G2443" t="s">
        <v>50860</v>
      </c>
      <c r="H2443" t="s">
        <v>50861</v>
      </c>
      <c r="I2443" t="s">
        <v>50862</v>
      </c>
      <c r="J2443" t="s">
        <v>50863</v>
      </c>
      <c r="K2443" t="s">
        <v>50864</v>
      </c>
      <c r="L2443" t="s">
        <v>50865</v>
      </c>
      <c r="M2443" t="s">
        <v>50866</v>
      </c>
      <c r="N2443" t="s">
        <v>50867</v>
      </c>
      <c r="O2443">
        <f>-1003.73732033156 -27.5724419748985 -486.583778877723</f>
        <v>-1517.8935411841815</v>
      </c>
      <c r="P2443">
        <f>-1001.08801452915 -46.809397826436 -192.961324505363</f>
        <v>-1240.8587368609487</v>
      </c>
      <c r="Q2443">
        <f>-808.686712833057 -22.806960449886 -335.987620120408</f>
        <v>-1167.4812934033509</v>
      </c>
      <c r="R2443" t="s">
        <v>50868</v>
      </c>
      <c r="S2443" t="s">
        <v>50869</v>
      </c>
      <c r="T2443" t="s">
        <v>50870</v>
      </c>
      <c r="U2443" t="s">
        <v>50871</v>
      </c>
      <c r="V2443" t="s">
        <v>50872</v>
      </c>
      <c r="W2443" t="s">
        <v>50873</v>
      </c>
      <c r="X2443" t="s">
        <v>50874</v>
      </c>
      <c r="Y2443" t="s">
        <v>50875</v>
      </c>
    </row>
    <row r="2444" spans="1:25" x14ac:dyDescent="0.3">
      <c r="A2444">
        <v>122150</v>
      </c>
      <c r="B2444" t="s">
        <v>50876</v>
      </c>
      <c r="C2444" t="s">
        <v>50877</v>
      </c>
      <c r="D2444" t="s">
        <v>50878</v>
      </c>
      <c r="E2444" t="s">
        <v>50879</v>
      </c>
      <c r="F2444" t="s">
        <v>50880</v>
      </c>
      <c r="G2444" t="s">
        <v>50881</v>
      </c>
      <c r="H2444" t="s">
        <v>50882</v>
      </c>
      <c r="I2444" t="s">
        <v>50883</v>
      </c>
      <c r="J2444" t="s">
        <v>50884</v>
      </c>
      <c r="K2444" t="s">
        <v>50885</v>
      </c>
      <c r="L2444" t="s">
        <v>50886</v>
      </c>
      <c r="M2444" t="s">
        <v>50887</v>
      </c>
      <c r="N2444" t="s">
        <v>50888</v>
      </c>
      <c r="O2444">
        <f>-1003.9960258133 -27.7410585180128 -486.541421468917</f>
        <v>-1518.2785058002298</v>
      </c>
      <c r="P2444">
        <f>-1001.23289198491 -46.944683002303 -192.91777134509</f>
        <v>-1241.0953463323028</v>
      </c>
      <c r="Q2444">
        <f>-808.842520487839 -23.008893426113 -335.970159678746</f>
        <v>-1167.8215735926979</v>
      </c>
      <c r="R2444" t="s">
        <v>50889</v>
      </c>
      <c r="S2444" t="s">
        <v>50890</v>
      </c>
      <c r="T2444" t="s">
        <v>50891</v>
      </c>
      <c r="U2444" t="s">
        <v>50892</v>
      </c>
      <c r="V2444" t="s">
        <v>50893</v>
      </c>
      <c r="W2444" t="s">
        <v>50894</v>
      </c>
      <c r="X2444" t="s">
        <v>50895</v>
      </c>
      <c r="Y2444" t="s">
        <v>50896</v>
      </c>
    </row>
    <row r="2445" spans="1:25" x14ac:dyDescent="0.3">
      <c r="A2445">
        <v>122200</v>
      </c>
      <c r="B2445" t="s">
        <v>50897</v>
      </c>
      <c r="C2445" t="s">
        <v>50898</v>
      </c>
      <c r="D2445" t="s">
        <v>50899</v>
      </c>
      <c r="E2445" t="s">
        <v>50900</v>
      </c>
      <c r="F2445" t="s">
        <v>50901</v>
      </c>
      <c r="G2445" t="s">
        <v>50902</v>
      </c>
      <c r="H2445" t="s">
        <v>50903</v>
      </c>
      <c r="I2445" t="s">
        <v>50904</v>
      </c>
      <c r="J2445" t="s">
        <v>50905</v>
      </c>
      <c r="K2445" t="s">
        <v>50906</v>
      </c>
      <c r="L2445" t="s">
        <v>50907</v>
      </c>
      <c r="M2445" t="s">
        <v>50908</v>
      </c>
      <c r="N2445" t="s">
        <v>50909</v>
      </c>
      <c r="O2445">
        <f>-1004.42626982328 -28.0882278207814 -486.508626741511</f>
        <v>-1519.0231243855724</v>
      </c>
      <c r="P2445">
        <f>-1001.55542091702 -47.1955891351126 -192.879727597695</f>
        <v>-1241.6307376498276</v>
      </c>
      <c r="Q2445">
        <f>-809.210326994516 -23.2094134530626 -335.984301754991</f>
        <v>-1168.4040422025696</v>
      </c>
      <c r="R2445" t="s">
        <v>50910</v>
      </c>
      <c r="S2445" t="s">
        <v>50911</v>
      </c>
      <c r="T2445" t="s">
        <v>50912</v>
      </c>
      <c r="U2445" t="s">
        <v>50913</v>
      </c>
      <c r="V2445" t="s">
        <v>50914</v>
      </c>
      <c r="W2445" t="s">
        <v>50915</v>
      </c>
      <c r="X2445" t="s">
        <v>50916</v>
      </c>
      <c r="Y2445" t="s">
        <v>50917</v>
      </c>
    </row>
    <row r="2446" spans="1:25" x14ac:dyDescent="0.3">
      <c r="A2446">
        <v>122250</v>
      </c>
      <c r="B2446" t="s">
        <v>50918</v>
      </c>
      <c r="C2446" t="s">
        <v>50919</v>
      </c>
      <c r="D2446" t="s">
        <v>50920</v>
      </c>
      <c r="E2446" t="s">
        <v>50921</v>
      </c>
      <c r="F2446" t="s">
        <v>50922</v>
      </c>
      <c r="G2446" t="s">
        <v>50923</v>
      </c>
      <c r="H2446" t="s">
        <v>50924</v>
      </c>
      <c r="I2446" t="s">
        <v>50925</v>
      </c>
      <c r="J2446" t="s">
        <v>50926</v>
      </c>
      <c r="K2446" t="s">
        <v>50927</v>
      </c>
      <c r="L2446" t="s">
        <v>50928</v>
      </c>
      <c r="M2446" t="s">
        <v>50929</v>
      </c>
      <c r="N2446" t="s">
        <v>50930</v>
      </c>
      <c r="O2446">
        <f>-1004.71518988584 -28.2087926648364 -486.478360361878</f>
        <v>-1519.4023429125543</v>
      </c>
      <c r="P2446">
        <f>-1001.76120206728 -47.2346662075477 -192.845069825635</f>
        <v>-1241.8409381004626</v>
      </c>
      <c r="Q2446">
        <f>-809.417289788655 -23.31535458798 -335.962143408652</f>
        <v>-1168.694787785287</v>
      </c>
      <c r="R2446" t="s">
        <v>50931</v>
      </c>
      <c r="S2446" t="s">
        <v>50932</v>
      </c>
      <c r="T2446" t="s">
        <v>50933</v>
      </c>
      <c r="U2446" t="s">
        <v>50934</v>
      </c>
      <c r="V2446" t="s">
        <v>50935</v>
      </c>
      <c r="W2446" t="s">
        <v>50936</v>
      </c>
      <c r="X2446" t="s">
        <v>50937</v>
      </c>
      <c r="Y2446" t="s">
        <v>50938</v>
      </c>
    </row>
    <row r="2447" spans="1:25" x14ac:dyDescent="0.3">
      <c r="A2447">
        <v>122300</v>
      </c>
      <c r="B2447" t="s">
        <v>50939</v>
      </c>
      <c r="C2447" t="s">
        <v>50940</v>
      </c>
      <c r="D2447" t="s">
        <v>50941</v>
      </c>
      <c r="E2447" t="s">
        <v>50942</v>
      </c>
      <c r="F2447" t="s">
        <v>50943</v>
      </c>
      <c r="G2447" t="s">
        <v>50944</v>
      </c>
      <c r="H2447" t="s">
        <v>50945</v>
      </c>
      <c r="I2447" t="s">
        <v>50946</v>
      </c>
      <c r="J2447" t="s">
        <v>50947</v>
      </c>
      <c r="K2447" t="s">
        <v>50948</v>
      </c>
      <c r="L2447" t="s">
        <v>50949</v>
      </c>
      <c r="M2447" t="s">
        <v>50950</v>
      </c>
      <c r="N2447" t="s">
        <v>50951</v>
      </c>
      <c r="O2447">
        <f>-1005.26784635675 -28.3874343734547 -486.393597558542</f>
        <v>-1520.0488782887469</v>
      </c>
      <c r="P2447">
        <f>-1002.10231590789 -47.2829785294891 -192.754141654615</f>
        <v>-1242.1394360919942</v>
      </c>
      <c r="Q2447">
        <f>-809.81398341734 -23.4185576293057 -335.955170486189</f>
        <v>-1169.1877115328348</v>
      </c>
      <c r="R2447" t="s">
        <v>50952</v>
      </c>
      <c r="S2447" t="s">
        <v>50953</v>
      </c>
      <c r="T2447" t="s">
        <v>50954</v>
      </c>
      <c r="U2447" t="s">
        <v>50955</v>
      </c>
      <c r="V2447" t="s">
        <v>50956</v>
      </c>
      <c r="W2447" t="s">
        <v>50957</v>
      </c>
      <c r="X2447" t="s">
        <v>50958</v>
      </c>
      <c r="Y2447" t="s">
        <v>50959</v>
      </c>
    </row>
    <row r="2448" spans="1:25" x14ac:dyDescent="0.3">
      <c r="A2448">
        <v>122350</v>
      </c>
      <c r="B2448" t="s">
        <v>50960</v>
      </c>
      <c r="C2448" t="s">
        <v>50961</v>
      </c>
      <c r="D2448" t="s">
        <v>50962</v>
      </c>
      <c r="E2448" t="s">
        <v>50963</v>
      </c>
      <c r="F2448" t="s">
        <v>50964</v>
      </c>
      <c r="G2448" t="s">
        <v>50965</v>
      </c>
      <c r="H2448" t="s">
        <v>50966</v>
      </c>
      <c r="I2448" t="s">
        <v>50967</v>
      </c>
      <c r="J2448" t="s">
        <v>50968</v>
      </c>
      <c r="K2448" t="s">
        <v>50969</v>
      </c>
      <c r="L2448" t="s">
        <v>50970</v>
      </c>
      <c r="M2448" t="s">
        <v>50971</v>
      </c>
      <c r="N2448" t="s">
        <v>50972</v>
      </c>
      <c r="O2448">
        <f>-1005.59295603806 -28.3957080692458 -486.363586086846</f>
        <v>-1520.3522501941518</v>
      </c>
      <c r="P2448">
        <f>-1002.34806586725 -47.2300402471897 -192.720944476791</f>
        <v>-1242.2990505912308</v>
      </c>
      <c r="Q2448">
        <f>-810.079098417779 -23.4202802607197 -335.957349687106</f>
        <v>-1169.4567283656047</v>
      </c>
      <c r="R2448" t="s">
        <v>50973</v>
      </c>
      <c r="S2448" t="s">
        <v>50974</v>
      </c>
      <c r="T2448" t="s">
        <v>50975</v>
      </c>
      <c r="U2448" t="s">
        <v>50976</v>
      </c>
      <c r="V2448" t="s">
        <v>50977</v>
      </c>
      <c r="W2448" t="s">
        <v>50978</v>
      </c>
      <c r="X2448" t="s">
        <v>50979</v>
      </c>
      <c r="Y2448" t="s">
        <v>50980</v>
      </c>
    </row>
    <row r="2449" spans="1:25" x14ac:dyDescent="0.3">
      <c r="A2449">
        <v>122400</v>
      </c>
      <c r="B2449" t="s">
        <v>50981</v>
      </c>
      <c r="C2449" t="s">
        <v>50982</v>
      </c>
      <c r="D2449" t="s">
        <v>50983</v>
      </c>
      <c r="E2449" t="s">
        <v>50984</v>
      </c>
      <c r="F2449" t="s">
        <v>50985</v>
      </c>
      <c r="G2449" t="s">
        <v>50986</v>
      </c>
      <c r="H2449" t="s">
        <v>50987</v>
      </c>
      <c r="I2449" t="s">
        <v>50988</v>
      </c>
      <c r="J2449" t="s">
        <v>50989</v>
      </c>
      <c r="K2449" t="s">
        <v>50990</v>
      </c>
      <c r="L2449" t="s">
        <v>50991</v>
      </c>
      <c r="M2449" t="s">
        <v>50992</v>
      </c>
      <c r="N2449" t="s">
        <v>50993</v>
      </c>
      <c r="O2449">
        <f>-1006.64556343948 -28.3851134938964 -486.267439608364</f>
        <v>-1521.2981165417405</v>
      </c>
      <c r="P2449">
        <f>-1003.11361814513 -47.1909157365965 -192.626483488192</f>
        <v>-1242.9310173699184</v>
      </c>
      <c r="Q2449">
        <f>-810.937887031827 -23.1670398017459 -335.951850817398</f>
        <v>-1170.0567776509708</v>
      </c>
      <c r="R2449" t="s">
        <v>50994</v>
      </c>
      <c r="S2449" t="s">
        <v>50995</v>
      </c>
      <c r="T2449" t="s">
        <v>50996</v>
      </c>
      <c r="U2449" t="s">
        <v>50997</v>
      </c>
      <c r="V2449" t="s">
        <v>50998</v>
      </c>
      <c r="W2449" t="s">
        <v>50999</v>
      </c>
      <c r="X2449" t="s">
        <v>51000</v>
      </c>
      <c r="Y2449" t="s">
        <v>51001</v>
      </c>
    </row>
    <row r="2450" spans="1:25" x14ac:dyDescent="0.3">
      <c r="A2450">
        <v>122450</v>
      </c>
      <c r="B2450" t="s">
        <v>51002</v>
      </c>
      <c r="C2450" t="s">
        <v>51003</v>
      </c>
      <c r="D2450" t="s">
        <v>51004</v>
      </c>
      <c r="E2450" t="s">
        <v>51005</v>
      </c>
      <c r="F2450" t="s">
        <v>51006</v>
      </c>
      <c r="G2450" t="s">
        <v>51007</v>
      </c>
      <c r="H2450" t="s">
        <v>51008</v>
      </c>
      <c r="I2450" t="s">
        <v>51009</v>
      </c>
      <c r="J2450" t="s">
        <v>51010</v>
      </c>
      <c r="K2450" t="s">
        <v>51011</v>
      </c>
      <c r="L2450" t="s">
        <v>51012</v>
      </c>
      <c r="M2450" t="s">
        <v>51013</v>
      </c>
      <c r="N2450" t="s">
        <v>51014</v>
      </c>
      <c r="O2450">
        <f>-1007.27180637234 -28.3674395991907 -486.224240341554</f>
        <v>-1521.8634863130846</v>
      </c>
      <c r="P2450">
        <f>-1003.57431721737 -47.222380490276 -192.588357875832</f>
        <v>-1243.3850555834779</v>
      </c>
      <c r="Q2450">
        <f>-811.446622884066 -23.0937133262228 -335.960911525083</f>
        <v>-1170.5012477353716</v>
      </c>
      <c r="R2450" t="s">
        <v>51015</v>
      </c>
      <c r="S2450" t="s">
        <v>51016</v>
      </c>
      <c r="T2450" t="s">
        <v>51017</v>
      </c>
      <c r="U2450" t="s">
        <v>51018</v>
      </c>
      <c r="V2450" t="s">
        <v>51019</v>
      </c>
      <c r="W2450" t="s">
        <v>51020</v>
      </c>
      <c r="X2450" t="s">
        <v>51021</v>
      </c>
      <c r="Y2450" t="s">
        <v>51022</v>
      </c>
    </row>
    <row r="2451" spans="1:25" x14ac:dyDescent="0.3">
      <c r="A2451">
        <v>122500</v>
      </c>
      <c r="B2451" t="s">
        <v>51023</v>
      </c>
      <c r="C2451" t="s">
        <v>51024</v>
      </c>
      <c r="D2451" t="s">
        <v>51025</v>
      </c>
      <c r="E2451" t="s">
        <v>51026</v>
      </c>
      <c r="F2451" t="s">
        <v>51027</v>
      </c>
      <c r="G2451" t="s">
        <v>51028</v>
      </c>
      <c r="H2451" t="s">
        <v>51029</v>
      </c>
      <c r="I2451" t="s">
        <v>51030</v>
      </c>
      <c r="J2451" t="s">
        <v>51031</v>
      </c>
      <c r="K2451" t="s">
        <v>51032</v>
      </c>
      <c r="L2451" t="s">
        <v>51033</v>
      </c>
      <c r="M2451" t="s">
        <v>51034</v>
      </c>
      <c r="N2451" t="s">
        <v>51035</v>
      </c>
      <c r="O2451">
        <f>-1008.51641399269 -28.466499101401 -486.102457907973</f>
        <v>-1523.085371002064</v>
      </c>
      <c r="P2451">
        <f>-1004.42284303235 -47.50425041211 -192.483527948158</f>
        <v>-1244.4106213926182</v>
      </c>
      <c r="Q2451">
        <f>-812.472467621554 -22.8926358699277 -336.010858640128</f>
        <v>-1171.3759621316096</v>
      </c>
      <c r="R2451" t="s">
        <v>51036</v>
      </c>
      <c r="S2451" t="s">
        <v>51037</v>
      </c>
      <c r="T2451" t="s">
        <v>51038</v>
      </c>
      <c r="U2451" t="s">
        <v>51039</v>
      </c>
      <c r="V2451" t="s">
        <v>51040</v>
      </c>
      <c r="W2451" t="s">
        <v>51041</v>
      </c>
      <c r="X2451" t="s">
        <v>51042</v>
      </c>
      <c r="Y2451" t="s">
        <v>51043</v>
      </c>
    </row>
    <row r="2452" spans="1:25" x14ac:dyDescent="0.3">
      <c r="A2452">
        <v>122550</v>
      </c>
      <c r="B2452" t="s">
        <v>51044</v>
      </c>
      <c r="C2452" t="s">
        <v>51045</v>
      </c>
      <c r="D2452" t="s">
        <v>51046</v>
      </c>
      <c r="E2452" t="s">
        <v>51047</v>
      </c>
      <c r="F2452" t="s">
        <v>51048</v>
      </c>
      <c r="G2452" t="s">
        <v>51049</v>
      </c>
      <c r="H2452" t="s">
        <v>51050</v>
      </c>
      <c r="I2452" t="s">
        <v>51051</v>
      </c>
      <c r="J2452" t="s">
        <v>51052</v>
      </c>
      <c r="K2452" t="s">
        <v>51053</v>
      </c>
      <c r="L2452" t="s">
        <v>51054</v>
      </c>
      <c r="M2452" t="s">
        <v>51055</v>
      </c>
      <c r="N2452" t="s">
        <v>51056</v>
      </c>
      <c r="O2452">
        <f>-1009.29064414034 -28.5811146133124 -486.060143893387</f>
        <v>-1523.9319026470394</v>
      </c>
      <c r="P2452">
        <f>-1005.02352397212 -47.7024982066978 -192.449146321489</f>
        <v>-1245.1751685003069</v>
      </c>
      <c r="Q2452">
        <f>-813.181204715524 -22.7367270800564 -336.059787310684</f>
        <v>-1171.9777191062644</v>
      </c>
      <c r="R2452" t="s">
        <v>51057</v>
      </c>
      <c r="S2452" t="s">
        <v>51058</v>
      </c>
      <c r="T2452" t="s">
        <v>51059</v>
      </c>
      <c r="U2452" t="s">
        <v>51060</v>
      </c>
      <c r="V2452" t="s">
        <v>51061</v>
      </c>
      <c r="W2452" t="s">
        <v>51062</v>
      </c>
      <c r="X2452" t="s">
        <v>51063</v>
      </c>
      <c r="Y2452" t="s">
        <v>51064</v>
      </c>
    </row>
    <row r="2453" spans="1:25" x14ac:dyDescent="0.3">
      <c r="A2453">
        <v>122600</v>
      </c>
      <c r="B2453" t="s">
        <v>51065</v>
      </c>
      <c r="C2453" t="s">
        <v>51066</v>
      </c>
      <c r="D2453" t="s">
        <v>51067</v>
      </c>
      <c r="E2453" t="s">
        <v>51068</v>
      </c>
      <c r="F2453" t="s">
        <v>51069</v>
      </c>
      <c r="G2453" t="s">
        <v>51070</v>
      </c>
      <c r="H2453" t="s">
        <v>51071</v>
      </c>
      <c r="I2453" t="s">
        <v>51072</v>
      </c>
      <c r="J2453" t="s">
        <v>51073</v>
      </c>
      <c r="K2453" t="s">
        <v>51074</v>
      </c>
      <c r="L2453" t="s">
        <v>51075</v>
      </c>
      <c r="M2453" t="s">
        <v>51076</v>
      </c>
      <c r="N2453" t="s">
        <v>51077</v>
      </c>
      <c r="O2453">
        <f>-1010.7365654087 -28.8291031754425 -486.056103773703</f>
        <v>-1525.6217723578454</v>
      </c>
      <c r="P2453">
        <f>-1005.94415943399 -48.2761177658472 -192.474571879378</f>
        <v>-1246.6948490792151</v>
      </c>
      <c r="Q2453">
        <f>-814.347001433305 -22.4823807889852 -336.266446247068</f>
        <v>-1173.0958284693581</v>
      </c>
      <c r="R2453" t="s">
        <v>51078</v>
      </c>
      <c r="S2453" t="s">
        <v>51079</v>
      </c>
      <c r="T2453" t="s">
        <v>51080</v>
      </c>
      <c r="U2453" t="s">
        <v>51081</v>
      </c>
      <c r="V2453" t="s">
        <v>51082</v>
      </c>
      <c r="W2453" t="s">
        <v>51083</v>
      </c>
      <c r="X2453" t="s">
        <v>51084</v>
      </c>
      <c r="Y2453" t="s">
        <v>51085</v>
      </c>
    </row>
    <row r="2454" spans="1:25" x14ac:dyDescent="0.3">
      <c r="A2454">
        <v>122650</v>
      </c>
      <c r="B2454" t="s">
        <v>51086</v>
      </c>
      <c r="C2454" t="s">
        <v>51087</v>
      </c>
      <c r="D2454" t="s">
        <v>51088</v>
      </c>
      <c r="E2454" t="s">
        <v>51089</v>
      </c>
      <c r="F2454" t="s">
        <v>51090</v>
      </c>
      <c r="G2454" t="s">
        <v>51091</v>
      </c>
      <c r="H2454" t="s">
        <v>51092</v>
      </c>
      <c r="I2454" t="s">
        <v>51093</v>
      </c>
      <c r="J2454" t="s">
        <v>51094</v>
      </c>
      <c r="K2454" t="s">
        <v>51095</v>
      </c>
      <c r="L2454" t="s">
        <v>51096</v>
      </c>
      <c r="M2454" t="s">
        <v>51097</v>
      </c>
      <c r="N2454" t="s">
        <v>51098</v>
      </c>
      <c r="O2454">
        <f>-1011.39801304076 -28.9062243453063 -486.065074819496</f>
        <v>-1526.3693122055622</v>
      </c>
      <c r="P2454">
        <f>-1006.32883985759 -48.5434155709161 -192.500911523165</f>
        <v>-1247.3731669516712</v>
      </c>
      <c r="Q2454">
        <f>-814.898269378962 -22.3271638644474 -336.438032121162</f>
        <v>-1173.6634653645715</v>
      </c>
      <c r="R2454" t="s">
        <v>51099</v>
      </c>
      <c r="S2454" t="s">
        <v>51100</v>
      </c>
      <c r="T2454" t="s">
        <v>51101</v>
      </c>
      <c r="U2454" t="s">
        <v>51102</v>
      </c>
      <c r="V2454" t="s">
        <v>51103</v>
      </c>
      <c r="W2454" t="s">
        <v>51104</v>
      </c>
      <c r="X2454" t="s">
        <v>51105</v>
      </c>
      <c r="Y2454" t="s">
        <v>51106</v>
      </c>
    </row>
    <row r="2455" spans="1:25" x14ac:dyDescent="0.3">
      <c r="A2455">
        <v>122700</v>
      </c>
      <c r="B2455" t="s">
        <v>51107</v>
      </c>
      <c r="C2455" t="s">
        <v>51108</v>
      </c>
      <c r="D2455" t="s">
        <v>51109</v>
      </c>
      <c r="E2455" t="s">
        <v>51110</v>
      </c>
      <c r="F2455" t="s">
        <v>51111</v>
      </c>
      <c r="G2455" t="s">
        <v>51112</v>
      </c>
      <c r="H2455" t="s">
        <v>51113</v>
      </c>
      <c r="I2455" t="s">
        <v>51114</v>
      </c>
      <c r="J2455" t="s">
        <v>51115</v>
      </c>
      <c r="K2455" t="s">
        <v>51116</v>
      </c>
      <c r="L2455" t="s">
        <v>51117</v>
      </c>
      <c r="M2455" t="s">
        <v>51118</v>
      </c>
      <c r="N2455" t="s">
        <v>51119</v>
      </c>
      <c r="O2455">
        <f>-1012.61253825825 -29.0347270364196 -486.135815729433</f>
        <v>-1527.7830810241026</v>
      </c>
      <c r="P2455">
        <f>-1007.04512466728 -48.8770138474133 -192.594562931417</f>
        <v>-1248.5167014461101</v>
      </c>
      <c r="Q2455">
        <f>-815.926240020411 -21.9127901393827 -336.807361924692</f>
        <v>-1174.6463920844856</v>
      </c>
      <c r="R2455" t="s">
        <v>51120</v>
      </c>
      <c r="S2455" t="s">
        <v>51121</v>
      </c>
      <c r="T2455" t="s">
        <v>51122</v>
      </c>
      <c r="U2455" t="s">
        <v>51123</v>
      </c>
      <c r="V2455" t="s">
        <v>51124</v>
      </c>
      <c r="W2455" t="s">
        <v>51125</v>
      </c>
      <c r="X2455" t="s">
        <v>51126</v>
      </c>
      <c r="Y2455" t="s">
        <v>51127</v>
      </c>
    </row>
    <row r="2456" spans="1:25" x14ac:dyDescent="0.3">
      <c r="A2456">
        <v>122750</v>
      </c>
      <c r="B2456" t="s">
        <v>51128</v>
      </c>
      <c r="C2456" t="s">
        <v>51129</v>
      </c>
      <c r="D2456" t="s">
        <v>51130</v>
      </c>
      <c r="E2456" t="s">
        <v>51131</v>
      </c>
      <c r="F2456" t="s">
        <v>51132</v>
      </c>
      <c r="G2456" t="s">
        <v>51133</v>
      </c>
      <c r="H2456" t="s">
        <v>51134</v>
      </c>
      <c r="I2456" t="s">
        <v>51135</v>
      </c>
      <c r="J2456" t="s">
        <v>51136</v>
      </c>
      <c r="K2456" t="s">
        <v>51137</v>
      </c>
      <c r="L2456" t="s">
        <v>51138</v>
      </c>
      <c r="M2456" t="s">
        <v>51139</v>
      </c>
      <c r="N2456" t="s">
        <v>51140</v>
      </c>
      <c r="O2456">
        <f>-1013.19707178856 -29.0378737810265 -486.150257672504</f>
        <v>-1528.3852032420905</v>
      </c>
      <c r="P2456">
        <f>-1007.46415332277 -48.9051171440697 -192.613934417997</f>
        <v>-1248.9832048848366</v>
      </c>
      <c r="Q2456">
        <f>-816.449326197623 -21.6847542609316 -336.916832015366</f>
        <v>-1175.0509124739206</v>
      </c>
      <c r="R2456" t="s">
        <v>51141</v>
      </c>
      <c r="S2456" t="s">
        <v>51142</v>
      </c>
      <c r="T2456" t="s">
        <v>51143</v>
      </c>
      <c r="U2456" t="s">
        <v>51144</v>
      </c>
      <c r="V2456" t="s">
        <v>51145</v>
      </c>
      <c r="W2456" t="s">
        <v>51146</v>
      </c>
      <c r="X2456" t="s">
        <v>51147</v>
      </c>
      <c r="Y2456" t="s">
        <v>51148</v>
      </c>
    </row>
    <row r="2457" spans="1:25" x14ac:dyDescent="0.3">
      <c r="A2457">
        <v>122800</v>
      </c>
      <c r="B2457" t="s">
        <v>51149</v>
      </c>
      <c r="C2457" t="s">
        <v>51150</v>
      </c>
      <c r="D2457" t="s">
        <v>51151</v>
      </c>
      <c r="E2457" t="s">
        <v>51152</v>
      </c>
      <c r="F2457" t="s">
        <v>51153</v>
      </c>
      <c r="G2457" t="s">
        <v>51154</v>
      </c>
      <c r="H2457" t="s">
        <v>51155</v>
      </c>
      <c r="I2457" t="s">
        <v>51156</v>
      </c>
      <c r="J2457" t="s">
        <v>51157</v>
      </c>
      <c r="K2457" t="s">
        <v>51158</v>
      </c>
      <c r="L2457" t="s">
        <v>51159</v>
      </c>
      <c r="M2457" t="s">
        <v>51160</v>
      </c>
      <c r="N2457" t="s">
        <v>51161</v>
      </c>
      <c r="O2457">
        <f>-1014.20947107528 -28.9799125272925 -486.193393207008</f>
        <v>-1529.3827768095805</v>
      </c>
      <c r="P2457">
        <f>-1008.34020565042 -48.9175274411564 -192.664514850026</f>
        <v>-1249.9222479416026</v>
      </c>
      <c r="Q2457">
        <f>-817.366702341973 -21.1782895959559 -336.922798582802</f>
        <v>-1175.4677905207309</v>
      </c>
      <c r="R2457" t="s">
        <v>51162</v>
      </c>
      <c r="S2457" t="s">
        <v>51163</v>
      </c>
      <c r="T2457" t="s">
        <v>51164</v>
      </c>
      <c r="U2457" t="s">
        <v>51165</v>
      </c>
      <c r="V2457" t="s">
        <v>51166</v>
      </c>
      <c r="W2457" t="s">
        <v>51167</v>
      </c>
      <c r="X2457" t="s">
        <v>51168</v>
      </c>
      <c r="Y2457" t="s">
        <v>51169</v>
      </c>
    </row>
    <row r="2458" spans="1:25" x14ac:dyDescent="0.3">
      <c r="A2458">
        <v>122850</v>
      </c>
      <c r="B2458" t="s">
        <v>51170</v>
      </c>
      <c r="C2458" t="s">
        <v>51171</v>
      </c>
      <c r="D2458" t="s">
        <v>51172</v>
      </c>
      <c r="E2458" t="s">
        <v>51173</v>
      </c>
      <c r="F2458" t="s">
        <v>51174</v>
      </c>
      <c r="G2458" t="s">
        <v>51175</v>
      </c>
      <c r="H2458" t="s">
        <v>51176</v>
      </c>
      <c r="I2458" t="s">
        <v>51177</v>
      </c>
      <c r="J2458" t="s">
        <v>51178</v>
      </c>
      <c r="K2458" t="s">
        <v>51179</v>
      </c>
      <c r="L2458" t="s">
        <v>51180</v>
      </c>
      <c r="M2458" t="s">
        <v>51181</v>
      </c>
      <c r="N2458" t="s">
        <v>51182</v>
      </c>
      <c r="O2458">
        <f>-1014.3772541854 -29.1501577990857 -486.279042234643</f>
        <v>-1529.8064542191287</v>
      </c>
      <c r="P2458">
        <f>-1008.53017763085 -49.0936776172455 -192.750099659955</f>
        <v>-1250.3739549080503</v>
      </c>
      <c r="Q2458">
        <f>-817.505465174283 -21.0773207982616 -336.887181461415</f>
        <v>-1175.4699674339595</v>
      </c>
      <c r="R2458" t="s">
        <v>51183</v>
      </c>
      <c r="S2458" t="s">
        <v>51184</v>
      </c>
      <c r="T2458" t="s">
        <v>51185</v>
      </c>
      <c r="U2458" t="s">
        <v>51186</v>
      </c>
      <c r="V2458" t="s">
        <v>51187</v>
      </c>
      <c r="W2458" t="s">
        <v>51188</v>
      </c>
      <c r="X2458" t="s">
        <v>51189</v>
      </c>
      <c r="Y2458" t="s">
        <v>51190</v>
      </c>
    </row>
    <row r="2459" spans="1:25" x14ac:dyDescent="0.3">
      <c r="A2459">
        <v>122900</v>
      </c>
      <c r="B2459" t="s">
        <v>51191</v>
      </c>
      <c r="C2459" t="s">
        <v>51192</v>
      </c>
      <c r="D2459" t="s">
        <v>51193</v>
      </c>
      <c r="E2459" t="s">
        <v>51194</v>
      </c>
      <c r="F2459" t="s">
        <v>51195</v>
      </c>
      <c r="G2459" t="s">
        <v>51196</v>
      </c>
      <c r="H2459" t="s">
        <v>51197</v>
      </c>
      <c r="I2459" t="s">
        <v>51198</v>
      </c>
      <c r="J2459" t="s">
        <v>51199</v>
      </c>
      <c r="K2459" t="s">
        <v>51200</v>
      </c>
      <c r="L2459" t="s">
        <v>51201</v>
      </c>
      <c r="M2459" t="s">
        <v>51202</v>
      </c>
      <c r="N2459" t="s">
        <v>51203</v>
      </c>
      <c r="O2459">
        <f>-1014.11968900584 -29.9338993555848 -486.501297905323</f>
        <v>-1530.5548862667479</v>
      </c>
      <c r="P2459">
        <f>-1008.60885734857 -49.8162881997439 -192.961609718248</f>
        <v>-1251.386755266562</v>
      </c>
      <c r="Q2459">
        <f>-817.407901549981 -21.2631710980204 -336.759351698827</f>
        <v>-1175.4304243468284</v>
      </c>
      <c r="R2459" t="s">
        <v>51204</v>
      </c>
      <c r="S2459" t="s">
        <v>51205</v>
      </c>
      <c r="T2459" t="s">
        <v>51206</v>
      </c>
      <c r="U2459" t="s">
        <v>51207</v>
      </c>
      <c r="V2459" t="s">
        <v>51208</v>
      </c>
      <c r="W2459" t="s">
        <v>51209</v>
      </c>
      <c r="X2459" t="s">
        <v>51210</v>
      </c>
      <c r="Y2459" t="s">
        <v>51211</v>
      </c>
    </row>
    <row r="2460" spans="1:25" x14ac:dyDescent="0.3">
      <c r="A2460">
        <v>122950</v>
      </c>
      <c r="B2460" t="s">
        <v>51212</v>
      </c>
      <c r="C2460" t="s">
        <v>51213</v>
      </c>
      <c r="D2460" t="s">
        <v>51214</v>
      </c>
      <c r="E2460" t="s">
        <v>51215</v>
      </c>
      <c r="F2460" t="s">
        <v>51216</v>
      </c>
      <c r="G2460" t="s">
        <v>51217</v>
      </c>
      <c r="H2460" t="s">
        <v>51218</v>
      </c>
      <c r="I2460" t="s">
        <v>51219</v>
      </c>
      <c r="J2460" t="s">
        <v>51220</v>
      </c>
      <c r="K2460" t="s">
        <v>51221</v>
      </c>
      <c r="L2460" t="s">
        <v>51222</v>
      </c>
      <c r="M2460" t="s">
        <v>51223</v>
      </c>
      <c r="N2460" t="s">
        <v>51224</v>
      </c>
      <c r="O2460">
        <f>-1013.90421584046 -30.4612595876456 -486.501573379055</f>
        <v>-1530.8670488071607</v>
      </c>
      <c r="P2460">
        <f>-1008.63011766283 -50.312223443716 -192.955357740323</f>
        <v>-1251.8976988468692</v>
      </c>
      <c r="Q2460">
        <f>-817.370535409518 -21.427354214718 -336.609054452568</f>
        <v>-1175.4069440768039</v>
      </c>
      <c r="R2460" t="s">
        <v>51225</v>
      </c>
      <c r="S2460" t="s">
        <v>51226</v>
      </c>
      <c r="T2460" t="s">
        <v>51227</v>
      </c>
      <c r="U2460" t="s">
        <v>51228</v>
      </c>
      <c r="V2460" t="s">
        <v>51229</v>
      </c>
      <c r="W2460" t="s">
        <v>51230</v>
      </c>
      <c r="X2460" t="s">
        <v>51231</v>
      </c>
      <c r="Y2460" t="s">
        <v>51232</v>
      </c>
    </row>
    <row r="2461" spans="1:25" x14ac:dyDescent="0.3">
      <c r="A2461">
        <v>123000</v>
      </c>
      <c r="B2461" t="s">
        <v>51233</v>
      </c>
      <c r="C2461" t="s">
        <v>51234</v>
      </c>
      <c r="D2461" t="s">
        <v>51235</v>
      </c>
      <c r="E2461" t="s">
        <v>51236</v>
      </c>
      <c r="F2461" t="s">
        <v>51237</v>
      </c>
      <c r="G2461" t="s">
        <v>51238</v>
      </c>
      <c r="H2461" t="s">
        <v>51239</v>
      </c>
      <c r="I2461" t="s">
        <v>51240</v>
      </c>
      <c r="J2461" t="s">
        <v>51241</v>
      </c>
      <c r="K2461" t="s">
        <v>51242</v>
      </c>
      <c r="L2461" t="s">
        <v>51243</v>
      </c>
      <c r="M2461" t="s">
        <v>51244</v>
      </c>
      <c r="N2461" t="s">
        <v>51245</v>
      </c>
      <c r="O2461">
        <f>-1013.49886857165 -31.3063010598462 -486.31672339961</f>
        <v>-1531.1218930311063</v>
      </c>
      <c r="P2461">
        <f>-1008.51635570826 -51.1367450352652 -192.764118874564</f>
        <v>-1252.4172196180891</v>
      </c>
      <c r="Q2461">
        <f>-817.273552772562 -21.0599595557537 -336.194877753764</f>
        <v>-1174.5283900820796</v>
      </c>
      <c r="R2461" t="s">
        <v>51246</v>
      </c>
      <c r="S2461" t="s">
        <v>51247</v>
      </c>
      <c r="T2461" t="s">
        <v>51248</v>
      </c>
      <c r="U2461" t="s">
        <v>51249</v>
      </c>
      <c r="V2461" t="s">
        <v>51250</v>
      </c>
      <c r="W2461" t="s">
        <v>51251</v>
      </c>
      <c r="X2461" t="s">
        <v>51252</v>
      </c>
      <c r="Y2461" t="s">
        <v>51253</v>
      </c>
    </row>
    <row r="2462" spans="1:25" x14ac:dyDescent="0.3">
      <c r="A2462">
        <v>123050</v>
      </c>
      <c r="B2462" t="s">
        <v>51254</v>
      </c>
      <c r="C2462" t="s">
        <v>51255</v>
      </c>
      <c r="D2462" t="s">
        <v>51256</v>
      </c>
      <c r="E2462" t="s">
        <v>51257</v>
      </c>
      <c r="F2462" t="s">
        <v>51258</v>
      </c>
      <c r="G2462" t="s">
        <v>51259</v>
      </c>
      <c r="H2462" t="s">
        <v>51260</v>
      </c>
      <c r="I2462" t="s">
        <v>51261</v>
      </c>
      <c r="J2462" t="s">
        <v>51262</v>
      </c>
      <c r="K2462" t="s">
        <v>51263</v>
      </c>
      <c r="L2462" t="s">
        <v>51264</v>
      </c>
      <c r="M2462" t="s">
        <v>51265</v>
      </c>
      <c r="N2462" t="s">
        <v>51266</v>
      </c>
      <c r="O2462">
        <f>-1013.3102193361 -31.5804572439952 -486.212157623532</f>
        <v>-1531.1028342036273</v>
      </c>
      <c r="P2462">
        <f>-1008.41944175831 -51.2757610579167 -192.648894767621</f>
        <v>-1252.3440975838475</v>
      </c>
      <c r="Q2462">
        <f>-817.192451610772 -20.6246191283103 -335.979249575682</f>
        <v>-1173.7963203147642</v>
      </c>
      <c r="R2462" t="s">
        <v>51267</v>
      </c>
      <c r="S2462" t="s">
        <v>51268</v>
      </c>
      <c r="T2462" t="s">
        <v>51269</v>
      </c>
      <c r="U2462" t="s">
        <v>51270</v>
      </c>
      <c r="V2462" t="s">
        <v>51271</v>
      </c>
      <c r="W2462" t="s">
        <v>51272</v>
      </c>
      <c r="X2462" t="s">
        <v>51273</v>
      </c>
      <c r="Y2462" t="s">
        <v>51274</v>
      </c>
    </row>
    <row r="2463" spans="1:25" x14ac:dyDescent="0.3">
      <c r="A2463">
        <v>123100</v>
      </c>
      <c r="B2463" t="s">
        <v>51275</v>
      </c>
      <c r="C2463" t="s">
        <v>51276</v>
      </c>
      <c r="D2463" t="s">
        <v>51277</v>
      </c>
      <c r="E2463" t="s">
        <v>51278</v>
      </c>
      <c r="F2463" t="s">
        <v>51279</v>
      </c>
      <c r="G2463" t="s">
        <v>51280</v>
      </c>
      <c r="H2463" t="s">
        <v>51281</v>
      </c>
      <c r="I2463" t="s">
        <v>51282</v>
      </c>
      <c r="J2463" t="s">
        <v>51283</v>
      </c>
      <c r="K2463" t="s">
        <v>51284</v>
      </c>
      <c r="L2463" t="s">
        <v>51285</v>
      </c>
      <c r="M2463" t="s">
        <v>51286</v>
      </c>
      <c r="N2463" t="s">
        <v>51287</v>
      </c>
      <c r="O2463">
        <f>-1012.72487678694 -32.2253253611043 -486.088211529532</f>
        <v>-1531.0384136775763</v>
      </c>
      <c r="P2463">
        <f>-1008.06083763712 -51.5956516284907 -192.49966778967</f>
        <v>-1252.1561570552806</v>
      </c>
      <c r="Q2463">
        <f>-816.97305408382 -19.5597547790076 -335.713201171848</f>
        <v>-1172.2460100346757</v>
      </c>
      <c r="R2463" t="s">
        <v>51288</v>
      </c>
      <c r="S2463" t="s">
        <v>51289</v>
      </c>
      <c r="T2463" t="s">
        <v>51290</v>
      </c>
      <c r="U2463" t="s">
        <v>51291</v>
      </c>
      <c r="V2463" t="s">
        <v>51292</v>
      </c>
      <c r="W2463" t="s">
        <v>51293</v>
      </c>
      <c r="X2463" t="s">
        <v>51294</v>
      </c>
      <c r="Y2463" t="s">
        <v>51295</v>
      </c>
    </row>
    <row r="2464" spans="1:25" x14ac:dyDescent="0.3">
      <c r="A2464">
        <v>123150</v>
      </c>
      <c r="B2464" t="s">
        <v>51296</v>
      </c>
      <c r="C2464" t="s">
        <v>51297</v>
      </c>
      <c r="D2464" t="s">
        <v>51298</v>
      </c>
      <c r="E2464" t="s">
        <v>51299</v>
      </c>
      <c r="F2464" t="s">
        <v>51300</v>
      </c>
      <c r="G2464" t="s">
        <v>51301</v>
      </c>
      <c r="H2464" t="s">
        <v>51302</v>
      </c>
      <c r="I2464" t="s">
        <v>51303</v>
      </c>
      <c r="J2464" t="s">
        <v>51304</v>
      </c>
      <c r="K2464" t="s">
        <v>51305</v>
      </c>
      <c r="L2464" t="s">
        <v>51306</v>
      </c>
      <c r="M2464" t="s">
        <v>51307</v>
      </c>
      <c r="N2464" t="s">
        <v>51308</v>
      </c>
      <c r="O2464">
        <f>-1012.3511478043 -32.5068253559225 -486.044548597686</f>
        <v>-1530.9025217579087</v>
      </c>
      <c r="P2464">
        <f>-1007.90254959359 -51.8026237334236 -192.447730403506</f>
        <v>-1252.1529037305197</v>
      </c>
      <c r="Q2464">
        <f>-816.93916396682 -19.229728234895 -335.705581051948</f>
        <v>-1171.8744732536629</v>
      </c>
      <c r="R2464" t="s">
        <v>51309</v>
      </c>
      <c r="S2464" t="s">
        <v>51310</v>
      </c>
      <c r="T2464" t="s">
        <v>51311</v>
      </c>
      <c r="U2464" t="s">
        <v>51312</v>
      </c>
      <c r="V2464" t="s">
        <v>51313</v>
      </c>
      <c r="W2464" t="s">
        <v>51314</v>
      </c>
      <c r="X2464" t="s">
        <v>51315</v>
      </c>
      <c r="Y2464" t="s">
        <v>51316</v>
      </c>
    </row>
    <row r="2465" spans="1:25" x14ac:dyDescent="0.3">
      <c r="A2465">
        <v>123200</v>
      </c>
      <c r="B2465" t="s">
        <v>51317</v>
      </c>
      <c r="C2465" t="s">
        <v>51318</v>
      </c>
      <c r="D2465" t="s">
        <v>51319</v>
      </c>
      <c r="E2465" t="s">
        <v>51320</v>
      </c>
      <c r="F2465" t="s">
        <v>51321</v>
      </c>
      <c r="G2465" t="s">
        <v>51322</v>
      </c>
      <c r="H2465" t="s">
        <v>51323</v>
      </c>
      <c r="I2465" t="s">
        <v>51324</v>
      </c>
      <c r="J2465" t="s">
        <v>51325</v>
      </c>
      <c r="K2465" t="s">
        <v>51326</v>
      </c>
      <c r="L2465" t="s">
        <v>51327</v>
      </c>
      <c r="M2465" t="s">
        <v>51328</v>
      </c>
      <c r="N2465" t="s">
        <v>51329</v>
      </c>
      <c r="O2465">
        <f>-1011.5136174052 -33.0332700848985 -485.964194830238</f>
        <v>-1530.5110823203365</v>
      </c>
      <c r="P2465">
        <f>-1007.19462676068 -52.2259527101783 -192.358767326886</f>
        <v>-1251.7793467977442</v>
      </c>
      <c r="Q2465">
        <f>-816.585782921798 -19.8270021284784 -336.127316910166</f>
        <v>-1172.5401019604424</v>
      </c>
      <c r="R2465" t="s">
        <v>51330</v>
      </c>
      <c r="S2465" t="s">
        <v>51331</v>
      </c>
      <c r="T2465" t="s">
        <v>51332</v>
      </c>
      <c r="U2465" t="s">
        <v>51333</v>
      </c>
      <c r="V2465" t="s">
        <v>51334</v>
      </c>
      <c r="W2465" t="s">
        <v>51335</v>
      </c>
      <c r="X2465" t="s">
        <v>51336</v>
      </c>
      <c r="Y2465" t="s">
        <v>51337</v>
      </c>
    </row>
    <row r="2466" spans="1:25" x14ac:dyDescent="0.3">
      <c r="A2466">
        <v>123250</v>
      </c>
      <c r="B2466" t="s">
        <v>51338</v>
      </c>
      <c r="C2466" t="s">
        <v>51339</v>
      </c>
      <c r="D2466" t="s">
        <v>51340</v>
      </c>
      <c r="E2466" t="s">
        <v>51341</v>
      </c>
      <c r="F2466" t="s">
        <v>51342</v>
      </c>
      <c r="G2466" t="s">
        <v>51343</v>
      </c>
      <c r="H2466" t="s">
        <v>51344</v>
      </c>
      <c r="I2466" t="s">
        <v>51345</v>
      </c>
      <c r="J2466" t="s">
        <v>51346</v>
      </c>
      <c r="K2466" t="s">
        <v>51347</v>
      </c>
      <c r="L2466" t="s">
        <v>51348</v>
      </c>
      <c r="M2466" t="s">
        <v>51349</v>
      </c>
      <c r="N2466" t="s">
        <v>51350</v>
      </c>
      <c r="O2466">
        <f>-1011.06679988124 -33.4046640922516 -485.941295535608</f>
        <v>-1530.4127595090995</v>
      </c>
      <c r="P2466">
        <f>-1006.93292252321 -52.6755749462759 -192.338241933997</f>
        <v>-1251.946739403483</v>
      </c>
      <c r="Q2466">
        <f>-816.530458218052 -20.0071653100226 -336.319486498137</f>
        <v>-1172.8571100262116</v>
      </c>
      <c r="R2466" t="s">
        <v>51351</v>
      </c>
      <c r="S2466" t="s">
        <v>51352</v>
      </c>
      <c r="T2466" t="s">
        <v>51353</v>
      </c>
      <c r="U2466" t="s">
        <v>51354</v>
      </c>
      <c r="V2466" t="s">
        <v>51355</v>
      </c>
      <c r="W2466" t="s">
        <v>51356</v>
      </c>
      <c r="X2466" t="s">
        <v>51357</v>
      </c>
      <c r="Y2466" t="s">
        <v>51358</v>
      </c>
    </row>
    <row r="2467" spans="1:25" x14ac:dyDescent="0.3">
      <c r="A2467">
        <v>123300</v>
      </c>
      <c r="B2467" t="s">
        <v>51359</v>
      </c>
      <c r="C2467" t="s">
        <v>51360</v>
      </c>
      <c r="D2467" t="s">
        <v>51361</v>
      </c>
      <c r="E2467" t="s">
        <v>51362</v>
      </c>
      <c r="F2467" t="s">
        <v>51363</v>
      </c>
      <c r="G2467" t="s">
        <v>51364</v>
      </c>
      <c r="H2467" t="s">
        <v>51365</v>
      </c>
      <c r="I2467" t="s">
        <v>51366</v>
      </c>
      <c r="J2467" t="s">
        <v>51367</v>
      </c>
      <c r="K2467" t="s">
        <v>51368</v>
      </c>
      <c r="L2467" t="s">
        <v>51369</v>
      </c>
      <c r="M2467" t="s">
        <v>51370</v>
      </c>
      <c r="N2467" t="s">
        <v>51371</v>
      </c>
      <c r="O2467">
        <f>-1010.08319843006 -33.9223672254961 -485.857217848391</f>
        <v>-1529.862783503947</v>
      </c>
      <c r="P2467">
        <f>-1006.29319174454 -53.4810877624225 -192.268600122516</f>
        <v>-1252.0428796294786</v>
      </c>
      <c r="Q2467">
        <f>-816.013464948089 -20.8047676496508 -336.409960523852</f>
        <v>-1173.2281931215919</v>
      </c>
      <c r="R2467" t="s">
        <v>51372</v>
      </c>
      <c r="S2467" t="s">
        <v>51373</v>
      </c>
      <c r="T2467" t="s">
        <v>51374</v>
      </c>
      <c r="U2467" t="s">
        <v>51375</v>
      </c>
      <c r="V2467" t="s">
        <v>51376</v>
      </c>
      <c r="W2467" t="s">
        <v>51377</v>
      </c>
      <c r="X2467" t="s">
        <v>51378</v>
      </c>
      <c r="Y2467" t="s">
        <v>51379</v>
      </c>
    </row>
    <row r="2468" spans="1:25" x14ac:dyDescent="0.3">
      <c r="A2468">
        <v>123350</v>
      </c>
      <c r="B2468" t="s">
        <v>51380</v>
      </c>
      <c r="C2468" t="s">
        <v>51381</v>
      </c>
      <c r="D2468" t="s">
        <v>51382</v>
      </c>
      <c r="E2468" t="s">
        <v>51383</v>
      </c>
      <c r="F2468" t="s">
        <v>51384</v>
      </c>
      <c r="G2468" t="s">
        <v>51385</v>
      </c>
      <c r="H2468" t="s">
        <v>51386</v>
      </c>
      <c r="I2468" t="s">
        <v>51387</v>
      </c>
      <c r="J2468" t="s">
        <v>51388</v>
      </c>
      <c r="K2468" t="s">
        <v>51389</v>
      </c>
      <c r="L2468" t="s">
        <v>51390</v>
      </c>
      <c r="M2468" t="s">
        <v>51391</v>
      </c>
      <c r="N2468" t="s">
        <v>51392</v>
      </c>
      <c r="O2468">
        <f>-1009.64583356889 -34.2631043656534 -485.758495612843</f>
        <v>-1529.6674335473865</v>
      </c>
      <c r="P2468">
        <f>-1005.94398249951 -53.5043667566549 -192.147667509515</f>
        <v>-1251.5960167656799</v>
      </c>
      <c r="Q2468">
        <f>-815.638559837214 -21.575608630124 -336.422569883435</f>
        <v>-1173.6367383507729</v>
      </c>
      <c r="R2468" t="s">
        <v>51393</v>
      </c>
      <c r="S2468" t="s">
        <v>51394</v>
      </c>
      <c r="T2468" t="s">
        <v>51395</v>
      </c>
      <c r="U2468" t="s">
        <v>51396</v>
      </c>
      <c r="V2468" t="s">
        <v>51397</v>
      </c>
      <c r="W2468" t="s">
        <v>51398</v>
      </c>
      <c r="X2468" t="s">
        <v>51399</v>
      </c>
      <c r="Y2468" t="s">
        <v>51400</v>
      </c>
    </row>
    <row r="2469" spans="1:25" x14ac:dyDescent="0.3">
      <c r="A2469">
        <v>123400</v>
      </c>
      <c r="B2469" t="s">
        <v>51401</v>
      </c>
      <c r="C2469" t="s">
        <v>51402</v>
      </c>
      <c r="D2469" t="s">
        <v>51403</v>
      </c>
      <c r="E2469" t="s">
        <v>51404</v>
      </c>
      <c r="F2469" t="s">
        <v>51405</v>
      </c>
      <c r="G2469" t="s">
        <v>51406</v>
      </c>
      <c r="H2469" t="s">
        <v>51407</v>
      </c>
      <c r="I2469" t="s">
        <v>51408</v>
      </c>
      <c r="J2469" t="s">
        <v>51409</v>
      </c>
      <c r="K2469" t="s">
        <v>51410</v>
      </c>
      <c r="L2469" t="s">
        <v>51411</v>
      </c>
      <c r="M2469" t="s">
        <v>51412</v>
      </c>
      <c r="N2469" t="s">
        <v>51413</v>
      </c>
      <c r="O2469">
        <f>-1008.73794524325 -34.8208827382982 -485.562297127426</f>
        <v>-1529.1211251089742</v>
      </c>
      <c r="P2469">
        <f>-1004.78383815003 -53.7365943829341 -191.933531436573</f>
        <v>-1250.4539639695372</v>
      </c>
      <c r="Q2469">
        <f>-814.418388016659 -22.6121216628508 -336.305014141845</f>
        <v>-1173.3355238213549</v>
      </c>
      <c r="R2469" t="s">
        <v>51414</v>
      </c>
      <c r="S2469" t="s">
        <v>51415</v>
      </c>
      <c r="T2469" t="s">
        <v>51416</v>
      </c>
      <c r="U2469" t="s">
        <v>51417</v>
      </c>
      <c r="V2469" t="s">
        <v>51418</v>
      </c>
      <c r="W2469" t="s">
        <v>51419</v>
      </c>
      <c r="X2469" t="s">
        <v>51420</v>
      </c>
      <c r="Y2469" t="s">
        <v>51421</v>
      </c>
    </row>
    <row r="2470" spans="1:25" x14ac:dyDescent="0.3">
      <c r="A2470">
        <v>123450</v>
      </c>
      <c r="B2470" t="s">
        <v>51422</v>
      </c>
      <c r="C2470" t="s">
        <v>51423</v>
      </c>
      <c r="D2470" t="s">
        <v>51424</v>
      </c>
      <c r="E2470" t="s">
        <v>51425</v>
      </c>
      <c r="F2470" t="s">
        <v>51426</v>
      </c>
      <c r="G2470" t="s">
        <v>51427</v>
      </c>
      <c r="H2470" t="s">
        <v>51428</v>
      </c>
      <c r="I2470" t="s">
        <v>51429</v>
      </c>
      <c r="J2470" t="s">
        <v>51430</v>
      </c>
      <c r="K2470" t="s">
        <v>51431</v>
      </c>
      <c r="L2470" t="s">
        <v>51432</v>
      </c>
      <c r="M2470" t="s">
        <v>51433</v>
      </c>
      <c r="N2470" t="s">
        <v>51434</v>
      </c>
      <c r="O2470">
        <f>-1008.19643409697 -35.0828856761095 -485.514343125276</f>
        <v>-1528.7936628983557</v>
      </c>
      <c r="P2470">
        <f>-1004.32208512567 -53.8805282683504 -191.876997951624</f>
        <v>-1250.0796113456443</v>
      </c>
      <c r="Q2470">
        <f>-813.920589820831 -22.9733600469513 -336.247734173956</f>
        <v>-1173.1416840417382</v>
      </c>
      <c r="R2470" t="s">
        <v>51435</v>
      </c>
      <c r="S2470" t="s">
        <v>51436</v>
      </c>
      <c r="T2470" t="s">
        <v>51437</v>
      </c>
      <c r="U2470" t="s">
        <v>51438</v>
      </c>
      <c r="V2470" t="s">
        <v>51439</v>
      </c>
      <c r="W2470" t="s">
        <v>51440</v>
      </c>
      <c r="X2470" t="s">
        <v>51441</v>
      </c>
      <c r="Y2470" t="s">
        <v>51442</v>
      </c>
    </row>
    <row r="2471" spans="1:25" x14ac:dyDescent="0.3">
      <c r="A2471">
        <v>123500</v>
      </c>
      <c r="B2471" t="s">
        <v>51443</v>
      </c>
      <c r="C2471" t="s">
        <v>51444</v>
      </c>
      <c r="D2471" t="s">
        <v>51445</v>
      </c>
      <c r="E2471" t="s">
        <v>51446</v>
      </c>
      <c r="F2471" t="s">
        <v>51447</v>
      </c>
      <c r="G2471" t="s">
        <v>51448</v>
      </c>
      <c r="H2471" t="s">
        <v>51449</v>
      </c>
      <c r="I2471" t="s">
        <v>51450</v>
      </c>
      <c r="J2471" t="s">
        <v>51451</v>
      </c>
      <c r="K2471" t="s">
        <v>51452</v>
      </c>
      <c r="L2471" t="s">
        <v>51453</v>
      </c>
      <c r="M2471" t="s">
        <v>51454</v>
      </c>
      <c r="N2471" t="s">
        <v>51455</v>
      </c>
      <c r="O2471">
        <f>-1006.90846800083 -35.5975836603052 -485.568775547201</f>
        <v>-1528.0748272083363</v>
      </c>
      <c r="P2471">
        <f>-1003.31974747959 -54.2771160842779 -191.920301159321</f>
        <v>-1249.5171647231889</v>
      </c>
      <c r="Q2471">
        <f>-812.884925292189 -23.298929436759 -336.231256687273</f>
        <v>-1172.415111416221</v>
      </c>
      <c r="R2471" t="s">
        <v>51456</v>
      </c>
      <c r="S2471" t="s">
        <v>51457</v>
      </c>
      <c r="T2471" t="s">
        <v>51458</v>
      </c>
      <c r="U2471" t="s">
        <v>51459</v>
      </c>
      <c r="V2471" t="s">
        <v>51460</v>
      </c>
      <c r="W2471" t="s">
        <v>51461</v>
      </c>
      <c r="X2471" t="s">
        <v>51462</v>
      </c>
      <c r="Y2471" t="s">
        <v>51463</v>
      </c>
    </row>
    <row r="2472" spans="1:25" x14ac:dyDescent="0.3">
      <c r="A2472">
        <v>123550</v>
      </c>
      <c r="B2472" t="s">
        <v>51464</v>
      </c>
      <c r="C2472" t="s">
        <v>51465</v>
      </c>
      <c r="D2472" t="s">
        <v>51466</v>
      </c>
      <c r="E2472" t="s">
        <v>51467</v>
      </c>
      <c r="F2472" t="s">
        <v>51468</v>
      </c>
      <c r="G2472" t="s">
        <v>51469</v>
      </c>
      <c r="H2472" t="s">
        <v>51470</v>
      </c>
      <c r="I2472" t="s">
        <v>51471</v>
      </c>
      <c r="J2472" t="s">
        <v>51472</v>
      </c>
      <c r="K2472" t="s">
        <v>51473</v>
      </c>
      <c r="L2472" t="s">
        <v>51474</v>
      </c>
      <c r="M2472" t="s">
        <v>51475</v>
      </c>
      <c r="N2472" t="s">
        <v>51476</v>
      </c>
      <c r="O2472">
        <f>-1006.21001845863 -35.8631686254498 -485.64338964756</f>
        <v>-1527.7165767316399</v>
      </c>
      <c r="P2472">
        <f>-1002.79937450984 -54.4527345954921 -191.987101486674</f>
        <v>-1249.2392105920062</v>
      </c>
      <c r="Q2472">
        <f>-812.380842264205 -23.4365060457703 -336.31173423672</f>
        <v>-1172.1290825466954</v>
      </c>
      <c r="R2472" t="s">
        <v>51477</v>
      </c>
      <c r="S2472" t="s">
        <v>51478</v>
      </c>
      <c r="T2472" t="s">
        <v>51479</v>
      </c>
      <c r="U2472" t="s">
        <v>51480</v>
      </c>
      <c r="V2472" t="s">
        <v>51481</v>
      </c>
      <c r="W2472" t="s">
        <v>51482</v>
      </c>
      <c r="X2472" t="s">
        <v>51483</v>
      </c>
      <c r="Y2472" t="s">
        <v>51484</v>
      </c>
    </row>
    <row r="2473" spans="1:25" x14ac:dyDescent="0.3">
      <c r="A2473">
        <v>123600</v>
      </c>
      <c r="B2473" t="s">
        <v>51485</v>
      </c>
      <c r="C2473" t="s">
        <v>51486</v>
      </c>
      <c r="D2473" t="s">
        <v>51487</v>
      </c>
      <c r="E2473" t="s">
        <v>51488</v>
      </c>
      <c r="F2473" t="s">
        <v>51489</v>
      </c>
      <c r="G2473" t="s">
        <v>51490</v>
      </c>
      <c r="H2473" t="s">
        <v>51491</v>
      </c>
      <c r="I2473" t="s">
        <v>51492</v>
      </c>
      <c r="J2473" t="s">
        <v>51493</v>
      </c>
      <c r="K2473" t="s">
        <v>51494</v>
      </c>
      <c r="L2473" t="s">
        <v>51495</v>
      </c>
      <c r="M2473" t="s">
        <v>51496</v>
      </c>
      <c r="N2473" t="s">
        <v>51497</v>
      </c>
      <c r="O2473">
        <f>-1004.61120704211 -36.4885056753753 -485.650879128782</f>
        <v>-1526.7505918462673</v>
      </c>
      <c r="P2473">
        <f>-1001.36500597842 -54.928855662256 -191.983201849151</f>
        <v>-1248.277063489827</v>
      </c>
      <c r="Q2473">
        <f>-810.978583552169 -23.8071766681869 -336.327736235356</f>
        <v>-1171.1134964557118</v>
      </c>
      <c r="R2473" t="s">
        <v>51498</v>
      </c>
      <c r="S2473" t="s">
        <v>51499</v>
      </c>
      <c r="T2473" t="s">
        <v>51500</v>
      </c>
      <c r="U2473" t="s">
        <v>51501</v>
      </c>
      <c r="V2473" t="s">
        <v>51502</v>
      </c>
      <c r="W2473" t="s">
        <v>51503</v>
      </c>
      <c r="X2473" t="s">
        <v>51504</v>
      </c>
      <c r="Y2473" t="s">
        <v>51505</v>
      </c>
    </row>
    <row r="2474" spans="1:25" x14ac:dyDescent="0.3">
      <c r="A2474">
        <v>123650</v>
      </c>
      <c r="B2474" t="s">
        <v>51506</v>
      </c>
      <c r="C2474" t="s">
        <v>51507</v>
      </c>
      <c r="D2474" t="s">
        <v>51508</v>
      </c>
      <c r="E2474" t="s">
        <v>51509</v>
      </c>
      <c r="F2474" t="s">
        <v>51510</v>
      </c>
      <c r="G2474" t="s">
        <v>51511</v>
      </c>
      <c r="H2474" t="s">
        <v>51512</v>
      </c>
      <c r="I2474" t="s">
        <v>51513</v>
      </c>
      <c r="J2474" t="s">
        <v>51514</v>
      </c>
      <c r="K2474" t="s">
        <v>51515</v>
      </c>
      <c r="L2474" t="s">
        <v>51516</v>
      </c>
      <c r="M2474" t="s">
        <v>51517</v>
      </c>
      <c r="N2474" t="s">
        <v>51518</v>
      </c>
      <c r="O2474">
        <f>-1003.94682744458 -36.7057270440166 -485.607945127994</f>
        <v>-1526.2604996165906</v>
      </c>
      <c r="P2474">
        <f>-1000.74525362771 -55.0757590654223 -191.935415650839</f>
        <v>-1247.7564283439715</v>
      </c>
      <c r="Q2474">
        <f>-810.352373882143 -23.9422536848142 -336.268612807523</f>
        <v>-1170.5632403744803</v>
      </c>
      <c r="R2474" t="s">
        <v>51519</v>
      </c>
      <c r="S2474" t="s">
        <v>51520</v>
      </c>
      <c r="T2474" t="s">
        <v>51521</v>
      </c>
      <c r="U2474" t="s">
        <v>51522</v>
      </c>
      <c r="V2474" t="s">
        <v>51523</v>
      </c>
      <c r="W2474" t="s">
        <v>51524</v>
      </c>
      <c r="X2474" t="s">
        <v>51525</v>
      </c>
      <c r="Y2474" t="s">
        <v>51526</v>
      </c>
    </row>
    <row r="2475" spans="1:25" x14ac:dyDescent="0.3">
      <c r="A2475">
        <v>123700</v>
      </c>
      <c r="B2475" t="s">
        <v>51527</v>
      </c>
      <c r="C2475" t="s">
        <v>51528</v>
      </c>
      <c r="D2475" t="s">
        <v>51529</v>
      </c>
      <c r="E2475" t="s">
        <v>51530</v>
      </c>
      <c r="F2475" t="s">
        <v>51531</v>
      </c>
      <c r="G2475" t="s">
        <v>51532</v>
      </c>
      <c r="H2475" t="s">
        <v>51533</v>
      </c>
      <c r="I2475" t="s">
        <v>51534</v>
      </c>
      <c r="J2475" t="s">
        <v>51535</v>
      </c>
      <c r="K2475" t="s">
        <v>51536</v>
      </c>
      <c r="L2475" t="s">
        <v>51537</v>
      </c>
      <c r="M2475" t="s">
        <v>51538</v>
      </c>
      <c r="N2475" t="s">
        <v>51539</v>
      </c>
      <c r="O2475">
        <f>-1002.65902124018 -37.1451300654317 -485.528222449029</f>
        <v>-1525.3323737546407</v>
      </c>
      <c r="P2475">
        <f>-999.712362811412 -55.1502220951033 -191.830525267675</f>
        <v>-1246.6931101741905</v>
      </c>
      <c r="Q2475">
        <f>-809.254253262948 -24.1194315300418 -336.099960017546</f>
        <v>-1169.4736448105359</v>
      </c>
      <c r="R2475" t="s">
        <v>51540</v>
      </c>
      <c r="S2475" t="s">
        <v>51541</v>
      </c>
      <c r="T2475" t="s">
        <v>51542</v>
      </c>
      <c r="U2475" t="s">
        <v>51543</v>
      </c>
      <c r="V2475" t="s">
        <v>51544</v>
      </c>
      <c r="W2475" t="s">
        <v>51545</v>
      </c>
      <c r="X2475" t="s">
        <v>51546</v>
      </c>
      <c r="Y2475" t="s">
        <v>51547</v>
      </c>
    </row>
    <row r="2476" spans="1:25" x14ac:dyDescent="0.3">
      <c r="A2476">
        <v>123750</v>
      </c>
      <c r="B2476" t="s">
        <v>51548</v>
      </c>
      <c r="C2476" t="s">
        <v>51549</v>
      </c>
      <c r="D2476" t="s">
        <v>51550</v>
      </c>
      <c r="E2476" t="s">
        <v>51551</v>
      </c>
      <c r="F2476" t="s">
        <v>51552</v>
      </c>
      <c r="G2476" t="s">
        <v>51553</v>
      </c>
      <c r="H2476" t="s">
        <v>51554</v>
      </c>
      <c r="I2476" t="s">
        <v>51555</v>
      </c>
      <c r="J2476" t="s">
        <v>51556</v>
      </c>
      <c r="K2476" t="s">
        <v>51557</v>
      </c>
      <c r="L2476" t="s">
        <v>51558</v>
      </c>
      <c r="M2476" t="s">
        <v>51559</v>
      </c>
      <c r="N2476" t="s">
        <v>51560</v>
      </c>
      <c r="O2476">
        <f>-1002.09795541942 -37.2980908719412 -485.469929404622</f>
        <v>-1524.8659756959833</v>
      </c>
      <c r="P2476">
        <f>-999.331552770284 -55.1041088410982 -191.758330998257</f>
        <v>-1246.1939926096393</v>
      </c>
      <c r="Q2476">
        <f>-808.81283950487 -24.1993068671982 -335.97451419687</f>
        <v>-1168.9866605689381</v>
      </c>
      <c r="R2476" t="s">
        <v>51561</v>
      </c>
      <c r="S2476" t="s">
        <v>51562</v>
      </c>
      <c r="T2476" t="s">
        <v>51563</v>
      </c>
      <c r="U2476" t="s">
        <v>51564</v>
      </c>
      <c r="V2476" t="s">
        <v>51565</v>
      </c>
      <c r="W2476" t="s">
        <v>51566</v>
      </c>
      <c r="X2476" t="s">
        <v>51567</v>
      </c>
      <c r="Y2476" t="s">
        <v>51568</v>
      </c>
    </row>
    <row r="2477" spans="1:25" x14ac:dyDescent="0.3">
      <c r="A2477">
        <v>123800</v>
      </c>
      <c r="B2477" t="s">
        <v>51569</v>
      </c>
      <c r="C2477" t="s">
        <v>51570</v>
      </c>
      <c r="D2477" t="s">
        <v>51571</v>
      </c>
      <c r="E2477" t="s">
        <v>51572</v>
      </c>
      <c r="F2477" t="s">
        <v>51573</v>
      </c>
      <c r="G2477" t="s">
        <v>51574</v>
      </c>
      <c r="H2477" t="s">
        <v>51575</v>
      </c>
      <c r="I2477" t="s">
        <v>51576</v>
      </c>
      <c r="J2477" t="s">
        <v>51577</v>
      </c>
      <c r="K2477" t="s">
        <v>51578</v>
      </c>
      <c r="L2477" t="s">
        <v>51579</v>
      </c>
      <c r="M2477" t="s">
        <v>51580</v>
      </c>
      <c r="N2477" t="s">
        <v>51581</v>
      </c>
      <c r="O2477">
        <f>-1001.12021211361 -37.5099122335644 -485.311130709938</f>
        <v>-1523.9412550571124</v>
      </c>
      <c r="P2477">
        <f>-998.681160978963 -54.8302618462606 -191.567694239977</f>
        <v>-1245.0791170652008</v>
      </c>
      <c r="Q2477">
        <f>-807.945259130973 -24.4279606379118 -335.603747250094</f>
        <v>-1167.9769670189789</v>
      </c>
      <c r="R2477" t="s">
        <v>51582</v>
      </c>
      <c r="S2477" t="s">
        <v>51583</v>
      </c>
      <c r="T2477" t="s">
        <v>51584</v>
      </c>
      <c r="U2477" t="s">
        <v>51585</v>
      </c>
      <c r="V2477" t="s">
        <v>51586</v>
      </c>
      <c r="W2477" t="s">
        <v>51587</v>
      </c>
      <c r="X2477" t="s">
        <v>51588</v>
      </c>
      <c r="Y2477" t="s">
        <v>51589</v>
      </c>
    </row>
    <row r="2478" spans="1:25" x14ac:dyDescent="0.3">
      <c r="A2478">
        <v>123850</v>
      </c>
      <c r="B2478" t="s">
        <v>51590</v>
      </c>
      <c r="C2478" t="s">
        <v>51591</v>
      </c>
      <c r="D2478" t="s">
        <v>51592</v>
      </c>
      <c r="E2478" t="s">
        <v>51593</v>
      </c>
      <c r="F2478" t="s">
        <v>51594</v>
      </c>
      <c r="G2478" t="s">
        <v>51595</v>
      </c>
      <c r="H2478" t="s">
        <v>51596</v>
      </c>
      <c r="I2478" t="s">
        <v>51597</v>
      </c>
      <c r="J2478" t="s">
        <v>51598</v>
      </c>
      <c r="K2478" t="s">
        <v>51599</v>
      </c>
      <c r="L2478" t="s">
        <v>51600</v>
      </c>
      <c r="M2478" t="s">
        <v>51601</v>
      </c>
      <c r="N2478" t="s">
        <v>51602</v>
      </c>
      <c r="O2478">
        <f>-1000.74050290806 -37.4921526174903 -485.238694524433</f>
        <v>-1523.4713500499831</v>
      </c>
      <c r="P2478">
        <f>-998.524068271346 -54.6291587682233 -191.482669332585</f>
        <v>-1244.6358963721541</v>
      </c>
      <c r="Q2478">
        <f>-807.719562054743 -24.4402192288308 -335.472414428054</f>
        <v>-1167.6321957116279</v>
      </c>
      <c r="R2478" t="s">
        <v>51603</v>
      </c>
      <c r="S2478" t="s">
        <v>51604</v>
      </c>
      <c r="T2478" t="s">
        <v>51605</v>
      </c>
      <c r="U2478" t="s">
        <v>51606</v>
      </c>
      <c r="V2478" t="s">
        <v>51607</v>
      </c>
      <c r="W2478" t="s">
        <v>51608</v>
      </c>
      <c r="X2478" t="s">
        <v>51609</v>
      </c>
      <c r="Y2478" t="s">
        <v>51610</v>
      </c>
    </row>
    <row r="2479" spans="1:25" x14ac:dyDescent="0.3">
      <c r="A2479">
        <v>123900</v>
      </c>
      <c r="B2479" t="s">
        <v>51611</v>
      </c>
      <c r="C2479" t="s">
        <v>51612</v>
      </c>
      <c r="D2479" t="s">
        <v>51613</v>
      </c>
      <c r="E2479" t="s">
        <v>51614</v>
      </c>
      <c r="F2479" t="s">
        <v>51615</v>
      </c>
      <c r="G2479" t="s">
        <v>51616</v>
      </c>
      <c r="H2479" t="s">
        <v>51617</v>
      </c>
      <c r="I2479" t="s">
        <v>51618</v>
      </c>
      <c r="J2479" t="s">
        <v>51619</v>
      </c>
      <c r="K2479" t="s">
        <v>51620</v>
      </c>
      <c r="L2479" t="s">
        <v>51621</v>
      </c>
      <c r="M2479" t="s">
        <v>51622</v>
      </c>
      <c r="N2479" t="s">
        <v>51623</v>
      </c>
      <c r="O2479">
        <f>-999.844483833144 -37.5332878320421 -485.096846196121</f>
        <v>-1522.474617861307</v>
      </c>
      <c r="P2479">
        <f>-998.070346506873 -54.2357117181348 -191.312760731504</f>
        <v>-1243.6188189565119</v>
      </c>
      <c r="Q2479">
        <f>-807.085683860209 -24.6409354662828 -335.187509770449</f>
        <v>-1166.9141290969408</v>
      </c>
      <c r="R2479" t="s">
        <v>51624</v>
      </c>
      <c r="S2479" t="s">
        <v>51625</v>
      </c>
      <c r="T2479" t="s">
        <v>51626</v>
      </c>
      <c r="U2479" t="s">
        <v>51627</v>
      </c>
      <c r="V2479" t="s">
        <v>51628</v>
      </c>
      <c r="W2479" t="s">
        <v>51629</v>
      </c>
      <c r="X2479" t="s">
        <v>51630</v>
      </c>
      <c r="Y2479" t="s">
        <v>51631</v>
      </c>
    </row>
    <row r="2480" spans="1:25" x14ac:dyDescent="0.3">
      <c r="A2480">
        <v>123950</v>
      </c>
      <c r="B2480" t="s">
        <v>51632</v>
      </c>
      <c r="C2480" t="s">
        <v>51633</v>
      </c>
      <c r="D2480" t="s">
        <v>51634</v>
      </c>
      <c r="E2480" t="s">
        <v>51635</v>
      </c>
      <c r="F2480" t="s">
        <v>51636</v>
      </c>
      <c r="G2480" t="s">
        <v>51637</v>
      </c>
      <c r="H2480" t="s">
        <v>51638</v>
      </c>
      <c r="I2480" t="s">
        <v>51639</v>
      </c>
      <c r="J2480" t="s">
        <v>51640</v>
      </c>
      <c r="K2480" t="s">
        <v>51641</v>
      </c>
      <c r="L2480" t="s">
        <v>51642</v>
      </c>
      <c r="M2480" t="s">
        <v>51643</v>
      </c>
      <c r="N2480" t="s">
        <v>51644</v>
      </c>
      <c r="O2480">
        <f>-999.365229693413 -37.6489604639717 -485.03416111229</f>
        <v>-1522.0483512696746</v>
      </c>
      <c r="P2480">
        <f>-997.771975450973 -54.1869548350996 -191.239827456258</f>
        <v>-1243.1987577423306</v>
      </c>
      <c r="Q2480">
        <f>-806.7051317666 -24.7922780897543 -335.0462188649</f>
        <v>-1166.5436287212542</v>
      </c>
      <c r="R2480" t="s">
        <v>51645</v>
      </c>
      <c r="S2480" t="s">
        <v>51646</v>
      </c>
      <c r="T2480" t="s">
        <v>51647</v>
      </c>
      <c r="U2480" t="s">
        <v>51648</v>
      </c>
      <c r="V2480" t="s">
        <v>51649</v>
      </c>
      <c r="W2480" t="s">
        <v>51650</v>
      </c>
      <c r="X2480" t="s">
        <v>51651</v>
      </c>
      <c r="Y2480" t="s">
        <v>51652</v>
      </c>
    </row>
    <row r="2481" spans="1:25" x14ac:dyDescent="0.3">
      <c r="A2481">
        <v>124000</v>
      </c>
      <c r="B2481" t="s">
        <v>51653</v>
      </c>
      <c r="C2481" t="s">
        <v>51654</v>
      </c>
      <c r="D2481" t="s">
        <v>51655</v>
      </c>
      <c r="E2481" t="s">
        <v>51656</v>
      </c>
      <c r="F2481" t="s">
        <v>51657</v>
      </c>
      <c r="G2481" t="s">
        <v>51658</v>
      </c>
      <c r="H2481" t="s">
        <v>51659</v>
      </c>
      <c r="I2481" t="s">
        <v>51660</v>
      </c>
      <c r="J2481" t="s">
        <v>51661</v>
      </c>
      <c r="K2481" t="s">
        <v>51662</v>
      </c>
      <c r="L2481" t="s">
        <v>51663</v>
      </c>
      <c r="M2481" t="s">
        <v>51664</v>
      </c>
      <c r="N2481" t="s">
        <v>51665</v>
      </c>
      <c r="O2481">
        <f>-998.40849019717 -37.8193626230714 -484.938685104512</f>
        <v>-1521.1665379247534</v>
      </c>
      <c r="P2481">
        <f>-997.288060315206 -54.0053389069474 -191.122494679486</f>
        <v>-1242.4158939016395</v>
      </c>
      <c r="Q2481">
        <f>-806.142033576172 -24.9324973832117 -334.888974602735</f>
        <v>-1165.9635055621188</v>
      </c>
      <c r="R2481" t="s">
        <v>51666</v>
      </c>
      <c r="S2481" t="s">
        <v>51667</v>
      </c>
      <c r="T2481" t="s">
        <v>51668</v>
      </c>
      <c r="U2481" t="s">
        <v>51669</v>
      </c>
      <c r="V2481" t="s">
        <v>51670</v>
      </c>
      <c r="W2481" t="s">
        <v>51671</v>
      </c>
      <c r="X2481" t="s">
        <v>51672</v>
      </c>
      <c r="Y2481" t="s">
        <v>51673</v>
      </c>
    </row>
    <row r="2482" spans="1:25" x14ac:dyDescent="0.3">
      <c r="A2482">
        <v>124050</v>
      </c>
      <c r="B2482" t="s">
        <v>51674</v>
      </c>
      <c r="C2482" t="s">
        <v>51675</v>
      </c>
      <c r="D2482" t="s">
        <v>51676</v>
      </c>
      <c r="E2482" t="s">
        <v>51677</v>
      </c>
      <c r="F2482" t="s">
        <v>51678</v>
      </c>
      <c r="G2482" t="s">
        <v>51679</v>
      </c>
      <c r="H2482" t="s">
        <v>51680</v>
      </c>
      <c r="I2482" t="s">
        <v>51681</v>
      </c>
      <c r="J2482" t="s">
        <v>51682</v>
      </c>
      <c r="K2482" t="s">
        <v>51683</v>
      </c>
      <c r="L2482" t="s">
        <v>51684</v>
      </c>
      <c r="M2482" t="s">
        <v>51685</v>
      </c>
      <c r="N2482" t="s">
        <v>51686</v>
      </c>
      <c r="O2482">
        <f>-997.94611086834 -37.738450613143 -484.918207777843</f>
        <v>-1520.6027692593261</v>
      </c>
      <c r="P2482">
        <f>-996.974593296902 -53.8390101247078 -191.096822119829</f>
        <v>-1241.9104255414388</v>
      </c>
      <c r="Q2482">
        <f>-805.808769414569 -24.8974677031702 -334.863476489298</f>
        <v>-1165.5697136070371</v>
      </c>
      <c r="R2482" t="s">
        <v>51687</v>
      </c>
      <c r="S2482" t="s">
        <v>51688</v>
      </c>
      <c r="T2482" t="s">
        <v>51689</v>
      </c>
      <c r="U2482" t="s">
        <v>51690</v>
      </c>
      <c r="V2482" t="s">
        <v>51691</v>
      </c>
      <c r="W2482" t="s">
        <v>51692</v>
      </c>
      <c r="X2482" t="s">
        <v>51693</v>
      </c>
      <c r="Y2482" t="s">
        <v>51694</v>
      </c>
    </row>
    <row r="2483" spans="1:25" x14ac:dyDescent="0.3">
      <c r="A2483">
        <v>124100</v>
      </c>
      <c r="B2483" t="s">
        <v>51695</v>
      </c>
      <c r="C2483" t="s">
        <v>51696</v>
      </c>
      <c r="D2483" t="s">
        <v>51697</v>
      </c>
      <c r="E2483" t="s">
        <v>51698</v>
      </c>
      <c r="F2483" t="s">
        <v>51699</v>
      </c>
      <c r="G2483" t="s">
        <v>51700</v>
      </c>
      <c r="H2483" t="s">
        <v>51701</v>
      </c>
      <c r="I2483" t="s">
        <v>51702</v>
      </c>
      <c r="J2483" t="s">
        <v>51703</v>
      </c>
      <c r="K2483" t="s">
        <v>51704</v>
      </c>
      <c r="L2483" t="s">
        <v>51705</v>
      </c>
      <c r="M2483" t="s">
        <v>51706</v>
      </c>
      <c r="N2483" t="s">
        <v>51707</v>
      </c>
      <c r="O2483">
        <f>-997.180785976841 -37.5270967444451 -484.942167963705</f>
        <v>-1519.6500506849911</v>
      </c>
      <c r="P2483">
        <f>-996.418210094691 -53.3936103779329 -191.107343368889</f>
        <v>-1240.9191638415127</v>
      </c>
      <c r="Q2483">
        <f>-805.08597830789 -24.8504988406271 -334.732632062812</f>
        <v>-1164.669109211329</v>
      </c>
      <c r="R2483" t="s">
        <v>51708</v>
      </c>
      <c r="S2483" t="s">
        <v>51709</v>
      </c>
      <c r="T2483" t="s">
        <v>51710</v>
      </c>
      <c r="U2483" t="s">
        <v>51711</v>
      </c>
      <c r="V2483" t="s">
        <v>51712</v>
      </c>
      <c r="W2483" t="s">
        <v>51713</v>
      </c>
      <c r="X2483" t="s">
        <v>51714</v>
      </c>
      <c r="Y2483" t="s">
        <v>51715</v>
      </c>
    </row>
    <row r="2484" spans="1:25" x14ac:dyDescent="0.3">
      <c r="A2484">
        <v>124150</v>
      </c>
      <c r="B2484" t="s">
        <v>51716</v>
      </c>
      <c r="C2484" t="s">
        <v>51717</v>
      </c>
      <c r="D2484" t="s">
        <v>51718</v>
      </c>
      <c r="E2484" t="s">
        <v>51719</v>
      </c>
      <c r="F2484" t="s">
        <v>51720</v>
      </c>
      <c r="G2484" t="s">
        <v>51721</v>
      </c>
      <c r="H2484" t="s">
        <v>51722</v>
      </c>
      <c r="I2484" t="s">
        <v>51723</v>
      </c>
      <c r="J2484" t="s">
        <v>51724</v>
      </c>
      <c r="K2484" t="s">
        <v>51725</v>
      </c>
      <c r="L2484" t="s">
        <v>51726</v>
      </c>
      <c r="M2484" t="s">
        <v>51727</v>
      </c>
      <c r="N2484" t="s">
        <v>51728</v>
      </c>
      <c r="O2484">
        <f>-996.810388416983 -37.4143529814537 -484.964216315936</f>
        <v>-1519.1889577143727</v>
      </c>
      <c r="P2484">
        <f>-996.095005649604 -53.192007573155 -191.12441376972</f>
        <v>-1240.4114269924789</v>
      </c>
      <c r="Q2484">
        <f>-804.721405735604 -24.7894184304291 -334.722548188339</f>
        <v>-1164.233372354372</v>
      </c>
      <c r="R2484" t="s">
        <v>51729</v>
      </c>
      <c r="S2484" t="s">
        <v>51730</v>
      </c>
      <c r="T2484" t="s">
        <v>51731</v>
      </c>
      <c r="U2484" t="s">
        <v>51732</v>
      </c>
      <c r="V2484" t="s">
        <v>51733</v>
      </c>
      <c r="W2484" t="s">
        <v>51734</v>
      </c>
      <c r="X2484" t="s">
        <v>51735</v>
      </c>
      <c r="Y2484" t="s">
        <v>51736</v>
      </c>
    </row>
    <row r="2485" spans="1:25" x14ac:dyDescent="0.3">
      <c r="A2485">
        <v>124200</v>
      </c>
      <c r="B2485" t="s">
        <v>51737</v>
      </c>
      <c r="C2485" t="s">
        <v>51738</v>
      </c>
      <c r="D2485" t="s">
        <v>51739</v>
      </c>
      <c r="E2485" t="s">
        <v>51740</v>
      </c>
      <c r="F2485" t="s">
        <v>51741</v>
      </c>
      <c r="G2485" t="s">
        <v>51742</v>
      </c>
      <c r="H2485" t="s">
        <v>51743</v>
      </c>
      <c r="I2485" t="s">
        <v>51744</v>
      </c>
      <c r="J2485" t="s">
        <v>51745</v>
      </c>
      <c r="K2485" t="s">
        <v>51746</v>
      </c>
      <c r="L2485" t="s">
        <v>51747</v>
      </c>
      <c r="M2485" t="s">
        <v>51748</v>
      </c>
      <c r="N2485" t="s">
        <v>51749</v>
      </c>
      <c r="O2485">
        <f>-995.921649114285 -37.1125834894117 -485.071059376009</f>
        <v>-1518.1052919797057</v>
      </c>
      <c r="P2485">
        <f>-995.399198779729 -53.0135767787076 -191.237632236208</f>
        <v>-1239.6504077946445</v>
      </c>
      <c r="Q2485">
        <f>-803.950825301075 -24.5893326914938 -334.731510834617</f>
        <v>-1163.2716688271857</v>
      </c>
      <c r="R2485" t="s">
        <v>51750</v>
      </c>
      <c r="S2485" t="s">
        <v>51751</v>
      </c>
      <c r="T2485" t="s">
        <v>51752</v>
      </c>
      <c r="U2485" t="s">
        <v>51753</v>
      </c>
      <c r="V2485" t="s">
        <v>51754</v>
      </c>
      <c r="W2485" t="s">
        <v>51755</v>
      </c>
      <c r="X2485" t="s">
        <v>51756</v>
      </c>
      <c r="Y2485" t="s">
        <v>51757</v>
      </c>
    </row>
    <row r="2486" spans="1:25" x14ac:dyDescent="0.3">
      <c r="A2486">
        <v>124250</v>
      </c>
      <c r="B2486" t="s">
        <v>51758</v>
      </c>
      <c r="C2486" t="s">
        <v>51759</v>
      </c>
      <c r="D2486" t="s">
        <v>51760</v>
      </c>
      <c r="E2486" t="s">
        <v>51761</v>
      </c>
      <c r="F2486" t="s">
        <v>51762</v>
      </c>
      <c r="G2486" t="s">
        <v>51763</v>
      </c>
      <c r="H2486" t="s">
        <v>51764</v>
      </c>
      <c r="I2486" t="s">
        <v>51765</v>
      </c>
      <c r="J2486" t="s">
        <v>51766</v>
      </c>
      <c r="K2486" t="s">
        <v>51767</v>
      </c>
      <c r="L2486" t="s">
        <v>51768</v>
      </c>
      <c r="M2486" t="s">
        <v>51769</v>
      </c>
      <c r="N2486" t="s">
        <v>51770</v>
      </c>
      <c r="O2486">
        <f>-995.49204819441 -36.8932735225721 -485.1543478328</f>
        <v>-1517.539669549782</v>
      </c>
      <c r="P2486">
        <f>-995.08769951478 -52.9228015138301 -191.327706946524</f>
        <v>-1239.3382079751339</v>
      </c>
      <c r="Q2486">
        <f>-803.604380083126 -24.3779409646668 -334.750854106372</f>
        <v>-1162.7331751541647</v>
      </c>
      <c r="R2486" t="s">
        <v>51771</v>
      </c>
      <c r="S2486" t="s">
        <v>51772</v>
      </c>
      <c r="T2486" t="s">
        <v>51773</v>
      </c>
      <c r="U2486" t="s">
        <v>51774</v>
      </c>
      <c r="V2486" t="s">
        <v>51775</v>
      </c>
      <c r="W2486" t="s">
        <v>51776</v>
      </c>
      <c r="X2486" t="s">
        <v>51777</v>
      </c>
      <c r="Y2486" t="s">
        <v>51778</v>
      </c>
    </row>
    <row r="2487" spans="1:25" x14ac:dyDescent="0.3">
      <c r="A2487">
        <v>124300</v>
      </c>
      <c r="B2487" t="s">
        <v>51779</v>
      </c>
      <c r="C2487" t="s">
        <v>51780</v>
      </c>
      <c r="D2487" t="s">
        <v>51781</v>
      </c>
      <c r="E2487" t="s">
        <v>51782</v>
      </c>
      <c r="F2487" t="s">
        <v>51783</v>
      </c>
      <c r="G2487" t="s">
        <v>51784</v>
      </c>
      <c r="H2487" t="s">
        <v>51785</v>
      </c>
      <c r="I2487" t="s">
        <v>51786</v>
      </c>
      <c r="J2487" t="s">
        <v>51787</v>
      </c>
      <c r="K2487" t="s">
        <v>51788</v>
      </c>
      <c r="L2487" t="s">
        <v>51789</v>
      </c>
      <c r="M2487" t="s">
        <v>51790</v>
      </c>
      <c r="N2487" t="s">
        <v>51791</v>
      </c>
      <c r="O2487">
        <f>-994.675855654638 -36.6005572229508 -485.433764883958</f>
        <v>-1516.7101777615469</v>
      </c>
      <c r="P2487">
        <f>-994.475103211229 -53.073639381239 -191.631456386962</f>
        <v>-1239.1801989794299</v>
      </c>
      <c r="Q2487">
        <f>-802.923972428644 -24.0267822527831 -334.863230452449</f>
        <v>-1161.813985133876</v>
      </c>
      <c r="R2487" t="s">
        <v>51792</v>
      </c>
      <c r="S2487" t="s">
        <v>51793</v>
      </c>
      <c r="T2487" t="s">
        <v>51794</v>
      </c>
      <c r="U2487" t="s">
        <v>51795</v>
      </c>
      <c r="V2487" t="s">
        <v>51796</v>
      </c>
      <c r="W2487" t="s">
        <v>51797</v>
      </c>
      <c r="X2487" t="s">
        <v>51798</v>
      </c>
      <c r="Y2487" t="s">
        <v>51799</v>
      </c>
    </row>
    <row r="2488" spans="1:25" x14ac:dyDescent="0.3">
      <c r="A2488">
        <v>124350</v>
      </c>
      <c r="B2488" t="s">
        <v>51800</v>
      </c>
      <c r="C2488" t="s">
        <v>51801</v>
      </c>
      <c r="D2488" t="s">
        <v>51802</v>
      </c>
      <c r="E2488" t="s">
        <v>51803</v>
      </c>
      <c r="F2488" t="s">
        <v>51804</v>
      </c>
      <c r="G2488" t="s">
        <v>51805</v>
      </c>
      <c r="H2488" t="s">
        <v>51806</v>
      </c>
      <c r="I2488" t="s">
        <v>51807</v>
      </c>
      <c r="J2488" t="s">
        <v>51808</v>
      </c>
      <c r="K2488" t="s">
        <v>51809</v>
      </c>
      <c r="L2488" t="s">
        <v>51810</v>
      </c>
      <c r="M2488" t="s">
        <v>51811</v>
      </c>
      <c r="N2488" t="s">
        <v>51812</v>
      </c>
      <c r="O2488">
        <f>-994.340683666375 -36.5672000672992 -485.593641422795</f>
        <v>-1516.5015251564691</v>
      </c>
      <c r="P2488">
        <f>-994.263061496701 -53.3535520292451 -191.809072864236</f>
        <v>-1239.4256863901821</v>
      </c>
      <c r="Q2488">
        <f>-802.724572043045 -23.8271868151551 -334.959742103552</f>
        <v>-1161.5115009617521</v>
      </c>
      <c r="R2488" t="s">
        <v>51813</v>
      </c>
      <c r="S2488" t="s">
        <v>51814</v>
      </c>
      <c r="T2488" t="s">
        <v>51815</v>
      </c>
      <c r="U2488" t="s">
        <v>51816</v>
      </c>
      <c r="V2488" t="s">
        <v>51817</v>
      </c>
      <c r="W2488" t="s">
        <v>51818</v>
      </c>
      <c r="X2488" t="s">
        <v>51819</v>
      </c>
      <c r="Y2488" t="s">
        <v>51820</v>
      </c>
    </row>
    <row r="2489" spans="1:25" x14ac:dyDescent="0.3">
      <c r="A2489">
        <v>124400</v>
      </c>
      <c r="B2489" t="s">
        <v>51821</v>
      </c>
      <c r="C2489" t="s">
        <v>51822</v>
      </c>
      <c r="D2489" t="s">
        <v>51823</v>
      </c>
      <c r="E2489" t="s">
        <v>51824</v>
      </c>
      <c r="F2489" t="s">
        <v>51825</v>
      </c>
      <c r="G2489" t="s">
        <v>51826</v>
      </c>
      <c r="H2489" t="s">
        <v>51827</v>
      </c>
      <c r="I2489" t="s">
        <v>51828</v>
      </c>
      <c r="J2489" t="s">
        <v>51829</v>
      </c>
      <c r="K2489" t="s">
        <v>51830</v>
      </c>
      <c r="L2489" t="s">
        <v>51831</v>
      </c>
      <c r="M2489" t="s">
        <v>51832</v>
      </c>
      <c r="N2489" t="s">
        <v>51833</v>
      </c>
      <c r="O2489">
        <f>-993.774099732824 -36.7739657341899 -485.940602234265</f>
        <v>-1516.4886677012789</v>
      </c>
      <c r="P2489">
        <f>-994.103486298532 -54.1039902964994 -192.187675216712</f>
        <v>-1240.3951518117433</v>
      </c>
      <c r="Q2489">
        <f>-802.24816788352 -23.1307108086185 -334.606199266798</f>
        <v>-1159.9850779589365</v>
      </c>
      <c r="R2489" t="s">
        <v>51834</v>
      </c>
      <c r="S2489" t="s">
        <v>51835</v>
      </c>
      <c r="T2489" t="s">
        <v>51836</v>
      </c>
      <c r="U2489" t="s">
        <v>51837</v>
      </c>
      <c r="V2489" t="s">
        <v>51838</v>
      </c>
      <c r="W2489" t="s">
        <v>51839</v>
      </c>
      <c r="X2489" t="s">
        <v>51840</v>
      </c>
      <c r="Y2489" t="s">
        <v>51841</v>
      </c>
    </row>
    <row r="2490" spans="1:25" x14ac:dyDescent="0.3">
      <c r="A2490">
        <v>124450</v>
      </c>
      <c r="B2490" t="s">
        <v>51842</v>
      </c>
      <c r="C2490" t="s">
        <v>51843</v>
      </c>
      <c r="D2490" t="s">
        <v>51844</v>
      </c>
      <c r="E2490" t="s">
        <v>51845</v>
      </c>
      <c r="F2490" t="s">
        <v>51846</v>
      </c>
      <c r="G2490" t="s">
        <v>51847</v>
      </c>
      <c r="H2490" t="s">
        <v>51848</v>
      </c>
      <c r="I2490" t="s">
        <v>51849</v>
      </c>
      <c r="J2490" t="s">
        <v>51850</v>
      </c>
      <c r="K2490" t="s">
        <v>51851</v>
      </c>
      <c r="L2490" t="s">
        <v>51852</v>
      </c>
      <c r="M2490" t="s">
        <v>51853</v>
      </c>
      <c r="N2490" t="s">
        <v>51854</v>
      </c>
      <c r="O2490">
        <f>-993.555562625331 -37.0172670986776 -486.128869569186</f>
        <v>-1516.7016992931947</v>
      </c>
      <c r="P2490">
        <f>-994.287328401522 -54.5624147380618 -192.389375347442</f>
        <v>-1241.2391184870257</v>
      </c>
      <c r="Q2490">
        <f>-801.955031650568 -23.0271754452419 -334.039220100193</f>
        <v>-1159.0214271960031</v>
      </c>
      <c r="R2490" t="s">
        <v>51855</v>
      </c>
      <c r="S2490" t="s">
        <v>51856</v>
      </c>
      <c r="T2490" t="s">
        <v>51857</v>
      </c>
      <c r="U2490" t="s">
        <v>51858</v>
      </c>
      <c r="V2490" t="s">
        <v>51859</v>
      </c>
      <c r="W2490" t="s">
        <v>51860</v>
      </c>
      <c r="X2490" t="s">
        <v>51861</v>
      </c>
      <c r="Y2490" t="s">
        <v>51862</v>
      </c>
    </row>
    <row r="2491" spans="1:25" x14ac:dyDescent="0.3">
      <c r="A2491">
        <v>124500</v>
      </c>
      <c r="B2491" t="s">
        <v>51863</v>
      </c>
      <c r="C2491" t="s">
        <v>51864</v>
      </c>
      <c r="D2491" t="s">
        <v>51865</v>
      </c>
      <c r="E2491" t="s">
        <v>51866</v>
      </c>
      <c r="F2491" t="s">
        <v>51867</v>
      </c>
      <c r="G2491" t="s">
        <v>51868</v>
      </c>
      <c r="H2491" t="s">
        <v>51869</v>
      </c>
      <c r="I2491" t="s">
        <v>51870</v>
      </c>
      <c r="J2491" t="s">
        <v>51871</v>
      </c>
      <c r="K2491" t="s">
        <v>51872</v>
      </c>
      <c r="L2491" t="s">
        <v>51873</v>
      </c>
      <c r="M2491" t="s">
        <v>51874</v>
      </c>
      <c r="N2491" t="s">
        <v>51875</v>
      </c>
      <c r="O2491">
        <f>-993.533479917666 -37.4836090588858 -486.465862155656</f>
        <v>-1517.4829511322077</v>
      </c>
      <c r="P2491">
        <f>-995.331029075482 -55.3185883466103 -192.748395762567</f>
        <v>-1243.3980131846592</v>
      </c>
      <c r="Q2491">
        <f>-802.223366673517 -23.3354304352542 -333.238037766916</f>
        <v>-1158.7968348756872</v>
      </c>
      <c r="R2491" t="s">
        <v>51876</v>
      </c>
      <c r="S2491" t="s">
        <v>51877</v>
      </c>
      <c r="T2491" t="s">
        <v>51878</v>
      </c>
      <c r="U2491" t="s">
        <v>51879</v>
      </c>
      <c r="V2491" t="s">
        <v>51880</v>
      </c>
      <c r="W2491" t="s">
        <v>51881</v>
      </c>
      <c r="X2491" t="s">
        <v>51882</v>
      </c>
      <c r="Y2491" t="s">
        <v>51883</v>
      </c>
    </row>
    <row r="2492" spans="1:25" x14ac:dyDescent="0.3">
      <c r="A2492">
        <v>124550</v>
      </c>
      <c r="B2492" t="s">
        <v>51884</v>
      </c>
      <c r="C2492" t="s">
        <v>51885</v>
      </c>
      <c r="D2492" t="s">
        <v>51886</v>
      </c>
      <c r="E2492" t="s">
        <v>51887</v>
      </c>
      <c r="F2492" t="s">
        <v>51888</v>
      </c>
      <c r="G2492" t="s">
        <v>51889</v>
      </c>
      <c r="H2492" t="s">
        <v>51890</v>
      </c>
      <c r="I2492" t="s">
        <v>51891</v>
      </c>
      <c r="J2492" t="s">
        <v>51892</v>
      </c>
      <c r="K2492" t="s">
        <v>51893</v>
      </c>
      <c r="L2492" t="s">
        <v>51894</v>
      </c>
      <c r="M2492" t="s">
        <v>51895</v>
      </c>
      <c r="N2492" t="s">
        <v>51896</v>
      </c>
      <c r="O2492">
        <f>-993.87623741035 -37.7009532907716 -486.594219449529</f>
        <v>-1518.1714101506504</v>
      </c>
      <c r="P2492">
        <f>-995.905154583968 -55.4473186078033 -192.873031008092</f>
        <v>-1244.2255041998635</v>
      </c>
      <c r="Q2492">
        <f>-802.513958030132 -23.7109799277496 -333.028357548614</f>
        <v>-1159.2532955064955</v>
      </c>
      <c r="R2492" t="s">
        <v>51897</v>
      </c>
      <c r="S2492" t="s">
        <v>51898</v>
      </c>
      <c r="T2492" t="s">
        <v>51899</v>
      </c>
      <c r="U2492" t="s">
        <v>51900</v>
      </c>
      <c r="V2492" t="s">
        <v>51901</v>
      </c>
      <c r="W2492" t="s">
        <v>51902</v>
      </c>
      <c r="X2492" t="s">
        <v>51903</v>
      </c>
      <c r="Y2492" t="s">
        <v>51904</v>
      </c>
    </row>
    <row r="2493" spans="1:25" x14ac:dyDescent="0.3">
      <c r="A2493">
        <v>124600</v>
      </c>
      <c r="B2493" t="s">
        <v>51905</v>
      </c>
      <c r="C2493" t="s">
        <v>51906</v>
      </c>
      <c r="D2493" t="s">
        <v>51907</v>
      </c>
      <c r="E2493" t="s">
        <v>51908</v>
      </c>
      <c r="F2493" t="s">
        <v>51909</v>
      </c>
      <c r="G2493" t="s">
        <v>51910</v>
      </c>
      <c r="H2493" t="s">
        <v>51911</v>
      </c>
      <c r="I2493" t="s">
        <v>51912</v>
      </c>
      <c r="J2493" t="s">
        <v>51913</v>
      </c>
      <c r="K2493" t="s">
        <v>51914</v>
      </c>
      <c r="L2493" t="s">
        <v>51915</v>
      </c>
      <c r="M2493" t="s">
        <v>51916</v>
      </c>
      <c r="N2493" t="s">
        <v>51917</v>
      </c>
      <c r="O2493">
        <f>-994.692155964694 -38.2294051634976 -486.829304521851</f>
        <v>-1519.7508656500427</v>
      </c>
      <c r="P2493">
        <f>-996.724041865818 -56.3694409299796 -193.132246163329</f>
        <v>-1246.2257289591266</v>
      </c>
      <c r="Q2493">
        <f>-803.374641714764 -24.2403199730652 -333.255869857365</f>
        <v>-1160.8708315451943</v>
      </c>
      <c r="R2493" t="s">
        <v>51918</v>
      </c>
      <c r="S2493" t="s">
        <v>51919</v>
      </c>
      <c r="T2493" t="s">
        <v>51920</v>
      </c>
      <c r="U2493" t="s">
        <v>51921</v>
      </c>
      <c r="V2493" t="s">
        <v>51922</v>
      </c>
      <c r="W2493" t="s">
        <v>51923</v>
      </c>
      <c r="X2493" t="s">
        <v>51924</v>
      </c>
      <c r="Y2493" t="s">
        <v>51925</v>
      </c>
    </row>
    <row r="2494" spans="1:25" x14ac:dyDescent="0.3">
      <c r="A2494">
        <v>124650</v>
      </c>
      <c r="B2494" t="s">
        <v>51926</v>
      </c>
      <c r="C2494" t="s">
        <v>51927</v>
      </c>
      <c r="D2494" t="s">
        <v>51928</v>
      </c>
      <c r="E2494" t="s">
        <v>51929</v>
      </c>
      <c r="F2494" t="s">
        <v>51930</v>
      </c>
      <c r="G2494" t="s">
        <v>51931</v>
      </c>
      <c r="H2494" t="s">
        <v>51932</v>
      </c>
      <c r="I2494" t="s">
        <v>51933</v>
      </c>
      <c r="J2494" t="s">
        <v>51934</v>
      </c>
      <c r="K2494" t="s">
        <v>51935</v>
      </c>
      <c r="L2494" t="s">
        <v>51936</v>
      </c>
      <c r="M2494" t="s">
        <v>51937</v>
      </c>
      <c r="N2494" t="s">
        <v>51938</v>
      </c>
      <c r="O2494">
        <f>-995.058543072268 -38.5880634107446 -486.933959547576</f>
        <v>-1520.5805660305887</v>
      </c>
      <c r="P2494">
        <f>-997.081085849944 -57.0199828370373 -193.254904912674</f>
        <v>-1247.3559735996553</v>
      </c>
      <c r="Q2494">
        <f>-804.037351583397 -24.3400797106583 -333.672207029802</f>
        <v>-1162.0496383238574</v>
      </c>
      <c r="R2494" t="s">
        <v>51939</v>
      </c>
      <c r="S2494" t="s">
        <v>51940</v>
      </c>
      <c r="T2494" t="s">
        <v>51941</v>
      </c>
      <c r="U2494" t="s">
        <v>51942</v>
      </c>
      <c r="V2494" t="s">
        <v>51943</v>
      </c>
      <c r="W2494" t="s">
        <v>51944</v>
      </c>
      <c r="X2494" t="s">
        <v>51945</v>
      </c>
      <c r="Y2494" t="s">
        <v>51946</v>
      </c>
    </row>
    <row r="2495" spans="1:25" x14ac:dyDescent="0.3">
      <c r="A2495">
        <v>124700</v>
      </c>
      <c r="B2495" t="s">
        <v>51947</v>
      </c>
      <c r="C2495" t="s">
        <v>51948</v>
      </c>
      <c r="D2495" t="s">
        <v>51949</v>
      </c>
      <c r="E2495" t="s">
        <v>51950</v>
      </c>
      <c r="F2495" t="s">
        <v>51951</v>
      </c>
      <c r="G2495" t="s">
        <v>51952</v>
      </c>
      <c r="H2495" t="s">
        <v>51953</v>
      </c>
      <c r="I2495" t="s">
        <v>51954</v>
      </c>
      <c r="J2495" t="s">
        <v>51955</v>
      </c>
      <c r="K2495" t="s">
        <v>51956</v>
      </c>
      <c r="L2495" t="s">
        <v>51957</v>
      </c>
      <c r="M2495" t="s">
        <v>51958</v>
      </c>
      <c r="N2495" t="s">
        <v>51959</v>
      </c>
      <c r="O2495">
        <f>-995.737332646214 -39.1408611196885 -487.142574439719</f>
        <v>-1522.0207682056216</v>
      </c>
      <c r="P2495">
        <f>-997.870705138021 -58.2924090945744 -193.51025650766</f>
        <v>-1249.6733707402555</v>
      </c>
      <c r="Q2495">
        <f>-805.836566467148 -23.1332410542914 -334.711061447697</f>
        <v>-1163.6808689691363</v>
      </c>
      <c r="R2495" t="s">
        <v>51960</v>
      </c>
      <c r="S2495" t="s">
        <v>51961</v>
      </c>
      <c r="T2495" t="s">
        <v>51962</v>
      </c>
      <c r="U2495" t="s">
        <v>51963</v>
      </c>
      <c r="V2495" t="s">
        <v>51964</v>
      </c>
      <c r="W2495" t="s">
        <v>51965</v>
      </c>
      <c r="X2495" t="s">
        <v>51966</v>
      </c>
      <c r="Y2495" t="s">
        <v>51967</v>
      </c>
    </row>
    <row r="2496" spans="1:25" x14ac:dyDescent="0.3">
      <c r="A2496">
        <v>124750</v>
      </c>
      <c r="B2496" t="s">
        <v>51968</v>
      </c>
      <c r="C2496" t="s">
        <v>51969</v>
      </c>
      <c r="D2496" t="s">
        <v>51970</v>
      </c>
      <c r="E2496" t="s">
        <v>51971</v>
      </c>
      <c r="F2496" t="s">
        <v>51972</v>
      </c>
      <c r="G2496" t="s">
        <v>51973</v>
      </c>
      <c r="H2496" t="s">
        <v>51974</v>
      </c>
      <c r="I2496" t="s">
        <v>51975</v>
      </c>
      <c r="J2496" t="s">
        <v>51976</v>
      </c>
      <c r="K2496" t="s">
        <v>51977</v>
      </c>
      <c r="L2496" t="s">
        <v>51978</v>
      </c>
      <c r="M2496" t="s">
        <v>51979</v>
      </c>
      <c r="N2496" t="s">
        <v>51980</v>
      </c>
      <c r="O2496">
        <f>-996.121383135811 -39.3929418346193 -487.241516642598</f>
        <v>-1522.7558416130285</v>
      </c>
      <c r="P2496">
        <f>-998.213762993124 -58.891659679894 -193.631845934563</f>
        <v>-1250.737268607581</v>
      </c>
      <c r="Q2496">
        <f>-806.36171944654 -22.9407909030451 -334.880681172606</f>
        <v>-1164.183191522191</v>
      </c>
      <c r="R2496" t="s">
        <v>51981</v>
      </c>
      <c r="S2496" t="s">
        <v>51982</v>
      </c>
      <c r="T2496" t="s">
        <v>51983</v>
      </c>
      <c r="U2496" t="s">
        <v>51984</v>
      </c>
      <c r="V2496" t="s">
        <v>51985</v>
      </c>
      <c r="W2496" t="s">
        <v>51986</v>
      </c>
      <c r="X2496" t="s">
        <v>51987</v>
      </c>
      <c r="Y2496" t="s">
        <v>51988</v>
      </c>
    </row>
    <row r="2497" spans="1:25" x14ac:dyDescent="0.3">
      <c r="A2497">
        <v>124800</v>
      </c>
      <c r="B2497" t="s">
        <v>51989</v>
      </c>
      <c r="C2497" t="s">
        <v>51990</v>
      </c>
      <c r="D2497" t="s">
        <v>51991</v>
      </c>
      <c r="E2497" t="s">
        <v>51992</v>
      </c>
      <c r="F2497" t="s">
        <v>51993</v>
      </c>
      <c r="G2497" t="s">
        <v>51994</v>
      </c>
      <c r="H2497" t="s">
        <v>51995</v>
      </c>
      <c r="I2497" t="s">
        <v>51996</v>
      </c>
      <c r="J2497" t="s">
        <v>51997</v>
      </c>
      <c r="K2497" t="s">
        <v>51998</v>
      </c>
      <c r="L2497" t="s">
        <v>51999</v>
      </c>
      <c r="M2497" t="s">
        <v>52000</v>
      </c>
      <c r="N2497" t="s">
        <v>52001</v>
      </c>
      <c r="O2497">
        <f>-996.814936987611 -40.0165503265991 -487.339756661355</f>
        <v>-1524.1712439755652</v>
      </c>
      <c r="P2497">
        <f>-998.592598776685 -59.8651505684475 -193.751479661273</f>
        <v>-1252.2092290064054</v>
      </c>
      <c r="Q2497">
        <f>-806.768050561677 -22.9923900181125 -334.799856388819</f>
        <v>-1164.5602969686086</v>
      </c>
      <c r="R2497" t="s">
        <v>52002</v>
      </c>
      <c r="S2497" t="s">
        <v>52003</v>
      </c>
      <c r="T2497" t="s">
        <v>52004</v>
      </c>
      <c r="U2497" t="s">
        <v>52005</v>
      </c>
      <c r="V2497" t="s">
        <v>52006</v>
      </c>
      <c r="W2497" t="s">
        <v>52007</v>
      </c>
      <c r="X2497" t="s">
        <v>52008</v>
      </c>
      <c r="Y2497" t="s">
        <v>52009</v>
      </c>
    </row>
    <row r="2498" spans="1:25" x14ac:dyDescent="0.3">
      <c r="A2498">
        <v>124850</v>
      </c>
      <c r="B2498" t="s">
        <v>52010</v>
      </c>
      <c r="C2498" t="s">
        <v>52011</v>
      </c>
      <c r="D2498" t="s">
        <v>52012</v>
      </c>
      <c r="E2498" t="s">
        <v>52013</v>
      </c>
      <c r="F2498" t="s">
        <v>52014</v>
      </c>
      <c r="G2498" t="s">
        <v>52015</v>
      </c>
      <c r="H2498" t="s">
        <v>52016</v>
      </c>
      <c r="I2498" t="s">
        <v>52017</v>
      </c>
      <c r="J2498" t="s">
        <v>52018</v>
      </c>
      <c r="K2498" t="s">
        <v>52019</v>
      </c>
      <c r="L2498" t="s">
        <v>52020</v>
      </c>
      <c r="M2498" t="s">
        <v>52021</v>
      </c>
      <c r="N2498" t="s">
        <v>52022</v>
      </c>
      <c r="O2498">
        <f>-997.116946330666 -40.3424034306775 -487.346784776532</f>
        <v>-1524.8061345378756</v>
      </c>
      <c r="P2498">
        <f>-998.835942176212 -60.3549104402027 -193.769385406029</f>
        <v>-1252.9602380224437</v>
      </c>
      <c r="Q2498">
        <f>-806.892980564105 -23.0717020254174 -334.548459439362</f>
        <v>-1164.5131420288844</v>
      </c>
      <c r="R2498" t="s">
        <v>52023</v>
      </c>
      <c r="S2498" t="s">
        <v>52024</v>
      </c>
      <c r="T2498" t="s">
        <v>52025</v>
      </c>
      <c r="U2498" t="s">
        <v>52026</v>
      </c>
      <c r="V2498" t="s">
        <v>52027</v>
      </c>
      <c r="W2498" t="s">
        <v>52028</v>
      </c>
      <c r="X2498" t="s">
        <v>52029</v>
      </c>
      <c r="Y2498" t="s">
        <v>52030</v>
      </c>
    </row>
    <row r="2499" spans="1:25" x14ac:dyDescent="0.3">
      <c r="A2499">
        <v>124900</v>
      </c>
      <c r="B2499" t="s">
        <v>52031</v>
      </c>
      <c r="C2499" t="s">
        <v>52032</v>
      </c>
      <c r="D2499" t="s">
        <v>52033</v>
      </c>
      <c r="E2499" t="s">
        <v>52034</v>
      </c>
      <c r="F2499" t="s">
        <v>52035</v>
      </c>
      <c r="G2499" t="s">
        <v>52036</v>
      </c>
      <c r="H2499" t="s">
        <v>52037</v>
      </c>
      <c r="I2499" t="s">
        <v>52038</v>
      </c>
      <c r="J2499" t="s">
        <v>52039</v>
      </c>
      <c r="K2499" t="s">
        <v>52040</v>
      </c>
      <c r="L2499" t="s">
        <v>52041</v>
      </c>
      <c r="M2499" t="s">
        <v>52042</v>
      </c>
      <c r="N2499" t="s">
        <v>52043</v>
      </c>
      <c r="O2499">
        <f>-997.429223699128 -41.0308323213458 -487.358042754796</f>
        <v>-1525.8180987752698</v>
      </c>
      <c r="P2499">
        <f>-998.984870302956 -61.305127868412 -193.797554463045</f>
        <v>-1254.087552634413</v>
      </c>
      <c r="Q2499">
        <f>-806.936009707954 -23.2764525352945 -334.232228245351</f>
        <v>-1164.4446904885995</v>
      </c>
      <c r="R2499" t="s">
        <v>52044</v>
      </c>
      <c r="S2499" t="s">
        <v>52045</v>
      </c>
      <c r="T2499" t="s">
        <v>52046</v>
      </c>
      <c r="U2499" t="s">
        <v>52047</v>
      </c>
      <c r="V2499" t="s">
        <v>52048</v>
      </c>
      <c r="W2499" t="s">
        <v>52049</v>
      </c>
      <c r="X2499" t="s">
        <v>52050</v>
      </c>
      <c r="Y2499" t="s">
        <v>52051</v>
      </c>
    </row>
    <row r="2500" spans="1:25" x14ac:dyDescent="0.3">
      <c r="A2500">
        <v>124950</v>
      </c>
      <c r="B2500" t="s">
        <v>52052</v>
      </c>
      <c r="C2500" t="s">
        <v>52053</v>
      </c>
      <c r="D2500" t="s">
        <v>52054</v>
      </c>
      <c r="E2500" t="s">
        <v>52055</v>
      </c>
      <c r="F2500" t="s">
        <v>52056</v>
      </c>
      <c r="G2500" t="s">
        <v>52057</v>
      </c>
      <c r="H2500" t="s">
        <v>52058</v>
      </c>
      <c r="I2500" t="s">
        <v>52059</v>
      </c>
      <c r="J2500" t="s">
        <v>52060</v>
      </c>
      <c r="K2500" t="s">
        <v>52061</v>
      </c>
      <c r="L2500" t="s">
        <v>52062</v>
      </c>
      <c r="M2500" t="s">
        <v>52063</v>
      </c>
      <c r="N2500" t="s">
        <v>52064</v>
      </c>
      <c r="O2500">
        <f>-997.561489295014 -41.3143543714471 -487.340268429961</f>
        <v>-1526.2161120964222</v>
      </c>
      <c r="P2500">
        <f>-998.97857742726 -61.6431675937038 -193.782924274312</f>
        <v>-1254.4046692952757</v>
      </c>
      <c r="Q2500">
        <f>-806.875565763484 -23.2644182694376 -334.048430003239</f>
        <v>-1164.1884140361606</v>
      </c>
      <c r="R2500" t="s">
        <v>52065</v>
      </c>
      <c r="S2500" t="s">
        <v>52066</v>
      </c>
      <c r="T2500" t="s">
        <v>52067</v>
      </c>
      <c r="U2500" t="s">
        <v>52068</v>
      </c>
      <c r="V2500" t="s">
        <v>52069</v>
      </c>
      <c r="W2500" t="s">
        <v>52070</v>
      </c>
      <c r="X2500" t="s">
        <v>52071</v>
      </c>
      <c r="Y2500" t="s">
        <v>52072</v>
      </c>
    </row>
    <row r="2501" spans="1:25" x14ac:dyDescent="0.3">
      <c r="A2501">
        <v>125000</v>
      </c>
      <c r="B2501" t="s">
        <v>52073</v>
      </c>
      <c r="C2501" t="s">
        <v>52074</v>
      </c>
      <c r="D2501" t="s">
        <v>52075</v>
      </c>
      <c r="E2501" t="s">
        <v>52076</v>
      </c>
      <c r="F2501" t="s">
        <v>52077</v>
      </c>
      <c r="G2501" t="s">
        <v>52078</v>
      </c>
      <c r="H2501" t="s">
        <v>52079</v>
      </c>
      <c r="I2501" t="s">
        <v>52080</v>
      </c>
      <c r="J2501" t="s">
        <v>52081</v>
      </c>
      <c r="K2501" t="s">
        <v>52082</v>
      </c>
      <c r="L2501" t="s">
        <v>52083</v>
      </c>
      <c r="M2501" t="s">
        <v>52084</v>
      </c>
      <c r="N2501" t="s">
        <v>52085</v>
      </c>
      <c r="O2501">
        <f>-997.699210279746 -41.9951242505547 -487.246017053577</f>
        <v>-1526.9403515838776</v>
      </c>
      <c r="P2501">
        <f>-999.023663266673 -62.222072957301 -193.681200971552</f>
        <v>-1254.9269371955261</v>
      </c>
      <c r="Q2501">
        <f>-806.817265774089 -23.1986782665417 -333.627125936907</f>
        <v>-1163.6430699775378</v>
      </c>
      <c r="R2501" t="s">
        <v>52086</v>
      </c>
      <c r="S2501" t="s">
        <v>52087</v>
      </c>
      <c r="T2501" t="s">
        <v>52088</v>
      </c>
      <c r="U2501" t="s">
        <v>52089</v>
      </c>
      <c r="V2501" t="s">
        <v>52090</v>
      </c>
      <c r="W2501" t="s">
        <v>52091</v>
      </c>
      <c r="X2501" t="s">
        <v>52092</v>
      </c>
      <c r="Y2501" t="s">
        <v>52093</v>
      </c>
    </row>
    <row r="2502" spans="1:25" x14ac:dyDescent="0.3">
      <c r="A2502">
        <v>125050</v>
      </c>
      <c r="B2502" t="s">
        <v>52094</v>
      </c>
      <c r="C2502" t="s">
        <v>52095</v>
      </c>
      <c r="D2502" t="s">
        <v>52096</v>
      </c>
      <c r="E2502" t="s">
        <v>52097</v>
      </c>
      <c r="F2502" t="s">
        <v>52098</v>
      </c>
      <c r="G2502" t="s">
        <v>52099</v>
      </c>
      <c r="H2502" t="s">
        <v>52100</v>
      </c>
      <c r="I2502" t="s">
        <v>52101</v>
      </c>
      <c r="J2502" t="s">
        <v>52102</v>
      </c>
      <c r="K2502" t="s">
        <v>52103</v>
      </c>
      <c r="L2502" t="s">
        <v>52104</v>
      </c>
      <c r="M2502" t="s">
        <v>52105</v>
      </c>
      <c r="N2502" t="s">
        <v>52106</v>
      </c>
      <c r="O2502">
        <f>-997.615463531941 -42.2910968792539 -487.213005455773</f>
        <v>-1527.1195658669681</v>
      </c>
      <c r="P2502">
        <f>-998.89693562756 -62.4384433437979 -193.642470911827</f>
        <v>-1254.9778498831847</v>
      </c>
      <c r="Q2502">
        <f>-806.788760622911 -23.0209473701948 -333.612545251531</f>
        <v>-1163.4222532446367</v>
      </c>
      <c r="R2502" t="s">
        <v>52107</v>
      </c>
      <c r="S2502" t="s">
        <v>52108</v>
      </c>
      <c r="T2502" t="s">
        <v>52109</v>
      </c>
      <c r="U2502" t="s">
        <v>52110</v>
      </c>
      <c r="V2502" t="s">
        <v>52111</v>
      </c>
      <c r="W2502" t="s">
        <v>52112</v>
      </c>
      <c r="X2502" t="s">
        <v>52113</v>
      </c>
      <c r="Y2502" t="s">
        <v>52114</v>
      </c>
    </row>
    <row r="2503" spans="1:25" x14ac:dyDescent="0.3">
      <c r="A2503">
        <v>125100</v>
      </c>
      <c r="B2503" t="s">
        <v>52115</v>
      </c>
      <c r="C2503" t="s">
        <v>52116</v>
      </c>
      <c r="D2503" t="s">
        <v>52117</v>
      </c>
      <c r="E2503" t="s">
        <v>52118</v>
      </c>
      <c r="F2503" t="s">
        <v>52119</v>
      </c>
      <c r="G2503" t="s">
        <v>52120</v>
      </c>
      <c r="H2503" t="s">
        <v>52121</v>
      </c>
      <c r="I2503" t="s">
        <v>52122</v>
      </c>
      <c r="J2503" t="s">
        <v>52123</v>
      </c>
      <c r="K2503" t="s">
        <v>52124</v>
      </c>
      <c r="L2503" t="s">
        <v>52125</v>
      </c>
      <c r="M2503" t="s">
        <v>52126</v>
      </c>
      <c r="N2503" t="s">
        <v>52127</v>
      </c>
      <c r="O2503">
        <f>-997.380803065963 -42.8092378270485 -487.12706127805</f>
        <v>-1527.3171021710616</v>
      </c>
      <c r="P2503">
        <f>-998.475227671387 -62.9689327070789 -193.556652126732</f>
        <v>-1255.0008125051977</v>
      </c>
      <c r="Q2503">
        <f>-806.636712681898 -22.3748091765956 -333.560078783081</f>
        <v>-1162.5716006415746</v>
      </c>
      <c r="R2503" t="s">
        <v>52128</v>
      </c>
      <c r="S2503" t="s">
        <v>52129</v>
      </c>
      <c r="T2503" t="s">
        <v>52130</v>
      </c>
      <c r="U2503" t="s">
        <v>52131</v>
      </c>
      <c r="V2503" t="s">
        <v>52132</v>
      </c>
      <c r="W2503" t="s">
        <v>52133</v>
      </c>
      <c r="X2503" t="s">
        <v>52134</v>
      </c>
      <c r="Y2503" t="s">
        <v>52135</v>
      </c>
    </row>
    <row r="2504" spans="1:25" x14ac:dyDescent="0.3">
      <c r="A2504">
        <v>125150</v>
      </c>
      <c r="B2504" t="s">
        <v>52136</v>
      </c>
      <c r="C2504" t="s">
        <v>52137</v>
      </c>
      <c r="D2504" t="s">
        <v>52138</v>
      </c>
      <c r="E2504" t="s">
        <v>52139</v>
      </c>
      <c r="F2504" t="s">
        <v>52140</v>
      </c>
      <c r="G2504" t="s">
        <v>52141</v>
      </c>
      <c r="H2504" t="s">
        <v>52142</v>
      </c>
      <c r="I2504" t="s">
        <v>52143</v>
      </c>
      <c r="J2504" t="s">
        <v>52144</v>
      </c>
      <c r="K2504" t="s">
        <v>52145</v>
      </c>
      <c r="L2504" t="s">
        <v>52146</v>
      </c>
      <c r="M2504" t="s">
        <v>52147</v>
      </c>
      <c r="N2504" t="s">
        <v>52148</v>
      </c>
      <c r="O2504">
        <f>-997.222329726356 -43.0110740166956 -487.092727651329</f>
        <v>-1527.3261313943804</v>
      </c>
      <c r="P2504">
        <f>-998.203019180896 -63.0376772376842 -193.51280292989</f>
        <v>-1254.7534993484703</v>
      </c>
      <c r="Q2504">
        <f>-806.447208427603 -22.0319593197537 -333.509336788346</f>
        <v>-1161.9885045357028</v>
      </c>
      <c r="R2504" t="s">
        <v>52149</v>
      </c>
      <c r="S2504" t="s">
        <v>52150</v>
      </c>
      <c r="T2504" t="s">
        <v>52151</v>
      </c>
      <c r="U2504" t="s">
        <v>52152</v>
      </c>
      <c r="V2504" t="s">
        <v>52153</v>
      </c>
      <c r="W2504" t="s">
        <v>52154</v>
      </c>
      <c r="X2504" t="s">
        <v>52155</v>
      </c>
      <c r="Y2504" t="s">
        <v>52156</v>
      </c>
    </row>
    <row r="2505" spans="1:25" x14ac:dyDescent="0.3">
      <c r="A2505">
        <v>125200</v>
      </c>
      <c r="B2505" t="s">
        <v>52157</v>
      </c>
      <c r="C2505" t="s">
        <v>52158</v>
      </c>
      <c r="D2505" t="s">
        <v>52159</v>
      </c>
      <c r="E2505" t="s">
        <v>52160</v>
      </c>
      <c r="F2505" t="s">
        <v>52161</v>
      </c>
      <c r="G2505" t="s">
        <v>52162</v>
      </c>
      <c r="H2505" t="s">
        <v>52163</v>
      </c>
      <c r="I2505" t="s">
        <v>52164</v>
      </c>
      <c r="J2505" t="s">
        <v>52165</v>
      </c>
      <c r="K2505" t="s">
        <v>52166</v>
      </c>
      <c r="L2505" t="s">
        <v>52167</v>
      </c>
      <c r="M2505" t="s">
        <v>52168</v>
      </c>
      <c r="N2505" t="s">
        <v>52169</v>
      </c>
      <c r="O2505">
        <f>-996.876271895521 -43.678820268321 -487.017653539055</f>
        <v>-1527.572745702897</v>
      </c>
      <c r="P2505">
        <f>-997.829980464537 -63.5009302489593 -193.42374819843</f>
        <v>-1254.7546589119263</v>
      </c>
      <c r="Q2505">
        <f>-806.175362165486 -22.0770219064884 -333.435996497702</f>
        <v>-1161.6883805696764</v>
      </c>
      <c r="R2505" t="s">
        <v>52170</v>
      </c>
      <c r="S2505" t="s">
        <v>52171</v>
      </c>
      <c r="T2505" t="s">
        <v>52172</v>
      </c>
      <c r="U2505" t="s">
        <v>52173</v>
      </c>
      <c r="V2505" t="s">
        <v>52174</v>
      </c>
      <c r="W2505" t="s">
        <v>52175</v>
      </c>
      <c r="X2505" t="s">
        <v>52176</v>
      </c>
      <c r="Y2505" t="s">
        <v>52177</v>
      </c>
    </row>
    <row r="2506" spans="1:25" x14ac:dyDescent="0.3">
      <c r="A2506">
        <v>125250</v>
      </c>
      <c r="B2506" t="s">
        <v>52178</v>
      </c>
      <c r="C2506" t="s">
        <v>52179</v>
      </c>
      <c r="D2506" t="s">
        <v>52180</v>
      </c>
      <c r="E2506" t="s">
        <v>52181</v>
      </c>
      <c r="F2506" t="s">
        <v>52182</v>
      </c>
      <c r="G2506" t="s">
        <v>52183</v>
      </c>
      <c r="H2506" t="s">
        <v>52184</v>
      </c>
      <c r="I2506" t="s">
        <v>52185</v>
      </c>
      <c r="J2506" t="s">
        <v>52186</v>
      </c>
      <c r="K2506" t="s">
        <v>52187</v>
      </c>
      <c r="L2506" t="s">
        <v>52188</v>
      </c>
      <c r="M2506" t="s">
        <v>52189</v>
      </c>
      <c r="N2506" t="s">
        <v>52190</v>
      </c>
      <c r="O2506">
        <f>-996.660981584802 -43.9702710819379 -486.976886308429</f>
        <v>-1527.6081389751689</v>
      </c>
      <c r="P2506">
        <f>-997.668578777095 -63.711687079064 -193.377691912841</f>
        <v>-1254.7579577689999</v>
      </c>
      <c r="Q2506">
        <f>-806.063171298116 -21.8670345773139 -333.332269768378</f>
        <v>-1161.2624756438079</v>
      </c>
      <c r="R2506" t="s">
        <v>52191</v>
      </c>
      <c r="S2506" t="s">
        <v>52192</v>
      </c>
      <c r="T2506" t="s">
        <v>52193</v>
      </c>
      <c r="U2506" t="s">
        <v>52194</v>
      </c>
      <c r="V2506" t="s">
        <v>52195</v>
      </c>
      <c r="W2506" t="s">
        <v>52196</v>
      </c>
      <c r="X2506" t="s">
        <v>52197</v>
      </c>
      <c r="Y2506" t="s">
        <v>52198</v>
      </c>
    </row>
    <row r="2507" spans="1:25" x14ac:dyDescent="0.3">
      <c r="A2507">
        <v>125300</v>
      </c>
      <c r="B2507" t="s">
        <v>52199</v>
      </c>
      <c r="C2507" t="s">
        <v>52200</v>
      </c>
      <c r="D2507" t="s">
        <v>52201</v>
      </c>
      <c r="E2507" t="s">
        <v>52202</v>
      </c>
      <c r="F2507" t="s">
        <v>52203</v>
      </c>
      <c r="G2507" t="s">
        <v>52204</v>
      </c>
      <c r="H2507" t="s">
        <v>52205</v>
      </c>
      <c r="I2507" t="s">
        <v>52206</v>
      </c>
      <c r="J2507" t="s">
        <v>52207</v>
      </c>
      <c r="K2507" t="s">
        <v>52208</v>
      </c>
      <c r="L2507" t="s">
        <v>52209</v>
      </c>
      <c r="M2507" t="s">
        <v>52210</v>
      </c>
      <c r="N2507" t="s">
        <v>52211</v>
      </c>
      <c r="O2507">
        <f>-996.127063508319 -44.6191769895372 -486.889531809674</f>
        <v>-1527.6357723075303</v>
      </c>
      <c r="P2507">
        <f>-997.282162784404 -64.1721696213026 -193.278298126662</f>
        <v>-1254.7326305323688</v>
      </c>
      <c r="Q2507">
        <f>-805.70556881253 -21.0645137566394 -332.888338791993</f>
        <v>-1159.6584213611625</v>
      </c>
      <c r="R2507" t="s">
        <v>52212</v>
      </c>
      <c r="S2507" t="s">
        <v>52213</v>
      </c>
      <c r="T2507" t="s">
        <v>52214</v>
      </c>
      <c r="U2507" t="s">
        <v>52215</v>
      </c>
      <c r="V2507" t="s">
        <v>52216</v>
      </c>
      <c r="W2507" t="s">
        <v>52217</v>
      </c>
      <c r="X2507" t="s">
        <v>52218</v>
      </c>
      <c r="Y2507" t="s">
        <v>52219</v>
      </c>
    </row>
    <row r="2508" spans="1:25" x14ac:dyDescent="0.3">
      <c r="A2508">
        <v>125350</v>
      </c>
      <c r="B2508" t="s">
        <v>52220</v>
      </c>
      <c r="C2508" t="s">
        <v>52221</v>
      </c>
      <c r="D2508" t="s">
        <v>52222</v>
      </c>
      <c r="E2508" t="s">
        <v>52223</v>
      </c>
      <c r="F2508" t="s">
        <v>52224</v>
      </c>
      <c r="G2508" t="s">
        <v>52225</v>
      </c>
      <c r="H2508" t="s">
        <v>52226</v>
      </c>
      <c r="I2508" t="s">
        <v>52227</v>
      </c>
      <c r="J2508" t="s">
        <v>52228</v>
      </c>
      <c r="K2508" t="s">
        <v>52229</v>
      </c>
      <c r="L2508" t="s">
        <v>52230</v>
      </c>
      <c r="M2508" t="s">
        <v>52231</v>
      </c>
      <c r="N2508" t="s">
        <v>52232</v>
      </c>
      <c r="O2508">
        <f>-995.779504718314 -44.8840066390399 -486.833631995091</f>
        <v>-1527.4971433524449</v>
      </c>
      <c r="P2508">
        <f>-997.097845723531 -64.2464070192561 -193.21035071439</f>
        <v>-1254.5546034571771</v>
      </c>
      <c r="Q2508">
        <f>-805.448429172806 -20.6996803811539 -332.583916377556</f>
        <v>-1158.7320259315159</v>
      </c>
      <c r="R2508" t="s">
        <v>52233</v>
      </c>
      <c r="S2508" t="s">
        <v>52234</v>
      </c>
      <c r="T2508" t="s">
        <v>52235</v>
      </c>
      <c r="U2508" t="s">
        <v>52236</v>
      </c>
      <c r="V2508" t="s">
        <v>52237</v>
      </c>
      <c r="W2508" t="s">
        <v>52238</v>
      </c>
      <c r="X2508" t="s">
        <v>52239</v>
      </c>
      <c r="Y2508" t="s">
        <v>52240</v>
      </c>
    </row>
    <row r="2509" spans="1:25" x14ac:dyDescent="0.3">
      <c r="A2509">
        <v>125400</v>
      </c>
      <c r="B2509" t="s">
        <v>52241</v>
      </c>
      <c r="C2509" t="s">
        <v>52242</v>
      </c>
      <c r="D2509" t="s">
        <v>52243</v>
      </c>
      <c r="E2509" t="s">
        <v>52244</v>
      </c>
      <c r="F2509" t="s">
        <v>52245</v>
      </c>
      <c r="G2509" t="s">
        <v>52246</v>
      </c>
      <c r="H2509" t="s">
        <v>52247</v>
      </c>
      <c r="I2509" t="s">
        <v>52248</v>
      </c>
      <c r="J2509" t="s">
        <v>52249</v>
      </c>
      <c r="K2509" t="s">
        <v>52250</v>
      </c>
      <c r="L2509" t="s">
        <v>52251</v>
      </c>
      <c r="M2509" t="s">
        <v>52252</v>
      </c>
      <c r="N2509" t="s">
        <v>52253</v>
      </c>
      <c r="O2509">
        <f>-995.374881120991 -45.1120630460009 -486.766206505378</f>
        <v>-1527.2531506723699</v>
      </c>
      <c r="P2509">
        <f>-996.856653052455 -64.2735379154719 -193.130634548969</f>
        <v>-1254.2608255168959</v>
      </c>
      <c r="Q2509">
        <f>-805.252702260345 -20.2798717336627 -332.426773682498</f>
        <v>-1157.9593476765058</v>
      </c>
      <c r="R2509" t="s">
        <v>52254</v>
      </c>
      <c r="S2509" t="s">
        <v>52255</v>
      </c>
      <c r="T2509" t="s">
        <v>52256</v>
      </c>
      <c r="U2509" t="s">
        <v>52257</v>
      </c>
      <c r="V2509" t="s">
        <v>52258</v>
      </c>
      <c r="W2509" t="s">
        <v>52259</v>
      </c>
      <c r="X2509" t="s">
        <v>52260</v>
      </c>
      <c r="Y2509" t="s">
        <v>52261</v>
      </c>
    </row>
    <row r="2510" spans="1:25" x14ac:dyDescent="0.3">
      <c r="A2510">
        <v>125450</v>
      </c>
      <c r="B2510" t="s">
        <v>52262</v>
      </c>
      <c r="C2510" t="s">
        <v>52263</v>
      </c>
      <c r="D2510" t="s">
        <v>52264</v>
      </c>
      <c r="E2510" t="s">
        <v>52265</v>
      </c>
      <c r="F2510" t="s">
        <v>52266</v>
      </c>
      <c r="G2510" t="s">
        <v>52267</v>
      </c>
      <c r="H2510" t="s">
        <v>52268</v>
      </c>
      <c r="I2510" t="s">
        <v>52269</v>
      </c>
      <c r="J2510" t="s">
        <v>52270</v>
      </c>
      <c r="K2510" t="s">
        <v>52271</v>
      </c>
      <c r="L2510" t="s">
        <v>52272</v>
      </c>
      <c r="M2510" t="s">
        <v>52273</v>
      </c>
      <c r="N2510" t="s">
        <v>52274</v>
      </c>
      <c r="O2510">
        <f>-994.423408776683 -45.4283151626303 -486.634607924197</f>
        <v>-1526.4863318635103</v>
      </c>
      <c r="P2510">
        <f>-996.193194387054 -64.3101791795928 -192.982724589686</f>
        <v>-1253.4860981563329</v>
      </c>
      <c r="Q2510">
        <f>-804.559809132821 -19.8603303647401 -332.092973001218</f>
        <v>-1156.513112498779</v>
      </c>
      <c r="R2510" t="s">
        <v>52275</v>
      </c>
      <c r="S2510" t="s">
        <v>52276</v>
      </c>
      <c r="T2510" t="s">
        <v>52277</v>
      </c>
      <c r="U2510" t="s">
        <v>52278</v>
      </c>
      <c r="V2510" t="s">
        <v>52279</v>
      </c>
      <c r="W2510" t="s">
        <v>52280</v>
      </c>
      <c r="X2510" t="s">
        <v>52281</v>
      </c>
      <c r="Y2510" t="s">
        <v>52282</v>
      </c>
    </row>
    <row r="2511" spans="1:25" x14ac:dyDescent="0.3">
      <c r="A2511">
        <v>125500</v>
      </c>
      <c r="B2511" t="s">
        <v>52283</v>
      </c>
      <c r="C2511" t="s">
        <v>52284</v>
      </c>
      <c r="D2511" t="s">
        <v>52285</v>
      </c>
      <c r="E2511" t="s">
        <v>52286</v>
      </c>
      <c r="F2511" t="s">
        <v>52287</v>
      </c>
      <c r="G2511" t="s">
        <v>52288</v>
      </c>
      <c r="H2511" t="s">
        <v>52289</v>
      </c>
      <c r="I2511" t="s">
        <v>52290</v>
      </c>
      <c r="J2511" t="s">
        <v>52291</v>
      </c>
      <c r="K2511" t="s">
        <v>52292</v>
      </c>
      <c r="L2511" t="s">
        <v>52293</v>
      </c>
      <c r="M2511" t="s">
        <v>52294</v>
      </c>
      <c r="N2511" t="s">
        <v>52295</v>
      </c>
      <c r="O2511">
        <f>-993.617278490398 -45.8817920009849 -486.460247867913</f>
        <v>-1525.959318359296</v>
      </c>
      <c r="P2511">
        <f>-995.538758376932 -64.3315614754786 -192.781600876236</f>
        <v>-1252.6519207286467</v>
      </c>
      <c r="Q2511">
        <f>-803.945771109716 -20.0113700524275 -331.989293727011</f>
        <v>-1155.9464348891545</v>
      </c>
      <c r="R2511" t="s">
        <v>52296</v>
      </c>
      <c r="S2511" t="s">
        <v>52297</v>
      </c>
      <c r="T2511" t="s">
        <v>52298</v>
      </c>
      <c r="U2511" t="s">
        <v>52299</v>
      </c>
      <c r="V2511" t="s">
        <v>52300</v>
      </c>
      <c r="W2511" t="s">
        <v>52301</v>
      </c>
      <c r="X2511" t="s">
        <v>52302</v>
      </c>
      <c r="Y2511" t="s">
        <v>52303</v>
      </c>
    </row>
    <row r="2512" spans="1:25" x14ac:dyDescent="0.3">
      <c r="A2512">
        <v>125550</v>
      </c>
      <c r="B2512" t="s">
        <v>52304</v>
      </c>
      <c r="C2512" t="s">
        <v>52305</v>
      </c>
      <c r="D2512" t="s">
        <v>52306</v>
      </c>
      <c r="E2512" t="s">
        <v>52307</v>
      </c>
      <c r="F2512" t="s">
        <v>52308</v>
      </c>
      <c r="G2512" t="s">
        <v>52309</v>
      </c>
      <c r="H2512" t="s">
        <v>52310</v>
      </c>
      <c r="I2512" t="s">
        <v>52311</v>
      </c>
      <c r="J2512" t="s">
        <v>52312</v>
      </c>
      <c r="K2512" t="s">
        <v>52313</v>
      </c>
      <c r="L2512" t="s">
        <v>52314</v>
      </c>
      <c r="M2512" t="s">
        <v>52315</v>
      </c>
      <c r="N2512" t="s">
        <v>52316</v>
      </c>
      <c r="O2512">
        <f>-993.334437337393 -45.9064645597907 -486.360420951917</f>
        <v>-1525.6013228491006</v>
      </c>
      <c r="P2512">
        <f>-995.280888493902 -64.0683376346235 -192.664104261932</f>
        <v>-1252.0133303904574</v>
      </c>
      <c r="Q2512">
        <f>-803.672089120517 -20.0973676428412 -331.960469658669</f>
        <v>-1155.7299264220271</v>
      </c>
      <c r="R2512" t="s">
        <v>52317</v>
      </c>
      <c r="S2512" t="s">
        <v>52318</v>
      </c>
      <c r="T2512" t="s">
        <v>52319</v>
      </c>
      <c r="U2512" t="s">
        <v>52320</v>
      </c>
      <c r="V2512" t="s">
        <v>52321</v>
      </c>
      <c r="W2512" t="s">
        <v>52322</v>
      </c>
      <c r="X2512" t="s">
        <v>52323</v>
      </c>
      <c r="Y2512" t="s">
        <v>52324</v>
      </c>
    </row>
    <row r="2513" spans="1:25" x14ac:dyDescent="0.3">
      <c r="A2513">
        <v>125600</v>
      </c>
      <c r="B2513" t="s">
        <v>52325</v>
      </c>
      <c r="C2513" t="s">
        <v>52326</v>
      </c>
      <c r="D2513" t="s">
        <v>52327</v>
      </c>
      <c r="E2513" t="s">
        <v>52328</v>
      </c>
      <c r="F2513" t="s">
        <v>52329</v>
      </c>
      <c r="G2513" t="s">
        <v>52330</v>
      </c>
      <c r="H2513" t="s">
        <v>52331</v>
      </c>
      <c r="I2513" t="s">
        <v>52332</v>
      </c>
      <c r="J2513" t="s">
        <v>52333</v>
      </c>
      <c r="K2513" t="s">
        <v>52334</v>
      </c>
      <c r="L2513" t="s">
        <v>52335</v>
      </c>
      <c r="M2513" t="s">
        <v>52336</v>
      </c>
      <c r="N2513" t="s">
        <v>52337</v>
      </c>
      <c r="O2513">
        <f>-993.074432358421 -45.859278257404 -486.277311686133</f>
        <v>-1525.2110223019581</v>
      </c>
      <c r="P2513">
        <f>-995.018930992396 -63.7268206927163 -192.562834800752</f>
        <v>-1251.3085864858642</v>
      </c>
      <c r="Q2513">
        <f>-803.409421119838 -20.2208720656408 -332.004386892143</f>
        <v>-1155.6346800776219</v>
      </c>
      <c r="R2513" t="s">
        <v>52338</v>
      </c>
      <c r="S2513" t="s">
        <v>52339</v>
      </c>
      <c r="T2513" t="s">
        <v>52340</v>
      </c>
      <c r="U2513" t="s">
        <v>52341</v>
      </c>
      <c r="V2513" t="s">
        <v>52342</v>
      </c>
      <c r="W2513" t="s">
        <v>52343</v>
      </c>
      <c r="X2513" t="s">
        <v>52344</v>
      </c>
      <c r="Y2513" t="s">
        <v>52345</v>
      </c>
    </row>
    <row r="2514" spans="1:25" x14ac:dyDescent="0.3">
      <c r="A2514">
        <v>125650</v>
      </c>
      <c r="B2514" t="s">
        <v>52346</v>
      </c>
      <c r="C2514" t="s">
        <v>52347</v>
      </c>
      <c r="D2514" t="s">
        <v>52348</v>
      </c>
      <c r="E2514" t="s">
        <v>52349</v>
      </c>
      <c r="F2514" t="s">
        <v>52350</v>
      </c>
      <c r="G2514" t="s">
        <v>52351</v>
      </c>
      <c r="H2514" t="s">
        <v>52352</v>
      </c>
      <c r="I2514" t="s">
        <v>52353</v>
      </c>
      <c r="J2514" t="s">
        <v>52354</v>
      </c>
      <c r="K2514" t="s">
        <v>52355</v>
      </c>
      <c r="L2514" t="s">
        <v>52356</v>
      </c>
      <c r="M2514" t="s">
        <v>52357</v>
      </c>
      <c r="N2514" t="s">
        <v>52358</v>
      </c>
      <c r="O2514">
        <f>-992.629677952942 -45.9631938963141 -486.179253023431</f>
        <v>-1524.7721248726871</v>
      </c>
      <c r="P2514">
        <f>-994.605648496032 -63.4859122877194 -192.444114861183</f>
        <v>-1250.5356756449344</v>
      </c>
      <c r="Q2514">
        <f>-803.025519117599 -20.6025056019539 -332.118447906208</f>
        <v>-1155.7464726257608</v>
      </c>
      <c r="R2514" t="s">
        <v>52359</v>
      </c>
      <c r="S2514" t="s">
        <v>52360</v>
      </c>
      <c r="T2514" t="s">
        <v>52361</v>
      </c>
      <c r="U2514" t="s">
        <v>52362</v>
      </c>
      <c r="V2514" t="s">
        <v>52363</v>
      </c>
      <c r="W2514" t="s">
        <v>52364</v>
      </c>
      <c r="X2514" t="s">
        <v>52365</v>
      </c>
      <c r="Y2514" t="s">
        <v>52366</v>
      </c>
    </row>
    <row r="2515" spans="1:25" x14ac:dyDescent="0.3">
      <c r="A2515">
        <v>125700</v>
      </c>
      <c r="B2515" t="s">
        <v>52367</v>
      </c>
      <c r="C2515" t="s">
        <v>52368</v>
      </c>
      <c r="D2515" t="s">
        <v>52369</v>
      </c>
      <c r="E2515" t="s">
        <v>52370</v>
      </c>
      <c r="F2515" t="s">
        <v>52371</v>
      </c>
      <c r="G2515" t="s">
        <v>52372</v>
      </c>
      <c r="H2515" t="s">
        <v>52373</v>
      </c>
      <c r="I2515" t="s">
        <v>52374</v>
      </c>
      <c r="J2515" t="s">
        <v>52375</v>
      </c>
      <c r="K2515" t="s">
        <v>52376</v>
      </c>
      <c r="L2515" t="s">
        <v>52377</v>
      </c>
      <c r="M2515" t="s">
        <v>52378</v>
      </c>
      <c r="N2515" t="s">
        <v>52379</v>
      </c>
      <c r="O2515">
        <f>-992.235838126616 -46.0632818824283 -486.216840343295</f>
        <v>-1524.5159603523393</v>
      </c>
      <c r="P2515">
        <f>-994.386088123274 -63.5322878091006 -192.479978193891</f>
        <v>-1250.3983541262655</v>
      </c>
      <c r="Q2515">
        <f>-803.085885347835 -20.3346983251436 -332.440791702064</f>
        <v>-1155.8613753750426</v>
      </c>
      <c r="R2515" t="s">
        <v>52380</v>
      </c>
      <c r="S2515" t="s">
        <v>52381</v>
      </c>
      <c r="T2515" t="s">
        <v>52382</v>
      </c>
      <c r="U2515" t="s">
        <v>52383</v>
      </c>
      <c r="V2515" t="s">
        <v>52384</v>
      </c>
      <c r="W2515" t="s">
        <v>52385</v>
      </c>
      <c r="X2515" t="s">
        <v>52386</v>
      </c>
      <c r="Y2515" t="s">
        <v>52387</v>
      </c>
    </row>
    <row r="2516" spans="1:25" x14ac:dyDescent="0.3">
      <c r="A2516">
        <v>125750</v>
      </c>
      <c r="B2516" t="s">
        <v>52388</v>
      </c>
      <c r="C2516" t="s">
        <v>52389</v>
      </c>
      <c r="D2516" t="s">
        <v>52390</v>
      </c>
      <c r="E2516" t="s">
        <v>52391</v>
      </c>
      <c r="F2516" t="s">
        <v>52392</v>
      </c>
      <c r="G2516" t="s">
        <v>52393</v>
      </c>
      <c r="H2516" t="s">
        <v>52394</v>
      </c>
      <c r="I2516" t="s">
        <v>52395</v>
      </c>
      <c r="J2516" t="s">
        <v>52396</v>
      </c>
      <c r="K2516" t="s">
        <v>52397</v>
      </c>
      <c r="L2516" t="s">
        <v>52398</v>
      </c>
      <c r="M2516" t="s">
        <v>52399</v>
      </c>
      <c r="N2516" t="s">
        <v>52400</v>
      </c>
      <c r="O2516">
        <f>-992.104740227321 -46.1290673375379 -486.294101405281</f>
        <v>-1524.5279089701401</v>
      </c>
      <c r="P2516">
        <f>-994.213385581461 -63.4593530882748 -192.548639562924</f>
        <v>-1250.2213782326598</v>
      </c>
      <c r="Q2516">
        <f>-802.991675592353 -20.2137597114288 -332.601961711931</f>
        <v>-1155.8073970157127</v>
      </c>
      <c r="R2516" t="s">
        <v>52401</v>
      </c>
      <c r="S2516" t="s">
        <v>52402</v>
      </c>
      <c r="T2516" t="s">
        <v>52403</v>
      </c>
      <c r="U2516" t="s">
        <v>52404</v>
      </c>
      <c r="V2516" t="s">
        <v>52405</v>
      </c>
      <c r="W2516" t="s">
        <v>52406</v>
      </c>
      <c r="X2516" t="s">
        <v>52407</v>
      </c>
      <c r="Y2516" t="s">
        <v>52408</v>
      </c>
    </row>
    <row r="2517" spans="1:25" x14ac:dyDescent="0.3">
      <c r="A2517">
        <v>125800</v>
      </c>
      <c r="B2517" t="s">
        <v>52409</v>
      </c>
      <c r="C2517" t="s">
        <v>52410</v>
      </c>
      <c r="D2517" t="s">
        <v>52411</v>
      </c>
      <c r="E2517" t="s">
        <v>52412</v>
      </c>
      <c r="F2517" t="s">
        <v>52413</v>
      </c>
      <c r="G2517" t="s">
        <v>52414</v>
      </c>
      <c r="H2517" t="s">
        <v>52415</v>
      </c>
      <c r="I2517" t="s">
        <v>52416</v>
      </c>
      <c r="J2517" t="s">
        <v>52417</v>
      </c>
      <c r="K2517" t="s">
        <v>52418</v>
      </c>
      <c r="L2517" t="s">
        <v>52419</v>
      </c>
      <c r="M2517" t="s">
        <v>52420</v>
      </c>
      <c r="N2517" t="s">
        <v>52421</v>
      </c>
      <c r="O2517">
        <f>-991.928457003714 -46.058623098183 -486.531925818017</f>
        <v>-1524.519005919914</v>
      </c>
      <c r="P2517">
        <f>-993.692327502164 -63.4729909479622 -192.789127764198</f>
        <v>-1249.954446214324</v>
      </c>
      <c r="Q2517">
        <f>-802.688036903301 -20.0002920032834 -333.068509112395</f>
        <v>-1155.7568380189796</v>
      </c>
      <c r="R2517" t="s">
        <v>52422</v>
      </c>
      <c r="S2517" t="s">
        <v>52423</v>
      </c>
      <c r="T2517" t="s">
        <v>52424</v>
      </c>
      <c r="U2517" t="s">
        <v>52425</v>
      </c>
      <c r="V2517" t="s">
        <v>52426</v>
      </c>
      <c r="W2517" t="s">
        <v>52427</v>
      </c>
      <c r="X2517" t="s">
        <v>52428</v>
      </c>
      <c r="Y2517" t="s">
        <v>52429</v>
      </c>
    </row>
    <row r="2518" spans="1:25" x14ac:dyDescent="0.3">
      <c r="A2518">
        <v>125850</v>
      </c>
      <c r="B2518" t="s">
        <v>52430</v>
      </c>
      <c r="C2518" t="s">
        <v>52431</v>
      </c>
      <c r="D2518" t="s">
        <v>52432</v>
      </c>
      <c r="E2518" t="s">
        <v>52433</v>
      </c>
      <c r="F2518" t="s">
        <v>52434</v>
      </c>
      <c r="G2518" t="s">
        <v>52435</v>
      </c>
      <c r="H2518" t="s">
        <v>52436</v>
      </c>
      <c r="I2518" t="s">
        <v>52437</v>
      </c>
      <c r="J2518" t="s">
        <v>52438</v>
      </c>
      <c r="K2518" t="s">
        <v>52439</v>
      </c>
      <c r="L2518" t="s">
        <v>52440</v>
      </c>
      <c r="M2518" t="s">
        <v>52441</v>
      </c>
      <c r="N2518" t="s">
        <v>52442</v>
      </c>
      <c r="O2518">
        <f>-991.966510065013 -45.9691788156865 -486.662902616148</f>
        <v>-1524.5985914968473</v>
      </c>
      <c r="P2518">
        <f>-993.533499293221 -63.5673422239806 -192.930072458718</f>
        <v>-1250.0309139759197</v>
      </c>
      <c r="Q2518">
        <f>-802.624926270023 -19.9284663906328 -333.288117521274</f>
        <v>-1155.8415101819298</v>
      </c>
      <c r="R2518" t="s">
        <v>52443</v>
      </c>
      <c r="S2518" t="s">
        <v>52444</v>
      </c>
      <c r="T2518" t="s">
        <v>52445</v>
      </c>
      <c r="U2518" t="s">
        <v>52446</v>
      </c>
      <c r="V2518" t="s">
        <v>52447</v>
      </c>
      <c r="W2518" t="s">
        <v>52448</v>
      </c>
      <c r="X2518" t="s">
        <v>52449</v>
      </c>
      <c r="Y2518" t="s">
        <v>52450</v>
      </c>
    </row>
    <row r="2519" spans="1:25" x14ac:dyDescent="0.3">
      <c r="A2519">
        <v>125900</v>
      </c>
      <c r="B2519" t="s">
        <v>52451</v>
      </c>
      <c r="C2519" t="s">
        <v>52452</v>
      </c>
      <c r="D2519" t="s">
        <v>52453</v>
      </c>
      <c r="E2519" t="s">
        <v>52454</v>
      </c>
      <c r="F2519" t="s">
        <v>52455</v>
      </c>
      <c r="G2519" t="s">
        <v>52456</v>
      </c>
      <c r="H2519" t="s">
        <v>52457</v>
      </c>
      <c r="I2519" t="s">
        <v>52458</v>
      </c>
      <c r="J2519" t="s">
        <v>52459</v>
      </c>
      <c r="K2519" t="s">
        <v>52460</v>
      </c>
      <c r="L2519" t="s">
        <v>52461</v>
      </c>
      <c r="M2519" t="s">
        <v>52462</v>
      </c>
      <c r="N2519" t="s">
        <v>52463</v>
      </c>
      <c r="O2519">
        <f>-992.229146193673 -45.7625283463692 -486.933433498006</f>
        <v>-1524.9251080380482</v>
      </c>
      <c r="P2519">
        <f>-993.475341077719 -63.7214467625261 -193.220722132664</f>
        <v>-1250.4175099729091</v>
      </c>
      <c r="Q2519">
        <f>-802.741849009084 -19.7310258083044 -333.707200199144</f>
        <v>-1156.1800750165323</v>
      </c>
      <c r="R2519" t="s">
        <v>52464</v>
      </c>
      <c r="S2519" t="s">
        <v>52465</v>
      </c>
      <c r="T2519" t="s">
        <v>52466</v>
      </c>
      <c r="U2519" t="s">
        <v>52467</v>
      </c>
      <c r="V2519" t="s">
        <v>52468</v>
      </c>
      <c r="W2519" t="s">
        <v>52469</v>
      </c>
      <c r="X2519" t="s">
        <v>52470</v>
      </c>
      <c r="Y2519" t="s">
        <v>52471</v>
      </c>
    </row>
    <row r="2520" spans="1:25" x14ac:dyDescent="0.3">
      <c r="A2520">
        <v>125950</v>
      </c>
      <c r="B2520" t="s">
        <v>52472</v>
      </c>
      <c r="C2520" t="s">
        <v>52473</v>
      </c>
      <c r="D2520" t="s">
        <v>52474</v>
      </c>
      <c r="E2520" t="s">
        <v>52475</v>
      </c>
      <c r="F2520" t="s">
        <v>52476</v>
      </c>
      <c r="G2520" t="s">
        <v>52477</v>
      </c>
      <c r="H2520" t="s">
        <v>52478</v>
      </c>
      <c r="I2520" t="s">
        <v>52479</v>
      </c>
      <c r="J2520" t="s">
        <v>52480</v>
      </c>
      <c r="K2520" t="s">
        <v>52481</v>
      </c>
      <c r="L2520" t="s">
        <v>52482</v>
      </c>
      <c r="M2520" t="s">
        <v>52483</v>
      </c>
      <c r="N2520" t="s">
        <v>52484</v>
      </c>
      <c r="O2520">
        <f>-992.344886165283 -45.7485995682816 -487.055331520267</f>
        <v>-1525.1488172538316</v>
      </c>
      <c r="P2520">
        <f>-993.539082114263 -63.9637938403289 -193.358340759203</f>
        <v>-1250.8612167137949</v>
      </c>
      <c r="Q2520">
        <f>-802.864752821669 -19.7352633731107 -333.850274846032</f>
        <v>-1156.4502910408116</v>
      </c>
      <c r="R2520" t="s">
        <v>52485</v>
      </c>
      <c r="S2520" t="s">
        <v>52486</v>
      </c>
      <c r="T2520" t="s">
        <v>52487</v>
      </c>
      <c r="U2520" t="s">
        <v>52488</v>
      </c>
      <c r="V2520" t="s">
        <v>52489</v>
      </c>
      <c r="W2520" t="s">
        <v>52490</v>
      </c>
      <c r="X2520" t="s">
        <v>52491</v>
      </c>
      <c r="Y2520" t="s">
        <v>52492</v>
      </c>
    </row>
    <row r="2521" spans="1:25" x14ac:dyDescent="0.3">
      <c r="A2521">
        <v>126000</v>
      </c>
      <c r="B2521" t="s">
        <v>52493</v>
      </c>
      <c r="C2521" t="s">
        <v>52494</v>
      </c>
      <c r="D2521" t="s">
        <v>52495</v>
      </c>
      <c r="E2521" t="s">
        <v>52496</v>
      </c>
      <c r="F2521" t="s">
        <v>52497</v>
      </c>
      <c r="G2521" t="s">
        <v>52498</v>
      </c>
      <c r="H2521" t="s">
        <v>52499</v>
      </c>
      <c r="I2521" t="s">
        <v>52500</v>
      </c>
      <c r="J2521" t="s">
        <v>52501</v>
      </c>
      <c r="K2521" t="s">
        <v>52502</v>
      </c>
      <c r="L2521" t="s">
        <v>52503</v>
      </c>
      <c r="M2521" t="s">
        <v>52504</v>
      </c>
      <c r="N2521" t="s">
        <v>52505</v>
      </c>
      <c r="O2521">
        <f>-992.694318509556 -45.5615997423104 -487.277509326516</f>
        <v>-1525.5334275783825</v>
      </c>
      <c r="P2521">
        <f>-993.775882202068 -64.1923562693705 -193.606076526154</f>
        <v>-1251.5743149975926</v>
      </c>
      <c r="Q2521">
        <f>-803.142246194386 -19.4849343684305 -334.001981876036</f>
        <v>-1156.6291624388523</v>
      </c>
      <c r="R2521" t="s">
        <v>52506</v>
      </c>
      <c r="S2521" t="s">
        <v>52507</v>
      </c>
      <c r="T2521" t="s">
        <v>52508</v>
      </c>
      <c r="U2521" t="s">
        <v>52509</v>
      </c>
      <c r="V2521" t="s">
        <v>52510</v>
      </c>
      <c r="W2521" t="s">
        <v>52511</v>
      </c>
      <c r="X2521" t="s">
        <v>52512</v>
      </c>
      <c r="Y2521" t="s">
        <v>52513</v>
      </c>
    </row>
    <row r="2522" spans="1:25" x14ac:dyDescent="0.3">
      <c r="A2522">
        <v>126050</v>
      </c>
      <c r="B2522" t="s">
        <v>52514</v>
      </c>
      <c r="C2522" t="s">
        <v>52515</v>
      </c>
      <c r="D2522" t="s">
        <v>52516</v>
      </c>
      <c r="E2522" t="s">
        <v>52517</v>
      </c>
      <c r="F2522" t="s">
        <v>52518</v>
      </c>
      <c r="G2522" t="s">
        <v>52519</v>
      </c>
      <c r="H2522" t="s">
        <v>52520</v>
      </c>
      <c r="I2522" t="s">
        <v>52521</v>
      </c>
      <c r="J2522" t="s">
        <v>52522</v>
      </c>
      <c r="K2522" t="s">
        <v>52523</v>
      </c>
      <c r="L2522" t="s">
        <v>52524</v>
      </c>
      <c r="M2522" t="s">
        <v>52525</v>
      </c>
      <c r="N2522" t="s">
        <v>52526</v>
      </c>
      <c r="O2522">
        <f>-992.92547939478 -45.450796606126 -487.388331223542</f>
        <v>-1525.7646072244481</v>
      </c>
      <c r="P2522">
        <f>-993.941139279038 -64.3674913821478 -193.734946578108</f>
        <v>-1252.0435772392939</v>
      </c>
      <c r="Q2522">
        <f>-803.268003107469 -19.4198117518736 -334.000032672728</f>
        <v>-1156.6878475320705</v>
      </c>
      <c r="R2522" t="s">
        <v>52527</v>
      </c>
      <c r="S2522" t="s">
        <v>52528</v>
      </c>
      <c r="T2522" t="s">
        <v>52529</v>
      </c>
      <c r="U2522" t="s">
        <v>52530</v>
      </c>
      <c r="V2522" t="s">
        <v>52531</v>
      </c>
      <c r="W2522" t="s">
        <v>52532</v>
      </c>
      <c r="X2522" t="s">
        <v>52533</v>
      </c>
      <c r="Y2522" t="s">
        <v>52534</v>
      </c>
    </row>
    <row r="2523" spans="1:25" x14ac:dyDescent="0.3">
      <c r="A2523">
        <v>126100</v>
      </c>
      <c r="B2523" t="s">
        <v>52535</v>
      </c>
      <c r="C2523" t="s">
        <v>52536</v>
      </c>
      <c r="D2523" t="s">
        <v>52537</v>
      </c>
      <c r="E2523" t="s">
        <v>52538</v>
      </c>
      <c r="F2523" t="s">
        <v>52539</v>
      </c>
      <c r="G2523" t="s">
        <v>52540</v>
      </c>
      <c r="H2523" t="s">
        <v>52541</v>
      </c>
      <c r="I2523" t="s">
        <v>52542</v>
      </c>
      <c r="J2523" t="s">
        <v>52543</v>
      </c>
      <c r="K2523" t="s">
        <v>52544</v>
      </c>
      <c r="L2523" t="s">
        <v>52545</v>
      </c>
      <c r="M2523" t="s">
        <v>52546</v>
      </c>
      <c r="N2523" t="s">
        <v>52547</v>
      </c>
      <c r="O2523">
        <f>-993.409582169633 -45.3413542827002 -487.656570041279</f>
        <v>-1526.4075064936123</v>
      </c>
      <c r="P2523">
        <f>-994.403952817381 -64.9071674849208 -194.045630208759</f>
        <v>-1253.3567505110609</v>
      </c>
      <c r="Q2523">
        <f>-803.776762255022 -19.308694586503 -334.163474656067</f>
        <v>-1157.2489314975919</v>
      </c>
      <c r="R2523" t="s">
        <v>52548</v>
      </c>
      <c r="S2523" t="s">
        <v>52549</v>
      </c>
      <c r="T2523" t="s">
        <v>52550</v>
      </c>
      <c r="U2523" t="s">
        <v>52551</v>
      </c>
      <c r="V2523" t="s">
        <v>52552</v>
      </c>
      <c r="W2523" t="s">
        <v>52553</v>
      </c>
      <c r="X2523" t="s">
        <v>52554</v>
      </c>
      <c r="Y2523" t="s">
        <v>52555</v>
      </c>
    </row>
    <row r="2524" spans="1:25" x14ac:dyDescent="0.3">
      <c r="A2524">
        <v>126150</v>
      </c>
      <c r="B2524" t="s">
        <v>52556</v>
      </c>
      <c r="C2524" t="s">
        <v>52557</v>
      </c>
      <c r="D2524" t="s">
        <v>52558</v>
      </c>
      <c r="E2524" t="s">
        <v>52559</v>
      </c>
      <c r="F2524" t="s">
        <v>52560</v>
      </c>
      <c r="G2524" t="s">
        <v>52561</v>
      </c>
      <c r="H2524" t="s">
        <v>52562</v>
      </c>
      <c r="I2524" t="s">
        <v>52563</v>
      </c>
      <c r="J2524" t="s">
        <v>52564</v>
      </c>
      <c r="K2524" t="s">
        <v>52565</v>
      </c>
      <c r="L2524" t="s">
        <v>52566</v>
      </c>
      <c r="M2524" t="s">
        <v>52567</v>
      </c>
      <c r="N2524" t="s">
        <v>52568</v>
      </c>
      <c r="O2524">
        <f>-993.65880078 -45.3054234427864 -487.783626876188</f>
        <v>-1526.7478510989745</v>
      </c>
      <c r="P2524">
        <f>-994.582583603039 -65.1205366983249 -194.189227484509</f>
        <v>-1253.892347785873</v>
      </c>
      <c r="Q2524">
        <f>-803.994158177074 -19.1637607043003 -334.242499647675</f>
        <v>-1157.4004185290494</v>
      </c>
      <c r="R2524" t="s">
        <v>52569</v>
      </c>
      <c r="S2524" t="s">
        <v>52570</v>
      </c>
      <c r="T2524" t="s">
        <v>52571</v>
      </c>
      <c r="U2524" t="s">
        <v>52572</v>
      </c>
      <c r="V2524" t="s">
        <v>52573</v>
      </c>
      <c r="W2524" t="s">
        <v>52574</v>
      </c>
      <c r="X2524" t="s">
        <v>52575</v>
      </c>
      <c r="Y2524" t="s">
        <v>52576</v>
      </c>
    </row>
    <row r="2525" spans="1:25" x14ac:dyDescent="0.3">
      <c r="A2525">
        <v>126200</v>
      </c>
      <c r="B2525" t="s">
        <v>52577</v>
      </c>
      <c r="C2525" t="s">
        <v>52578</v>
      </c>
      <c r="D2525" t="s">
        <v>52579</v>
      </c>
      <c r="E2525" t="s">
        <v>52580</v>
      </c>
      <c r="F2525" t="s">
        <v>52581</v>
      </c>
      <c r="G2525" t="s">
        <v>52582</v>
      </c>
      <c r="H2525" t="s">
        <v>52583</v>
      </c>
      <c r="I2525" t="s">
        <v>52584</v>
      </c>
      <c r="J2525" t="s">
        <v>52585</v>
      </c>
      <c r="K2525" t="s">
        <v>52586</v>
      </c>
      <c r="L2525" t="s">
        <v>52587</v>
      </c>
      <c r="M2525" t="s">
        <v>52588</v>
      </c>
      <c r="N2525" t="s">
        <v>52589</v>
      </c>
      <c r="O2525">
        <f>-994.033004963419 -45.330595417917 -487.966037511812</f>
        <v>-1527.3296378931479</v>
      </c>
      <c r="P2525">
        <f>-994.802917248401 -65.6905790255435 -194.408431555711</f>
        <v>-1254.9019278296555</v>
      </c>
      <c r="Q2525">
        <f>-804.31202029963 -18.5892915248505 -334.213771896561</f>
        <v>-1157.1150837210416</v>
      </c>
      <c r="R2525" t="s">
        <v>52590</v>
      </c>
      <c r="S2525" t="s">
        <v>52591</v>
      </c>
      <c r="T2525" t="s">
        <v>52592</v>
      </c>
      <c r="U2525" t="s">
        <v>52593</v>
      </c>
      <c r="V2525" t="s">
        <v>52594</v>
      </c>
      <c r="W2525" t="s">
        <v>52595</v>
      </c>
      <c r="X2525" t="s">
        <v>52596</v>
      </c>
      <c r="Y2525" t="s">
        <v>52597</v>
      </c>
    </row>
    <row r="2526" spans="1:25" x14ac:dyDescent="0.3">
      <c r="A2526">
        <v>126250</v>
      </c>
      <c r="B2526" t="s">
        <v>52598</v>
      </c>
      <c r="C2526" t="s">
        <v>52599</v>
      </c>
      <c r="D2526" t="s">
        <v>52600</v>
      </c>
      <c r="E2526" t="s">
        <v>52601</v>
      </c>
      <c r="F2526" t="s">
        <v>52602</v>
      </c>
      <c r="G2526" t="s">
        <v>52603</v>
      </c>
      <c r="H2526" t="s">
        <v>52604</v>
      </c>
      <c r="I2526" t="s">
        <v>52605</v>
      </c>
      <c r="J2526" t="s">
        <v>52606</v>
      </c>
      <c r="K2526" t="s">
        <v>52607</v>
      </c>
      <c r="L2526" t="s">
        <v>52608</v>
      </c>
      <c r="M2526" t="s">
        <v>52609</v>
      </c>
      <c r="N2526" t="s">
        <v>52610</v>
      </c>
      <c r="O2526">
        <f>-994.240508124655 -45.2674493795219 -488.056240581126</f>
        <v>-1527.5641980853029</v>
      </c>
      <c r="P2526">
        <f>-994.935746303627 -65.8364586094117 -194.513002147003</f>
        <v>-1255.2852070600416</v>
      </c>
      <c r="Q2526">
        <f>-804.495104168679 -18.5637260895587 -334.328591405174</f>
        <v>-1157.3874216634117</v>
      </c>
      <c r="R2526" t="s">
        <v>52611</v>
      </c>
      <c r="S2526" t="s">
        <v>52612</v>
      </c>
      <c r="T2526" t="s">
        <v>52613</v>
      </c>
      <c r="U2526" t="s">
        <v>52614</v>
      </c>
      <c r="V2526" t="s">
        <v>52615</v>
      </c>
      <c r="W2526" t="s">
        <v>52616</v>
      </c>
      <c r="X2526" t="s">
        <v>52617</v>
      </c>
      <c r="Y2526" t="s">
        <v>52618</v>
      </c>
    </row>
    <row r="2527" spans="1:25" x14ac:dyDescent="0.3">
      <c r="A2527">
        <v>126300</v>
      </c>
      <c r="B2527" t="s">
        <v>52619</v>
      </c>
      <c r="C2527" t="s">
        <v>52620</v>
      </c>
      <c r="D2527" t="s">
        <v>52621</v>
      </c>
      <c r="E2527" t="s">
        <v>52622</v>
      </c>
      <c r="F2527" t="s">
        <v>52623</v>
      </c>
      <c r="G2527" t="s">
        <v>52624</v>
      </c>
      <c r="H2527" t="s">
        <v>52625</v>
      </c>
      <c r="I2527" t="s">
        <v>52626</v>
      </c>
      <c r="J2527" t="s">
        <v>52627</v>
      </c>
      <c r="K2527" t="s">
        <v>52628</v>
      </c>
      <c r="L2527" t="s">
        <v>52629</v>
      </c>
      <c r="M2527" t="s">
        <v>52630</v>
      </c>
      <c r="N2527" t="s">
        <v>52631</v>
      </c>
      <c r="O2527">
        <f>-994.781990226275 -45.3256390370539 -488.193513012481</f>
        <v>-1528.3011422758098</v>
      </c>
      <c r="P2527">
        <f>-995.572968143159 -66.5129883169664 -194.69451308571</f>
        <v>-1256.7804695458353</v>
      </c>
      <c r="Q2527">
        <f>-805.019218912238 -19.0442922972543 -334.28987099513</f>
        <v>-1158.3533822046222</v>
      </c>
      <c r="R2527" t="s">
        <v>52632</v>
      </c>
      <c r="S2527" t="s">
        <v>52633</v>
      </c>
      <c r="T2527" t="s">
        <v>52634</v>
      </c>
      <c r="U2527" t="s">
        <v>52635</v>
      </c>
      <c r="V2527" t="s">
        <v>52636</v>
      </c>
      <c r="W2527" t="s">
        <v>52637</v>
      </c>
      <c r="X2527" t="s">
        <v>52638</v>
      </c>
      <c r="Y2527" t="s">
        <v>52639</v>
      </c>
    </row>
    <row r="2528" spans="1:25" x14ac:dyDescent="0.3">
      <c r="A2528">
        <v>126350</v>
      </c>
      <c r="B2528" t="s">
        <v>52640</v>
      </c>
      <c r="C2528" t="s">
        <v>52641</v>
      </c>
      <c r="D2528" t="s">
        <v>52642</v>
      </c>
      <c r="E2528" t="s">
        <v>52643</v>
      </c>
      <c r="F2528" t="s">
        <v>52644</v>
      </c>
      <c r="G2528" t="s">
        <v>52645</v>
      </c>
      <c r="H2528" t="s">
        <v>52646</v>
      </c>
      <c r="I2528" t="s">
        <v>52647</v>
      </c>
      <c r="J2528" t="s">
        <v>52648</v>
      </c>
      <c r="K2528" t="s">
        <v>52649</v>
      </c>
      <c r="L2528" t="s">
        <v>52650</v>
      </c>
      <c r="M2528" t="s">
        <v>52651</v>
      </c>
      <c r="N2528" t="s">
        <v>52652</v>
      </c>
      <c r="O2528">
        <f>-995.183389518154 -45.3248750906541 -488.272607819694</f>
        <v>-1528.7808724285021</v>
      </c>
      <c r="P2528">
        <f>-995.98955500117 -66.8630066736753 -194.799213281651</f>
        <v>-1257.6517749564962</v>
      </c>
      <c r="Q2528">
        <f>-805.350316336242 -19.3991835318998 -334.279534627593</f>
        <v>-1159.0290344957348</v>
      </c>
      <c r="R2528" t="s">
        <v>52653</v>
      </c>
      <c r="S2528" t="s">
        <v>52654</v>
      </c>
      <c r="T2528" t="s">
        <v>52655</v>
      </c>
      <c r="U2528" t="s">
        <v>52656</v>
      </c>
      <c r="V2528" t="s">
        <v>52657</v>
      </c>
      <c r="W2528" t="s">
        <v>52658</v>
      </c>
      <c r="X2528" t="s">
        <v>52659</v>
      </c>
      <c r="Y2528" t="s">
        <v>52660</v>
      </c>
    </row>
    <row r="2529" spans="1:25" x14ac:dyDescent="0.3">
      <c r="A2529">
        <v>126400</v>
      </c>
      <c r="B2529" t="s">
        <v>52661</v>
      </c>
      <c r="C2529" t="s">
        <v>52662</v>
      </c>
      <c r="D2529" t="s">
        <v>52663</v>
      </c>
      <c r="E2529" t="s">
        <v>52664</v>
      </c>
      <c r="F2529" t="s">
        <v>52665</v>
      </c>
      <c r="G2529" t="s">
        <v>52666</v>
      </c>
      <c r="H2529" t="s">
        <v>52667</v>
      </c>
      <c r="I2529" t="s">
        <v>52668</v>
      </c>
      <c r="J2529" t="s">
        <v>52669</v>
      </c>
      <c r="K2529" t="s">
        <v>52670</v>
      </c>
      <c r="L2529" t="s">
        <v>52671</v>
      </c>
      <c r="M2529" t="s">
        <v>52672</v>
      </c>
      <c r="N2529" t="s">
        <v>52673</v>
      </c>
      <c r="O2529">
        <f>-996.097807711004 -45.1598457349021 -488.318359752236</f>
        <v>-1529.5760131981419</v>
      </c>
      <c r="P2529">
        <f>-996.745086028202 -66.8705995269668 -194.857299341003</f>
        <v>-1258.4729848961717</v>
      </c>
      <c r="Q2529">
        <f>-805.885852540956 -19.4062366032358 -334.03583615266</f>
        <v>-1159.3279252968518</v>
      </c>
      <c r="R2529" t="s">
        <v>52674</v>
      </c>
      <c r="S2529" t="s">
        <v>52675</v>
      </c>
      <c r="T2529" t="s">
        <v>52676</v>
      </c>
      <c r="U2529" t="s">
        <v>52677</v>
      </c>
      <c r="V2529" t="s">
        <v>52678</v>
      </c>
      <c r="W2529" t="s">
        <v>52679</v>
      </c>
      <c r="X2529" t="s">
        <v>52680</v>
      </c>
      <c r="Y2529" t="s">
        <v>52681</v>
      </c>
    </row>
    <row r="2530" spans="1:25" x14ac:dyDescent="0.3">
      <c r="A2530">
        <v>126450</v>
      </c>
      <c r="B2530" t="s">
        <v>52682</v>
      </c>
      <c r="C2530" t="s">
        <v>52683</v>
      </c>
      <c r="D2530" t="s">
        <v>52684</v>
      </c>
      <c r="E2530" t="s">
        <v>52685</v>
      </c>
      <c r="F2530" t="s">
        <v>52686</v>
      </c>
      <c r="G2530" t="s">
        <v>52687</v>
      </c>
      <c r="H2530" t="s">
        <v>52688</v>
      </c>
      <c r="I2530" t="s">
        <v>52689</v>
      </c>
      <c r="J2530" t="s">
        <v>52690</v>
      </c>
      <c r="K2530" t="s">
        <v>52691</v>
      </c>
      <c r="L2530" t="s">
        <v>52692</v>
      </c>
      <c r="M2530" t="s">
        <v>52693</v>
      </c>
      <c r="N2530" t="s">
        <v>52694</v>
      </c>
      <c r="O2530">
        <f>-996.453858057443 -45.1174903951216 -488.338230835103</f>
        <v>-1529.9095792876674</v>
      </c>
      <c r="P2530">
        <f>-997.135845648354 -66.7450070701773 -194.871147452474</f>
        <v>-1258.7520001710052</v>
      </c>
      <c r="Q2530">
        <f>-806.113803605164 -19.4520283033316 -333.884778594845</f>
        <v>-1159.4506105033406</v>
      </c>
      <c r="R2530" t="s">
        <v>52695</v>
      </c>
      <c r="S2530" t="s">
        <v>52696</v>
      </c>
      <c r="T2530" t="s">
        <v>52697</v>
      </c>
      <c r="U2530" t="s">
        <v>52698</v>
      </c>
      <c r="V2530" t="s">
        <v>52699</v>
      </c>
      <c r="W2530" t="s">
        <v>52700</v>
      </c>
      <c r="X2530" t="s">
        <v>52701</v>
      </c>
      <c r="Y2530" t="s">
        <v>52702</v>
      </c>
    </row>
    <row r="2531" spans="1:25" x14ac:dyDescent="0.3">
      <c r="A2531">
        <v>126500</v>
      </c>
      <c r="B2531" t="s">
        <v>52703</v>
      </c>
      <c r="C2531" t="s">
        <v>52704</v>
      </c>
      <c r="D2531" t="s">
        <v>52705</v>
      </c>
      <c r="E2531" t="s">
        <v>52706</v>
      </c>
      <c r="F2531" t="s">
        <v>52707</v>
      </c>
      <c r="G2531" t="s">
        <v>52708</v>
      </c>
      <c r="H2531" t="s">
        <v>52709</v>
      </c>
      <c r="I2531" t="s">
        <v>52710</v>
      </c>
      <c r="J2531" t="s">
        <v>52711</v>
      </c>
      <c r="K2531" t="s">
        <v>52712</v>
      </c>
      <c r="L2531" t="s">
        <v>52713</v>
      </c>
      <c r="M2531" t="s">
        <v>52714</v>
      </c>
      <c r="N2531" t="s">
        <v>52715</v>
      </c>
      <c r="O2531">
        <f>-996.911325655168 -44.9977929300408 -488.430243659754</f>
        <v>-1530.3393622449628</v>
      </c>
      <c r="P2531">
        <f>-997.467899838964 -66.5030699941324 -194.953787851789</f>
        <v>-1258.9247576848854</v>
      </c>
      <c r="Q2531">
        <f>-806.43524095848 -19.2980757336209 -333.982625258105</f>
        <v>-1159.7159419502059</v>
      </c>
      <c r="R2531" t="s">
        <v>52716</v>
      </c>
      <c r="S2531" t="s">
        <v>52717</v>
      </c>
      <c r="T2531" t="s">
        <v>52718</v>
      </c>
      <c r="U2531" t="s">
        <v>52719</v>
      </c>
      <c r="V2531" t="s">
        <v>52720</v>
      </c>
      <c r="W2531" t="s">
        <v>52721</v>
      </c>
      <c r="X2531" t="s">
        <v>52722</v>
      </c>
      <c r="Y2531" t="s">
        <v>52723</v>
      </c>
    </row>
    <row r="2532" spans="1:25" x14ac:dyDescent="0.3">
      <c r="A2532">
        <v>126550</v>
      </c>
      <c r="B2532" t="s">
        <v>52724</v>
      </c>
      <c r="C2532" t="s">
        <v>52725</v>
      </c>
      <c r="D2532" t="s">
        <v>52726</v>
      </c>
      <c r="E2532" t="s">
        <v>52727</v>
      </c>
      <c r="F2532" t="s">
        <v>52728</v>
      </c>
      <c r="G2532" t="s">
        <v>52729</v>
      </c>
      <c r="H2532" t="s">
        <v>52730</v>
      </c>
      <c r="I2532" t="s">
        <v>52731</v>
      </c>
      <c r="J2532" t="s">
        <v>52732</v>
      </c>
      <c r="K2532" t="s">
        <v>52733</v>
      </c>
      <c r="L2532" t="s">
        <v>52734</v>
      </c>
      <c r="M2532" t="s">
        <v>52735</v>
      </c>
      <c r="N2532" t="s">
        <v>52736</v>
      </c>
      <c r="O2532">
        <f>-997.019875384408 -45.0712212381707 -488.455692130854</f>
        <v>-1530.5467887534328</v>
      </c>
      <c r="P2532">
        <f>-997.419588625057 -66.7136322705951 -194.989067103349</f>
        <v>-1259.1222879990012</v>
      </c>
      <c r="Q2532">
        <f>-806.470011027971 -19.3764495215046 -334.086894267533</f>
        <v>-1159.9333548170086</v>
      </c>
      <c r="R2532" t="s">
        <v>52737</v>
      </c>
      <c r="S2532" t="s">
        <v>52738</v>
      </c>
      <c r="T2532" t="s">
        <v>52739</v>
      </c>
      <c r="U2532" t="s">
        <v>52740</v>
      </c>
      <c r="V2532" t="s">
        <v>52741</v>
      </c>
      <c r="W2532" t="s">
        <v>52742</v>
      </c>
      <c r="X2532" t="s">
        <v>52743</v>
      </c>
      <c r="Y2532" t="s">
        <v>52744</v>
      </c>
    </row>
    <row r="2533" spans="1:25" x14ac:dyDescent="0.3">
      <c r="A2533">
        <v>126600</v>
      </c>
      <c r="B2533" t="s">
        <v>52745</v>
      </c>
      <c r="C2533" t="s">
        <v>52746</v>
      </c>
      <c r="D2533" t="s">
        <v>52747</v>
      </c>
      <c r="E2533" t="s">
        <v>52748</v>
      </c>
      <c r="F2533" t="s">
        <v>52749</v>
      </c>
      <c r="G2533" t="s">
        <v>52750</v>
      </c>
      <c r="H2533" t="s">
        <v>52751</v>
      </c>
      <c r="I2533" t="s">
        <v>52752</v>
      </c>
      <c r="J2533" t="s">
        <v>52753</v>
      </c>
      <c r="K2533" t="s">
        <v>52754</v>
      </c>
      <c r="L2533" t="s">
        <v>52755</v>
      </c>
      <c r="M2533" t="s">
        <v>52756</v>
      </c>
      <c r="N2533" t="s">
        <v>52757</v>
      </c>
      <c r="O2533">
        <f>-997.208060006244 -45.3009041036526 -488.412719776971</f>
        <v>-1530.9216838868676</v>
      </c>
      <c r="P2533">
        <f>-997.315594213363 -66.8225894624143 -194.937014417488</f>
        <v>-1259.0751980932653</v>
      </c>
      <c r="Q2533">
        <f>-806.644581220482 -19.0958355664579 -334.284112061341</f>
        <v>-1160.0245288482809</v>
      </c>
      <c r="R2533" t="s">
        <v>52758</v>
      </c>
      <c r="S2533" t="s">
        <v>52759</v>
      </c>
      <c r="T2533" t="s">
        <v>52760</v>
      </c>
      <c r="U2533" t="s">
        <v>52761</v>
      </c>
      <c r="V2533" t="s">
        <v>52762</v>
      </c>
      <c r="W2533" t="s">
        <v>52763</v>
      </c>
      <c r="X2533" t="s">
        <v>52764</v>
      </c>
      <c r="Y2533" t="s">
        <v>52765</v>
      </c>
    </row>
    <row r="2534" spans="1:25" x14ac:dyDescent="0.3">
      <c r="A2534">
        <v>126650</v>
      </c>
      <c r="B2534" t="s">
        <v>52766</v>
      </c>
      <c r="C2534" t="s">
        <v>52767</v>
      </c>
      <c r="D2534" t="s">
        <v>52768</v>
      </c>
      <c r="E2534" t="s">
        <v>52769</v>
      </c>
      <c r="F2534" t="s">
        <v>52770</v>
      </c>
      <c r="G2534" t="s">
        <v>52771</v>
      </c>
      <c r="H2534" t="s">
        <v>52772</v>
      </c>
      <c r="I2534" t="s">
        <v>52773</v>
      </c>
      <c r="J2534" t="s">
        <v>52774</v>
      </c>
      <c r="K2534" t="s">
        <v>52775</v>
      </c>
      <c r="L2534" t="s">
        <v>52776</v>
      </c>
      <c r="M2534" t="s">
        <v>52777</v>
      </c>
      <c r="N2534" t="s">
        <v>52778</v>
      </c>
      <c r="O2534">
        <f>-997.241288990424 -45.3523437265389 -488.333206608095</f>
        <v>-1530.9268393250579</v>
      </c>
      <c r="P2534">
        <f>-997.208538532097 -66.8585245417644 -194.856183859802</f>
        <v>-1258.9232469336634</v>
      </c>
      <c r="Q2534">
        <f>-806.650101554176 -18.7580148898965 -334.228998455396</f>
        <v>-1159.6371148994685</v>
      </c>
      <c r="R2534" t="s">
        <v>52779</v>
      </c>
      <c r="S2534" t="s">
        <v>52780</v>
      </c>
      <c r="T2534" t="s">
        <v>52781</v>
      </c>
      <c r="U2534" t="s">
        <v>52782</v>
      </c>
      <c r="V2534" t="s">
        <v>52783</v>
      </c>
      <c r="W2534" t="s">
        <v>52784</v>
      </c>
      <c r="X2534" t="s">
        <v>52785</v>
      </c>
      <c r="Y2534" t="s">
        <v>52786</v>
      </c>
    </row>
    <row r="2535" spans="1:25" x14ac:dyDescent="0.3">
      <c r="A2535">
        <v>126700</v>
      </c>
      <c r="B2535" t="s">
        <v>52787</v>
      </c>
      <c r="C2535" t="s">
        <v>52788</v>
      </c>
      <c r="D2535" t="s">
        <v>52789</v>
      </c>
      <c r="E2535" t="s">
        <v>52790</v>
      </c>
      <c r="F2535" t="s">
        <v>52791</v>
      </c>
      <c r="G2535" t="s">
        <v>52792</v>
      </c>
      <c r="H2535" t="s">
        <v>52793</v>
      </c>
      <c r="I2535" t="s">
        <v>52794</v>
      </c>
      <c r="J2535" t="s">
        <v>52795</v>
      </c>
      <c r="K2535" t="s">
        <v>52796</v>
      </c>
      <c r="L2535" t="s">
        <v>52797</v>
      </c>
      <c r="M2535" t="s">
        <v>52798</v>
      </c>
      <c r="N2535" t="s">
        <v>52799</v>
      </c>
      <c r="O2535">
        <f>-997.169166180452 -45.3144839811955 -488.194065585089</f>
        <v>-1530.6777157467363</v>
      </c>
      <c r="P2535">
        <f>-996.656375596819 -66.6990089682295 -194.708684848183</f>
        <v>-1258.0640694132317</v>
      </c>
      <c r="Q2535">
        <f>-806.154381081451 -17.0671560091382 -333.620244258872</f>
        <v>-1156.8417813494611</v>
      </c>
      <c r="R2535" t="s">
        <v>52800</v>
      </c>
      <c r="S2535" t="s">
        <v>52801</v>
      </c>
      <c r="T2535" t="s">
        <v>52802</v>
      </c>
      <c r="U2535" t="s">
        <v>52803</v>
      </c>
      <c r="V2535" t="s">
        <v>52804</v>
      </c>
      <c r="W2535" t="s">
        <v>52805</v>
      </c>
      <c r="X2535" t="s">
        <v>52806</v>
      </c>
      <c r="Y2535" t="s">
        <v>52807</v>
      </c>
    </row>
    <row r="2536" spans="1:25" x14ac:dyDescent="0.3">
      <c r="A2536">
        <v>126750</v>
      </c>
      <c r="B2536" t="s">
        <v>52808</v>
      </c>
      <c r="C2536" t="s">
        <v>52809</v>
      </c>
      <c r="D2536" t="s">
        <v>52810</v>
      </c>
      <c r="E2536" t="s">
        <v>52811</v>
      </c>
      <c r="F2536" t="s">
        <v>52812</v>
      </c>
      <c r="G2536" t="s">
        <v>52813</v>
      </c>
      <c r="H2536" t="s">
        <v>52814</v>
      </c>
      <c r="I2536" t="s">
        <v>52815</v>
      </c>
      <c r="J2536" t="s">
        <v>52816</v>
      </c>
      <c r="K2536" t="s">
        <v>52817</v>
      </c>
      <c r="L2536" t="s">
        <v>52818</v>
      </c>
      <c r="M2536" t="s">
        <v>52819</v>
      </c>
      <c r="N2536" t="s">
        <v>52820</v>
      </c>
      <c r="O2536">
        <f>-997.137270876087 -45.3763166504327 -488.133313121766</f>
        <v>-1530.6469006482855</v>
      </c>
      <c r="P2536">
        <f>-996.600287818264 -66.7138074804438 -194.644549966287</f>
        <v>-1257.9586452649949</v>
      </c>
      <c r="Q2536">
        <f>-805.985776215094 -16.3263896226108 -333.129714610612</f>
        <v>-1155.4418804483169</v>
      </c>
      <c r="R2536" t="s">
        <v>52821</v>
      </c>
      <c r="S2536" t="s">
        <v>52822</v>
      </c>
      <c r="T2536" t="s">
        <v>52823</v>
      </c>
      <c r="U2536" t="s">
        <v>52824</v>
      </c>
      <c r="V2536" t="s">
        <v>52825</v>
      </c>
      <c r="W2536" t="s">
        <v>52826</v>
      </c>
      <c r="X2536" t="s">
        <v>52827</v>
      </c>
      <c r="Y2536" t="s">
        <v>52828</v>
      </c>
    </row>
    <row r="2537" spans="1:25" x14ac:dyDescent="0.3">
      <c r="A2537">
        <v>126800</v>
      </c>
      <c r="B2537" t="s">
        <v>52829</v>
      </c>
      <c r="C2537" t="s">
        <v>52830</v>
      </c>
      <c r="D2537" t="s">
        <v>52831</v>
      </c>
      <c r="E2537" t="s">
        <v>52832</v>
      </c>
      <c r="F2537" t="s">
        <v>52833</v>
      </c>
      <c r="G2537" t="s">
        <v>52834</v>
      </c>
      <c r="H2537" t="s">
        <v>52835</v>
      </c>
      <c r="I2537" t="s">
        <v>52836</v>
      </c>
      <c r="J2537" t="s">
        <v>52837</v>
      </c>
      <c r="K2537" t="s">
        <v>52838</v>
      </c>
      <c r="L2537" t="s">
        <v>52839</v>
      </c>
      <c r="M2537" t="s">
        <v>52840</v>
      </c>
      <c r="N2537" t="s">
        <v>52841</v>
      </c>
      <c r="O2537">
        <f>-996.859425089804 -45.4457910091251 -488.064840314028</f>
        <v>-1530.3700564129572</v>
      </c>
      <c r="P2537">
        <f>-996.504165377852 -66.8946407373592 -194.583991959648</f>
        <v>-1257.9827980748594</v>
      </c>
      <c r="Q2537">
        <f>-805.944887884904 -14.6908053156903 -332.470973527652</f>
        <v>-1153.1066667282464</v>
      </c>
      <c r="R2537" t="s">
        <v>52842</v>
      </c>
      <c r="S2537" t="s">
        <v>52843</v>
      </c>
      <c r="T2537" t="s">
        <v>52844</v>
      </c>
      <c r="U2537" t="s">
        <v>52845</v>
      </c>
      <c r="V2537" t="s">
        <v>52846</v>
      </c>
      <c r="W2537" t="s">
        <v>52847</v>
      </c>
      <c r="X2537" t="s">
        <v>52848</v>
      </c>
      <c r="Y2537" t="s">
        <v>52849</v>
      </c>
    </row>
    <row r="2538" spans="1:25" x14ac:dyDescent="0.3">
      <c r="A2538">
        <v>126850</v>
      </c>
      <c r="B2538" t="s">
        <v>52850</v>
      </c>
      <c r="C2538" t="s">
        <v>52851</v>
      </c>
      <c r="D2538" t="s">
        <v>52852</v>
      </c>
      <c r="E2538" t="s">
        <v>52853</v>
      </c>
      <c r="F2538" t="s">
        <v>52854</v>
      </c>
      <c r="G2538" t="s">
        <v>52855</v>
      </c>
      <c r="H2538" t="s">
        <v>52856</v>
      </c>
      <c r="I2538" t="s">
        <v>52857</v>
      </c>
      <c r="J2538" t="s">
        <v>52858</v>
      </c>
      <c r="K2538" t="s">
        <v>52859</v>
      </c>
      <c r="L2538" t="s">
        <v>52860</v>
      </c>
      <c r="M2538" t="s">
        <v>52861</v>
      </c>
      <c r="N2538" t="s">
        <v>52862</v>
      </c>
      <c r="O2538">
        <f>-996.775847724666 -45.408087424325 -488.071246946133</f>
        <v>-1530.2551820951239</v>
      </c>
      <c r="P2538">
        <f>-996.339923130916 -66.8242232962898 -194.588028963079</f>
        <v>-1257.7521753902847</v>
      </c>
      <c r="Q2538">
        <f>-805.762386548255 -14.1231559867351 -332.260407938545</f>
        <v>-1152.1459504735351</v>
      </c>
      <c r="R2538" t="s">
        <v>52863</v>
      </c>
      <c r="S2538" t="s">
        <v>52864</v>
      </c>
      <c r="T2538" t="s">
        <v>52865</v>
      </c>
      <c r="U2538" t="s">
        <v>52866</v>
      </c>
      <c r="V2538" t="s">
        <v>52867</v>
      </c>
      <c r="W2538" t="s">
        <v>52868</v>
      </c>
      <c r="X2538" t="s">
        <v>52869</v>
      </c>
      <c r="Y2538" t="s">
        <v>52870</v>
      </c>
    </row>
    <row r="2539" spans="1:25" x14ac:dyDescent="0.3">
      <c r="A2539">
        <v>126900</v>
      </c>
      <c r="B2539" t="s">
        <v>52871</v>
      </c>
      <c r="C2539" t="s">
        <v>52872</v>
      </c>
      <c r="D2539" t="s">
        <v>52873</v>
      </c>
      <c r="E2539" t="s">
        <v>52874</v>
      </c>
      <c r="F2539" t="s">
        <v>52875</v>
      </c>
      <c r="G2539" t="s">
        <v>52876</v>
      </c>
      <c r="H2539" t="s">
        <v>52877</v>
      </c>
      <c r="I2539" t="s">
        <v>52878</v>
      </c>
      <c r="J2539" t="s">
        <v>52879</v>
      </c>
      <c r="K2539" t="s">
        <v>52880</v>
      </c>
      <c r="L2539" t="s">
        <v>52881</v>
      </c>
      <c r="M2539" t="s">
        <v>52882</v>
      </c>
      <c r="N2539" t="s">
        <v>52883</v>
      </c>
      <c r="O2539">
        <f>-996.802547407503 -45.5410482978446 -488.084540030807</f>
        <v>-1530.4281357361544</v>
      </c>
      <c r="P2539">
        <f>-995.829158342125 -67.2202051542899 -194.621867603321</f>
        <v>-1257.6712310997359</v>
      </c>
      <c r="Q2539">
        <f>-805.247192983356 -13.4102780818694 -331.858893174503</f>
        <v>-1150.5163642397283</v>
      </c>
      <c r="R2539" t="s">
        <v>52884</v>
      </c>
      <c r="S2539" t="s">
        <v>52885</v>
      </c>
      <c r="T2539" t="s">
        <v>52886</v>
      </c>
      <c r="U2539" t="s">
        <v>52887</v>
      </c>
      <c r="V2539" t="s">
        <v>52888</v>
      </c>
      <c r="W2539" t="s">
        <v>52889</v>
      </c>
      <c r="X2539" t="s">
        <v>52890</v>
      </c>
      <c r="Y2539" t="s">
        <v>52891</v>
      </c>
    </row>
    <row r="2540" spans="1:25" x14ac:dyDescent="0.3">
      <c r="A2540">
        <v>126950</v>
      </c>
      <c r="B2540" t="s">
        <v>52892</v>
      </c>
      <c r="C2540" t="s">
        <v>52893</v>
      </c>
      <c r="D2540" t="s">
        <v>52894</v>
      </c>
      <c r="E2540" t="s">
        <v>52895</v>
      </c>
      <c r="F2540" t="s">
        <v>52896</v>
      </c>
      <c r="G2540" t="s">
        <v>52897</v>
      </c>
      <c r="H2540" t="s">
        <v>52898</v>
      </c>
      <c r="I2540" t="s">
        <v>52899</v>
      </c>
      <c r="J2540" t="s">
        <v>52900</v>
      </c>
      <c r="K2540" t="s">
        <v>52901</v>
      </c>
      <c r="L2540" t="s">
        <v>52902</v>
      </c>
      <c r="M2540" t="s">
        <v>52903</v>
      </c>
      <c r="N2540" t="s">
        <v>52904</v>
      </c>
      <c r="O2540">
        <f>-996.841641211375 -45.5532858413669 -488.094238098835</f>
        <v>-1530.4891651515768</v>
      </c>
      <c r="P2540">
        <f>-995.680025973129 -67.3841526699298 -194.643724953309</f>
        <v>-1257.7079035963677</v>
      </c>
      <c r="Q2540">
        <f>-805.090081342776 -13.0462689988726 -331.661284997725</f>
        <v>-1149.7976353393735</v>
      </c>
      <c r="R2540" t="s">
        <v>52905</v>
      </c>
      <c r="S2540" t="s">
        <v>52906</v>
      </c>
      <c r="T2540" t="s">
        <v>52907</v>
      </c>
      <c r="U2540" t="s">
        <v>52908</v>
      </c>
      <c r="V2540" t="s">
        <v>52909</v>
      </c>
      <c r="W2540" t="s">
        <v>52910</v>
      </c>
      <c r="X2540" t="s">
        <v>52911</v>
      </c>
      <c r="Y2540" t="s">
        <v>52912</v>
      </c>
    </row>
    <row r="2541" spans="1:25" x14ac:dyDescent="0.3">
      <c r="A2541">
        <v>127000</v>
      </c>
      <c r="B2541" t="s">
        <v>52913</v>
      </c>
      <c r="C2541" t="s">
        <v>52914</v>
      </c>
      <c r="D2541" t="s">
        <v>52915</v>
      </c>
      <c r="E2541" t="s">
        <v>52916</v>
      </c>
      <c r="F2541" t="s">
        <v>52917</v>
      </c>
      <c r="G2541" t="s">
        <v>52918</v>
      </c>
      <c r="H2541" t="s">
        <v>52919</v>
      </c>
      <c r="I2541" t="s">
        <v>52920</v>
      </c>
      <c r="J2541" t="s">
        <v>52921</v>
      </c>
      <c r="K2541" t="s">
        <v>52922</v>
      </c>
      <c r="L2541" t="s">
        <v>52923</v>
      </c>
      <c r="M2541" t="s">
        <v>52924</v>
      </c>
      <c r="N2541" t="s">
        <v>52925</v>
      </c>
      <c r="O2541">
        <f>-997.189897191222 -45.6550059742913 -488.104510916046</f>
        <v>-1530.9494140815596</v>
      </c>
      <c r="P2541">
        <f>-995.724279675927 -67.5469944599811 -194.659829357412</f>
        <v>-1257.9311034933203</v>
      </c>
      <c r="Q2541">
        <f>-805.232457933963 -11.9088885048113 -331.291019183623</f>
        <v>-1148.4323656223974</v>
      </c>
      <c r="R2541" t="s">
        <v>52926</v>
      </c>
      <c r="S2541" t="s">
        <v>52927</v>
      </c>
      <c r="T2541" t="s">
        <v>52928</v>
      </c>
      <c r="U2541" t="s">
        <v>52929</v>
      </c>
      <c r="V2541" t="s">
        <v>52930</v>
      </c>
      <c r="W2541" t="s">
        <v>52931</v>
      </c>
      <c r="X2541" t="s">
        <v>52932</v>
      </c>
      <c r="Y2541" t="s">
        <v>52933</v>
      </c>
    </row>
    <row r="2542" spans="1:25" x14ac:dyDescent="0.3">
      <c r="A2542">
        <v>127050</v>
      </c>
      <c r="B2542" t="s">
        <v>52934</v>
      </c>
      <c r="C2542" t="s">
        <v>52935</v>
      </c>
      <c r="D2542" t="s">
        <v>52936</v>
      </c>
      <c r="E2542" t="s">
        <v>52937</v>
      </c>
      <c r="F2542" t="s">
        <v>52938</v>
      </c>
      <c r="G2542" t="s">
        <v>52939</v>
      </c>
      <c r="H2542" t="s">
        <v>52940</v>
      </c>
      <c r="I2542" t="s">
        <v>52941</v>
      </c>
      <c r="J2542" t="s">
        <v>52942</v>
      </c>
      <c r="K2542" t="s">
        <v>52943</v>
      </c>
      <c r="L2542" t="s">
        <v>52944</v>
      </c>
      <c r="M2542" t="s">
        <v>52945</v>
      </c>
      <c r="N2542" t="s">
        <v>52946</v>
      </c>
      <c r="O2542">
        <f>-997.306019899431 -45.7750522340907 -488.099111062245</f>
        <v>-1531.1801831957669</v>
      </c>
      <c r="P2542">
        <f>-995.700630664553 -67.6009724842775 -194.650296584132</f>
        <v>-1257.9518997329626</v>
      </c>
      <c r="Q2542">
        <f>-805.294840214837 -11.4318543435002 -331.184412746607</f>
        <v>-1147.9111073049442</v>
      </c>
      <c r="R2542" t="s">
        <v>52947</v>
      </c>
      <c r="S2542" t="s">
        <v>52948</v>
      </c>
      <c r="T2542" t="s">
        <v>52949</v>
      </c>
      <c r="U2542" t="s">
        <v>52950</v>
      </c>
      <c r="V2542" t="s">
        <v>52951</v>
      </c>
      <c r="W2542" t="s">
        <v>52952</v>
      </c>
      <c r="X2542" t="s">
        <v>52953</v>
      </c>
      <c r="Y2542" t="s">
        <v>52954</v>
      </c>
    </row>
    <row r="2543" spans="1:25" x14ac:dyDescent="0.3">
      <c r="A2543">
        <v>127100</v>
      </c>
      <c r="B2543" t="s">
        <v>52955</v>
      </c>
      <c r="C2543" t="s">
        <v>52956</v>
      </c>
      <c r="D2543" t="s">
        <v>52957</v>
      </c>
      <c r="E2543" t="s">
        <v>52958</v>
      </c>
      <c r="F2543" t="s">
        <v>52959</v>
      </c>
      <c r="G2543" t="s">
        <v>52960</v>
      </c>
      <c r="H2543" t="s">
        <v>52961</v>
      </c>
      <c r="I2543" t="s">
        <v>52962</v>
      </c>
      <c r="J2543" t="s">
        <v>52963</v>
      </c>
      <c r="K2543" t="s">
        <v>52964</v>
      </c>
      <c r="L2543" t="s">
        <v>52965</v>
      </c>
      <c r="M2543" t="s">
        <v>52966</v>
      </c>
      <c r="N2543" t="s">
        <v>52967</v>
      </c>
      <c r="O2543">
        <f>-997.183654926184 -46.0786133788556 -488.131042193448</f>
        <v>-1531.3933104984876</v>
      </c>
      <c r="P2543">
        <f>-995.379497593636 -68.1187790183235 -194.699337788832</f>
        <v>-1258.1976144007915</v>
      </c>
      <c r="Q2543">
        <f>-805.005503265927 -8.98368191504233 -330.019403208346</f>
        <v>-1144.0085883893153</v>
      </c>
      <c r="R2543" t="s">
        <v>52968</v>
      </c>
      <c r="S2543" t="s">
        <v>52969</v>
      </c>
      <c r="T2543" t="s">
        <v>52970</v>
      </c>
      <c r="U2543" t="s">
        <v>52971</v>
      </c>
      <c r="V2543" t="s">
        <v>52972</v>
      </c>
      <c r="W2543" t="s">
        <v>52973</v>
      </c>
      <c r="X2543" t="s">
        <v>52974</v>
      </c>
      <c r="Y2543" t="s">
        <v>52975</v>
      </c>
    </row>
    <row r="2544" spans="1:25" x14ac:dyDescent="0.3">
      <c r="A2544">
        <v>127150</v>
      </c>
      <c r="B2544" t="s">
        <v>52976</v>
      </c>
      <c r="C2544" t="s">
        <v>52977</v>
      </c>
      <c r="D2544" t="s">
        <v>52978</v>
      </c>
      <c r="E2544" t="s">
        <v>52979</v>
      </c>
      <c r="F2544" t="s">
        <v>52980</v>
      </c>
      <c r="G2544" t="s">
        <v>52981</v>
      </c>
      <c r="H2544" t="s">
        <v>52982</v>
      </c>
      <c r="I2544" t="s">
        <v>52983</v>
      </c>
      <c r="J2544" t="s">
        <v>52984</v>
      </c>
      <c r="K2544" t="s">
        <v>52985</v>
      </c>
      <c r="L2544" t="s">
        <v>52986</v>
      </c>
      <c r="M2544" t="s">
        <v>52987</v>
      </c>
      <c r="N2544" t="s">
        <v>52988</v>
      </c>
      <c r="O2544">
        <f>-996.99899429022 -46.2286794250713 -488.167308888041</f>
        <v>-1531.3949826033322</v>
      </c>
      <c r="P2544">
        <f>-995.040111962187 -68.4624950871194 -194.75106745434</f>
        <v>-1258.2536745036464</v>
      </c>
      <c r="Q2544">
        <f>-804.765597590346 -9.09395017594579 -330.109399215238</f>
        <v>-1143.9689469815298</v>
      </c>
      <c r="R2544" t="s">
        <v>52989</v>
      </c>
      <c r="S2544" t="s">
        <v>52990</v>
      </c>
      <c r="T2544" t="s">
        <v>52991</v>
      </c>
      <c r="U2544" t="s">
        <v>52992</v>
      </c>
      <c r="V2544" t="s">
        <v>52993</v>
      </c>
      <c r="W2544" t="s">
        <v>52994</v>
      </c>
      <c r="X2544" t="s">
        <v>52995</v>
      </c>
      <c r="Y2544" t="s">
        <v>52996</v>
      </c>
    </row>
    <row r="2545" spans="1:25" x14ac:dyDescent="0.3">
      <c r="A2545">
        <v>127200</v>
      </c>
      <c r="B2545" t="s">
        <v>52997</v>
      </c>
      <c r="C2545" t="s">
        <v>52998</v>
      </c>
      <c r="D2545" t="s">
        <v>52999</v>
      </c>
      <c r="E2545" t="s">
        <v>53000</v>
      </c>
      <c r="F2545" t="s">
        <v>53001</v>
      </c>
      <c r="G2545" t="s">
        <v>53002</v>
      </c>
      <c r="H2545" t="s">
        <v>53003</v>
      </c>
      <c r="I2545" t="s">
        <v>53004</v>
      </c>
      <c r="J2545" t="s">
        <v>53005</v>
      </c>
      <c r="K2545" t="s">
        <v>53006</v>
      </c>
      <c r="L2545" t="s">
        <v>53007</v>
      </c>
      <c r="M2545" t="s">
        <v>53008</v>
      </c>
      <c r="N2545" t="s">
        <v>53009</v>
      </c>
      <c r="O2545">
        <f>-996.818355141763 -46.5676540741517 -488.140542973695</f>
        <v>-1531.5265521896099</v>
      </c>
      <c r="P2545">
        <f>-994.120583183528 -69.0470772956937 -194.748889417161</f>
        <v>-1257.9165498963828</v>
      </c>
      <c r="Q2545">
        <f>-804.081445722575 -9.1125700702346 -330.188198688441</f>
        <v>-1143.3822144812507</v>
      </c>
      <c r="R2545" t="s">
        <v>53010</v>
      </c>
      <c r="S2545" t="s">
        <v>53011</v>
      </c>
      <c r="T2545" t="s">
        <v>53012</v>
      </c>
      <c r="U2545" t="s">
        <v>53013</v>
      </c>
      <c r="V2545" t="s">
        <v>53014</v>
      </c>
      <c r="W2545" t="s">
        <v>53015</v>
      </c>
      <c r="X2545" t="s">
        <v>53016</v>
      </c>
      <c r="Y2545" t="s">
        <v>53017</v>
      </c>
    </row>
    <row r="2546" spans="1:25" x14ac:dyDescent="0.3">
      <c r="A2546">
        <v>127250</v>
      </c>
      <c r="B2546" t="s">
        <v>53018</v>
      </c>
      <c r="C2546" t="s">
        <v>53019</v>
      </c>
      <c r="D2546" t="s">
        <v>53020</v>
      </c>
      <c r="E2546" t="s">
        <v>53021</v>
      </c>
      <c r="F2546" t="s">
        <v>53022</v>
      </c>
      <c r="G2546" t="s">
        <v>53023</v>
      </c>
      <c r="H2546" t="s">
        <v>53024</v>
      </c>
      <c r="I2546" t="s">
        <v>53025</v>
      </c>
      <c r="J2546" t="s">
        <v>53026</v>
      </c>
      <c r="K2546" t="s">
        <v>53027</v>
      </c>
      <c r="L2546" t="s">
        <v>53028</v>
      </c>
      <c r="M2546" t="s">
        <v>53029</v>
      </c>
      <c r="N2546" t="s">
        <v>53030</v>
      </c>
      <c r="O2546">
        <f>-996.78446763686 -46.6887236317261 -488.093564483484</f>
        <v>-1531.5667557520701</v>
      </c>
      <c r="P2546">
        <f>-993.677163592863 -69.2742319943634 -194.714119944922</f>
        <v>-1257.6655155321484</v>
      </c>
      <c r="Q2546">
        <f>-803.729011549589 -9.65774109683571 -330.421303885463</f>
        <v>-1143.8080565318878</v>
      </c>
      <c r="R2546" t="s">
        <v>53031</v>
      </c>
      <c r="S2546" t="s">
        <v>53032</v>
      </c>
      <c r="T2546" t="s">
        <v>53033</v>
      </c>
      <c r="U2546" t="s">
        <v>53034</v>
      </c>
      <c r="V2546" t="s">
        <v>53035</v>
      </c>
      <c r="W2546" t="s">
        <v>53036</v>
      </c>
      <c r="X2546" t="s">
        <v>53037</v>
      </c>
      <c r="Y2546" t="s">
        <v>53038</v>
      </c>
    </row>
    <row r="2547" spans="1:25" x14ac:dyDescent="0.3">
      <c r="A2547">
        <v>127300</v>
      </c>
      <c r="B2547" t="s">
        <v>53039</v>
      </c>
      <c r="C2547" t="s">
        <v>53040</v>
      </c>
      <c r="D2547" t="s">
        <v>53041</v>
      </c>
      <c r="E2547" t="s">
        <v>53042</v>
      </c>
      <c r="F2547" t="s">
        <v>53043</v>
      </c>
      <c r="G2547" t="s">
        <v>53044</v>
      </c>
      <c r="H2547" t="s">
        <v>53045</v>
      </c>
      <c r="I2547" t="s">
        <v>53046</v>
      </c>
      <c r="J2547" t="s">
        <v>53047</v>
      </c>
      <c r="K2547" t="s">
        <v>53048</v>
      </c>
      <c r="L2547" t="s">
        <v>53049</v>
      </c>
      <c r="M2547" t="s">
        <v>53050</v>
      </c>
      <c r="N2547" t="s">
        <v>53051</v>
      </c>
      <c r="O2547">
        <f>-996.451764598856 -46.848018677427 -488.033001940691</f>
        <v>-1531.3327852169741</v>
      </c>
      <c r="P2547">
        <f>-992.54912530778 -69.3441905605578 -194.656282887613</f>
        <v>-1256.5495987559509</v>
      </c>
      <c r="Q2547">
        <f>-801.985299187511 -8.78547271845309 -329.077184658985</f>
        <v>-1139.8479565649491</v>
      </c>
      <c r="R2547" t="s">
        <v>53052</v>
      </c>
      <c r="S2547" t="s">
        <v>53053</v>
      </c>
      <c r="T2547" t="s">
        <v>53054</v>
      </c>
      <c r="U2547" t="s">
        <v>53055</v>
      </c>
      <c r="V2547" t="s">
        <v>53056</v>
      </c>
      <c r="W2547" t="s">
        <v>53057</v>
      </c>
      <c r="X2547" t="s">
        <v>53058</v>
      </c>
      <c r="Y2547" t="s">
        <v>53059</v>
      </c>
    </row>
    <row r="2548" spans="1:25" x14ac:dyDescent="0.3">
      <c r="A2548">
        <v>127350</v>
      </c>
      <c r="B2548" t="s">
        <v>53060</v>
      </c>
      <c r="C2548" t="s">
        <v>53061</v>
      </c>
      <c r="D2548" t="s">
        <v>53062</v>
      </c>
      <c r="E2548" t="s">
        <v>53063</v>
      </c>
      <c r="F2548" t="s">
        <v>53064</v>
      </c>
      <c r="G2548" t="s">
        <v>53065</v>
      </c>
      <c r="H2548" t="s">
        <v>53066</v>
      </c>
      <c r="I2548" t="s">
        <v>53067</v>
      </c>
      <c r="J2548" t="s">
        <v>53068</v>
      </c>
      <c r="K2548" t="s">
        <v>53069</v>
      </c>
      <c r="L2548" t="s">
        <v>53070</v>
      </c>
      <c r="M2548" t="s">
        <v>53071</v>
      </c>
      <c r="N2548" t="s">
        <v>53072</v>
      </c>
      <c r="O2548">
        <f>-995.913038736616 -46.8097631397768 -488.123258787415</f>
        <v>-1530.8460606638077</v>
      </c>
      <c r="P2548">
        <f>-992.072346807096 -70.0777443851889 -194.80592877487</f>
        <v>-1256.9560199671548</v>
      </c>
      <c r="Q2548">
        <f>-802.111908990106 -7.63992520349029 -329.221074380321</f>
        <v>-1138.9729085739173</v>
      </c>
      <c r="R2548" t="s">
        <v>53073</v>
      </c>
      <c r="S2548" t="s">
        <v>53074</v>
      </c>
      <c r="T2548" t="s">
        <v>53075</v>
      </c>
      <c r="U2548" t="s">
        <v>53076</v>
      </c>
      <c r="V2548" t="s">
        <v>53077</v>
      </c>
      <c r="W2548" t="s">
        <v>53078</v>
      </c>
      <c r="X2548" t="s">
        <v>53079</v>
      </c>
      <c r="Y2548" t="s">
        <v>53080</v>
      </c>
    </row>
    <row r="2549" spans="1:25" x14ac:dyDescent="0.3">
      <c r="A2549">
        <v>127400</v>
      </c>
      <c r="B2549" t="s">
        <v>53081</v>
      </c>
      <c r="C2549" t="s">
        <v>53082</v>
      </c>
      <c r="D2549" t="s">
        <v>53083</v>
      </c>
      <c r="E2549" t="s">
        <v>53084</v>
      </c>
      <c r="F2549" t="s">
        <v>53085</v>
      </c>
      <c r="G2549" t="s">
        <v>53086</v>
      </c>
      <c r="H2549" t="s">
        <v>53087</v>
      </c>
      <c r="I2549" t="s">
        <v>53088</v>
      </c>
      <c r="J2549" t="s">
        <v>53089</v>
      </c>
      <c r="K2549" t="s">
        <v>53090</v>
      </c>
      <c r="L2549" t="s">
        <v>53091</v>
      </c>
      <c r="M2549" t="s">
        <v>53092</v>
      </c>
      <c r="N2549" t="s">
        <v>53093</v>
      </c>
      <c r="O2549">
        <f>-994.936617175107 -46.6837573696464 -488.391864568926</f>
        <v>-1530.0122391136792</v>
      </c>
      <c r="P2549">
        <f>-991.508918918688 -71.1439249226471 -195.166376362935</f>
        <v>-1257.8192202042701</v>
      </c>
      <c r="Q2549">
        <f>-804.336341112571 -3.03000342987116 -330.731345239214</f>
        <v>-1138.0976897816561</v>
      </c>
      <c r="R2549" t="s">
        <v>53094</v>
      </c>
      <c r="S2549" t="s">
        <v>53095</v>
      </c>
      <c r="T2549" t="s">
        <v>53096</v>
      </c>
      <c r="U2549" t="s">
        <v>53097</v>
      </c>
      <c r="V2549" t="s">
        <v>53098</v>
      </c>
      <c r="W2549" t="s">
        <v>53099</v>
      </c>
      <c r="X2549" t="s">
        <v>53100</v>
      </c>
      <c r="Y2549" t="s">
        <v>53101</v>
      </c>
    </row>
    <row r="2550" spans="1:25" x14ac:dyDescent="0.3">
      <c r="A2550">
        <v>127450</v>
      </c>
      <c r="B2550" t="s">
        <v>53102</v>
      </c>
      <c r="C2550" t="s">
        <v>53103</v>
      </c>
      <c r="D2550" t="s">
        <v>53104</v>
      </c>
      <c r="E2550" t="s">
        <v>53105</v>
      </c>
      <c r="F2550" t="s">
        <v>53106</v>
      </c>
      <c r="G2550" t="s">
        <v>53107</v>
      </c>
      <c r="H2550" t="s">
        <v>53108</v>
      </c>
      <c r="I2550" t="s">
        <v>53109</v>
      </c>
      <c r="J2550" t="s">
        <v>53110</v>
      </c>
      <c r="K2550" t="s">
        <v>53111</v>
      </c>
      <c r="L2550" t="s">
        <v>53112</v>
      </c>
      <c r="M2550" t="s">
        <v>53113</v>
      </c>
      <c r="N2550" t="s">
        <v>53114</v>
      </c>
      <c r="O2550">
        <f>-994.634153368313 -46.7921274951011 -488.420925190382</f>
        <v>-1529.8472060537961</v>
      </c>
      <c r="P2550">
        <f>-991.121240354286 -70.7026129535291 -195.151109514668</f>
        <v>-1256.9749628224831</v>
      </c>
      <c r="Q2550">
        <f>-804.351729519135 -1.38514996767344 -330.661732072757</f>
        <v>-1136.3986115595653</v>
      </c>
      <c r="R2550" t="s">
        <v>53115</v>
      </c>
      <c r="S2550" t="s">
        <v>53116</v>
      </c>
      <c r="T2550" t="s">
        <v>53117</v>
      </c>
      <c r="U2550" t="s">
        <v>53118</v>
      </c>
      <c r="V2550" t="s">
        <v>53119</v>
      </c>
      <c r="W2550" t="s">
        <v>53120</v>
      </c>
      <c r="X2550" t="s">
        <v>53121</v>
      </c>
      <c r="Y2550" t="s">
        <v>53122</v>
      </c>
    </row>
    <row r="2551" spans="1:25" x14ac:dyDescent="0.3">
      <c r="A2551">
        <v>127500</v>
      </c>
      <c r="B2551" t="s">
        <v>53123</v>
      </c>
      <c r="C2551" t="s">
        <v>53124</v>
      </c>
      <c r="D2551" t="s">
        <v>53125</v>
      </c>
      <c r="E2551" t="s">
        <v>53126</v>
      </c>
      <c r="F2551" t="s">
        <v>53127</v>
      </c>
      <c r="G2551" t="s">
        <v>53128</v>
      </c>
      <c r="H2551" t="s">
        <v>53129</v>
      </c>
      <c r="I2551" t="s">
        <v>53130</v>
      </c>
      <c r="J2551" t="s">
        <v>53131</v>
      </c>
      <c r="K2551" t="s">
        <v>53132</v>
      </c>
      <c r="L2551" t="s">
        <v>53133</v>
      </c>
      <c r="M2551" t="s">
        <v>53134</v>
      </c>
      <c r="N2551" t="s">
        <v>53135</v>
      </c>
      <c r="O2551">
        <f>-993.865323379608 -46.9206968148962 -488.578195360755</f>
        <v>-1529.3642155552591</v>
      </c>
      <c r="P2551">
        <f>-991.444313800635 -71.7672309776465 -195.375176354516</f>
        <v>-1258.5867211327975</v>
      </c>
      <c r="Q2551">
        <f>-804.333546332323 -1.04830684892522 -329.685688199249</f>
        <v>-1135.0675413804972</v>
      </c>
      <c r="R2551" t="s">
        <v>53136</v>
      </c>
      <c r="S2551" t="s">
        <v>53137</v>
      </c>
      <c r="T2551" t="s">
        <v>53138</v>
      </c>
      <c r="U2551" t="s">
        <v>53139</v>
      </c>
      <c r="V2551" t="s">
        <v>53140</v>
      </c>
      <c r="W2551" t="s">
        <v>53141</v>
      </c>
      <c r="X2551" t="s">
        <v>53142</v>
      </c>
      <c r="Y2551" t="s">
        <v>53143</v>
      </c>
    </row>
    <row r="2552" spans="1:25" x14ac:dyDescent="0.3">
      <c r="A2552">
        <v>127550</v>
      </c>
      <c r="B2552" t="s">
        <v>53144</v>
      </c>
      <c r="C2552" t="s">
        <v>53145</v>
      </c>
      <c r="D2552" t="s">
        <v>53146</v>
      </c>
      <c r="E2552" t="s">
        <v>53147</v>
      </c>
      <c r="F2552" t="s">
        <v>53148</v>
      </c>
      <c r="G2552" t="s">
        <v>53149</v>
      </c>
      <c r="H2552" t="s">
        <v>53150</v>
      </c>
      <c r="I2552" t="s">
        <v>53151</v>
      </c>
      <c r="J2552" t="s">
        <v>53152</v>
      </c>
      <c r="K2552" t="s">
        <v>53153</v>
      </c>
      <c r="L2552" t="s">
        <v>53154</v>
      </c>
      <c r="M2552" t="s">
        <v>53155</v>
      </c>
      <c r="N2552" t="s">
        <v>53156</v>
      </c>
      <c r="O2552">
        <f>-993.671747963499 -46.9279863731513 -488.800797700068</f>
        <v>-1529.4005320367182</v>
      </c>
      <c r="P2552">
        <f>-991.812868935113 -72.0080373313194 -195.613488669717</f>
        <v>-1259.4343949361494</v>
      </c>
      <c r="Q2552">
        <f>-804.18349248325 -1.40977244632631 -329.262170637193</f>
        <v>-1134.8554355667693</v>
      </c>
      <c r="R2552" t="s">
        <v>53157</v>
      </c>
      <c r="S2552" t="s">
        <v>53158</v>
      </c>
      <c r="T2552" t="s">
        <v>53159</v>
      </c>
      <c r="U2552" t="s">
        <v>53160</v>
      </c>
      <c r="V2552" t="s">
        <v>53161</v>
      </c>
      <c r="W2552" t="s">
        <v>53162</v>
      </c>
      <c r="X2552" t="s">
        <v>53163</v>
      </c>
      <c r="Y2552" t="s">
        <v>53164</v>
      </c>
    </row>
    <row r="2553" spans="1:25" x14ac:dyDescent="0.3">
      <c r="A2553">
        <v>127600</v>
      </c>
      <c r="B2553" t="s">
        <v>53165</v>
      </c>
      <c r="C2553" t="s">
        <v>53166</v>
      </c>
      <c r="D2553" t="s">
        <v>53167</v>
      </c>
      <c r="E2553" t="s">
        <v>53168</v>
      </c>
      <c r="F2553" t="s">
        <v>53169</v>
      </c>
      <c r="G2553" t="s">
        <v>53170</v>
      </c>
      <c r="H2553" t="s">
        <v>53171</v>
      </c>
      <c r="I2553" t="s">
        <v>53172</v>
      </c>
      <c r="J2553" t="s">
        <v>53173</v>
      </c>
      <c r="K2553" t="s">
        <v>53174</v>
      </c>
      <c r="L2553" t="s">
        <v>53175</v>
      </c>
      <c r="M2553" t="s">
        <v>53176</v>
      </c>
      <c r="N2553" t="s">
        <v>53177</v>
      </c>
      <c r="O2553">
        <f>-993.198040504478 -46.9462884866878 -489.011049278637</f>
        <v>-1529.1553782698029</v>
      </c>
      <c r="P2553">
        <f>-991.227275485307 -72.4983515871863 -195.865243791006</f>
        <v>-1259.5908708634993</v>
      </c>
      <c r="Q2553">
        <f>-803.759807098697 -1.44550655140756 -329.500305332335</f>
        <v>-1134.7056189824395</v>
      </c>
      <c r="R2553" t="s">
        <v>53178</v>
      </c>
      <c r="S2553" t="s">
        <v>53179</v>
      </c>
      <c r="T2553" t="s">
        <v>53180</v>
      </c>
      <c r="U2553" t="s">
        <v>53181</v>
      </c>
      <c r="V2553" t="s">
        <v>53182</v>
      </c>
      <c r="W2553" t="s">
        <v>53183</v>
      </c>
      <c r="X2553" t="s">
        <v>53184</v>
      </c>
      <c r="Y2553" t="s">
        <v>53185</v>
      </c>
    </row>
    <row r="2554" spans="1:25" x14ac:dyDescent="0.3">
      <c r="A2554">
        <v>127650</v>
      </c>
      <c r="B2554" t="s">
        <v>53186</v>
      </c>
      <c r="C2554" t="s">
        <v>53187</v>
      </c>
      <c r="D2554" t="s">
        <v>53188</v>
      </c>
      <c r="E2554" t="s">
        <v>53189</v>
      </c>
      <c r="F2554" t="s">
        <v>53190</v>
      </c>
      <c r="G2554" t="s">
        <v>53191</v>
      </c>
      <c r="H2554" t="s">
        <v>53192</v>
      </c>
      <c r="I2554" t="s">
        <v>53193</v>
      </c>
      <c r="J2554" t="s">
        <v>53194</v>
      </c>
      <c r="K2554" t="s">
        <v>53195</v>
      </c>
      <c r="L2554" t="s">
        <v>53196</v>
      </c>
      <c r="M2554" t="s">
        <v>53197</v>
      </c>
      <c r="N2554" t="s">
        <v>53198</v>
      </c>
      <c r="O2554">
        <f>-992.736340507103 -46.9657733452545 -489.050898421274</f>
        <v>-1528.7530122736316</v>
      </c>
      <c r="P2554">
        <f>-991.088169839593 -72.691137855441 -195.918302590885</f>
        <v>-1259.6976102859189</v>
      </c>
      <c r="Q2554">
        <f>-804.105653272615 -1.40681589982523 -330.108745791378</f>
        <v>-1135.6212149638181</v>
      </c>
      <c r="R2554" t="s">
        <v>53199</v>
      </c>
      <c r="S2554" t="s">
        <v>53200</v>
      </c>
      <c r="T2554" t="s">
        <v>53201</v>
      </c>
      <c r="U2554" t="s">
        <v>53202</v>
      </c>
      <c r="V2554" t="s">
        <v>53203</v>
      </c>
      <c r="W2554" t="s">
        <v>53204</v>
      </c>
      <c r="X2554" t="s">
        <v>53205</v>
      </c>
      <c r="Y2554" t="s">
        <v>53206</v>
      </c>
    </row>
    <row r="2555" spans="1:25" x14ac:dyDescent="0.3">
      <c r="A2555">
        <v>127700</v>
      </c>
      <c r="B2555" t="s">
        <v>53207</v>
      </c>
      <c r="C2555" t="s">
        <v>53208</v>
      </c>
      <c r="D2555" t="s">
        <v>53209</v>
      </c>
      <c r="E2555" t="s">
        <v>53210</v>
      </c>
      <c r="F2555" t="s">
        <v>53211</v>
      </c>
      <c r="G2555" t="s">
        <v>53212</v>
      </c>
      <c r="H2555" t="s">
        <v>53213</v>
      </c>
      <c r="I2555" t="s">
        <v>53214</v>
      </c>
      <c r="J2555" t="s">
        <v>53215</v>
      </c>
      <c r="K2555" t="s">
        <v>53216</v>
      </c>
      <c r="L2555" t="s">
        <v>53217</v>
      </c>
      <c r="M2555" t="s">
        <v>53218</v>
      </c>
      <c r="N2555" t="s">
        <v>53219</v>
      </c>
      <c r="O2555">
        <f>-992.280721677725 -47.205129428243 -489.230196567248</f>
        <v>-1528.7160476732158</v>
      </c>
      <c r="P2555">
        <f>-991.549921791735 -73.1352532547614 -196.111862989967</f>
        <v>-1260.7970380364634</v>
      </c>
      <c r="Q2555">
        <f>-805.374066580127 -0.402369300929422 -330.645358041886</f>
        <v>-1136.4217939229425</v>
      </c>
      <c r="R2555" t="s">
        <v>53220</v>
      </c>
      <c r="S2555" t="s">
        <v>53221</v>
      </c>
      <c r="T2555" t="s">
        <v>53222</v>
      </c>
      <c r="U2555" t="s">
        <v>53223</v>
      </c>
      <c r="V2555" t="s">
        <v>53224</v>
      </c>
      <c r="W2555" t="s">
        <v>53225</v>
      </c>
      <c r="X2555" t="s">
        <v>53226</v>
      </c>
      <c r="Y2555" t="s">
        <v>53227</v>
      </c>
    </row>
    <row r="2556" spans="1:25" x14ac:dyDescent="0.3">
      <c r="A2556">
        <v>127750</v>
      </c>
      <c r="B2556" t="s">
        <v>53228</v>
      </c>
      <c r="C2556" t="s">
        <v>53229</v>
      </c>
      <c r="D2556" t="s">
        <v>53230</v>
      </c>
      <c r="E2556" t="s">
        <v>53231</v>
      </c>
      <c r="F2556" t="s">
        <v>53232</v>
      </c>
      <c r="G2556" t="s">
        <v>53233</v>
      </c>
      <c r="H2556" t="s">
        <v>53234</v>
      </c>
      <c r="I2556" t="s">
        <v>53235</v>
      </c>
      <c r="J2556" t="s">
        <v>53236</v>
      </c>
      <c r="K2556" t="s">
        <v>53237</v>
      </c>
      <c r="L2556" t="s">
        <v>53238</v>
      </c>
      <c r="M2556" t="s">
        <v>53239</v>
      </c>
      <c r="N2556" t="s">
        <v>53240</v>
      </c>
      <c r="O2556">
        <f>-991.971398439856 -47.4700502509058 -489.277912097546</f>
        <v>-1528.7193607883078</v>
      </c>
      <c r="P2556">
        <f>-991.819423154467 -73.8715526155099 -196.200909898892</f>
        <v>-1261.8918856688688</v>
      </c>
      <c r="Q2556" t="s">
        <v>53241</v>
      </c>
      <c r="R2556" t="s">
        <v>53242</v>
      </c>
      <c r="S2556" t="s">
        <v>53243</v>
      </c>
      <c r="T2556" t="s">
        <v>53244</v>
      </c>
      <c r="U2556" t="s">
        <v>53245</v>
      </c>
      <c r="V2556" t="s">
        <v>53246</v>
      </c>
      <c r="W2556" t="s">
        <v>53247</v>
      </c>
      <c r="X2556" t="s">
        <v>53248</v>
      </c>
      <c r="Y2556" t="s">
        <v>53249</v>
      </c>
    </row>
    <row r="2557" spans="1:25" x14ac:dyDescent="0.3">
      <c r="A2557">
        <v>127800</v>
      </c>
      <c r="B2557" t="s">
        <v>53250</v>
      </c>
      <c r="C2557" t="s">
        <v>53251</v>
      </c>
      <c r="D2557" t="s">
        <v>53252</v>
      </c>
      <c r="E2557" t="s">
        <v>53253</v>
      </c>
      <c r="F2557" t="s">
        <v>53254</v>
      </c>
      <c r="G2557" t="s">
        <v>53255</v>
      </c>
      <c r="H2557" t="s">
        <v>53256</v>
      </c>
      <c r="I2557" t="s">
        <v>53257</v>
      </c>
      <c r="J2557" t="s">
        <v>53258</v>
      </c>
      <c r="K2557" t="s">
        <v>53259</v>
      </c>
      <c r="L2557" t="s">
        <v>53260</v>
      </c>
      <c r="M2557" t="s">
        <v>53261</v>
      </c>
      <c r="N2557" t="s">
        <v>53262</v>
      </c>
      <c r="O2557">
        <f>-990.873594080213 -47.9534345436937 -489.380468305851</f>
        <v>-1528.2074969297578</v>
      </c>
      <c r="P2557">
        <f>-992.027038076851 -75.4868424882798 -196.409825517444</f>
        <v>-1263.9237060825749</v>
      </c>
      <c r="Q2557" t="s">
        <v>53263</v>
      </c>
      <c r="R2557" t="s">
        <v>53264</v>
      </c>
      <c r="S2557" t="s">
        <v>53265</v>
      </c>
      <c r="T2557" t="s">
        <v>53266</v>
      </c>
      <c r="U2557" t="s">
        <v>53267</v>
      </c>
      <c r="V2557" t="s">
        <v>53268</v>
      </c>
      <c r="W2557" t="s">
        <v>53269</v>
      </c>
      <c r="X2557" t="s">
        <v>53270</v>
      </c>
      <c r="Y2557" t="s">
        <v>53271</v>
      </c>
    </row>
    <row r="2558" spans="1:25" x14ac:dyDescent="0.3">
      <c r="A2558">
        <v>127850</v>
      </c>
      <c r="B2558" t="s">
        <v>53272</v>
      </c>
      <c r="C2558" t="s">
        <v>53273</v>
      </c>
      <c r="D2558" t="s">
        <v>53274</v>
      </c>
      <c r="E2558" t="s">
        <v>53275</v>
      </c>
      <c r="F2558" t="s">
        <v>53276</v>
      </c>
      <c r="G2558" t="s">
        <v>53277</v>
      </c>
      <c r="H2558" t="s">
        <v>53278</v>
      </c>
      <c r="I2558" t="s">
        <v>53279</v>
      </c>
      <c r="J2558" t="s">
        <v>53280</v>
      </c>
      <c r="K2558" t="s">
        <v>53281</v>
      </c>
      <c r="L2558" t="s">
        <v>53282</v>
      </c>
      <c r="M2558" t="s">
        <v>53283</v>
      </c>
      <c r="N2558" t="s">
        <v>53284</v>
      </c>
      <c r="O2558">
        <f>-990.185494701304 -48.1385849625412 -489.476477678187</f>
        <v>-1527.8005573420321</v>
      </c>
      <c r="P2558">
        <f>-991.800565029729 -75.7799959673773 -196.518224125082</f>
        <v>-1264.0987851221882</v>
      </c>
      <c r="Q2558" t="s">
        <v>53285</v>
      </c>
      <c r="R2558" t="s">
        <v>53286</v>
      </c>
      <c r="S2558" t="s">
        <v>53287</v>
      </c>
      <c r="T2558" t="s">
        <v>53288</v>
      </c>
      <c r="U2558" t="s">
        <v>53289</v>
      </c>
      <c r="V2558" t="s">
        <v>53290</v>
      </c>
      <c r="W2558" t="s">
        <v>53291</v>
      </c>
      <c r="X2558" t="s">
        <v>53292</v>
      </c>
      <c r="Y2558" t="s">
        <v>53293</v>
      </c>
    </row>
    <row r="2559" spans="1:25" x14ac:dyDescent="0.3">
      <c r="A2559">
        <v>127900</v>
      </c>
      <c r="B2559" t="s">
        <v>53294</v>
      </c>
      <c r="C2559" t="s">
        <v>53295</v>
      </c>
      <c r="D2559" t="s">
        <v>53296</v>
      </c>
      <c r="E2559" t="s">
        <v>53297</v>
      </c>
      <c r="F2559" t="s">
        <v>53298</v>
      </c>
      <c r="G2559" t="s">
        <v>53299</v>
      </c>
      <c r="H2559" t="s">
        <v>53300</v>
      </c>
      <c r="I2559" t="s">
        <v>53301</v>
      </c>
      <c r="J2559" t="s">
        <v>53302</v>
      </c>
      <c r="K2559" t="s">
        <v>53303</v>
      </c>
      <c r="L2559" t="s">
        <v>53304</v>
      </c>
      <c r="M2559" t="s">
        <v>53305</v>
      </c>
      <c r="N2559" t="s">
        <v>53306</v>
      </c>
      <c r="O2559">
        <f>-989.354114989192 -48.3944157233752 -489.509179425704</f>
        <v>-1527.2577101382712</v>
      </c>
      <c r="P2559">
        <f>-991.72229386949 -75.9312267126827 -196.546346353277</f>
        <v>-1264.1998669354498</v>
      </c>
      <c r="Q2559" t="s">
        <v>53307</v>
      </c>
      <c r="R2559" t="s">
        <v>53308</v>
      </c>
      <c r="S2559" t="s">
        <v>53309</v>
      </c>
      <c r="T2559" t="s">
        <v>53310</v>
      </c>
      <c r="U2559" t="s">
        <v>53311</v>
      </c>
      <c r="V2559" t="s">
        <v>53312</v>
      </c>
      <c r="W2559" t="s">
        <v>53313</v>
      </c>
      <c r="X2559" t="s">
        <v>53314</v>
      </c>
      <c r="Y2559" t="s">
        <v>53315</v>
      </c>
    </row>
    <row r="2560" spans="1:25" x14ac:dyDescent="0.3">
      <c r="A2560">
        <v>127950</v>
      </c>
      <c r="B2560" t="s">
        <v>53316</v>
      </c>
      <c r="C2560" t="s">
        <v>53317</v>
      </c>
      <c r="D2560" t="s">
        <v>53318</v>
      </c>
      <c r="E2560" t="s">
        <v>53319</v>
      </c>
      <c r="F2560" t="s">
        <v>53320</v>
      </c>
      <c r="G2560" t="s">
        <v>53321</v>
      </c>
      <c r="H2560" t="s">
        <v>53322</v>
      </c>
      <c r="I2560" t="s">
        <v>53323</v>
      </c>
      <c r="J2560" t="s">
        <v>53324</v>
      </c>
      <c r="K2560" t="s">
        <v>53325</v>
      </c>
      <c r="L2560" t="s">
        <v>53326</v>
      </c>
      <c r="M2560" t="s">
        <v>53327</v>
      </c>
      <c r="N2560" t="s">
        <v>53328</v>
      </c>
      <c r="O2560">
        <f>-987.31370829656 -49.2103747266431 -489.634965257481</f>
        <v>-1526.1590482806841</v>
      </c>
      <c r="P2560">
        <f>-991.287485524512 -76.7409311819047 -196.688756897162</f>
        <v>-1264.7171736035787</v>
      </c>
      <c r="Q2560" t="s">
        <v>53329</v>
      </c>
      <c r="R2560" t="s">
        <v>53330</v>
      </c>
      <c r="S2560" t="s">
        <v>53331</v>
      </c>
      <c r="T2560" t="s">
        <v>53332</v>
      </c>
      <c r="U2560" t="s">
        <v>53333</v>
      </c>
      <c r="V2560" t="s">
        <v>53334</v>
      </c>
      <c r="W2560" t="s">
        <v>53335</v>
      </c>
      <c r="X2560" t="s">
        <v>53336</v>
      </c>
      <c r="Y2560" t="s">
        <v>53337</v>
      </c>
    </row>
    <row r="2561" spans="1:25" x14ac:dyDescent="0.3">
      <c r="A2561">
        <v>128000</v>
      </c>
      <c r="B2561" t="s">
        <v>53338</v>
      </c>
      <c r="C2561" t="s">
        <v>53339</v>
      </c>
      <c r="D2561" t="s">
        <v>53340</v>
      </c>
      <c r="E2561" t="s">
        <v>53341</v>
      </c>
      <c r="F2561" t="s">
        <v>53342</v>
      </c>
      <c r="G2561" t="s">
        <v>53343</v>
      </c>
      <c r="H2561" t="s">
        <v>53344</v>
      </c>
      <c r="I2561" t="s">
        <v>53345</v>
      </c>
      <c r="J2561" t="s">
        <v>53346</v>
      </c>
      <c r="K2561" t="s">
        <v>53347</v>
      </c>
      <c r="L2561" t="s">
        <v>53348</v>
      </c>
      <c r="M2561" t="s">
        <v>53349</v>
      </c>
      <c r="N2561" t="s">
        <v>53350</v>
      </c>
      <c r="O2561">
        <f>-985.665140290482 -50.0328463054207 -489.90854596192</f>
        <v>-1525.6065325578227</v>
      </c>
      <c r="P2561">
        <f>-990.684530110744 -78.053799891803 -197.024892306234</f>
        <v>-1265.763222308781</v>
      </c>
      <c r="Q2561" t="s">
        <v>53351</v>
      </c>
      <c r="R2561" t="s">
        <v>53352</v>
      </c>
      <c r="S2561" t="s">
        <v>53353</v>
      </c>
      <c r="T2561" t="s">
        <v>53354</v>
      </c>
      <c r="U2561" t="s">
        <v>53355</v>
      </c>
      <c r="V2561" t="s">
        <v>53356</v>
      </c>
      <c r="W2561" t="s">
        <v>53357</v>
      </c>
      <c r="X2561" t="s">
        <v>53358</v>
      </c>
      <c r="Y2561" t="s">
        <v>53359</v>
      </c>
    </row>
    <row r="2562" spans="1:25" x14ac:dyDescent="0.3">
      <c r="A2562">
        <v>128050</v>
      </c>
      <c r="B2562" t="s">
        <v>53360</v>
      </c>
      <c r="C2562" t="s">
        <v>53361</v>
      </c>
      <c r="D2562" t="s">
        <v>53362</v>
      </c>
      <c r="E2562" t="s">
        <v>53363</v>
      </c>
      <c r="F2562" t="s">
        <v>53364</v>
      </c>
      <c r="G2562" t="s">
        <v>53365</v>
      </c>
      <c r="H2562" t="s">
        <v>53366</v>
      </c>
      <c r="I2562" t="s">
        <v>53367</v>
      </c>
      <c r="J2562" t="s">
        <v>53368</v>
      </c>
      <c r="K2562" t="s">
        <v>53369</v>
      </c>
      <c r="L2562" t="s">
        <v>53370</v>
      </c>
      <c r="M2562" t="s">
        <v>53371</v>
      </c>
      <c r="N2562" t="s">
        <v>53372</v>
      </c>
      <c r="O2562">
        <f>-985.09458424992 -50.2641947122145 -490.005062798617</f>
        <v>-1525.3638417607515</v>
      </c>
      <c r="P2562">
        <f>-990.17969564147 -78.4058932934863 -197.134125647327</f>
        <v>-1265.7197145822831</v>
      </c>
      <c r="Q2562" t="s">
        <v>53373</v>
      </c>
      <c r="R2562" t="s">
        <v>53374</v>
      </c>
      <c r="S2562" t="s">
        <v>53375</v>
      </c>
      <c r="T2562" t="s">
        <v>53376</v>
      </c>
      <c r="U2562" t="s">
        <v>53377</v>
      </c>
      <c r="V2562" t="s">
        <v>53378</v>
      </c>
      <c r="W2562" t="s">
        <v>53379</v>
      </c>
      <c r="X2562" t="s">
        <v>53380</v>
      </c>
      <c r="Y2562" t="s">
        <v>53381</v>
      </c>
    </row>
    <row r="2563" spans="1:25" x14ac:dyDescent="0.3">
      <c r="A2563">
        <v>128100</v>
      </c>
      <c r="B2563" t="s">
        <v>53382</v>
      </c>
      <c r="C2563" t="s">
        <v>53383</v>
      </c>
      <c r="D2563" t="s">
        <v>53384</v>
      </c>
      <c r="E2563" t="s">
        <v>53385</v>
      </c>
      <c r="F2563" t="s">
        <v>53386</v>
      </c>
      <c r="G2563" t="s">
        <v>53387</v>
      </c>
      <c r="H2563" t="s">
        <v>53388</v>
      </c>
      <c r="I2563" t="s">
        <v>53389</v>
      </c>
      <c r="J2563" t="s">
        <v>53390</v>
      </c>
      <c r="K2563" t="s">
        <v>53391</v>
      </c>
      <c r="L2563" t="s">
        <v>53392</v>
      </c>
      <c r="M2563" t="s">
        <v>53393</v>
      </c>
      <c r="N2563" t="s">
        <v>53394</v>
      </c>
      <c r="O2563">
        <f>-983.795782362546 -50.6593851914249 -489.858626574981</f>
        <v>-1524.3137941289517</v>
      </c>
      <c r="P2563">
        <f>-989.284385773928 -78.5234786644221 -196.968393612114</f>
        <v>-1264.7762580504639</v>
      </c>
      <c r="Q2563" t="s">
        <v>53395</v>
      </c>
      <c r="R2563" t="s">
        <v>53396</v>
      </c>
      <c r="S2563" t="s">
        <v>53397</v>
      </c>
      <c r="T2563" t="s">
        <v>53398</v>
      </c>
      <c r="U2563" t="s">
        <v>53399</v>
      </c>
      <c r="V2563" t="s">
        <v>53400</v>
      </c>
      <c r="W2563" t="s">
        <v>53401</v>
      </c>
      <c r="X2563" t="s">
        <v>53402</v>
      </c>
      <c r="Y2563" t="s">
        <v>53403</v>
      </c>
    </row>
    <row r="2564" spans="1:25" x14ac:dyDescent="0.3">
      <c r="A2564">
        <v>128150</v>
      </c>
      <c r="B2564" t="s">
        <v>53404</v>
      </c>
      <c r="C2564" t="s">
        <v>53405</v>
      </c>
      <c r="D2564" t="s">
        <v>53406</v>
      </c>
      <c r="E2564" t="s">
        <v>53407</v>
      </c>
      <c r="F2564" t="s">
        <v>53408</v>
      </c>
      <c r="G2564" t="s">
        <v>53409</v>
      </c>
      <c r="H2564" t="s">
        <v>53410</v>
      </c>
      <c r="I2564" t="s">
        <v>53411</v>
      </c>
      <c r="J2564" t="s">
        <v>53412</v>
      </c>
      <c r="K2564" t="s">
        <v>53413</v>
      </c>
      <c r="L2564" t="s">
        <v>53414</v>
      </c>
      <c r="M2564" t="s">
        <v>53415</v>
      </c>
      <c r="N2564" t="s">
        <v>53416</v>
      </c>
      <c r="O2564">
        <f>-983.129809637296 -50.7991182774042 -489.702300887777</f>
        <v>-1523.6312288024772</v>
      </c>
      <c r="P2564">
        <f>-989.369020133426 -77.9913286155127 -196.763877118563</f>
        <v>-1264.1242258675018</v>
      </c>
      <c r="Q2564" t="s">
        <v>53417</v>
      </c>
      <c r="R2564" t="s">
        <v>53418</v>
      </c>
      <c r="S2564" t="s">
        <v>53419</v>
      </c>
      <c r="T2564" t="s">
        <v>53420</v>
      </c>
      <c r="U2564" t="s">
        <v>53421</v>
      </c>
      <c r="V2564" t="s">
        <v>53422</v>
      </c>
      <c r="W2564" t="s">
        <v>53423</v>
      </c>
      <c r="X2564" t="s">
        <v>53424</v>
      </c>
      <c r="Y2564" t="s">
        <v>53425</v>
      </c>
    </row>
    <row r="2565" spans="1:25" x14ac:dyDescent="0.3">
      <c r="A2565">
        <v>128200</v>
      </c>
      <c r="B2565" t="s">
        <v>53426</v>
      </c>
      <c r="C2565" t="s">
        <v>53427</v>
      </c>
      <c r="D2565" t="s">
        <v>53428</v>
      </c>
      <c r="E2565" t="s">
        <v>53429</v>
      </c>
      <c r="F2565" t="s">
        <v>53430</v>
      </c>
      <c r="G2565" t="s">
        <v>53431</v>
      </c>
      <c r="H2565" t="s">
        <v>53432</v>
      </c>
      <c r="I2565" t="s">
        <v>53433</v>
      </c>
      <c r="J2565" t="s">
        <v>53434</v>
      </c>
      <c r="K2565" t="s">
        <v>53435</v>
      </c>
      <c r="L2565" t="s">
        <v>53436</v>
      </c>
      <c r="M2565" t="s">
        <v>53437</v>
      </c>
      <c r="N2565" t="s">
        <v>53438</v>
      </c>
      <c r="O2565">
        <f>-982.267161773012 -51.1341438491086 -489.43640641778</f>
        <v>-1522.8377120399007</v>
      </c>
      <c r="P2565">
        <f>-990.157266375308 -77.3840906002799 -196.451936202663</f>
        <v>-1263.993293178251</v>
      </c>
      <c r="Q2565" t="s">
        <v>53439</v>
      </c>
      <c r="R2565" t="s">
        <v>53440</v>
      </c>
      <c r="S2565" t="s">
        <v>53441</v>
      </c>
      <c r="T2565" t="s">
        <v>53442</v>
      </c>
      <c r="U2565" t="s">
        <v>53443</v>
      </c>
      <c r="V2565" t="s">
        <v>53444</v>
      </c>
      <c r="W2565" t="s">
        <v>53445</v>
      </c>
      <c r="X2565" t="s">
        <v>53446</v>
      </c>
      <c r="Y2565" t="s">
        <v>53447</v>
      </c>
    </row>
    <row r="2566" spans="1:25" x14ac:dyDescent="0.3">
      <c r="A2566">
        <v>128250</v>
      </c>
      <c r="B2566" t="s">
        <v>53448</v>
      </c>
      <c r="C2566" t="s">
        <v>53449</v>
      </c>
      <c r="D2566" t="s">
        <v>53450</v>
      </c>
      <c r="E2566" t="s">
        <v>53451</v>
      </c>
      <c r="F2566" t="s">
        <v>53452</v>
      </c>
      <c r="G2566" t="s">
        <v>53453</v>
      </c>
      <c r="H2566" t="s">
        <v>53454</v>
      </c>
      <c r="I2566" t="s">
        <v>53455</v>
      </c>
      <c r="J2566" t="s">
        <v>53456</v>
      </c>
      <c r="K2566" t="s">
        <v>53457</v>
      </c>
      <c r="L2566" t="s">
        <v>53458</v>
      </c>
      <c r="M2566" t="s">
        <v>53459</v>
      </c>
      <c r="N2566" t="s">
        <v>53460</v>
      </c>
      <c r="O2566">
        <f>-981.949926654789 -51.5204141688637 -489.283869066084</f>
        <v>-1522.7542098897368</v>
      </c>
      <c r="P2566">
        <f>-990.573587632233 -77.5179436859826 -196.29776708451</f>
        <v>-1264.3892984027257</v>
      </c>
      <c r="Q2566" t="s">
        <v>53461</v>
      </c>
      <c r="R2566" t="s">
        <v>53462</v>
      </c>
      <c r="S2566" t="s">
        <v>53463</v>
      </c>
      <c r="T2566" t="s">
        <v>53464</v>
      </c>
      <c r="U2566" t="s">
        <v>53465</v>
      </c>
      <c r="V2566" t="s">
        <v>53466</v>
      </c>
      <c r="W2566" t="s">
        <v>53467</v>
      </c>
      <c r="X2566" t="s">
        <v>53468</v>
      </c>
      <c r="Y2566" t="s">
        <v>53469</v>
      </c>
    </row>
    <row r="2567" spans="1:25" x14ac:dyDescent="0.3">
      <c r="A2567">
        <v>128300</v>
      </c>
      <c r="B2567" t="s">
        <v>53470</v>
      </c>
      <c r="C2567" t="s">
        <v>53471</v>
      </c>
      <c r="D2567" t="s">
        <v>53472</v>
      </c>
      <c r="E2567" t="s">
        <v>53473</v>
      </c>
      <c r="F2567" t="s">
        <v>53474</v>
      </c>
      <c r="G2567" t="s">
        <v>53475</v>
      </c>
      <c r="H2567" t="s">
        <v>53476</v>
      </c>
      <c r="I2567" t="s">
        <v>53477</v>
      </c>
      <c r="J2567" t="s">
        <v>53478</v>
      </c>
      <c r="K2567" t="s">
        <v>53479</v>
      </c>
      <c r="L2567" t="s">
        <v>53480</v>
      </c>
      <c r="M2567" t="s">
        <v>53481</v>
      </c>
      <c r="N2567" t="s">
        <v>53482</v>
      </c>
      <c r="O2567">
        <f>-981.699290883528 -52.3398068803792 -488.907668596805</f>
        <v>-1522.9467663607122</v>
      </c>
      <c r="P2567">
        <f>-991.167464710016 -77.8318699494566 -195.903174983045</f>
        <v>-1264.9025096425175</v>
      </c>
      <c r="Q2567" t="s">
        <v>53483</v>
      </c>
      <c r="R2567" t="s">
        <v>53484</v>
      </c>
      <c r="S2567" t="s">
        <v>53485</v>
      </c>
      <c r="T2567" t="s">
        <v>53486</v>
      </c>
      <c r="U2567" t="s">
        <v>53487</v>
      </c>
      <c r="V2567" t="s">
        <v>53488</v>
      </c>
      <c r="W2567" t="s">
        <v>53489</v>
      </c>
      <c r="X2567" t="s">
        <v>53490</v>
      </c>
      <c r="Y2567" t="s">
        <v>53491</v>
      </c>
    </row>
    <row r="2568" spans="1:25" x14ac:dyDescent="0.3">
      <c r="A2568">
        <v>128350</v>
      </c>
      <c r="B2568" t="s">
        <v>53492</v>
      </c>
      <c r="C2568" t="s">
        <v>53493</v>
      </c>
      <c r="D2568" t="s">
        <v>53494</v>
      </c>
      <c r="E2568" t="s">
        <v>53495</v>
      </c>
      <c r="F2568" t="s">
        <v>53496</v>
      </c>
      <c r="G2568" t="s">
        <v>53497</v>
      </c>
      <c r="H2568" t="s">
        <v>53498</v>
      </c>
      <c r="I2568" t="s">
        <v>53499</v>
      </c>
      <c r="J2568" t="s">
        <v>53500</v>
      </c>
      <c r="K2568" t="s">
        <v>53501</v>
      </c>
      <c r="L2568" t="s">
        <v>53502</v>
      </c>
      <c r="M2568" t="s">
        <v>53503</v>
      </c>
      <c r="N2568" t="s">
        <v>53504</v>
      </c>
      <c r="O2568">
        <f>-981.977832379062 -52.5635570862903 -488.641879874334</f>
        <v>-1523.1832693396864</v>
      </c>
      <c r="P2568">
        <f>-991.142391837029 -77.5706310196308 -195.585793170175</f>
        <v>-1264.2988160268349</v>
      </c>
      <c r="Q2568">
        <f>-802.132385842153 -0.157570366138771 -323.388041188933</f>
        <v>-1125.6779973972248</v>
      </c>
      <c r="R2568" t="s">
        <v>53505</v>
      </c>
      <c r="S2568" t="s">
        <v>53506</v>
      </c>
      <c r="T2568" t="s">
        <v>53507</v>
      </c>
      <c r="U2568" t="s">
        <v>53508</v>
      </c>
      <c r="V2568" t="s">
        <v>53509</v>
      </c>
      <c r="W2568" t="s">
        <v>53510</v>
      </c>
      <c r="X2568" t="s">
        <v>53511</v>
      </c>
      <c r="Y2568" t="s">
        <v>53512</v>
      </c>
    </row>
    <row r="2569" spans="1:25" x14ac:dyDescent="0.3">
      <c r="A2569">
        <v>128400</v>
      </c>
      <c r="B2569" t="s">
        <v>53513</v>
      </c>
      <c r="C2569" t="s">
        <v>53514</v>
      </c>
      <c r="D2569" t="s">
        <v>53515</v>
      </c>
      <c r="E2569" t="s">
        <v>53516</v>
      </c>
      <c r="F2569" t="s">
        <v>53517</v>
      </c>
      <c r="G2569" t="s">
        <v>53518</v>
      </c>
      <c r="H2569" t="s">
        <v>53519</v>
      </c>
      <c r="I2569" t="s">
        <v>53520</v>
      </c>
      <c r="J2569" t="s">
        <v>53521</v>
      </c>
      <c r="K2569" t="s">
        <v>53522</v>
      </c>
      <c r="L2569" t="s">
        <v>53523</v>
      </c>
      <c r="M2569" t="s">
        <v>53524</v>
      </c>
      <c r="N2569" t="s">
        <v>53525</v>
      </c>
      <c r="O2569">
        <f>-982.520988000848 -52.9369535389828 -487.946920475653</f>
        <v>-1523.4048620154836</v>
      </c>
      <c r="P2569">
        <f>-992.125492492254 -76.4032653492059 -194.777575496688</f>
        <v>-1263.3063333381481</v>
      </c>
      <c r="Q2569">
        <f>-802.797090244351 -1.85923584435022 -323.807966022937</f>
        <v>-1128.4642921116383</v>
      </c>
      <c r="R2569" t="s">
        <v>53526</v>
      </c>
      <c r="S2569" t="s">
        <v>53527</v>
      </c>
      <c r="T2569" t="s">
        <v>53528</v>
      </c>
      <c r="U2569" t="s">
        <v>53529</v>
      </c>
      <c r="V2569" t="s">
        <v>53530</v>
      </c>
      <c r="W2569" t="s">
        <v>53531</v>
      </c>
      <c r="X2569" t="s">
        <v>53532</v>
      </c>
      <c r="Y2569" t="s">
        <v>53533</v>
      </c>
    </row>
    <row r="2570" spans="1:25" x14ac:dyDescent="0.3">
      <c r="A2570">
        <v>128450</v>
      </c>
      <c r="B2570" t="s">
        <v>53534</v>
      </c>
      <c r="C2570" t="s">
        <v>53535</v>
      </c>
      <c r="D2570" t="s">
        <v>53536</v>
      </c>
      <c r="E2570" t="s">
        <v>53537</v>
      </c>
      <c r="F2570" t="s">
        <v>53538</v>
      </c>
      <c r="G2570" t="s">
        <v>53539</v>
      </c>
      <c r="H2570" t="s">
        <v>53540</v>
      </c>
      <c r="I2570" t="s">
        <v>53541</v>
      </c>
      <c r="J2570" t="s">
        <v>53542</v>
      </c>
      <c r="K2570" t="s">
        <v>53543</v>
      </c>
      <c r="L2570" t="s">
        <v>53544</v>
      </c>
      <c r="M2570" t="s">
        <v>53545</v>
      </c>
      <c r="N2570" t="s">
        <v>53546</v>
      </c>
      <c r="O2570">
        <f>-982.810451392207 -53.0730297662183 -487.757420937107</f>
        <v>-1523.6409020955325</v>
      </c>
      <c r="P2570">
        <f>-992.804257972653 -76.0597656606333 -194.562965863878</f>
        <v>-1263.4269894971642</v>
      </c>
      <c r="Q2570">
        <f>-803.371126234367 -3.23228846263873 -324.417587873288</f>
        <v>-1131.0210025702938</v>
      </c>
      <c r="R2570" t="s">
        <v>53547</v>
      </c>
      <c r="S2570" t="s">
        <v>53548</v>
      </c>
      <c r="T2570" t="s">
        <v>53549</v>
      </c>
      <c r="U2570" t="s">
        <v>53550</v>
      </c>
      <c r="V2570" t="s">
        <v>53551</v>
      </c>
      <c r="W2570" t="s">
        <v>53552</v>
      </c>
      <c r="X2570" t="s">
        <v>53553</v>
      </c>
      <c r="Y2570" t="s">
        <v>53554</v>
      </c>
    </row>
    <row r="2571" spans="1:25" x14ac:dyDescent="0.3">
      <c r="A2571">
        <v>128500</v>
      </c>
      <c r="B2571" t="s">
        <v>53555</v>
      </c>
      <c r="C2571" t="s">
        <v>53556</v>
      </c>
      <c r="D2571" t="s">
        <v>53557</v>
      </c>
      <c r="E2571" t="s">
        <v>53558</v>
      </c>
      <c r="F2571" t="s">
        <v>53559</v>
      </c>
      <c r="G2571" t="s">
        <v>53560</v>
      </c>
      <c r="H2571" t="s">
        <v>53561</v>
      </c>
      <c r="I2571" t="s">
        <v>53562</v>
      </c>
      <c r="J2571" t="s">
        <v>53563</v>
      </c>
      <c r="K2571" t="s">
        <v>53564</v>
      </c>
      <c r="L2571" t="s">
        <v>53565</v>
      </c>
      <c r="M2571" t="s">
        <v>53566</v>
      </c>
      <c r="N2571" t="s">
        <v>53567</v>
      </c>
      <c r="O2571">
        <f>-983.693963809205 -53.1039570859075 -487.565369959124</f>
        <v>-1524.3632908542365</v>
      </c>
      <c r="P2571">
        <f>-994.261032341827 -75.628670481706 -194.355320536044</f>
        <v>-1264.2450233595771</v>
      </c>
      <c r="Q2571">
        <f>-804.653719424739 -5.58176932843207 -325.478946059996</f>
        <v>-1135.7144348131671</v>
      </c>
      <c r="R2571" t="s">
        <v>53568</v>
      </c>
      <c r="S2571" t="s">
        <v>53569</v>
      </c>
      <c r="T2571" t="s">
        <v>53570</v>
      </c>
      <c r="U2571" t="s">
        <v>53571</v>
      </c>
      <c r="V2571" t="s">
        <v>53572</v>
      </c>
      <c r="W2571" t="s">
        <v>53573</v>
      </c>
      <c r="X2571" t="s">
        <v>53574</v>
      </c>
      <c r="Y2571" t="s">
        <v>53575</v>
      </c>
    </row>
    <row r="2572" spans="1:25" x14ac:dyDescent="0.3">
      <c r="A2572">
        <v>128550</v>
      </c>
      <c r="B2572" t="s">
        <v>53576</v>
      </c>
      <c r="C2572" t="s">
        <v>53577</v>
      </c>
      <c r="D2572" t="s">
        <v>53578</v>
      </c>
      <c r="E2572" t="s">
        <v>53579</v>
      </c>
      <c r="F2572" t="s">
        <v>53580</v>
      </c>
      <c r="G2572" t="s">
        <v>53581</v>
      </c>
      <c r="H2572" t="s">
        <v>53582</v>
      </c>
      <c r="I2572" t="s">
        <v>53583</v>
      </c>
      <c r="J2572" t="s">
        <v>53584</v>
      </c>
      <c r="K2572" t="s">
        <v>53585</v>
      </c>
      <c r="L2572" t="s">
        <v>53586</v>
      </c>
      <c r="M2572" t="s">
        <v>53587</v>
      </c>
      <c r="N2572" t="s">
        <v>53588</v>
      </c>
      <c r="O2572">
        <f>-984.141658523161 -53.2305083358503 -487.537839958497</f>
        <v>-1524.9100068175082</v>
      </c>
      <c r="P2572">
        <f>-995.013409072046 -75.5479138243984 -194.323060302171</f>
        <v>-1264.8843831986153</v>
      </c>
      <c r="Q2572">
        <f>-805.392216375905 -5.47616890315248 -325.413077861986</f>
        <v>-1136.2814631410436</v>
      </c>
      <c r="R2572" t="s">
        <v>53589</v>
      </c>
      <c r="S2572" t="s">
        <v>53590</v>
      </c>
      <c r="T2572" t="s">
        <v>53591</v>
      </c>
      <c r="U2572" t="s">
        <v>53592</v>
      </c>
      <c r="V2572" t="s">
        <v>53593</v>
      </c>
      <c r="W2572" t="s">
        <v>53594</v>
      </c>
      <c r="X2572" t="s">
        <v>53595</v>
      </c>
      <c r="Y2572" t="s">
        <v>53596</v>
      </c>
    </row>
    <row r="2573" spans="1:25" x14ac:dyDescent="0.3">
      <c r="A2573">
        <v>128600</v>
      </c>
      <c r="B2573" t="s">
        <v>53597</v>
      </c>
      <c r="C2573" t="s">
        <v>53598</v>
      </c>
      <c r="D2573" t="s">
        <v>53599</v>
      </c>
      <c r="E2573" t="s">
        <v>53600</v>
      </c>
      <c r="F2573" t="s">
        <v>53601</v>
      </c>
      <c r="G2573" t="s">
        <v>53602</v>
      </c>
      <c r="H2573" t="s">
        <v>53603</v>
      </c>
      <c r="I2573" t="s">
        <v>53604</v>
      </c>
      <c r="J2573" t="s">
        <v>53605</v>
      </c>
      <c r="K2573" t="s">
        <v>53606</v>
      </c>
      <c r="L2573" t="s">
        <v>53607</v>
      </c>
      <c r="M2573" t="s">
        <v>53608</v>
      </c>
      <c r="N2573" t="s">
        <v>53609</v>
      </c>
      <c r="O2573">
        <f>-984.904640118007 -53.4963637333419 -487.470967375579</f>
        <v>-1525.8719712269278</v>
      </c>
      <c r="P2573">
        <f>-996.737775014595 -74.9904232192187 -194.231820136474</f>
        <v>-1265.9600183702876</v>
      </c>
      <c r="Q2573">
        <f>-807.142793577802 -3.85877143382095 -324.787817670718</f>
        <v>-1135.7893826823411</v>
      </c>
      <c r="R2573" t="s">
        <v>53610</v>
      </c>
      <c r="S2573" t="s">
        <v>53611</v>
      </c>
      <c r="T2573" t="s">
        <v>53612</v>
      </c>
      <c r="U2573" t="s">
        <v>53613</v>
      </c>
      <c r="V2573" t="s">
        <v>53614</v>
      </c>
      <c r="W2573" t="s">
        <v>53615</v>
      </c>
      <c r="X2573" t="s">
        <v>53616</v>
      </c>
      <c r="Y2573" t="s">
        <v>53617</v>
      </c>
    </row>
    <row r="2574" spans="1:25" x14ac:dyDescent="0.3">
      <c r="A2574">
        <v>128650</v>
      </c>
      <c r="B2574" t="s">
        <v>53618</v>
      </c>
      <c r="C2574" t="s">
        <v>53619</v>
      </c>
      <c r="D2574" t="s">
        <v>53620</v>
      </c>
      <c r="E2574" t="s">
        <v>53621</v>
      </c>
      <c r="F2574" t="s">
        <v>53622</v>
      </c>
      <c r="G2574" t="s">
        <v>53623</v>
      </c>
      <c r="H2574" t="s">
        <v>53624</v>
      </c>
      <c r="I2574" t="s">
        <v>53625</v>
      </c>
      <c r="J2574" t="s">
        <v>53626</v>
      </c>
      <c r="K2574" t="s">
        <v>53627</v>
      </c>
      <c r="L2574" t="s">
        <v>53628</v>
      </c>
      <c r="M2574" t="s">
        <v>53629</v>
      </c>
      <c r="N2574" t="s">
        <v>53630</v>
      </c>
      <c r="O2574">
        <f>-985.400253924196 -53.5448027969496 -487.518444723085</f>
        <v>-1526.4635014442306</v>
      </c>
      <c r="P2574">
        <f>-997.533402377238 -74.5927895895331 -194.259177450194</f>
        <v>-1266.3853694169652</v>
      </c>
      <c r="Q2574">
        <f>-807.785262270987 -3.61476221727798 -324.676878990195</f>
        <v>-1136.0769034784601</v>
      </c>
      <c r="R2574" t="s">
        <v>53631</v>
      </c>
      <c r="S2574" t="s">
        <v>53632</v>
      </c>
      <c r="T2574" t="s">
        <v>53633</v>
      </c>
      <c r="U2574" t="s">
        <v>53634</v>
      </c>
      <c r="V2574" t="s">
        <v>53635</v>
      </c>
      <c r="W2574" t="s">
        <v>53636</v>
      </c>
      <c r="X2574" t="s">
        <v>53637</v>
      </c>
      <c r="Y2574" t="s">
        <v>53638</v>
      </c>
    </row>
    <row r="2575" spans="1:25" x14ac:dyDescent="0.3">
      <c r="A2575">
        <v>128700</v>
      </c>
      <c r="B2575" t="s">
        <v>53639</v>
      </c>
      <c r="C2575" t="s">
        <v>53640</v>
      </c>
      <c r="D2575" t="s">
        <v>53641</v>
      </c>
      <c r="E2575" t="s">
        <v>53642</v>
      </c>
      <c r="F2575" t="s">
        <v>53643</v>
      </c>
      <c r="G2575" t="s">
        <v>53644</v>
      </c>
      <c r="H2575" t="s">
        <v>53645</v>
      </c>
      <c r="I2575" t="s">
        <v>53646</v>
      </c>
      <c r="J2575" t="s">
        <v>53647</v>
      </c>
      <c r="K2575" t="s">
        <v>53648</v>
      </c>
      <c r="L2575" t="s">
        <v>53649</v>
      </c>
      <c r="M2575" t="s">
        <v>53650</v>
      </c>
      <c r="N2575" t="s">
        <v>53651</v>
      </c>
      <c r="O2575">
        <f>-986.458726158355 -53.2343882451698 -487.47266470958</f>
        <v>-1527.1657791131047</v>
      </c>
      <c r="P2575">
        <f>-998.766366887264 -73.5359461931446 -194.168097073071</f>
        <v>-1266.4704101534796</v>
      </c>
      <c r="Q2575">
        <f>-808.394167173722 -3.41479939633336 -324.138403785798</f>
        <v>-1135.9473703558533</v>
      </c>
      <c r="R2575" t="s">
        <v>53652</v>
      </c>
      <c r="S2575" t="s">
        <v>53653</v>
      </c>
      <c r="T2575" t="s">
        <v>53654</v>
      </c>
      <c r="U2575" t="s">
        <v>53655</v>
      </c>
      <c r="V2575" t="s">
        <v>53656</v>
      </c>
      <c r="W2575" t="s">
        <v>53657</v>
      </c>
      <c r="X2575" t="s">
        <v>53658</v>
      </c>
      <c r="Y2575" t="s">
        <v>53659</v>
      </c>
    </row>
    <row r="2576" spans="1:25" x14ac:dyDescent="0.3">
      <c r="A2576">
        <v>128750</v>
      </c>
      <c r="B2576" t="s">
        <v>53660</v>
      </c>
      <c r="C2576" t="s">
        <v>53661</v>
      </c>
      <c r="D2576" t="s">
        <v>53662</v>
      </c>
      <c r="E2576" t="s">
        <v>53663</v>
      </c>
      <c r="F2576" t="s">
        <v>53664</v>
      </c>
      <c r="G2576" t="s">
        <v>53665</v>
      </c>
      <c r="H2576" t="s">
        <v>53666</v>
      </c>
      <c r="I2576" t="s">
        <v>53667</v>
      </c>
      <c r="J2576" t="s">
        <v>53668</v>
      </c>
      <c r="K2576" t="s">
        <v>53669</v>
      </c>
      <c r="L2576" t="s">
        <v>53670</v>
      </c>
      <c r="M2576" t="s">
        <v>53671</v>
      </c>
      <c r="N2576" t="s">
        <v>53672</v>
      </c>
      <c r="O2576">
        <f>-986.658995766624 -52.9726591965987 -487.337779082738</f>
        <v>-1526.9694340459607</v>
      </c>
      <c r="P2576">
        <f>-999.393136599082 -72.9780077957196 -194.031159932623</f>
        <v>-1266.4023043274246</v>
      </c>
      <c r="Q2576">
        <f>-808.646918968263 -3.18793248585825 -323.630746509349</f>
        <v>-1135.4655979634704</v>
      </c>
      <c r="R2576" t="s">
        <v>53673</v>
      </c>
      <c r="S2576" t="s">
        <v>53674</v>
      </c>
      <c r="T2576" t="s">
        <v>53675</v>
      </c>
      <c r="U2576" t="s">
        <v>53676</v>
      </c>
      <c r="V2576" t="s">
        <v>53677</v>
      </c>
      <c r="W2576" t="s">
        <v>53678</v>
      </c>
      <c r="X2576" t="s">
        <v>53679</v>
      </c>
      <c r="Y2576" t="s">
        <v>53680</v>
      </c>
    </row>
    <row r="2577" spans="1:25" x14ac:dyDescent="0.3">
      <c r="A2577">
        <v>128800</v>
      </c>
      <c r="B2577" t="s">
        <v>53681</v>
      </c>
      <c r="C2577" t="s">
        <v>53682</v>
      </c>
      <c r="D2577" t="s">
        <v>53683</v>
      </c>
      <c r="E2577" t="s">
        <v>53684</v>
      </c>
      <c r="F2577" t="s">
        <v>53685</v>
      </c>
      <c r="G2577" t="s">
        <v>53686</v>
      </c>
      <c r="H2577" t="s">
        <v>53687</v>
      </c>
      <c r="I2577" t="s">
        <v>53688</v>
      </c>
      <c r="J2577" t="s">
        <v>53689</v>
      </c>
      <c r="K2577" t="s">
        <v>53690</v>
      </c>
      <c r="L2577" t="s">
        <v>53691</v>
      </c>
      <c r="M2577" t="s">
        <v>53692</v>
      </c>
      <c r="N2577" t="s">
        <v>53693</v>
      </c>
      <c r="O2577">
        <f>-986.738316349436 -52.6598337734945 -487.173056734632</f>
        <v>-1526.5712068575624</v>
      </c>
      <c r="P2577">
        <f>-1000.84702035521 -72.8245855195353 -193.940117791712</f>
        <v>-1267.6117236664575</v>
      </c>
      <c r="Q2577">
        <f>-810.131355127216 -2.57721802623018 -323.337327266613</f>
        <v>-1136.0459004200593</v>
      </c>
      <c r="R2577" t="s">
        <v>53694</v>
      </c>
      <c r="S2577" t="s">
        <v>53695</v>
      </c>
      <c r="T2577" t="s">
        <v>53696</v>
      </c>
      <c r="U2577" t="s">
        <v>53697</v>
      </c>
      <c r="V2577" t="s">
        <v>53698</v>
      </c>
      <c r="W2577" t="s">
        <v>53699</v>
      </c>
      <c r="X2577" t="s">
        <v>53700</v>
      </c>
      <c r="Y2577" t="s">
        <v>53701</v>
      </c>
    </row>
    <row r="2578" spans="1:25" x14ac:dyDescent="0.3">
      <c r="A2578">
        <v>128850</v>
      </c>
      <c r="B2578" t="s">
        <v>53702</v>
      </c>
      <c r="C2578" t="s">
        <v>53703</v>
      </c>
      <c r="D2578" t="s">
        <v>53704</v>
      </c>
      <c r="E2578" t="s">
        <v>53705</v>
      </c>
      <c r="F2578" t="s">
        <v>53706</v>
      </c>
      <c r="G2578" t="s">
        <v>53707</v>
      </c>
      <c r="H2578" t="s">
        <v>53708</v>
      </c>
      <c r="I2578" t="s">
        <v>53709</v>
      </c>
      <c r="J2578" t="s">
        <v>53710</v>
      </c>
      <c r="K2578" t="s">
        <v>53711</v>
      </c>
      <c r="L2578" t="s">
        <v>53712</v>
      </c>
      <c r="M2578" t="s">
        <v>53713</v>
      </c>
      <c r="N2578" t="s">
        <v>53714</v>
      </c>
      <c r="O2578">
        <f>-986.769937395351 -52.7202613060035 -487.243052256101</f>
        <v>-1526.7332509574555</v>
      </c>
      <c r="P2578">
        <f>-1001.20105060425 -72.7749731454517 -194.018272672478</f>
        <v>-1267.9942964221796</v>
      </c>
      <c r="Q2578">
        <f>-810.423001036398 -2.71792121853423 -323.427311183855</f>
        <v>-1136.5682334387873</v>
      </c>
      <c r="R2578" t="s">
        <v>53715</v>
      </c>
      <c r="S2578" t="s">
        <v>53716</v>
      </c>
      <c r="T2578" t="s">
        <v>53717</v>
      </c>
      <c r="U2578" t="s">
        <v>53718</v>
      </c>
      <c r="V2578" t="s">
        <v>53719</v>
      </c>
      <c r="W2578" t="s">
        <v>53720</v>
      </c>
      <c r="X2578" t="s">
        <v>53721</v>
      </c>
      <c r="Y2578" t="s">
        <v>53722</v>
      </c>
    </row>
    <row r="2579" spans="1:25" x14ac:dyDescent="0.3">
      <c r="A2579">
        <v>128900</v>
      </c>
      <c r="B2579" t="s">
        <v>53723</v>
      </c>
      <c r="C2579" t="s">
        <v>53724</v>
      </c>
      <c r="D2579" t="s">
        <v>53725</v>
      </c>
      <c r="E2579" t="s">
        <v>53726</v>
      </c>
      <c r="F2579" t="s">
        <v>53727</v>
      </c>
      <c r="G2579" t="s">
        <v>53728</v>
      </c>
      <c r="H2579" t="s">
        <v>53729</v>
      </c>
      <c r="I2579" t="s">
        <v>53730</v>
      </c>
      <c r="J2579" t="s">
        <v>53731</v>
      </c>
      <c r="K2579" t="s">
        <v>53732</v>
      </c>
      <c r="L2579" t="s">
        <v>53733</v>
      </c>
      <c r="M2579" t="s">
        <v>53734</v>
      </c>
      <c r="N2579" t="s">
        <v>53735</v>
      </c>
      <c r="O2579">
        <f>-986.797376261197 -52.9763197487098 -487.316848631531</f>
        <v>-1527.0905446414379</v>
      </c>
      <c r="P2579">
        <f>-1001.23027605075 -73.0413074879134 -194.092855393422</f>
        <v>-1268.3644389320855</v>
      </c>
      <c r="Q2579">
        <f>-810.512766393295 -3.26238521715095 -323.740894303865</f>
        <v>-1137.516045914311</v>
      </c>
      <c r="R2579" t="s">
        <v>53736</v>
      </c>
      <c r="S2579" t="s">
        <v>53737</v>
      </c>
      <c r="T2579" t="s">
        <v>53738</v>
      </c>
      <c r="U2579" t="s">
        <v>53739</v>
      </c>
      <c r="V2579" t="s">
        <v>53740</v>
      </c>
      <c r="W2579" t="s">
        <v>53741</v>
      </c>
      <c r="X2579" t="s">
        <v>53742</v>
      </c>
      <c r="Y2579" t="s">
        <v>53743</v>
      </c>
    </row>
    <row r="2580" spans="1:25" x14ac:dyDescent="0.3">
      <c r="A2580">
        <v>128950</v>
      </c>
      <c r="B2580" t="s">
        <v>53744</v>
      </c>
      <c r="C2580" t="s">
        <v>53745</v>
      </c>
      <c r="D2580" t="s">
        <v>53746</v>
      </c>
      <c r="E2580" t="s">
        <v>53747</v>
      </c>
      <c r="F2580" t="s">
        <v>53748</v>
      </c>
      <c r="G2580" t="s">
        <v>53749</v>
      </c>
      <c r="H2580" t="s">
        <v>53750</v>
      </c>
      <c r="I2580" t="s">
        <v>53751</v>
      </c>
      <c r="J2580" t="s">
        <v>53752</v>
      </c>
      <c r="K2580" t="s">
        <v>53753</v>
      </c>
      <c r="L2580" t="s">
        <v>53754</v>
      </c>
      <c r="M2580" t="s">
        <v>53755</v>
      </c>
      <c r="N2580" t="s">
        <v>53756</v>
      </c>
      <c r="O2580">
        <f>-986.675243923525 -53.165457218362 -487.40483595329</f>
        <v>-1527.245537095177</v>
      </c>
      <c r="P2580">
        <f>-1000.98761963403 -73.2564726091327 -194.176721319677</f>
        <v>-1268.4208135628396</v>
      </c>
      <c r="Q2580">
        <f>-810.374971088832 -3.39739731948202 -323.935948225837</f>
        <v>-1137.7083166341511</v>
      </c>
      <c r="R2580" t="s">
        <v>53757</v>
      </c>
      <c r="S2580" t="s">
        <v>53758</v>
      </c>
      <c r="T2580" t="s">
        <v>53759</v>
      </c>
      <c r="U2580" t="s">
        <v>53760</v>
      </c>
      <c r="V2580" t="s">
        <v>53761</v>
      </c>
      <c r="W2580" t="s">
        <v>53762</v>
      </c>
      <c r="X2580" t="s">
        <v>53763</v>
      </c>
      <c r="Y2580" t="s">
        <v>53764</v>
      </c>
    </row>
    <row r="2581" spans="1:25" x14ac:dyDescent="0.3">
      <c r="A2581">
        <v>129000</v>
      </c>
      <c r="B2581" t="s">
        <v>53765</v>
      </c>
      <c r="C2581" t="s">
        <v>53766</v>
      </c>
      <c r="D2581" t="s">
        <v>53767</v>
      </c>
      <c r="E2581" t="s">
        <v>53768</v>
      </c>
      <c r="F2581" t="s">
        <v>53769</v>
      </c>
      <c r="G2581" t="s">
        <v>53770</v>
      </c>
      <c r="H2581" t="s">
        <v>53771</v>
      </c>
      <c r="I2581" t="s">
        <v>53772</v>
      </c>
      <c r="J2581" t="s">
        <v>53773</v>
      </c>
      <c r="K2581" t="s">
        <v>53774</v>
      </c>
      <c r="L2581" t="s">
        <v>53775</v>
      </c>
      <c r="M2581" t="s">
        <v>53776</v>
      </c>
      <c r="N2581" t="s">
        <v>53777</v>
      </c>
      <c r="O2581">
        <f>-986.671729142501 -53.5658241629096 -487.518587899339</f>
        <v>-1527.7561412047496</v>
      </c>
      <c r="P2581">
        <f>-1000.74297263374 -73.6959966358152 -194.281448655599</f>
        <v>-1268.7204179251542</v>
      </c>
      <c r="Q2581">
        <f>-810.43674074317 -3.64384429271786 -324.385464148607</f>
        <v>-1138.466049184495</v>
      </c>
      <c r="R2581" t="s">
        <v>53778</v>
      </c>
      <c r="S2581" t="s">
        <v>53779</v>
      </c>
      <c r="T2581" t="s">
        <v>53780</v>
      </c>
      <c r="U2581" t="s">
        <v>53781</v>
      </c>
      <c r="V2581" t="s">
        <v>53782</v>
      </c>
      <c r="W2581" t="s">
        <v>53783</v>
      </c>
      <c r="X2581" t="s">
        <v>53784</v>
      </c>
      <c r="Y2581" t="s">
        <v>53785</v>
      </c>
    </row>
    <row r="2582" spans="1:25" x14ac:dyDescent="0.3">
      <c r="A2582">
        <v>129050</v>
      </c>
      <c r="B2582" t="s">
        <v>53786</v>
      </c>
      <c r="C2582" t="s">
        <v>53787</v>
      </c>
      <c r="D2582" t="s">
        <v>53788</v>
      </c>
      <c r="E2582" t="s">
        <v>53789</v>
      </c>
      <c r="F2582" t="s">
        <v>53790</v>
      </c>
      <c r="G2582" t="s">
        <v>53791</v>
      </c>
      <c r="H2582" t="s">
        <v>53792</v>
      </c>
      <c r="I2582" t="s">
        <v>53793</v>
      </c>
      <c r="J2582" t="s">
        <v>53794</v>
      </c>
      <c r="K2582" t="s">
        <v>53795</v>
      </c>
      <c r="L2582" t="s">
        <v>53796</v>
      </c>
      <c r="M2582" t="s">
        <v>53797</v>
      </c>
      <c r="N2582" t="s">
        <v>53798</v>
      </c>
      <c r="O2582">
        <f>-986.93897683066 -53.6465901201339 -487.502512862914</f>
        <v>-1528.088079813708</v>
      </c>
      <c r="P2582">
        <f>-1000.72355985927 -73.7961516670985 -194.253046488298</f>
        <v>-1268.7727580146666</v>
      </c>
      <c r="Q2582">
        <f>-810.457595345451 -3.82409709394096 -324.459019735298</f>
        <v>-1138.7407121746899</v>
      </c>
      <c r="R2582" t="s">
        <v>53799</v>
      </c>
      <c r="S2582" t="s">
        <v>53800</v>
      </c>
      <c r="T2582" t="s">
        <v>53801</v>
      </c>
      <c r="U2582" t="s">
        <v>53802</v>
      </c>
      <c r="V2582" t="s">
        <v>53803</v>
      </c>
      <c r="W2582" t="s">
        <v>53804</v>
      </c>
      <c r="X2582" t="s">
        <v>53805</v>
      </c>
      <c r="Y2582" t="s">
        <v>53806</v>
      </c>
    </row>
    <row r="2583" spans="1:25" x14ac:dyDescent="0.3">
      <c r="A2583">
        <v>129100</v>
      </c>
      <c r="B2583" t="s">
        <v>53807</v>
      </c>
      <c r="C2583" t="s">
        <v>53808</v>
      </c>
      <c r="D2583" t="s">
        <v>53809</v>
      </c>
      <c r="E2583" t="s">
        <v>53810</v>
      </c>
      <c r="F2583" t="s">
        <v>53811</v>
      </c>
      <c r="G2583" t="s">
        <v>53812</v>
      </c>
      <c r="H2583" t="s">
        <v>53813</v>
      </c>
      <c r="I2583" t="s">
        <v>53814</v>
      </c>
      <c r="J2583" t="s">
        <v>53815</v>
      </c>
      <c r="K2583" t="s">
        <v>53816</v>
      </c>
      <c r="L2583" t="s">
        <v>53817</v>
      </c>
      <c r="M2583" t="s">
        <v>53818</v>
      </c>
      <c r="N2583" t="s">
        <v>53819</v>
      </c>
      <c r="O2583">
        <f>-987.839241959847 -53.8393524401881 -487.382288978918</f>
        <v>-1529.0608833789531</v>
      </c>
      <c r="P2583">
        <f>-1001.20363736254 -74.2269337333623 -194.129965022821</f>
        <v>-1269.5605361187231</v>
      </c>
      <c r="Q2583">
        <f>-811.164122744264 -3.64912079582791 -324.339881098663</f>
        <v>-1139.1531246387549</v>
      </c>
      <c r="R2583" t="s">
        <v>53820</v>
      </c>
      <c r="S2583" t="s">
        <v>53821</v>
      </c>
      <c r="T2583" t="s">
        <v>53822</v>
      </c>
      <c r="U2583" t="s">
        <v>53823</v>
      </c>
      <c r="V2583" t="s">
        <v>53824</v>
      </c>
      <c r="W2583" t="s">
        <v>53825</v>
      </c>
      <c r="X2583" t="s">
        <v>53826</v>
      </c>
      <c r="Y2583" t="s">
        <v>53827</v>
      </c>
    </row>
    <row r="2584" spans="1:25" x14ac:dyDescent="0.3">
      <c r="A2584">
        <v>129150</v>
      </c>
      <c r="B2584" t="s">
        <v>53828</v>
      </c>
      <c r="C2584" t="s">
        <v>53829</v>
      </c>
      <c r="D2584" t="s">
        <v>53830</v>
      </c>
      <c r="E2584" t="s">
        <v>53831</v>
      </c>
      <c r="F2584" t="s">
        <v>53832</v>
      </c>
      <c r="G2584" t="s">
        <v>53833</v>
      </c>
      <c r="H2584" t="s">
        <v>53834</v>
      </c>
      <c r="I2584" t="s">
        <v>53835</v>
      </c>
      <c r="J2584" t="s">
        <v>53836</v>
      </c>
      <c r="K2584" t="s">
        <v>53837</v>
      </c>
      <c r="L2584" t="s">
        <v>53838</v>
      </c>
      <c r="M2584" t="s">
        <v>53839</v>
      </c>
      <c r="N2584" t="s">
        <v>53840</v>
      </c>
      <c r="O2584">
        <f>-988.301909958859 -54.0924664659065 -487.321456076672</f>
        <v>-1529.7158325014375</v>
      </c>
      <c r="P2584">
        <f>-1001.62418613679 -74.3324407746691 -194.0568575579</f>
        <v>-1270.0134844693591</v>
      </c>
      <c r="Q2584">
        <f>-811.462420020436 -3.78103070855104 -324.1026461204</f>
        <v>-1139.3460968493869</v>
      </c>
      <c r="R2584" t="s">
        <v>53841</v>
      </c>
      <c r="S2584" t="s">
        <v>53842</v>
      </c>
      <c r="T2584" t="s">
        <v>53843</v>
      </c>
      <c r="U2584" t="s">
        <v>53844</v>
      </c>
      <c r="V2584" t="s">
        <v>53845</v>
      </c>
      <c r="W2584" t="s">
        <v>53846</v>
      </c>
      <c r="X2584" t="s">
        <v>53847</v>
      </c>
      <c r="Y2584" t="s">
        <v>53848</v>
      </c>
    </row>
    <row r="2585" spans="1:25" x14ac:dyDescent="0.3">
      <c r="A2585">
        <v>129200</v>
      </c>
      <c r="B2585" t="s">
        <v>53849</v>
      </c>
      <c r="C2585" t="s">
        <v>53850</v>
      </c>
      <c r="D2585" t="s">
        <v>53851</v>
      </c>
      <c r="E2585" t="s">
        <v>53852</v>
      </c>
      <c r="F2585" t="s">
        <v>53853</v>
      </c>
      <c r="G2585" t="s">
        <v>53854</v>
      </c>
      <c r="H2585" t="s">
        <v>53855</v>
      </c>
      <c r="I2585" t="s">
        <v>53856</v>
      </c>
      <c r="J2585" t="s">
        <v>53857</v>
      </c>
      <c r="K2585" t="s">
        <v>53858</v>
      </c>
      <c r="L2585" t="s">
        <v>53859</v>
      </c>
      <c r="M2585" t="s">
        <v>53860</v>
      </c>
      <c r="N2585" t="s">
        <v>53861</v>
      </c>
      <c r="O2585">
        <f>-988.976642122369 -54.7797384667138 -487.242003468291</f>
        <v>-1530.9983840573736</v>
      </c>
      <c r="P2585">
        <f>-1002.41189723262 -75.3604377994272 -194.006436568623</f>
        <v>-1271.7787716006703</v>
      </c>
      <c r="Q2585">
        <f>-812.377124630701 -4.3736503989935 -324.000624495406</f>
        <v>-1140.7513995251006</v>
      </c>
      <c r="R2585" t="s">
        <v>53862</v>
      </c>
      <c r="S2585" t="s">
        <v>53863</v>
      </c>
      <c r="T2585" t="s">
        <v>53864</v>
      </c>
      <c r="U2585" t="s">
        <v>53865</v>
      </c>
      <c r="V2585" t="s">
        <v>53866</v>
      </c>
      <c r="W2585" t="s">
        <v>53867</v>
      </c>
      <c r="X2585" t="s">
        <v>53868</v>
      </c>
      <c r="Y2585" t="s">
        <v>53869</v>
      </c>
    </row>
    <row r="2586" spans="1:25" x14ac:dyDescent="0.3">
      <c r="A2586">
        <v>129250</v>
      </c>
      <c r="B2586" t="s">
        <v>53870</v>
      </c>
      <c r="C2586" t="s">
        <v>53871</v>
      </c>
      <c r="D2586" t="s">
        <v>53872</v>
      </c>
      <c r="E2586" t="s">
        <v>53873</v>
      </c>
      <c r="F2586" t="s">
        <v>53874</v>
      </c>
      <c r="G2586" t="s">
        <v>53875</v>
      </c>
      <c r="H2586" t="s">
        <v>53876</v>
      </c>
      <c r="I2586" t="s">
        <v>53877</v>
      </c>
      <c r="J2586" t="s">
        <v>53878</v>
      </c>
      <c r="K2586" t="s">
        <v>53879</v>
      </c>
      <c r="L2586" t="s">
        <v>53880</v>
      </c>
      <c r="M2586" t="s">
        <v>53881</v>
      </c>
      <c r="N2586" t="s">
        <v>53882</v>
      </c>
      <c r="O2586">
        <f>-989.286138675878 -55.0218653974248 -487.283069728191</f>
        <v>-1531.5910738014936</v>
      </c>
      <c r="P2586">
        <f>-1002.67690149486 -75.6555991964983 -194.049106803909</f>
        <v>-1272.3816074952674</v>
      </c>
      <c r="Q2586">
        <f>-812.682926499112 -4.70914625243131 -324.124945145633</f>
        <v>-1141.5170178971762</v>
      </c>
      <c r="R2586" t="s">
        <v>53883</v>
      </c>
      <c r="S2586" t="s">
        <v>53884</v>
      </c>
      <c r="T2586" t="s">
        <v>53885</v>
      </c>
      <c r="U2586" t="s">
        <v>53886</v>
      </c>
      <c r="V2586" t="s">
        <v>53887</v>
      </c>
      <c r="W2586" t="s">
        <v>53888</v>
      </c>
      <c r="X2586" t="s">
        <v>53889</v>
      </c>
      <c r="Y2586" t="s">
        <v>53890</v>
      </c>
    </row>
    <row r="2587" spans="1:25" x14ac:dyDescent="0.3">
      <c r="A2587">
        <v>129300</v>
      </c>
      <c r="B2587" t="s">
        <v>53891</v>
      </c>
      <c r="C2587" t="s">
        <v>53892</v>
      </c>
      <c r="D2587" t="s">
        <v>53893</v>
      </c>
      <c r="E2587" t="s">
        <v>53894</v>
      </c>
      <c r="F2587" t="s">
        <v>53895</v>
      </c>
      <c r="G2587" t="s">
        <v>53896</v>
      </c>
      <c r="H2587" t="s">
        <v>53897</v>
      </c>
      <c r="I2587" t="s">
        <v>53898</v>
      </c>
      <c r="J2587" t="s">
        <v>53899</v>
      </c>
      <c r="K2587" t="s">
        <v>53900</v>
      </c>
      <c r="L2587" t="s">
        <v>53901</v>
      </c>
      <c r="M2587" t="s">
        <v>53902</v>
      </c>
      <c r="N2587" t="s">
        <v>53903</v>
      </c>
      <c r="O2587">
        <f>-989.92010486067 -55.6458123106179 -487.367133531884</f>
        <v>-1532.9330507031721</v>
      </c>
      <c r="P2587">
        <f>-1002.81467623861 -76.7911038236255 -194.147550644596</f>
        <v>-1273.7533307068315</v>
      </c>
      <c r="Q2587">
        <f>-813.104447845923 -5.62952138000719 -324.519902519218</f>
        <v>-1143.2538717451482</v>
      </c>
      <c r="R2587" t="s">
        <v>53904</v>
      </c>
      <c r="S2587" t="s">
        <v>53905</v>
      </c>
      <c r="T2587" t="s">
        <v>53906</v>
      </c>
      <c r="U2587" t="s">
        <v>53907</v>
      </c>
      <c r="V2587" t="s">
        <v>53908</v>
      </c>
      <c r="W2587" t="s">
        <v>53909</v>
      </c>
      <c r="X2587" t="s">
        <v>53910</v>
      </c>
      <c r="Y2587" t="s">
        <v>53911</v>
      </c>
    </row>
    <row r="2588" spans="1:25" x14ac:dyDescent="0.3">
      <c r="A2588">
        <v>129350</v>
      </c>
      <c r="B2588" t="s">
        <v>53912</v>
      </c>
      <c r="C2588" t="s">
        <v>53913</v>
      </c>
      <c r="D2588" t="s">
        <v>53914</v>
      </c>
      <c r="E2588" t="s">
        <v>53915</v>
      </c>
      <c r="F2588" t="s">
        <v>53916</v>
      </c>
      <c r="G2588" t="s">
        <v>53917</v>
      </c>
      <c r="H2588" t="s">
        <v>53918</v>
      </c>
      <c r="I2588" t="s">
        <v>53919</v>
      </c>
      <c r="J2588" t="s">
        <v>53920</v>
      </c>
      <c r="K2588" t="s">
        <v>53921</v>
      </c>
      <c r="L2588" t="s">
        <v>53922</v>
      </c>
      <c r="M2588" t="s">
        <v>53923</v>
      </c>
      <c r="N2588" t="s">
        <v>53924</v>
      </c>
      <c r="O2588">
        <f>-990.145729350337 -55.8280491830456 -487.405628211717</f>
        <v>-1533.3794067450995</v>
      </c>
      <c r="P2588">
        <f>-1002.74518776759 -77.1525767615024 -194.186117059192</f>
        <v>-1274.0838815882844</v>
      </c>
      <c r="Q2588">
        <f>-813.159934896357 -6.16464300751522 -324.834667113715</f>
        <v>-1144.1592450175872</v>
      </c>
      <c r="R2588" t="s">
        <v>53925</v>
      </c>
      <c r="S2588" t="s">
        <v>53926</v>
      </c>
      <c r="T2588" t="s">
        <v>53927</v>
      </c>
      <c r="U2588" t="s">
        <v>53928</v>
      </c>
      <c r="V2588" t="s">
        <v>53929</v>
      </c>
      <c r="W2588" t="s">
        <v>53930</v>
      </c>
      <c r="X2588" t="s">
        <v>53931</v>
      </c>
      <c r="Y2588" t="s">
        <v>53932</v>
      </c>
    </row>
    <row r="2589" spans="1:25" x14ac:dyDescent="0.3">
      <c r="A2589">
        <v>129400</v>
      </c>
      <c r="B2589" t="s">
        <v>53933</v>
      </c>
      <c r="C2589" t="s">
        <v>53934</v>
      </c>
      <c r="D2589" t="s">
        <v>53935</v>
      </c>
      <c r="E2589" t="s">
        <v>53936</v>
      </c>
      <c r="F2589" t="s">
        <v>53937</v>
      </c>
      <c r="G2589" t="s">
        <v>53938</v>
      </c>
      <c r="H2589" t="s">
        <v>53939</v>
      </c>
      <c r="I2589" t="s">
        <v>53940</v>
      </c>
      <c r="J2589" t="s">
        <v>53941</v>
      </c>
      <c r="K2589" t="s">
        <v>53942</v>
      </c>
      <c r="L2589" t="s">
        <v>53943</v>
      </c>
      <c r="M2589" t="s">
        <v>53944</v>
      </c>
      <c r="N2589" t="s">
        <v>53945</v>
      </c>
      <c r="O2589">
        <f>-990.700818383896 -56.2882913135277 -487.355080972162</f>
        <v>-1534.3441906695857</v>
      </c>
      <c r="P2589">
        <f>-1002.88664080111 -77.8636675665214 -194.136324285104</f>
        <v>-1274.8866326527354</v>
      </c>
      <c r="Q2589">
        <f>-813.678696529819 -6.97144092111193 -325.38258105774</f>
        <v>-1146.032718508671</v>
      </c>
      <c r="R2589" t="s">
        <v>53946</v>
      </c>
      <c r="S2589" t="s">
        <v>53947</v>
      </c>
      <c r="T2589" t="s">
        <v>53948</v>
      </c>
      <c r="U2589" t="s">
        <v>53949</v>
      </c>
      <c r="V2589" t="s">
        <v>53950</v>
      </c>
      <c r="W2589" t="s">
        <v>53951</v>
      </c>
      <c r="X2589" t="s">
        <v>53952</v>
      </c>
      <c r="Y2589" t="s">
        <v>53953</v>
      </c>
    </row>
    <row r="2590" spans="1:25" x14ac:dyDescent="0.3">
      <c r="A2590">
        <v>129450</v>
      </c>
      <c r="B2590" t="s">
        <v>53954</v>
      </c>
      <c r="C2590" t="s">
        <v>53955</v>
      </c>
      <c r="D2590" t="s">
        <v>53956</v>
      </c>
      <c r="E2590" t="s">
        <v>53957</v>
      </c>
      <c r="F2590" t="s">
        <v>53958</v>
      </c>
      <c r="G2590" t="s">
        <v>53959</v>
      </c>
      <c r="H2590" t="s">
        <v>53960</v>
      </c>
      <c r="I2590" t="s">
        <v>53961</v>
      </c>
      <c r="J2590" t="s">
        <v>53962</v>
      </c>
      <c r="K2590" t="s">
        <v>53963</v>
      </c>
      <c r="L2590" t="s">
        <v>53964</v>
      </c>
      <c r="M2590" t="s">
        <v>53965</v>
      </c>
      <c r="N2590" t="s">
        <v>53966</v>
      </c>
      <c r="O2590">
        <f>-991.072413124851 -56.3714440652859 -487.33224699536</f>
        <v>-1534.7761041854969</v>
      </c>
      <c r="P2590">
        <f>-1003.15324847962 -77.6507934385306 -194.087486774965</f>
        <v>-1274.8915286931156</v>
      </c>
      <c r="Q2590">
        <f>-813.880958922728 -7.19256224605942 -325.474213797196</f>
        <v>-1146.5477349659834</v>
      </c>
      <c r="R2590" t="s">
        <v>53967</v>
      </c>
      <c r="S2590" t="s">
        <v>53968</v>
      </c>
      <c r="T2590" t="s">
        <v>53969</v>
      </c>
      <c r="U2590" t="s">
        <v>53970</v>
      </c>
      <c r="V2590" t="s">
        <v>53971</v>
      </c>
      <c r="W2590" t="s">
        <v>53972</v>
      </c>
      <c r="X2590" t="s">
        <v>53973</v>
      </c>
      <c r="Y2590" t="s">
        <v>53974</v>
      </c>
    </row>
    <row r="2591" spans="1:25" x14ac:dyDescent="0.3">
      <c r="A2591">
        <v>129500</v>
      </c>
      <c r="B2591" t="s">
        <v>53975</v>
      </c>
      <c r="C2591" t="s">
        <v>53976</v>
      </c>
      <c r="D2591" t="s">
        <v>53977</v>
      </c>
      <c r="E2591" t="s">
        <v>53978</v>
      </c>
      <c r="F2591" t="s">
        <v>53979</v>
      </c>
      <c r="G2591" t="s">
        <v>53980</v>
      </c>
      <c r="H2591" t="s">
        <v>53981</v>
      </c>
      <c r="I2591" t="s">
        <v>53982</v>
      </c>
      <c r="J2591" t="s">
        <v>53983</v>
      </c>
      <c r="K2591" t="s">
        <v>53984</v>
      </c>
      <c r="L2591" t="s">
        <v>53985</v>
      </c>
      <c r="M2591" t="s">
        <v>53986</v>
      </c>
      <c r="N2591" t="s">
        <v>53987</v>
      </c>
      <c r="O2591">
        <f>-991.665454633065 -56.6731439991884 -487.213745438116</f>
        <v>-1535.5523440703696</v>
      </c>
      <c r="P2591">
        <f>-1003.71693692262 -78.1005844469644 -193.978613772861</f>
        <v>-1275.7961351424456</v>
      </c>
      <c r="Q2591">
        <f>-814.727781727786 -7.35626743011562 -325.619011798492</f>
        <v>-1147.7030609563935</v>
      </c>
      <c r="R2591" t="s">
        <v>53988</v>
      </c>
      <c r="S2591" t="s">
        <v>53989</v>
      </c>
      <c r="T2591" t="s">
        <v>53990</v>
      </c>
      <c r="U2591" t="s">
        <v>53991</v>
      </c>
      <c r="V2591" t="s">
        <v>53992</v>
      </c>
      <c r="W2591" t="s">
        <v>53993</v>
      </c>
      <c r="X2591" t="s">
        <v>53994</v>
      </c>
      <c r="Y2591" t="s">
        <v>53995</v>
      </c>
    </row>
    <row r="2592" spans="1:25" x14ac:dyDescent="0.3">
      <c r="A2592">
        <v>129550</v>
      </c>
      <c r="B2592" t="s">
        <v>53996</v>
      </c>
      <c r="C2592" t="s">
        <v>53997</v>
      </c>
      <c r="D2592" t="s">
        <v>53998</v>
      </c>
      <c r="E2592" t="s">
        <v>53999</v>
      </c>
      <c r="F2592" t="s">
        <v>54000</v>
      </c>
      <c r="G2592" t="s">
        <v>54001</v>
      </c>
      <c r="H2592" t="s">
        <v>54002</v>
      </c>
      <c r="I2592" t="s">
        <v>54003</v>
      </c>
      <c r="J2592" t="s">
        <v>54004</v>
      </c>
      <c r="K2592" t="s">
        <v>54005</v>
      </c>
      <c r="L2592" t="s">
        <v>54006</v>
      </c>
      <c r="M2592" t="s">
        <v>54007</v>
      </c>
      <c r="N2592" t="s">
        <v>54008</v>
      </c>
      <c r="O2592">
        <f>-991.909281553653 -56.7020367602695 -487.195112236342</f>
        <v>-1535.8064305502646</v>
      </c>
      <c r="P2592">
        <f>-1003.91954917932 -77.9426753288426 -193.944721437504</f>
        <v>-1275.8069459456667</v>
      </c>
      <c r="Q2592">
        <f>-814.85188543909 -7.28440150436927 -325.518929148254</f>
        <v>-1147.6552160917133</v>
      </c>
      <c r="R2592" t="s">
        <v>54009</v>
      </c>
      <c r="S2592" t="s">
        <v>54010</v>
      </c>
      <c r="T2592" t="s">
        <v>54011</v>
      </c>
      <c r="U2592" t="s">
        <v>54012</v>
      </c>
      <c r="V2592" t="s">
        <v>54013</v>
      </c>
      <c r="W2592" t="s">
        <v>54014</v>
      </c>
      <c r="X2592" t="s">
        <v>54015</v>
      </c>
      <c r="Y2592" t="s">
        <v>54016</v>
      </c>
    </row>
    <row r="2593" spans="1:25" x14ac:dyDescent="0.3">
      <c r="A2593">
        <v>129600</v>
      </c>
      <c r="B2593" t="s">
        <v>54017</v>
      </c>
      <c r="C2593" t="s">
        <v>54018</v>
      </c>
      <c r="D2593" t="s">
        <v>54019</v>
      </c>
      <c r="E2593" t="s">
        <v>54020</v>
      </c>
      <c r="F2593" t="s">
        <v>54021</v>
      </c>
      <c r="G2593" t="s">
        <v>54022</v>
      </c>
      <c r="H2593" t="s">
        <v>54023</v>
      </c>
      <c r="I2593" t="s">
        <v>54024</v>
      </c>
      <c r="J2593" t="s">
        <v>54025</v>
      </c>
      <c r="K2593" t="s">
        <v>54026</v>
      </c>
      <c r="L2593" t="s">
        <v>54027</v>
      </c>
      <c r="M2593" t="s">
        <v>54028</v>
      </c>
      <c r="N2593" t="s">
        <v>54029</v>
      </c>
      <c r="O2593">
        <f>-992.196818692138 -56.9026776893838 -487.11834322275</f>
        <v>-1536.2178396042718</v>
      </c>
      <c r="P2593">
        <f>-1004.14562739922 -78.2683525723678 -193.874378408249</f>
        <v>-1276.2883583798366</v>
      </c>
      <c r="Q2593">
        <f>-815.178173740692 -6.97394680059506 -325.249240508608</f>
        <v>-1147.4013610498951</v>
      </c>
      <c r="R2593" t="s">
        <v>54030</v>
      </c>
      <c r="S2593" t="s">
        <v>54031</v>
      </c>
      <c r="T2593" t="s">
        <v>54032</v>
      </c>
      <c r="U2593" t="s">
        <v>54033</v>
      </c>
      <c r="V2593" t="s">
        <v>54034</v>
      </c>
      <c r="W2593" t="s">
        <v>54035</v>
      </c>
      <c r="X2593" t="s">
        <v>54036</v>
      </c>
      <c r="Y2593" t="s">
        <v>54037</v>
      </c>
    </row>
    <row r="2594" spans="1:25" x14ac:dyDescent="0.3">
      <c r="A2594">
        <v>129650</v>
      </c>
      <c r="B2594" t="s">
        <v>54038</v>
      </c>
      <c r="C2594" t="s">
        <v>54039</v>
      </c>
      <c r="D2594" t="s">
        <v>54040</v>
      </c>
      <c r="E2594" t="s">
        <v>54041</v>
      </c>
      <c r="F2594" t="s">
        <v>54042</v>
      </c>
      <c r="G2594" t="s">
        <v>54043</v>
      </c>
      <c r="H2594" t="s">
        <v>54044</v>
      </c>
      <c r="I2594" t="s">
        <v>54045</v>
      </c>
      <c r="J2594" t="s">
        <v>54046</v>
      </c>
      <c r="K2594" t="s">
        <v>54047</v>
      </c>
      <c r="L2594" t="s">
        <v>54048</v>
      </c>
      <c r="M2594" t="s">
        <v>54049</v>
      </c>
      <c r="N2594" t="s">
        <v>54050</v>
      </c>
      <c r="O2594">
        <f>-992.297543490771 -57.0785404255828 -487.079740799711</f>
        <v>-1536.4558247160649</v>
      </c>
      <c r="P2594">
        <f>-1004.21485514493 -78.2730673943831 -193.822238769618</f>
        <v>-1276.3101613089311</v>
      </c>
      <c r="Q2594">
        <f>-815.239505384508 -6.87483906408488 -325.12916842582</f>
        <v>-1147.2435128744128</v>
      </c>
      <c r="R2594" t="s">
        <v>54051</v>
      </c>
      <c r="S2594" t="s">
        <v>54052</v>
      </c>
      <c r="T2594" t="s">
        <v>54053</v>
      </c>
      <c r="U2594" t="s">
        <v>54054</v>
      </c>
      <c r="V2594" t="s">
        <v>54055</v>
      </c>
      <c r="W2594" t="s">
        <v>54056</v>
      </c>
      <c r="X2594" t="s">
        <v>54057</v>
      </c>
      <c r="Y2594" t="s">
        <v>54058</v>
      </c>
    </row>
    <row r="2595" spans="1:25" x14ac:dyDescent="0.3">
      <c r="A2595">
        <v>129700</v>
      </c>
      <c r="B2595" t="s">
        <v>54059</v>
      </c>
      <c r="C2595" t="s">
        <v>54060</v>
      </c>
      <c r="D2595" t="s">
        <v>54061</v>
      </c>
      <c r="E2595" t="s">
        <v>54062</v>
      </c>
      <c r="F2595" t="s">
        <v>54063</v>
      </c>
      <c r="G2595" t="s">
        <v>54064</v>
      </c>
      <c r="H2595" t="s">
        <v>54065</v>
      </c>
      <c r="I2595" t="s">
        <v>54066</v>
      </c>
      <c r="J2595" t="s">
        <v>54067</v>
      </c>
      <c r="K2595" t="s">
        <v>54068</v>
      </c>
      <c r="L2595" t="s">
        <v>54069</v>
      </c>
      <c r="M2595" t="s">
        <v>54070</v>
      </c>
      <c r="N2595" t="s">
        <v>54071</v>
      </c>
      <c r="O2595">
        <f>-992.244871423092 -57.495348226706 -487.027909602475</f>
        <v>-1536.768129252273</v>
      </c>
      <c r="P2595">
        <f>-1003.99413198982 -78.87342596337 -193.776930423472</f>
        <v>-1276.6444883766621</v>
      </c>
      <c r="Q2595">
        <f>-815.544700012322 -5.74333054232511 -324.886369642828</f>
        <v>-1146.1744001974751</v>
      </c>
      <c r="R2595" t="s">
        <v>54072</v>
      </c>
      <c r="S2595" t="s">
        <v>54073</v>
      </c>
      <c r="T2595" t="s">
        <v>54074</v>
      </c>
      <c r="U2595" t="s">
        <v>54075</v>
      </c>
      <c r="V2595" t="s">
        <v>54076</v>
      </c>
      <c r="W2595" t="s">
        <v>54077</v>
      </c>
      <c r="X2595" t="s">
        <v>54078</v>
      </c>
      <c r="Y2595" t="s">
        <v>54079</v>
      </c>
    </row>
    <row r="2596" spans="1:25" x14ac:dyDescent="0.3">
      <c r="A2596">
        <v>129750</v>
      </c>
      <c r="B2596" t="s">
        <v>54080</v>
      </c>
      <c r="C2596" t="s">
        <v>54081</v>
      </c>
      <c r="D2596" t="s">
        <v>54082</v>
      </c>
      <c r="E2596" t="s">
        <v>54083</v>
      </c>
      <c r="F2596" t="s">
        <v>54084</v>
      </c>
      <c r="G2596" t="s">
        <v>54085</v>
      </c>
      <c r="H2596" t="s">
        <v>54086</v>
      </c>
      <c r="I2596" t="s">
        <v>54087</v>
      </c>
      <c r="J2596" t="s">
        <v>54088</v>
      </c>
      <c r="K2596" t="s">
        <v>54089</v>
      </c>
      <c r="L2596" t="s">
        <v>54090</v>
      </c>
      <c r="M2596" t="s">
        <v>54091</v>
      </c>
      <c r="N2596" t="s">
        <v>54092</v>
      </c>
      <c r="O2596">
        <f>-992.065266549235 -57.6124456099276 -487.026317408889</f>
        <v>-1536.7040295680517</v>
      </c>
      <c r="P2596">
        <f>-1003.85408732205 -79.0048469980597 -193.777882566954</f>
        <v>-1276.6368168870638</v>
      </c>
      <c r="Q2596">
        <f>-815.886962220703 -3.67012894417076 -324.330121511533</f>
        <v>-1143.8872126764068</v>
      </c>
      <c r="R2596" t="s">
        <v>54093</v>
      </c>
      <c r="S2596" t="s">
        <v>54094</v>
      </c>
      <c r="T2596" t="s">
        <v>54095</v>
      </c>
      <c r="U2596" t="s">
        <v>54096</v>
      </c>
      <c r="V2596" t="s">
        <v>54097</v>
      </c>
      <c r="W2596" t="s">
        <v>54098</v>
      </c>
      <c r="X2596" t="s">
        <v>54099</v>
      </c>
      <c r="Y2596" t="s">
        <v>54100</v>
      </c>
    </row>
    <row r="2597" spans="1:25" x14ac:dyDescent="0.3">
      <c r="A2597">
        <v>129800</v>
      </c>
      <c r="B2597" t="s">
        <v>54101</v>
      </c>
      <c r="C2597" t="s">
        <v>54102</v>
      </c>
      <c r="D2597" t="s">
        <v>54103</v>
      </c>
      <c r="E2597" t="s">
        <v>54104</v>
      </c>
      <c r="F2597" t="s">
        <v>54105</v>
      </c>
      <c r="G2597" t="s">
        <v>54106</v>
      </c>
      <c r="H2597" t="s">
        <v>54107</v>
      </c>
      <c r="I2597" t="s">
        <v>54108</v>
      </c>
      <c r="J2597" t="s">
        <v>54109</v>
      </c>
      <c r="K2597" t="s">
        <v>54110</v>
      </c>
      <c r="L2597" t="s">
        <v>54111</v>
      </c>
      <c r="M2597" t="s">
        <v>54112</v>
      </c>
      <c r="N2597" t="s">
        <v>54113</v>
      </c>
      <c r="O2597">
        <f>-992.006365709963 -57.9079105093608 -487.07198996275</f>
        <v>-1536.9862661820737</v>
      </c>
      <c r="P2597">
        <f>-1003.33044897881 -79.5100897810094 -193.820622226523</f>
        <v>-1276.6611609863423</v>
      </c>
      <c r="Q2597">
        <f>-815.870258597913 -1.58986024511705 -323.58181343667</f>
        <v>-1141.0419322797002</v>
      </c>
      <c r="R2597" t="s">
        <v>54114</v>
      </c>
      <c r="S2597" t="s">
        <v>54115</v>
      </c>
      <c r="T2597" t="s">
        <v>54116</v>
      </c>
      <c r="U2597" t="s">
        <v>54117</v>
      </c>
      <c r="V2597" t="s">
        <v>54118</v>
      </c>
      <c r="W2597" t="s">
        <v>54119</v>
      </c>
      <c r="X2597" t="s">
        <v>54120</v>
      </c>
      <c r="Y2597" t="s">
        <v>54121</v>
      </c>
    </row>
    <row r="2598" spans="1:25" x14ac:dyDescent="0.3">
      <c r="A2598">
        <v>129850</v>
      </c>
      <c r="B2598" t="s">
        <v>54122</v>
      </c>
      <c r="C2598" t="s">
        <v>54123</v>
      </c>
      <c r="D2598" t="s">
        <v>54124</v>
      </c>
      <c r="E2598" t="s">
        <v>54125</v>
      </c>
      <c r="F2598" t="s">
        <v>54126</v>
      </c>
      <c r="G2598" t="s">
        <v>54127</v>
      </c>
      <c r="H2598" t="s">
        <v>54128</v>
      </c>
      <c r="I2598" t="s">
        <v>54129</v>
      </c>
      <c r="J2598" t="s">
        <v>54130</v>
      </c>
      <c r="K2598" t="s">
        <v>54131</v>
      </c>
      <c r="L2598" t="s">
        <v>54132</v>
      </c>
      <c r="M2598" t="s">
        <v>54133</v>
      </c>
      <c r="N2598" t="s">
        <v>54134</v>
      </c>
      <c r="O2598">
        <f>-991.889210123282 -58.0136184496107 -487.032816779388</f>
        <v>-1536.9356453522807</v>
      </c>
      <c r="P2598">
        <f>-1002.75258113576 -79.5953863823831 -193.762613220245</f>
        <v>-1276.1105807383881</v>
      </c>
      <c r="Q2598">
        <f>-815.424860307262 -1.06257467411615 -323.34597111247</f>
        <v>-1139.8334060938482</v>
      </c>
      <c r="R2598" t="s">
        <v>54135</v>
      </c>
      <c r="S2598" t="s">
        <v>54136</v>
      </c>
      <c r="T2598" t="s">
        <v>54137</v>
      </c>
      <c r="U2598" t="s">
        <v>54138</v>
      </c>
      <c r="V2598" t="s">
        <v>54139</v>
      </c>
      <c r="W2598" t="s">
        <v>54140</v>
      </c>
      <c r="X2598" t="s">
        <v>54141</v>
      </c>
      <c r="Y2598" t="s">
        <v>54142</v>
      </c>
    </row>
    <row r="2599" spans="1:25" x14ac:dyDescent="0.3">
      <c r="A2599">
        <v>129900</v>
      </c>
      <c r="B2599" t="s">
        <v>54143</v>
      </c>
      <c r="C2599" t="s">
        <v>54144</v>
      </c>
      <c r="D2599" t="s">
        <v>54145</v>
      </c>
      <c r="E2599" t="s">
        <v>54146</v>
      </c>
      <c r="F2599" t="s">
        <v>54147</v>
      </c>
      <c r="G2599" t="s">
        <v>54148</v>
      </c>
      <c r="H2599" t="s">
        <v>54149</v>
      </c>
      <c r="I2599" t="s">
        <v>54150</v>
      </c>
      <c r="J2599" t="s">
        <v>54151</v>
      </c>
      <c r="K2599" t="s">
        <v>54152</v>
      </c>
      <c r="L2599" t="s">
        <v>54153</v>
      </c>
      <c r="M2599" t="s">
        <v>54154</v>
      </c>
      <c r="N2599" t="s">
        <v>54155</v>
      </c>
      <c r="O2599">
        <f>-990.919420421224 -58.1127917500376 -487.003558558848</f>
        <v>-1536.0357707301096</v>
      </c>
      <c r="P2599">
        <f>-1001.15783954355 -79.7020719680829 -193.711512482703</f>
        <v>-1274.5714239943359</v>
      </c>
      <c r="Q2599">
        <f>-814.12751822675 -0.56247540473214 -323.355006063628</f>
        <v>-1138.0449996951102</v>
      </c>
      <c r="R2599" t="s">
        <v>54156</v>
      </c>
      <c r="S2599" t="s">
        <v>54157</v>
      </c>
      <c r="T2599" t="s">
        <v>54158</v>
      </c>
      <c r="U2599" t="s">
        <v>54159</v>
      </c>
      <c r="V2599" t="s">
        <v>54160</v>
      </c>
      <c r="W2599" t="s">
        <v>54161</v>
      </c>
      <c r="X2599" t="s">
        <v>54162</v>
      </c>
      <c r="Y2599" t="s">
        <v>54163</v>
      </c>
    </row>
    <row r="2600" spans="1:25" x14ac:dyDescent="0.3">
      <c r="A2600">
        <v>129950</v>
      </c>
      <c r="B2600" t="s">
        <v>54164</v>
      </c>
      <c r="C2600" t="s">
        <v>54165</v>
      </c>
      <c r="D2600" t="s">
        <v>54166</v>
      </c>
      <c r="E2600" t="s">
        <v>54167</v>
      </c>
      <c r="F2600" t="s">
        <v>54168</v>
      </c>
      <c r="G2600" t="s">
        <v>54169</v>
      </c>
      <c r="H2600" t="s">
        <v>54170</v>
      </c>
      <c r="I2600" t="s">
        <v>54171</v>
      </c>
      <c r="J2600" t="s">
        <v>54172</v>
      </c>
      <c r="K2600" t="s">
        <v>54173</v>
      </c>
      <c r="L2600" t="s">
        <v>54174</v>
      </c>
      <c r="M2600" t="s">
        <v>54175</v>
      </c>
      <c r="N2600" t="s">
        <v>54176</v>
      </c>
      <c r="O2600">
        <f>-990.143946108418 -58.3073284653269 -487.003302967723</f>
        <v>-1535.4545775414681</v>
      </c>
      <c r="P2600">
        <f>-1000.48800460167 -79.8674360308853 -193.712676280766</f>
        <v>-1274.0681169133213</v>
      </c>
      <c r="Q2600">
        <f>-813.812815794367 -0.641595147440967 -323.81467517292</f>
        <v>-1138.269086114728</v>
      </c>
      <c r="R2600" t="s">
        <v>54177</v>
      </c>
      <c r="S2600" t="s">
        <v>54178</v>
      </c>
      <c r="T2600" t="s">
        <v>54179</v>
      </c>
      <c r="U2600" t="s">
        <v>54180</v>
      </c>
      <c r="V2600" t="s">
        <v>54181</v>
      </c>
      <c r="W2600" t="s">
        <v>54182</v>
      </c>
      <c r="X2600" t="s">
        <v>54183</v>
      </c>
      <c r="Y2600" t="s">
        <v>54184</v>
      </c>
    </row>
    <row r="2601" spans="1:25" x14ac:dyDescent="0.3">
      <c r="A2601">
        <v>130000</v>
      </c>
      <c r="B2601" t="s">
        <v>54185</v>
      </c>
      <c r="C2601" t="s">
        <v>54186</v>
      </c>
      <c r="D2601" t="s">
        <v>54187</v>
      </c>
      <c r="E2601" t="s">
        <v>54188</v>
      </c>
      <c r="F2601" t="s">
        <v>54189</v>
      </c>
      <c r="G2601" t="s">
        <v>54190</v>
      </c>
      <c r="H2601" t="s">
        <v>54191</v>
      </c>
      <c r="I2601" t="s">
        <v>54192</v>
      </c>
      <c r="J2601" t="s">
        <v>54193</v>
      </c>
      <c r="K2601" t="s">
        <v>54194</v>
      </c>
      <c r="L2601" t="s">
        <v>54195</v>
      </c>
      <c r="M2601" t="s">
        <v>54196</v>
      </c>
      <c r="N2601" t="s">
        <v>54197</v>
      </c>
      <c r="O2601">
        <f>-988.743705197631 -58.5074403999279 -487.106114817501</f>
        <v>-1534.35726041506</v>
      </c>
      <c r="P2601">
        <f>-999.626032533201 -80.1784682864218 -193.843210881446</f>
        <v>-1273.6477117010691</v>
      </c>
      <c r="Q2601" t="s">
        <v>54198</v>
      </c>
      <c r="R2601" t="s">
        <v>54199</v>
      </c>
      <c r="S2601" t="s">
        <v>54200</v>
      </c>
      <c r="T2601" t="s">
        <v>54201</v>
      </c>
      <c r="U2601" t="s">
        <v>54202</v>
      </c>
      <c r="V2601" t="s">
        <v>54203</v>
      </c>
      <c r="W2601" t="s">
        <v>54204</v>
      </c>
      <c r="X2601" t="s">
        <v>54205</v>
      </c>
      <c r="Y2601" t="s">
        <v>54206</v>
      </c>
    </row>
    <row r="2602" spans="1:25" x14ac:dyDescent="0.3">
      <c r="A2602">
        <v>130050</v>
      </c>
      <c r="B2602" t="s">
        <v>54207</v>
      </c>
      <c r="C2602" t="s">
        <v>54208</v>
      </c>
      <c r="D2602" t="s">
        <v>54209</v>
      </c>
      <c r="E2602" t="s">
        <v>54210</v>
      </c>
      <c r="F2602" t="s">
        <v>54211</v>
      </c>
      <c r="G2602" t="s">
        <v>54212</v>
      </c>
      <c r="H2602" t="s">
        <v>54213</v>
      </c>
      <c r="I2602" t="s">
        <v>54214</v>
      </c>
      <c r="J2602" t="s">
        <v>54215</v>
      </c>
      <c r="K2602" t="s">
        <v>54216</v>
      </c>
      <c r="L2602" t="s">
        <v>54217</v>
      </c>
      <c r="M2602" t="s">
        <v>54218</v>
      </c>
      <c r="N2602" t="s">
        <v>54219</v>
      </c>
      <c r="O2602">
        <f>-988.055595755744 -58.7077165378992 -487.18562737634</f>
        <v>-1533.9489396699832</v>
      </c>
      <c r="P2602">
        <f>-999.149558586515 -80.513563931971 -193.940627521705</f>
        <v>-1273.603750040191</v>
      </c>
      <c r="Q2602" t="s">
        <v>54220</v>
      </c>
      <c r="R2602" t="s">
        <v>54221</v>
      </c>
      <c r="S2602" t="s">
        <v>54222</v>
      </c>
      <c r="T2602" t="s">
        <v>54223</v>
      </c>
      <c r="U2602" t="s">
        <v>54224</v>
      </c>
      <c r="V2602" t="s">
        <v>54225</v>
      </c>
      <c r="W2602" t="s">
        <v>54226</v>
      </c>
      <c r="X2602" t="s">
        <v>54227</v>
      </c>
      <c r="Y2602" t="s">
        <v>54228</v>
      </c>
    </row>
    <row r="2603" spans="1:25" x14ac:dyDescent="0.3">
      <c r="A2603">
        <v>130100</v>
      </c>
      <c r="B2603" t="s">
        <v>54229</v>
      </c>
      <c r="C2603" t="s">
        <v>54230</v>
      </c>
      <c r="D2603" t="s">
        <v>54231</v>
      </c>
      <c r="E2603" t="s">
        <v>54232</v>
      </c>
      <c r="F2603" t="s">
        <v>54233</v>
      </c>
      <c r="G2603" t="s">
        <v>54234</v>
      </c>
      <c r="H2603" t="s">
        <v>54235</v>
      </c>
      <c r="I2603" t="s">
        <v>54236</v>
      </c>
      <c r="J2603" t="s">
        <v>54237</v>
      </c>
      <c r="K2603" t="s">
        <v>54238</v>
      </c>
      <c r="L2603" t="s">
        <v>54239</v>
      </c>
      <c r="M2603" t="s">
        <v>54240</v>
      </c>
      <c r="N2603" t="s">
        <v>54241</v>
      </c>
      <c r="O2603">
        <f>-986.99659163829 -59.0669212903938 -487.254182405969</f>
        <v>-1533.3176953346529</v>
      </c>
      <c r="P2603">
        <f>-998.008155982306 -80.6558123138818 -193.98998956219</f>
        <v>-1272.6539578583777</v>
      </c>
      <c r="Q2603">
        <f>-811.76910827193 -0.0964414216145997 -323.898173968428</f>
        <v>-1135.7637236619726</v>
      </c>
      <c r="R2603" t="s">
        <v>54242</v>
      </c>
      <c r="S2603" t="s">
        <v>54243</v>
      </c>
      <c r="T2603" t="s">
        <v>54244</v>
      </c>
      <c r="U2603" t="s">
        <v>54245</v>
      </c>
      <c r="V2603" t="s">
        <v>54246</v>
      </c>
      <c r="W2603" t="s">
        <v>54247</v>
      </c>
      <c r="X2603" t="s">
        <v>54248</v>
      </c>
      <c r="Y2603" t="s">
        <v>54249</v>
      </c>
    </row>
    <row r="2604" spans="1:25" x14ac:dyDescent="0.3">
      <c r="A2604">
        <v>130150</v>
      </c>
      <c r="B2604" t="s">
        <v>54250</v>
      </c>
      <c r="C2604" t="s">
        <v>54251</v>
      </c>
      <c r="D2604" t="s">
        <v>54252</v>
      </c>
      <c r="E2604" t="s">
        <v>54253</v>
      </c>
      <c r="F2604" t="s">
        <v>54254</v>
      </c>
      <c r="G2604" t="s">
        <v>54255</v>
      </c>
      <c r="H2604" t="s">
        <v>54256</v>
      </c>
      <c r="I2604" t="s">
        <v>54257</v>
      </c>
      <c r="J2604" t="s">
        <v>54258</v>
      </c>
      <c r="K2604" t="s">
        <v>54259</v>
      </c>
      <c r="L2604" t="s">
        <v>54260</v>
      </c>
      <c r="M2604" t="s">
        <v>54261</v>
      </c>
      <c r="N2604" t="s">
        <v>54262</v>
      </c>
      <c r="O2604">
        <f>-986.401041539765 -59.2468152115534 -487.260704120543</f>
        <v>-1532.9085608718615</v>
      </c>
      <c r="P2604">
        <f>-997.315481748805 -80.7655425356704 -193.987811414212</f>
        <v>-1272.0688356986875</v>
      </c>
      <c r="Q2604">
        <f>-811.103331340163 -0.71959643537366 -324.251142687701</f>
        <v>-1136.0740704632376</v>
      </c>
      <c r="R2604" t="s">
        <v>54263</v>
      </c>
      <c r="S2604" t="s">
        <v>54264</v>
      </c>
      <c r="T2604" t="s">
        <v>54265</v>
      </c>
      <c r="U2604" t="s">
        <v>54266</v>
      </c>
      <c r="V2604" t="s">
        <v>54267</v>
      </c>
      <c r="W2604" t="s">
        <v>54268</v>
      </c>
      <c r="X2604" t="s">
        <v>54269</v>
      </c>
      <c r="Y2604" t="s">
        <v>54270</v>
      </c>
    </row>
    <row r="2605" spans="1:25" x14ac:dyDescent="0.3">
      <c r="A2605">
        <v>130200</v>
      </c>
      <c r="B2605" t="s">
        <v>54271</v>
      </c>
      <c r="C2605" t="s">
        <v>54272</v>
      </c>
      <c r="D2605" t="s">
        <v>54273</v>
      </c>
      <c r="E2605" t="s">
        <v>54274</v>
      </c>
      <c r="F2605" t="s">
        <v>54275</v>
      </c>
      <c r="G2605" t="s">
        <v>54276</v>
      </c>
      <c r="H2605" t="s">
        <v>54277</v>
      </c>
      <c r="I2605" t="s">
        <v>54278</v>
      </c>
      <c r="J2605" t="s">
        <v>54279</v>
      </c>
      <c r="K2605" t="s">
        <v>54280</v>
      </c>
      <c r="L2605" t="s">
        <v>54281</v>
      </c>
      <c r="M2605" t="s">
        <v>54282</v>
      </c>
      <c r="N2605" t="s">
        <v>54283</v>
      </c>
      <c r="O2605">
        <f>-985.260778163934 -59.3582214354954 -487.409501655038</f>
        <v>-1532.0285012544673</v>
      </c>
      <c r="P2605">
        <f>-996.330829757858 -81.4373143871612 -194.184202654102</f>
        <v>-1271.9523467991212</v>
      </c>
      <c r="Q2605" t="s">
        <v>54284</v>
      </c>
      <c r="R2605" t="s">
        <v>54285</v>
      </c>
      <c r="S2605" t="s">
        <v>54286</v>
      </c>
      <c r="T2605" t="s">
        <v>54287</v>
      </c>
      <c r="U2605" t="s">
        <v>54288</v>
      </c>
      <c r="V2605" t="s">
        <v>54289</v>
      </c>
      <c r="W2605" t="s">
        <v>54290</v>
      </c>
      <c r="X2605" t="s">
        <v>54291</v>
      </c>
      <c r="Y2605" t="s">
        <v>54292</v>
      </c>
    </row>
    <row r="2606" spans="1:25" x14ac:dyDescent="0.3">
      <c r="A2606">
        <v>130250</v>
      </c>
      <c r="B2606" t="s">
        <v>54293</v>
      </c>
      <c r="C2606" t="s">
        <v>54294</v>
      </c>
      <c r="D2606" t="s">
        <v>54295</v>
      </c>
      <c r="E2606" t="s">
        <v>54296</v>
      </c>
      <c r="F2606" t="s">
        <v>54297</v>
      </c>
      <c r="G2606" t="s">
        <v>54298</v>
      </c>
      <c r="H2606" t="s">
        <v>54299</v>
      </c>
      <c r="I2606" t="s">
        <v>54300</v>
      </c>
      <c r="J2606" t="s">
        <v>54301</v>
      </c>
      <c r="K2606" t="s">
        <v>54302</v>
      </c>
      <c r="L2606" t="s">
        <v>54303</v>
      </c>
      <c r="M2606" t="s">
        <v>54304</v>
      </c>
      <c r="N2606" t="s">
        <v>54305</v>
      </c>
      <c r="O2606">
        <f>-984.799555798919 -59.4755073991696 -487.503882987525</f>
        <v>-1531.7789461856134</v>
      </c>
      <c r="P2606">
        <f>-996.036629846715 -81.7145752809504 -194.296821953071</f>
        <v>-1272.0480270807363</v>
      </c>
      <c r="Q2606" t="s">
        <v>54306</v>
      </c>
      <c r="R2606" t="s">
        <v>54307</v>
      </c>
      <c r="S2606" t="s">
        <v>54308</v>
      </c>
      <c r="T2606" t="s">
        <v>54309</v>
      </c>
      <c r="U2606" t="s">
        <v>54310</v>
      </c>
      <c r="V2606" t="s">
        <v>54311</v>
      </c>
      <c r="W2606" t="s">
        <v>54312</v>
      </c>
      <c r="X2606" t="s">
        <v>54313</v>
      </c>
      <c r="Y2606" t="s">
        <v>54314</v>
      </c>
    </row>
    <row r="2607" spans="1:25" x14ac:dyDescent="0.3">
      <c r="A2607">
        <v>130300</v>
      </c>
      <c r="B2607" t="s">
        <v>54315</v>
      </c>
      <c r="C2607" t="s">
        <v>54316</v>
      </c>
      <c r="D2607" t="s">
        <v>54317</v>
      </c>
      <c r="E2607" t="s">
        <v>54318</v>
      </c>
      <c r="F2607" t="s">
        <v>54319</v>
      </c>
      <c r="G2607" t="s">
        <v>54320</v>
      </c>
      <c r="H2607" t="s">
        <v>54321</v>
      </c>
      <c r="I2607" t="s">
        <v>54322</v>
      </c>
      <c r="J2607" t="s">
        <v>54323</v>
      </c>
      <c r="K2607" t="s">
        <v>54324</v>
      </c>
      <c r="L2607" t="s">
        <v>54325</v>
      </c>
      <c r="M2607" t="s">
        <v>54326</v>
      </c>
      <c r="N2607" t="s">
        <v>54327</v>
      </c>
      <c r="O2607">
        <f>-983.895996781261 -59.7444596791959 -487.707518714034</f>
        <v>-1531.347975174491</v>
      </c>
      <c r="P2607">
        <f>-994.807422684936 -82.2551017932281 -194.508872341494</f>
        <v>-1271.571396819658</v>
      </c>
      <c r="Q2607">
        <f>-808.8627811678 -0.104298461119924 -323.840945284339</f>
        <v>-1132.808024913259</v>
      </c>
      <c r="R2607" t="s">
        <v>54328</v>
      </c>
      <c r="S2607" t="s">
        <v>54329</v>
      </c>
      <c r="T2607" t="s">
        <v>54330</v>
      </c>
      <c r="U2607" t="s">
        <v>54331</v>
      </c>
      <c r="V2607" t="s">
        <v>54332</v>
      </c>
      <c r="W2607" t="s">
        <v>54333</v>
      </c>
      <c r="X2607" t="s">
        <v>54334</v>
      </c>
      <c r="Y2607" t="s">
        <v>54335</v>
      </c>
    </row>
    <row r="2608" spans="1:25" x14ac:dyDescent="0.3">
      <c r="A2608">
        <v>130350</v>
      </c>
      <c r="B2608" t="s">
        <v>54336</v>
      </c>
      <c r="C2608" t="s">
        <v>54337</v>
      </c>
      <c r="D2608" t="s">
        <v>54338</v>
      </c>
      <c r="E2608" t="s">
        <v>54339</v>
      </c>
      <c r="F2608" t="s">
        <v>54340</v>
      </c>
      <c r="G2608" t="s">
        <v>54341</v>
      </c>
      <c r="H2608" t="s">
        <v>54342</v>
      </c>
      <c r="I2608" t="s">
        <v>54343</v>
      </c>
      <c r="J2608" t="s">
        <v>54344</v>
      </c>
      <c r="K2608" t="s">
        <v>54345</v>
      </c>
      <c r="L2608" t="s">
        <v>54346</v>
      </c>
      <c r="M2608" t="s">
        <v>54347</v>
      </c>
      <c r="N2608" t="s">
        <v>54348</v>
      </c>
      <c r="O2608">
        <f>-983.337118182118 -59.9529878035667 -487.757511402689</f>
        <v>-1531.0476173883737</v>
      </c>
      <c r="P2608">
        <f>-994.205387694434 -82.378090966306 -194.55085400561</f>
        <v>-1271.13433266635</v>
      </c>
      <c r="Q2608">
        <f>-807.844010342806 -1.34598940682054 -323.988450116431</f>
        <v>-1133.1784498660575</v>
      </c>
      <c r="R2608" t="s">
        <v>54349</v>
      </c>
      <c r="S2608" t="s">
        <v>54350</v>
      </c>
      <c r="T2608" t="s">
        <v>54351</v>
      </c>
      <c r="U2608" t="s">
        <v>54352</v>
      </c>
      <c r="V2608" t="s">
        <v>54353</v>
      </c>
      <c r="W2608" t="s">
        <v>54354</v>
      </c>
      <c r="X2608" t="s">
        <v>54355</v>
      </c>
      <c r="Y2608" t="s">
        <v>54356</v>
      </c>
    </row>
    <row r="2609" spans="1:25" x14ac:dyDescent="0.3">
      <c r="A2609">
        <v>130400</v>
      </c>
      <c r="B2609" t="s">
        <v>54357</v>
      </c>
      <c r="C2609" t="s">
        <v>54358</v>
      </c>
      <c r="D2609" t="s">
        <v>54359</v>
      </c>
      <c r="E2609" t="s">
        <v>54360</v>
      </c>
      <c r="F2609" t="s">
        <v>54361</v>
      </c>
      <c r="G2609" t="s">
        <v>54362</v>
      </c>
      <c r="H2609" t="s">
        <v>54363</v>
      </c>
      <c r="I2609" t="s">
        <v>54364</v>
      </c>
      <c r="J2609" t="s">
        <v>54365</v>
      </c>
      <c r="K2609" t="s">
        <v>54366</v>
      </c>
      <c r="L2609" t="s">
        <v>54367</v>
      </c>
      <c r="M2609" t="s">
        <v>54368</v>
      </c>
      <c r="N2609" t="s">
        <v>54369</v>
      </c>
      <c r="O2609">
        <f>-982.183847931047 -60.3366152208023 -487.879469294395</f>
        <v>-1530.3999324462443</v>
      </c>
      <c r="P2609">
        <f>-993.326898999912 -83.3644440447106 -194.729869139014</f>
        <v>-1271.4212121836367</v>
      </c>
      <c r="Q2609">
        <f>-807.482319995377 -1.61498643563982 -324.459176610049</f>
        <v>-1133.5564830410658</v>
      </c>
      <c r="R2609" t="s">
        <v>54370</v>
      </c>
      <c r="S2609" t="s">
        <v>54371</v>
      </c>
      <c r="T2609" t="s">
        <v>54372</v>
      </c>
      <c r="U2609" t="s">
        <v>54373</v>
      </c>
      <c r="V2609" t="s">
        <v>54374</v>
      </c>
      <c r="W2609" t="s">
        <v>54375</v>
      </c>
      <c r="X2609" t="s">
        <v>54376</v>
      </c>
      <c r="Y2609" t="s">
        <v>54377</v>
      </c>
    </row>
    <row r="2610" spans="1:25" x14ac:dyDescent="0.3">
      <c r="A2610">
        <v>130450</v>
      </c>
      <c r="B2610" t="s">
        <v>54378</v>
      </c>
      <c r="C2610" t="s">
        <v>54379</v>
      </c>
      <c r="D2610" t="s">
        <v>54380</v>
      </c>
      <c r="E2610" t="s">
        <v>54381</v>
      </c>
      <c r="F2610" t="s">
        <v>54382</v>
      </c>
      <c r="G2610" t="s">
        <v>54383</v>
      </c>
      <c r="H2610" t="s">
        <v>54384</v>
      </c>
      <c r="I2610" t="s">
        <v>54385</v>
      </c>
      <c r="J2610" t="s">
        <v>54386</v>
      </c>
      <c r="K2610" t="s">
        <v>54387</v>
      </c>
      <c r="L2610" t="s">
        <v>54388</v>
      </c>
      <c r="M2610" t="s">
        <v>54389</v>
      </c>
      <c r="N2610" t="s">
        <v>54390</v>
      </c>
      <c r="O2610">
        <f>-981.710595734936 -60.4637970531574 -487.973662855533</f>
        <v>-1530.1480556436263</v>
      </c>
      <c r="P2610">
        <f>-992.860528870832 -83.5756824217892 -194.830811623906</f>
        <v>-1271.2670229165271</v>
      </c>
      <c r="Q2610">
        <f>-807.111042467648 -1.19832398296967 -324.29892769585</f>
        <v>-1132.6082941464676</v>
      </c>
      <c r="R2610" t="s">
        <v>54391</v>
      </c>
      <c r="S2610" t="s">
        <v>54392</v>
      </c>
      <c r="T2610" t="s">
        <v>54393</v>
      </c>
      <c r="U2610" t="s">
        <v>54394</v>
      </c>
      <c r="V2610" t="s">
        <v>54395</v>
      </c>
      <c r="W2610" t="s">
        <v>54396</v>
      </c>
      <c r="X2610" t="s">
        <v>54397</v>
      </c>
      <c r="Y2610" t="s">
        <v>54398</v>
      </c>
    </row>
    <row r="2611" spans="1:25" x14ac:dyDescent="0.3">
      <c r="A2611">
        <v>130500</v>
      </c>
      <c r="B2611" t="s">
        <v>54399</v>
      </c>
      <c r="C2611" t="s">
        <v>54400</v>
      </c>
      <c r="D2611" t="s">
        <v>54401</v>
      </c>
      <c r="E2611" t="s">
        <v>54402</v>
      </c>
      <c r="F2611" t="s">
        <v>54403</v>
      </c>
      <c r="G2611" t="s">
        <v>54404</v>
      </c>
      <c r="H2611" t="s">
        <v>54405</v>
      </c>
      <c r="I2611" t="s">
        <v>54406</v>
      </c>
      <c r="J2611" t="s">
        <v>54407</v>
      </c>
      <c r="K2611" t="s">
        <v>54408</v>
      </c>
      <c r="L2611" t="s">
        <v>54409</v>
      </c>
      <c r="M2611" t="s">
        <v>54410</v>
      </c>
      <c r="N2611" t="s">
        <v>54411</v>
      </c>
      <c r="O2611">
        <f>-980.708871812837 -60.6795754456894 -488.144883726441</f>
        <v>-1529.5333309849675</v>
      </c>
      <c r="P2611">
        <f>-991.669955342027 -84.0209997696206 -195.013046671018</f>
        <v>-1270.7040017826655</v>
      </c>
      <c r="Q2611">
        <f>-805.803895874452 -1.71146322869845 -324.357122913066</f>
        <v>-1131.8724820162165</v>
      </c>
      <c r="R2611" t="s">
        <v>54412</v>
      </c>
      <c r="S2611" t="s">
        <v>54413</v>
      </c>
      <c r="T2611" t="s">
        <v>54414</v>
      </c>
      <c r="U2611" t="s">
        <v>54415</v>
      </c>
      <c r="V2611" t="s">
        <v>54416</v>
      </c>
      <c r="W2611" t="s">
        <v>54417</v>
      </c>
      <c r="X2611" t="s">
        <v>54418</v>
      </c>
      <c r="Y2611" t="s">
        <v>54419</v>
      </c>
    </row>
    <row r="2612" spans="1:25" x14ac:dyDescent="0.3">
      <c r="A2612">
        <v>130550</v>
      </c>
      <c r="B2612" t="s">
        <v>54420</v>
      </c>
      <c r="C2612" t="s">
        <v>54421</v>
      </c>
      <c r="D2612" t="s">
        <v>54422</v>
      </c>
      <c r="E2612" t="s">
        <v>54423</v>
      </c>
      <c r="F2612" t="s">
        <v>54424</v>
      </c>
      <c r="G2612" t="s">
        <v>54425</v>
      </c>
      <c r="H2612" t="s">
        <v>54426</v>
      </c>
      <c r="I2612" t="s">
        <v>54427</v>
      </c>
      <c r="J2612" t="s">
        <v>54428</v>
      </c>
      <c r="K2612" t="s">
        <v>54429</v>
      </c>
      <c r="L2612" t="s">
        <v>54430</v>
      </c>
      <c r="M2612" t="s">
        <v>54431</v>
      </c>
      <c r="N2612" t="s">
        <v>54432</v>
      </c>
      <c r="O2612">
        <f>-980.102124421273 -60.7373208777422 -488.242015963505</f>
        <v>-1529.0814612625202</v>
      </c>
      <c r="P2612">
        <f>-990.848311723332 -84.3681621131082 -195.125528711183</f>
        <v>-1270.3420025476232</v>
      </c>
      <c r="Q2612">
        <f>-805.244781253334 -1.45858992487138 -324.4633503413</f>
        <v>-1131.1667215195055</v>
      </c>
      <c r="R2612" t="s">
        <v>54433</v>
      </c>
      <c r="S2612" t="s">
        <v>54434</v>
      </c>
      <c r="T2612" t="s">
        <v>54435</v>
      </c>
      <c r="U2612" t="s">
        <v>54436</v>
      </c>
      <c r="V2612" t="s">
        <v>54437</v>
      </c>
      <c r="W2612" t="s">
        <v>54438</v>
      </c>
      <c r="X2612" t="s">
        <v>54439</v>
      </c>
      <c r="Y2612" t="s">
        <v>54440</v>
      </c>
    </row>
    <row r="2613" spans="1:25" x14ac:dyDescent="0.3">
      <c r="A2613">
        <v>130600</v>
      </c>
      <c r="B2613" t="s">
        <v>54441</v>
      </c>
      <c r="C2613" t="s">
        <v>54442</v>
      </c>
      <c r="D2613" t="s">
        <v>54443</v>
      </c>
      <c r="E2613" t="s">
        <v>54444</v>
      </c>
      <c r="F2613" t="s">
        <v>54445</v>
      </c>
      <c r="G2613" t="s">
        <v>54446</v>
      </c>
      <c r="H2613" t="s">
        <v>54447</v>
      </c>
      <c r="I2613" t="s">
        <v>54448</v>
      </c>
      <c r="J2613" t="s">
        <v>54449</v>
      </c>
      <c r="K2613" t="s">
        <v>54450</v>
      </c>
      <c r="L2613" t="s">
        <v>54451</v>
      </c>
      <c r="M2613" t="s">
        <v>54452</v>
      </c>
      <c r="N2613" t="s">
        <v>54453</v>
      </c>
      <c r="O2613">
        <f>-978.512617474063 -61.1033718040785 -488.379523945639</f>
        <v>-1527.9955132237803</v>
      </c>
      <c r="P2613">
        <f>-989.347360993536 -85.058832474587 -195.292459607383</f>
        <v>-1269.6986530755062</v>
      </c>
      <c r="Q2613">
        <f>-804.360006526156 -1.39504778843548 -325.026206176324</f>
        <v>-1130.7812604909154</v>
      </c>
      <c r="R2613" t="s">
        <v>54454</v>
      </c>
      <c r="S2613" t="s">
        <v>54455</v>
      </c>
      <c r="T2613" t="s">
        <v>54456</v>
      </c>
      <c r="U2613" t="s">
        <v>54457</v>
      </c>
      <c r="V2613" t="s">
        <v>54458</v>
      </c>
      <c r="W2613" t="s">
        <v>54459</v>
      </c>
      <c r="X2613" t="s">
        <v>54460</v>
      </c>
      <c r="Y2613" t="s">
        <v>54461</v>
      </c>
    </row>
    <row r="2614" spans="1:25" x14ac:dyDescent="0.3">
      <c r="A2614">
        <v>130650</v>
      </c>
      <c r="B2614" t="s">
        <v>54462</v>
      </c>
      <c r="C2614" t="s">
        <v>54463</v>
      </c>
      <c r="D2614" t="s">
        <v>54464</v>
      </c>
      <c r="E2614" t="s">
        <v>54465</v>
      </c>
      <c r="F2614" t="s">
        <v>54466</v>
      </c>
      <c r="G2614" t="s">
        <v>54467</v>
      </c>
      <c r="H2614" t="s">
        <v>54468</v>
      </c>
      <c r="I2614" t="s">
        <v>54469</v>
      </c>
      <c r="J2614" t="s">
        <v>54470</v>
      </c>
      <c r="K2614" t="s">
        <v>54471</v>
      </c>
      <c r="L2614" t="s">
        <v>54472</v>
      </c>
      <c r="M2614" t="s">
        <v>54473</v>
      </c>
      <c r="N2614" t="s">
        <v>54474</v>
      </c>
      <c r="O2614">
        <f>-977.812334993317 -61.2584522182835 -488.502595506517</f>
        <v>-1527.5733827181175</v>
      </c>
      <c r="P2614">
        <f>-988.63106511743 -85.3094494020763 -195.422799864846</f>
        <v>-1269.3633143843522</v>
      </c>
      <c r="Q2614">
        <f>-803.909888485066 -0.666253448957832 -324.900768204102</f>
        <v>-1129.4769101381257</v>
      </c>
      <c r="R2614" t="s">
        <v>54475</v>
      </c>
      <c r="S2614" t="s">
        <v>54476</v>
      </c>
      <c r="T2614" t="s">
        <v>54477</v>
      </c>
      <c r="U2614" t="s">
        <v>54478</v>
      </c>
      <c r="V2614" t="s">
        <v>54479</v>
      </c>
      <c r="W2614" t="s">
        <v>54480</v>
      </c>
      <c r="X2614" t="s">
        <v>54481</v>
      </c>
      <c r="Y2614" t="s">
        <v>54482</v>
      </c>
    </row>
    <row r="2615" spans="1:25" x14ac:dyDescent="0.3">
      <c r="A2615">
        <v>130700</v>
      </c>
      <c r="B2615" t="s">
        <v>54483</v>
      </c>
      <c r="C2615" t="s">
        <v>54484</v>
      </c>
      <c r="D2615" t="s">
        <v>54485</v>
      </c>
      <c r="E2615" t="s">
        <v>54486</v>
      </c>
      <c r="F2615" t="s">
        <v>54487</v>
      </c>
      <c r="G2615" t="s">
        <v>54488</v>
      </c>
      <c r="H2615" t="s">
        <v>54489</v>
      </c>
      <c r="I2615" t="s">
        <v>54490</v>
      </c>
      <c r="J2615" t="s">
        <v>54491</v>
      </c>
      <c r="K2615" t="s">
        <v>54492</v>
      </c>
      <c r="L2615" t="s">
        <v>54493</v>
      </c>
      <c r="M2615" t="s">
        <v>54494</v>
      </c>
      <c r="N2615" t="s">
        <v>54495</v>
      </c>
      <c r="O2615">
        <f>-976.699117729791 -61.8313490134362 -488.702227458783</f>
        <v>-1527.2326942020102</v>
      </c>
      <c r="P2615">
        <f>-987.562803721719 -86.1242982045787 -195.644033481742</f>
        <v>-1269.3311354080397</v>
      </c>
      <c r="Q2615">
        <f>-802.87323088984 -0.829818967106348 -324.738974913019</f>
        <v>-1128.4420247699654</v>
      </c>
      <c r="R2615" t="s">
        <v>54496</v>
      </c>
      <c r="S2615" t="s">
        <v>54497</v>
      </c>
      <c r="T2615" t="s">
        <v>54498</v>
      </c>
      <c r="U2615" t="s">
        <v>54499</v>
      </c>
      <c r="V2615" t="s">
        <v>54500</v>
      </c>
      <c r="W2615" t="s">
        <v>54501</v>
      </c>
      <c r="X2615" t="s">
        <v>54502</v>
      </c>
      <c r="Y2615" t="s">
        <v>54503</v>
      </c>
    </row>
    <row r="2616" spans="1:25" x14ac:dyDescent="0.3">
      <c r="A2616">
        <v>130750</v>
      </c>
      <c r="B2616" t="s">
        <v>54504</v>
      </c>
      <c r="C2616" t="s">
        <v>54505</v>
      </c>
      <c r="D2616" t="s">
        <v>54506</v>
      </c>
      <c r="E2616" t="s">
        <v>54507</v>
      </c>
      <c r="F2616" t="s">
        <v>54508</v>
      </c>
      <c r="G2616" t="s">
        <v>54509</v>
      </c>
      <c r="H2616" t="s">
        <v>54510</v>
      </c>
      <c r="I2616" t="s">
        <v>54511</v>
      </c>
      <c r="J2616" t="s">
        <v>54512</v>
      </c>
      <c r="K2616" t="s">
        <v>54513</v>
      </c>
      <c r="L2616" t="s">
        <v>54514</v>
      </c>
      <c r="M2616" t="s">
        <v>54515</v>
      </c>
      <c r="N2616" t="s">
        <v>54516</v>
      </c>
      <c r="O2616">
        <f>-976.185076742846 -62.1213577773606 -488.779087396765</f>
        <v>-1527.0855219169716</v>
      </c>
      <c r="P2616">
        <f>-986.819506014913 -86.6161073836522 -195.729353795417</f>
        <v>-1269.1649671939822</v>
      </c>
      <c r="Q2616">
        <f>-802.123976453018 -1.05407091952111 -324.638599705949</f>
        <v>-1127.8166470784881</v>
      </c>
      <c r="R2616" t="s">
        <v>54517</v>
      </c>
      <c r="S2616" t="s">
        <v>54518</v>
      </c>
      <c r="T2616" t="s">
        <v>54519</v>
      </c>
      <c r="U2616" t="s">
        <v>54520</v>
      </c>
      <c r="V2616" t="s">
        <v>54521</v>
      </c>
      <c r="W2616" t="s">
        <v>54522</v>
      </c>
      <c r="X2616" t="s">
        <v>54523</v>
      </c>
      <c r="Y2616" t="s">
        <v>54524</v>
      </c>
    </row>
    <row r="2617" spans="1:25" x14ac:dyDescent="0.3">
      <c r="A2617">
        <v>130800</v>
      </c>
      <c r="B2617" t="s">
        <v>54525</v>
      </c>
      <c r="C2617" t="s">
        <v>54526</v>
      </c>
      <c r="D2617" t="s">
        <v>54527</v>
      </c>
      <c r="E2617" t="s">
        <v>54528</v>
      </c>
      <c r="F2617" t="s">
        <v>54529</v>
      </c>
      <c r="G2617" t="s">
        <v>54530</v>
      </c>
      <c r="H2617" t="s">
        <v>54531</v>
      </c>
      <c r="I2617" t="s">
        <v>54532</v>
      </c>
      <c r="J2617" t="s">
        <v>54533</v>
      </c>
      <c r="K2617" t="s">
        <v>54534</v>
      </c>
      <c r="L2617" t="s">
        <v>54535</v>
      </c>
      <c r="M2617" t="s">
        <v>54536</v>
      </c>
      <c r="N2617" t="s">
        <v>54537</v>
      </c>
      <c r="O2617">
        <f>-974.806508520898 -62.7371192937073 -488.915591149639</f>
        <v>-1526.4592189642444</v>
      </c>
      <c r="P2617">
        <f>-985.410315366682 -87.1776788183136 -195.860308695727</f>
        <v>-1268.4483028807226</v>
      </c>
      <c r="Q2617">
        <f>-800.527021954333 -2.10933548012599 -324.826864518542</f>
        <v>-1127.463221953001</v>
      </c>
      <c r="R2617" t="s">
        <v>54538</v>
      </c>
      <c r="S2617" t="s">
        <v>54539</v>
      </c>
      <c r="T2617" t="s">
        <v>54540</v>
      </c>
      <c r="U2617" t="s">
        <v>54541</v>
      </c>
      <c r="V2617" t="s">
        <v>54542</v>
      </c>
      <c r="W2617" t="s">
        <v>54543</v>
      </c>
      <c r="X2617" t="s">
        <v>54544</v>
      </c>
      <c r="Y2617" t="s">
        <v>54545</v>
      </c>
    </row>
    <row r="2618" spans="1:25" x14ac:dyDescent="0.3">
      <c r="A2618">
        <v>130850</v>
      </c>
      <c r="B2618" t="s">
        <v>54546</v>
      </c>
      <c r="C2618" t="s">
        <v>54547</v>
      </c>
      <c r="D2618" t="s">
        <v>54548</v>
      </c>
      <c r="E2618" t="s">
        <v>54549</v>
      </c>
      <c r="F2618" t="s">
        <v>54550</v>
      </c>
      <c r="G2618" t="s">
        <v>54551</v>
      </c>
      <c r="H2618" t="s">
        <v>54552</v>
      </c>
      <c r="I2618" t="s">
        <v>54553</v>
      </c>
      <c r="J2618" t="s">
        <v>54554</v>
      </c>
      <c r="K2618" t="s">
        <v>54555</v>
      </c>
      <c r="L2618" t="s">
        <v>54556</v>
      </c>
      <c r="M2618" t="s">
        <v>54557</v>
      </c>
      <c r="N2618" t="s">
        <v>54558</v>
      </c>
      <c r="O2618">
        <f>-973.91858617999 -63.094610959924 -488.996414971127</f>
        <v>-1526.009612111041</v>
      </c>
      <c r="P2618">
        <f>-984.763240237899 -88.1340751817299 -196.000568417543</f>
        <v>-1268.897883837172</v>
      </c>
      <c r="Q2618">
        <f>-800.466796907847 -2.05233309125424 -325.135080295162</f>
        <v>-1127.6542102942633</v>
      </c>
      <c r="R2618" t="s">
        <v>54559</v>
      </c>
      <c r="S2618" t="s">
        <v>54560</v>
      </c>
      <c r="T2618" t="s">
        <v>54561</v>
      </c>
      <c r="U2618" t="s">
        <v>54562</v>
      </c>
      <c r="V2618" t="s">
        <v>54563</v>
      </c>
      <c r="W2618" t="s">
        <v>54564</v>
      </c>
      <c r="X2618" t="s">
        <v>54565</v>
      </c>
      <c r="Y2618" t="s">
        <v>54566</v>
      </c>
    </row>
    <row r="2619" spans="1:25" x14ac:dyDescent="0.3">
      <c r="A2619">
        <v>130900</v>
      </c>
      <c r="B2619" t="s">
        <v>54567</v>
      </c>
      <c r="C2619" t="s">
        <v>54568</v>
      </c>
      <c r="D2619" t="s">
        <v>54569</v>
      </c>
      <c r="E2619" t="s">
        <v>54570</v>
      </c>
      <c r="F2619" t="s">
        <v>54571</v>
      </c>
      <c r="G2619" t="s">
        <v>54572</v>
      </c>
      <c r="H2619" t="s">
        <v>54573</v>
      </c>
      <c r="I2619" t="s">
        <v>54574</v>
      </c>
      <c r="J2619" t="s">
        <v>54575</v>
      </c>
      <c r="K2619" t="s">
        <v>54576</v>
      </c>
      <c r="L2619" t="s">
        <v>54577</v>
      </c>
      <c r="M2619" t="s">
        <v>54578</v>
      </c>
      <c r="N2619" t="s">
        <v>54579</v>
      </c>
      <c r="O2619">
        <f>-972.589745180286 -63.8127919617452 -489.245974758855</f>
        <v>-1525.6485119008862</v>
      </c>
      <c r="P2619">
        <f>-983.603917119463 -89.0671409714616 -196.274880280005</f>
        <v>-1268.9459383709295</v>
      </c>
      <c r="Q2619">
        <f>-800.030144690414 -1.78488227645812 -325.632396139662</f>
        <v>-1127.4474231065342</v>
      </c>
      <c r="R2619" t="s">
        <v>54580</v>
      </c>
      <c r="S2619" t="s">
        <v>54581</v>
      </c>
      <c r="T2619" t="s">
        <v>54582</v>
      </c>
      <c r="U2619" t="s">
        <v>54583</v>
      </c>
      <c r="V2619" t="s">
        <v>54584</v>
      </c>
      <c r="W2619" t="s">
        <v>54585</v>
      </c>
      <c r="X2619" t="s">
        <v>54586</v>
      </c>
      <c r="Y2619" t="s">
        <v>54587</v>
      </c>
    </row>
    <row r="2620" spans="1:25" x14ac:dyDescent="0.3">
      <c r="A2620">
        <v>130950</v>
      </c>
      <c r="B2620" t="s">
        <v>54588</v>
      </c>
      <c r="C2620" t="s">
        <v>54589</v>
      </c>
      <c r="D2620" t="s">
        <v>54590</v>
      </c>
      <c r="E2620" t="s">
        <v>54591</v>
      </c>
      <c r="F2620" t="s">
        <v>54592</v>
      </c>
      <c r="G2620" t="s">
        <v>54593</v>
      </c>
      <c r="H2620" t="s">
        <v>54594</v>
      </c>
      <c r="I2620" t="s">
        <v>54595</v>
      </c>
      <c r="J2620" t="s">
        <v>54596</v>
      </c>
      <c r="K2620" t="s">
        <v>54597</v>
      </c>
      <c r="L2620" t="s">
        <v>54598</v>
      </c>
      <c r="M2620" t="s">
        <v>54599</v>
      </c>
      <c r="N2620" t="s">
        <v>54600</v>
      </c>
      <c r="O2620">
        <f>-971.976223744064 -64.2521376169218 -489.33109564742</f>
        <v>-1525.5594570084056</v>
      </c>
      <c r="P2620">
        <f>-982.819074426088 -89.4991659510054 -196.352970706314</f>
        <v>-1268.6712110834073</v>
      </c>
      <c r="Q2620">
        <f>-799.365335845815 -2.02217034249588 -325.748800221391</f>
        <v>-1127.1363064097018</v>
      </c>
      <c r="R2620" t="s">
        <v>54601</v>
      </c>
      <c r="S2620" t="s">
        <v>54602</v>
      </c>
      <c r="T2620" t="s">
        <v>54603</v>
      </c>
      <c r="U2620" t="s">
        <v>54604</v>
      </c>
      <c r="V2620" t="s">
        <v>54605</v>
      </c>
      <c r="W2620" t="s">
        <v>54606</v>
      </c>
      <c r="X2620" t="s">
        <v>54607</v>
      </c>
      <c r="Y2620" t="s">
        <v>54608</v>
      </c>
    </row>
    <row r="2621" spans="1:25" x14ac:dyDescent="0.3">
      <c r="A2621">
        <v>131000</v>
      </c>
      <c r="B2621" t="s">
        <v>54609</v>
      </c>
      <c r="C2621" t="s">
        <v>54610</v>
      </c>
      <c r="D2621" t="s">
        <v>54611</v>
      </c>
      <c r="E2621" t="s">
        <v>54612</v>
      </c>
      <c r="F2621" t="s">
        <v>54613</v>
      </c>
      <c r="G2621" t="s">
        <v>54614</v>
      </c>
      <c r="H2621" t="s">
        <v>54615</v>
      </c>
      <c r="I2621" t="s">
        <v>54616</v>
      </c>
      <c r="J2621" t="s">
        <v>54617</v>
      </c>
      <c r="K2621" t="s">
        <v>54618</v>
      </c>
      <c r="L2621" t="s">
        <v>54619</v>
      </c>
      <c r="M2621" t="s">
        <v>54620</v>
      </c>
      <c r="N2621" t="s">
        <v>54621</v>
      </c>
      <c r="O2621">
        <f>-970.466041539218 -65.3642142709762 -489.492215817146</f>
        <v>-1525.3224716273403</v>
      </c>
      <c r="P2621">
        <f>-981.156571559253 -90.9135194076091 -196.534637608621</f>
        <v>-1268.6047285754833</v>
      </c>
      <c r="Q2621">
        <f>-798.065454236833 -2.83199544239278 -326.034208832693</f>
        <v>-1126.9316585119188</v>
      </c>
      <c r="R2621" t="s">
        <v>54622</v>
      </c>
      <c r="S2621" t="s">
        <v>54623</v>
      </c>
      <c r="T2621" t="s">
        <v>54624</v>
      </c>
      <c r="U2621" t="s">
        <v>54625</v>
      </c>
      <c r="V2621" t="s">
        <v>54626</v>
      </c>
      <c r="W2621" t="s">
        <v>54627</v>
      </c>
      <c r="X2621" t="s">
        <v>54628</v>
      </c>
      <c r="Y2621" t="s">
        <v>54629</v>
      </c>
    </row>
    <row r="2622" spans="1:25" x14ac:dyDescent="0.3">
      <c r="A2622">
        <v>131050</v>
      </c>
      <c r="B2622" t="s">
        <v>54630</v>
      </c>
      <c r="C2622" t="s">
        <v>54631</v>
      </c>
      <c r="D2622" t="s">
        <v>54632</v>
      </c>
      <c r="E2622" t="s">
        <v>54633</v>
      </c>
      <c r="F2622" t="s">
        <v>54634</v>
      </c>
      <c r="G2622" t="s">
        <v>54635</v>
      </c>
      <c r="H2622" t="s">
        <v>54636</v>
      </c>
      <c r="I2622" t="s">
        <v>54637</v>
      </c>
      <c r="J2622" t="s">
        <v>54638</v>
      </c>
      <c r="K2622" t="s">
        <v>54639</v>
      </c>
      <c r="L2622" t="s">
        <v>54640</v>
      </c>
      <c r="M2622" t="s">
        <v>54641</v>
      </c>
      <c r="N2622" t="s">
        <v>54642</v>
      </c>
      <c r="O2622">
        <f>-969.780317753756 -65.9041185614792 -489.622856167812</f>
        <v>-1525.3072924830471</v>
      </c>
      <c r="P2622">
        <f>-980.445682755816 -91.5769359968408 -196.675238014619</f>
        <v>-1268.6978567672759</v>
      </c>
      <c r="Q2622">
        <f>-797.585932034478 -3.12314951383405 -326.248143711264</f>
        <v>-1126.957225259576</v>
      </c>
      <c r="R2622" t="s">
        <v>54643</v>
      </c>
      <c r="S2622" t="s">
        <v>54644</v>
      </c>
      <c r="T2622" t="s">
        <v>54645</v>
      </c>
      <c r="U2622" t="s">
        <v>54646</v>
      </c>
      <c r="V2622" t="s">
        <v>54647</v>
      </c>
      <c r="W2622" t="s">
        <v>54648</v>
      </c>
      <c r="X2622" t="s">
        <v>54649</v>
      </c>
      <c r="Y2622" t="s">
        <v>54650</v>
      </c>
    </row>
    <row r="2623" spans="1:25" x14ac:dyDescent="0.3">
      <c r="A2623">
        <v>131100</v>
      </c>
      <c r="B2623" t="s">
        <v>54651</v>
      </c>
      <c r="C2623" t="s">
        <v>54652</v>
      </c>
      <c r="D2623" t="s">
        <v>54653</v>
      </c>
      <c r="E2623" t="s">
        <v>54654</v>
      </c>
      <c r="F2623" t="s">
        <v>54655</v>
      </c>
      <c r="G2623" t="s">
        <v>54656</v>
      </c>
      <c r="H2623" t="s">
        <v>54657</v>
      </c>
      <c r="I2623" t="s">
        <v>54658</v>
      </c>
      <c r="J2623" t="s">
        <v>54659</v>
      </c>
      <c r="K2623" t="s">
        <v>54660</v>
      </c>
      <c r="L2623" t="s">
        <v>54661</v>
      </c>
      <c r="M2623" t="s">
        <v>54662</v>
      </c>
      <c r="N2623" t="s">
        <v>54663</v>
      </c>
      <c r="O2623">
        <f>-968.807227444208 -66.7930639741437 -489.810853743089</f>
        <v>-1525.4111451614408</v>
      </c>
      <c r="P2623">
        <f>-979.241056473393 -92.8342470402597 -196.8872583697</f>
        <v>-1268.9625618833527</v>
      </c>
      <c r="Q2623">
        <f>-796.975125546864 -3.31078441846785 -326.562050799774</f>
        <v>-1126.8479607651059</v>
      </c>
      <c r="R2623" t="s">
        <v>54664</v>
      </c>
      <c r="S2623" t="s">
        <v>54665</v>
      </c>
      <c r="T2623" t="s">
        <v>54666</v>
      </c>
      <c r="U2623" t="s">
        <v>54667</v>
      </c>
      <c r="V2623" t="s">
        <v>54668</v>
      </c>
      <c r="W2623" t="s">
        <v>54669</v>
      </c>
      <c r="X2623" t="s">
        <v>54670</v>
      </c>
      <c r="Y2623" t="s">
        <v>54671</v>
      </c>
    </row>
    <row r="2624" spans="1:25" x14ac:dyDescent="0.3">
      <c r="A2624">
        <v>131150</v>
      </c>
      <c r="B2624" t="s">
        <v>54672</v>
      </c>
      <c r="C2624" t="s">
        <v>54673</v>
      </c>
      <c r="D2624" t="s">
        <v>54674</v>
      </c>
      <c r="E2624" t="s">
        <v>54675</v>
      </c>
      <c r="F2624" t="s">
        <v>54676</v>
      </c>
      <c r="G2624" t="s">
        <v>54677</v>
      </c>
      <c r="H2624" t="s">
        <v>54678</v>
      </c>
      <c r="I2624" t="s">
        <v>54679</v>
      </c>
      <c r="J2624" t="s">
        <v>54680</v>
      </c>
      <c r="K2624" t="s">
        <v>54681</v>
      </c>
      <c r="L2624" t="s">
        <v>54682</v>
      </c>
      <c r="M2624" t="s">
        <v>54683</v>
      </c>
      <c r="N2624" t="s">
        <v>54684</v>
      </c>
      <c r="O2624">
        <f>-968.296225392129 -67.3508036191486 -489.91516013555</f>
        <v>-1525.5621891468277</v>
      </c>
      <c r="P2624">
        <f>-978.679150025962 -93.5256547327042 -197.001687566246</f>
        <v>-1269.2064923249122</v>
      </c>
      <c r="Q2624">
        <f>-796.565531752946 -3.6248105780528 -326.62929880556</f>
        <v>-1126.8196411365589</v>
      </c>
      <c r="R2624" t="s">
        <v>54685</v>
      </c>
      <c r="S2624" t="s">
        <v>54686</v>
      </c>
      <c r="T2624" t="s">
        <v>54687</v>
      </c>
      <c r="U2624" t="s">
        <v>54688</v>
      </c>
      <c r="V2624" t="s">
        <v>54689</v>
      </c>
      <c r="W2624" t="s">
        <v>54690</v>
      </c>
      <c r="X2624" t="s">
        <v>54691</v>
      </c>
      <c r="Y2624" t="s">
        <v>54692</v>
      </c>
    </row>
    <row r="2625" spans="1:25" x14ac:dyDescent="0.3">
      <c r="A2625">
        <v>131200</v>
      </c>
      <c r="B2625" t="s">
        <v>54693</v>
      </c>
      <c r="C2625" t="s">
        <v>54694</v>
      </c>
      <c r="D2625" t="s">
        <v>54695</v>
      </c>
      <c r="E2625" t="s">
        <v>54696</v>
      </c>
      <c r="F2625" t="s">
        <v>54697</v>
      </c>
      <c r="G2625" t="s">
        <v>54698</v>
      </c>
      <c r="H2625" t="s">
        <v>54699</v>
      </c>
      <c r="I2625" t="s">
        <v>54700</v>
      </c>
      <c r="J2625" t="s">
        <v>54701</v>
      </c>
      <c r="K2625" t="s">
        <v>54702</v>
      </c>
      <c r="L2625" t="s">
        <v>54703</v>
      </c>
      <c r="M2625" t="s">
        <v>54704</v>
      </c>
      <c r="N2625" t="s">
        <v>54705</v>
      </c>
      <c r="O2625">
        <f>-967.348313927203 -68.5095225555392 -490.057815974003</f>
        <v>-1525.9156524567452</v>
      </c>
      <c r="P2625">
        <f>-977.685799295872 -95.1581571761399 -197.185558971024</f>
        <v>-1270.029515443036</v>
      </c>
      <c r="Q2625">
        <f>-796.068896364872 -3.93216009408343 -326.584290056645</f>
        <v>-1126.5853465156003</v>
      </c>
      <c r="R2625" t="s">
        <v>54706</v>
      </c>
      <c r="S2625" t="s">
        <v>54707</v>
      </c>
      <c r="T2625" t="s">
        <v>54708</v>
      </c>
      <c r="U2625" t="s">
        <v>54709</v>
      </c>
      <c r="V2625" t="s">
        <v>54710</v>
      </c>
      <c r="W2625" t="s">
        <v>54711</v>
      </c>
      <c r="X2625" t="s">
        <v>54712</v>
      </c>
      <c r="Y2625" t="s">
        <v>54713</v>
      </c>
    </row>
    <row r="2626" spans="1:25" x14ac:dyDescent="0.3">
      <c r="A2626">
        <v>131250</v>
      </c>
      <c r="B2626" t="s">
        <v>54714</v>
      </c>
      <c r="C2626" t="s">
        <v>54715</v>
      </c>
      <c r="D2626" t="s">
        <v>54716</v>
      </c>
      <c r="E2626" t="s">
        <v>54717</v>
      </c>
      <c r="F2626" t="s">
        <v>54718</v>
      </c>
      <c r="G2626" t="s">
        <v>54719</v>
      </c>
      <c r="H2626" t="s">
        <v>54720</v>
      </c>
      <c r="I2626" t="s">
        <v>54721</v>
      </c>
      <c r="J2626" t="s">
        <v>54722</v>
      </c>
      <c r="K2626" t="s">
        <v>54723</v>
      </c>
      <c r="L2626" t="s">
        <v>54724</v>
      </c>
      <c r="M2626" t="s">
        <v>54725</v>
      </c>
      <c r="N2626" t="s">
        <v>54726</v>
      </c>
      <c r="O2626">
        <f>-966.907455596412 -69.1272211288667 -490.127295808287</f>
        <v>-1526.1619725335656</v>
      </c>
      <c r="P2626">
        <f>-977.18514648515 -95.8540558671052 -197.2599842005</f>
        <v>-1270.2991865527551</v>
      </c>
      <c r="Q2626">
        <f>-795.748167312277 -4.0509152865061 -326.50291707751</f>
        <v>-1126.3019996762932</v>
      </c>
      <c r="R2626" t="s">
        <v>54727</v>
      </c>
      <c r="S2626" t="s">
        <v>54728</v>
      </c>
      <c r="T2626" t="s">
        <v>54729</v>
      </c>
      <c r="U2626" t="s">
        <v>54730</v>
      </c>
      <c r="V2626" t="s">
        <v>54731</v>
      </c>
      <c r="W2626" t="s">
        <v>54732</v>
      </c>
      <c r="X2626" t="s">
        <v>54733</v>
      </c>
      <c r="Y2626" t="s">
        <v>54734</v>
      </c>
    </row>
    <row r="2627" spans="1:25" x14ac:dyDescent="0.3">
      <c r="A2627">
        <v>131300</v>
      </c>
      <c r="B2627" t="s">
        <v>54735</v>
      </c>
      <c r="C2627" t="s">
        <v>54736</v>
      </c>
      <c r="D2627" t="s">
        <v>54737</v>
      </c>
      <c r="E2627" t="s">
        <v>54738</v>
      </c>
      <c r="F2627" t="s">
        <v>54739</v>
      </c>
      <c r="G2627" t="s">
        <v>54740</v>
      </c>
      <c r="H2627" t="s">
        <v>54741</v>
      </c>
      <c r="I2627" t="s">
        <v>54742</v>
      </c>
      <c r="J2627" t="s">
        <v>54743</v>
      </c>
      <c r="K2627" t="s">
        <v>54744</v>
      </c>
      <c r="L2627" t="s">
        <v>54745</v>
      </c>
      <c r="M2627" t="s">
        <v>54746</v>
      </c>
      <c r="N2627" t="s">
        <v>54747</v>
      </c>
      <c r="O2627">
        <f>-965.789255599092 -70.2088123033122 -490.267155047708</f>
        <v>-1526.2652229501123</v>
      </c>
      <c r="P2627">
        <f>-975.944926463163 -97.5487278219264 -197.452063765442</f>
        <v>-1270.9457180505315</v>
      </c>
      <c r="Q2627">
        <f>-795.474154147325 -2.96901101676713 -326.043825388242</f>
        <v>-1124.4869905523342</v>
      </c>
      <c r="R2627" t="s">
        <v>54748</v>
      </c>
      <c r="S2627" t="s">
        <v>54749</v>
      </c>
      <c r="T2627" t="s">
        <v>54750</v>
      </c>
      <c r="U2627" t="s">
        <v>54751</v>
      </c>
      <c r="V2627" t="s">
        <v>54752</v>
      </c>
      <c r="W2627" t="s">
        <v>54753</v>
      </c>
      <c r="X2627" t="s">
        <v>54754</v>
      </c>
      <c r="Y2627" t="s">
        <v>54755</v>
      </c>
    </row>
    <row r="2628" spans="1:25" x14ac:dyDescent="0.3">
      <c r="A2628">
        <v>131350</v>
      </c>
      <c r="B2628" t="s">
        <v>54756</v>
      </c>
      <c r="C2628" t="s">
        <v>54757</v>
      </c>
      <c r="D2628" t="s">
        <v>54758</v>
      </c>
      <c r="E2628" t="s">
        <v>54759</v>
      </c>
      <c r="F2628" t="s">
        <v>54760</v>
      </c>
      <c r="G2628" t="s">
        <v>54761</v>
      </c>
      <c r="H2628" t="s">
        <v>54762</v>
      </c>
      <c r="I2628" t="s">
        <v>54763</v>
      </c>
      <c r="J2628" t="s">
        <v>54764</v>
      </c>
      <c r="K2628" t="s">
        <v>54765</v>
      </c>
      <c r="L2628" t="s">
        <v>54766</v>
      </c>
      <c r="M2628" t="s">
        <v>54767</v>
      </c>
      <c r="N2628" t="s">
        <v>54768</v>
      </c>
      <c r="O2628">
        <f>-965.068516822372 -70.8276862874202 -490.377297736864</f>
        <v>-1526.2735008466561</v>
      </c>
      <c r="P2628">
        <f>-975.258442290133 -98.4288888858462 -197.587986376727</f>
        <v>-1271.2753175527062</v>
      </c>
      <c r="Q2628">
        <f>-795.268535812182 -2.38137103949794 -325.764912319524</f>
        <v>-1123.4148191712038</v>
      </c>
      <c r="R2628" t="s">
        <v>54769</v>
      </c>
      <c r="S2628" t="s">
        <v>54770</v>
      </c>
      <c r="T2628" t="s">
        <v>54771</v>
      </c>
      <c r="U2628" t="s">
        <v>54772</v>
      </c>
      <c r="V2628" t="s">
        <v>54773</v>
      </c>
      <c r="W2628" t="s">
        <v>54774</v>
      </c>
      <c r="X2628" t="s">
        <v>54775</v>
      </c>
      <c r="Y2628" t="s">
        <v>54776</v>
      </c>
    </row>
    <row r="2629" spans="1:25" x14ac:dyDescent="0.3">
      <c r="A2629">
        <v>131400</v>
      </c>
      <c r="B2629" t="s">
        <v>54777</v>
      </c>
      <c r="C2629" t="s">
        <v>54778</v>
      </c>
      <c r="D2629" t="s">
        <v>54779</v>
      </c>
      <c r="E2629" t="s">
        <v>54780</v>
      </c>
      <c r="F2629" t="s">
        <v>54781</v>
      </c>
      <c r="G2629" t="s">
        <v>54782</v>
      </c>
      <c r="H2629" t="s">
        <v>54783</v>
      </c>
      <c r="I2629" t="s">
        <v>54784</v>
      </c>
      <c r="J2629" t="s">
        <v>54785</v>
      </c>
      <c r="K2629" t="s">
        <v>54786</v>
      </c>
      <c r="L2629" t="s">
        <v>54787</v>
      </c>
      <c r="M2629" t="s">
        <v>54788</v>
      </c>
      <c r="N2629" t="s">
        <v>54789</v>
      </c>
      <c r="O2629">
        <f>-963.918644546525 -72.221063294146 -490.527268942345</f>
        <v>-1526.666976783016</v>
      </c>
      <c r="P2629">
        <f>-973.738763230792 -99.8752815380053 -197.730402876501</f>
        <v>-1271.3444476452983</v>
      </c>
      <c r="Q2629">
        <f>-793.919636965166 -2.70939710870289 -325.302851233082</f>
        <v>-1121.9318853069508</v>
      </c>
      <c r="R2629" t="s">
        <v>54790</v>
      </c>
      <c r="S2629" t="s">
        <v>54791</v>
      </c>
      <c r="T2629" t="s">
        <v>54792</v>
      </c>
      <c r="U2629" t="s">
        <v>54793</v>
      </c>
      <c r="V2629" t="s">
        <v>54794</v>
      </c>
      <c r="W2629" t="s">
        <v>54795</v>
      </c>
      <c r="X2629" t="s">
        <v>54796</v>
      </c>
      <c r="Y2629" t="s">
        <v>54797</v>
      </c>
    </row>
    <row r="2630" spans="1:25" x14ac:dyDescent="0.3">
      <c r="A2630">
        <v>131450</v>
      </c>
      <c r="B2630" t="s">
        <v>54798</v>
      </c>
      <c r="C2630" t="s">
        <v>54799</v>
      </c>
      <c r="D2630" t="s">
        <v>54800</v>
      </c>
      <c r="E2630" t="s">
        <v>54801</v>
      </c>
      <c r="F2630" t="s">
        <v>54802</v>
      </c>
      <c r="G2630" t="s">
        <v>54803</v>
      </c>
      <c r="H2630" t="s">
        <v>54804</v>
      </c>
      <c r="I2630" t="s">
        <v>54805</v>
      </c>
      <c r="J2630" t="s">
        <v>54806</v>
      </c>
      <c r="K2630" t="s">
        <v>54807</v>
      </c>
      <c r="L2630" t="s">
        <v>54808</v>
      </c>
      <c r="M2630" t="s">
        <v>54809</v>
      </c>
      <c r="N2630" t="s">
        <v>54810</v>
      </c>
      <c r="O2630">
        <f>-963.274081512997 -72.866737450928 -490.587788951828</f>
        <v>-1526.7286079157529</v>
      </c>
      <c r="P2630">
        <f>-972.758001425727 -100.711805911876 -197.797889248172</f>
        <v>-1271.267696585775</v>
      </c>
      <c r="Q2630">
        <f>-793.057291238892 -3.00836064255964 -325.126652262008</f>
        <v>-1121.1923041434598</v>
      </c>
      <c r="R2630" t="s">
        <v>54811</v>
      </c>
      <c r="S2630" t="s">
        <v>54812</v>
      </c>
      <c r="T2630" t="s">
        <v>54813</v>
      </c>
      <c r="U2630" t="s">
        <v>54814</v>
      </c>
      <c r="V2630" t="s">
        <v>54815</v>
      </c>
      <c r="W2630" t="s">
        <v>54816</v>
      </c>
      <c r="X2630" t="s">
        <v>54817</v>
      </c>
      <c r="Y2630" t="s">
        <v>54818</v>
      </c>
    </row>
    <row r="2631" spans="1:25" x14ac:dyDescent="0.3">
      <c r="A2631">
        <v>131500</v>
      </c>
      <c r="B2631" t="s">
        <v>54819</v>
      </c>
      <c r="C2631" t="s">
        <v>54820</v>
      </c>
      <c r="D2631" t="s">
        <v>54821</v>
      </c>
      <c r="E2631" t="s">
        <v>54822</v>
      </c>
      <c r="F2631" t="s">
        <v>54823</v>
      </c>
      <c r="G2631" t="s">
        <v>54824</v>
      </c>
      <c r="H2631" t="s">
        <v>54825</v>
      </c>
      <c r="I2631" t="s">
        <v>54826</v>
      </c>
      <c r="J2631" t="s">
        <v>54827</v>
      </c>
      <c r="K2631" t="s">
        <v>54828</v>
      </c>
      <c r="L2631" t="s">
        <v>54829</v>
      </c>
      <c r="M2631" t="s">
        <v>54830</v>
      </c>
      <c r="N2631" t="s">
        <v>54831</v>
      </c>
      <c r="O2631">
        <f>-961.241099256444 -74.2127189944472 -490.705752307906</f>
        <v>-1526.1595705587974</v>
      </c>
      <c r="P2631">
        <f>-970.547107036041 -102.506632093111 -197.953142326564</f>
        <v>-1271.006881455716</v>
      </c>
      <c r="Q2631">
        <f>-791.481758839992 -2.97088264501372 -324.756941029374</f>
        <v>-1119.2095825143797</v>
      </c>
      <c r="R2631" t="s">
        <v>54832</v>
      </c>
      <c r="S2631" t="s">
        <v>54833</v>
      </c>
      <c r="T2631" t="s">
        <v>54834</v>
      </c>
      <c r="U2631" t="s">
        <v>54835</v>
      </c>
      <c r="V2631" t="s">
        <v>54836</v>
      </c>
      <c r="W2631" t="s">
        <v>54837</v>
      </c>
      <c r="X2631" t="s">
        <v>54838</v>
      </c>
      <c r="Y2631" t="s">
        <v>54839</v>
      </c>
    </row>
    <row r="2632" spans="1:25" x14ac:dyDescent="0.3">
      <c r="A2632">
        <v>131550</v>
      </c>
      <c r="B2632" t="s">
        <v>54840</v>
      </c>
      <c r="C2632" t="s">
        <v>54841</v>
      </c>
      <c r="D2632" t="s">
        <v>54842</v>
      </c>
      <c r="E2632" t="s">
        <v>54843</v>
      </c>
      <c r="F2632" t="s">
        <v>54844</v>
      </c>
      <c r="G2632" t="s">
        <v>54845</v>
      </c>
      <c r="H2632" t="s">
        <v>54846</v>
      </c>
      <c r="I2632" t="s">
        <v>54847</v>
      </c>
      <c r="J2632" t="s">
        <v>54848</v>
      </c>
      <c r="K2632" t="s">
        <v>54849</v>
      </c>
      <c r="L2632" t="s">
        <v>54850</v>
      </c>
      <c r="M2632" t="s">
        <v>54851</v>
      </c>
      <c r="N2632" t="s">
        <v>54852</v>
      </c>
      <c r="O2632">
        <f>-960.244584597512 -74.8942764437045 -490.748859635176</f>
        <v>-1525.8877206763927</v>
      </c>
      <c r="P2632">
        <f>-969.553041390121 -103.221538588494 -197.999504114932</f>
        <v>-1270.7740840935471</v>
      </c>
      <c r="Q2632">
        <f>-790.855797108122 -2.77669810558245 -324.605291844527</f>
        <v>-1118.2377870582316</v>
      </c>
      <c r="R2632" t="s">
        <v>54853</v>
      </c>
      <c r="S2632" t="s">
        <v>54854</v>
      </c>
      <c r="T2632" t="s">
        <v>54855</v>
      </c>
      <c r="U2632" t="s">
        <v>54856</v>
      </c>
      <c r="V2632" t="s">
        <v>54857</v>
      </c>
      <c r="W2632" t="s">
        <v>54858</v>
      </c>
      <c r="X2632" t="s">
        <v>54859</v>
      </c>
      <c r="Y2632" t="s">
        <v>54860</v>
      </c>
    </row>
    <row r="2633" spans="1:25" x14ac:dyDescent="0.3">
      <c r="A2633">
        <v>131600</v>
      </c>
      <c r="B2633" t="s">
        <v>54861</v>
      </c>
      <c r="C2633" t="s">
        <v>54862</v>
      </c>
      <c r="D2633" t="s">
        <v>54863</v>
      </c>
      <c r="E2633" t="s">
        <v>54864</v>
      </c>
      <c r="F2633" t="s">
        <v>54865</v>
      </c>
      <c r="G2633" t="s">
        <v>54866</v>
      </c>
      <c r="H2633" t="s">
        <v>54867</v>
      </c>
      <c r="I2633" t="s">
        <v>54868</v>
      </c>
      <c r="J2633" t="s">
        <v>54869</v>
      </c>
      <c r="K2633" t="s">
        <v>54870</v>
      </c>
      <c r="L2633" t="s">
        <v>54871</v>
      </c>
      <c r="M2633" t="s">
        <v>54872</v>
      </c>
      <c r="N2633" t="s">
        <v>54873</v>
      </c>
      <c r="O2633">
        <f>-958.182604363279 -76.3299391337282 -490.87774287269</f>
        <v>-1525.3902863696974</v>
      </c>
      <c r="P2633">
        <f>-967.487597813186 -104.943259385942 -198.156346691569</f>
        <v>-1270.5872038906971</v>
      </c>
      <c r="Q2633">
        <f>-789.526438098902 -2.76720123235373 -324.412744071498</f>
        <v>-1116.7063834027538</v>
      </c>
      <c r="R2633" t="s">
        <v>54874</v>
      </c>
      <c r="S2633" t="s">
        <v>54875</v>
      </c>
      <c r="T2633" t="s">
        <v>54876</v>
      </c>
      <c r="U2633" t="s">
        <v>54877</v>
      </c>
      <c r="V2633" t="s">
        <v>54878</v>
      </c>
      <c r="W2633" t="s">
        <v>54879</v>
      </c>
      <c r="X2633" t="s">
        <v>54880</v>
      </c>
      <c r="Y2633" t="s">
        <v>54881</v>
      </c>
    </row>
    <row r="2634" spans="1:25" x14ac:dyDescent="0.3">
      <c r="A2634">
        <v>131650</v>
      </c>
      <c r="B2634" t="s">
        <v>54882</v>
      </c>
      <c r="C2634" t="s">
        <v>54883</v>
      </c>
      <c r="D2634" t="s">
        <v>54884</v>
      </c>
      <c r="E2634" t="s">
        <v>54885</v>
      </c>
      <c r="F2634" t="s">
        <v>54886</v>
      </c>
      <c r="G2634" t="s">
        <v>54887</v>
      </c>
      <c r="H2634" t="s">
        <v>54888</v>
      </c>
      <c r="I2634" t="s">
        <v>54889</v>
      </c>
      <c r="J2634" t="s">
        <v>54890</v>
      </c>
      <c r="K2634" t="s">
        <v>54891</v>
      </c>
      <c r="L2634" t="s">
        <v>54892</v>
      </c>
      <c r="M2634" t="s">
        <v>54893</v>
      </c>
      <c r="N2634" t="s">
        <v>54894</v>
      </c>
      <c r="O2634">
        <f>-957.004684442188 -76.988718803703 -491.005940946665</f>
        <v>-1524.999344192556</v>
      </c>
      <c r="P2634">
        <f>-966.415229885246 -105.813283735263 -198.308566300951</f>
        <v>-1270.5370799214602</v>
      </c>
      <c r="Q2634">
        <f>-788.730830679658 -2.93020080243923 -324.380728596983</f>
        <v>-1116.0417600790802</v>
      </c>
      <c r="R2634" t="s">
        <v>54895</v>
      </c>
      <c r="S2634" t="s">
        <v>54896</v>
      </c>
      <c r="T2634" t="s">
        <v>54897</v>
      </c>
      <c r="U2634" t="s">
        <v>54898</v>
      </c>
      <c r="V2634" t="s">
        <v>54899</v>
      </c>
      <c r="W2634" t="s">
        <v>54900</v>
      </c>
      <c r="X2634" t="s">
        <v>54901</v>
      </c>
      <c r="Y2634" t="s">
        <v>54902</v>
      </c>
    </row>
    <row r="2635" spans="1:25" x14ac:dyDescent="0.3">
      <c r="A2635">
        <v>131700</v>
      </c>
      <c r="B2635" t="s">
        <v>54903</v>
      </c>
      <c r="C2635" t="s">
        <v>54904</v>
      </c>
      <c r="D2635" t="s">
        <v>54905</v>
      </c>
      <c r="E2635" t="s">
        <v>54906</v>
      </c>
      <c r="F2635" t="s">
        <v>54907</v>
      </c>
      <c r="G2635" t="s">
        <v>54908</v>
      </c>
      <c r="H2635" t="s">
        <v>54909</v>
      </c>
      <c r="I2635" t="s">
        <v>54910</v>
      </c>
      <c r="J2635" t="s">
        <v>54911</v>
      </c>
      <c r="K2635" t="s">
        <v>54912</v>
      </c>
      <c r="L2635" t="s">
        <v>54913</v>
      </c>
      <c r="M2635" t="s">
        <v>54914</v>
      </c>
      <c r="N2635" t="s">
        <v>54915</v>
      </c>
      <c r="O2635">
        <f>-954.517267952269 -78.1802512719564 -491.377041997547</f>
        <v>-1524.0745612217722</v>
      </c>
      <c r="P2635">
        <f>-964.03510084589 -107.814560594027 -198.763914599294</f>
        <v>-1270.613576039211</v>
      </c>
      <c r="Q2635">
        <f>-787.082673236215 -3.12348269888116 -324.376664443272</f>
        <v>-1114.5828203783681</v>
      </c>
      <c r="R2635" t="s">
        <v>54916</v>
      </c>
      <c r="S2635" t="s">
        <v>54917</v>
      </c>
      <c r="T2635" t="s">
        <v>54918</v>
      </c>
      <c r="U2635" t="s">
        <v>54919</v>
      </c>
      <c r="V2635" t="s">
        <v>54920</v>
      </c>
      <c r="W2635" t="s">
        <v>54921</v>
      </c>
      <c r="X2635" t="s">
        <v>54922</v>
      </c>
      <c r="Y2635" t="s">
        <v>54923</v>
      </c>
    </row>
    <row r="2636" spans="1:25" x14ac:dyDescent="0.3">
      <c r="A2636">
        <v>131750</v>
      </c>
      <c r="B2636" t="s">
        <v>54924</v>
      </c>
      <c r="C2636" t="s">
        <v>54925</v>
      </c>
      <c r="D2636" t="s">
        <v>54926</v>
      </c>
      <c r="E2636" t="s">
        <v>54927</v>
      </c>
      <c r="F2636" t="s">
        <v>54928</v>
      </c>
      <c r="G2636" t="s">
        <v>54929</v>
      </c>
      <c r="H2636" t="s">
        <v>54930</v>
      </c>
      <c r="I2636" t="s">
        <v>54931</v>
      </c>
      <c r="J2636" t="s">
        <v>54932</v>
      </c>
      <c r="K2636" t="s">
        <v>54933</v>
      </c>
      <c r="L2636" t="s">
        <v>54934</v>
      </c>
      <c r="M2636" t="s">
        <v>54935</v>
      </c>
      <c r="N2636" t="s">
        <v>54936</v>
      </c>
      <c r="O2636">
        <f>-953.140014822212 -78.6465560534007 -491.566876097873</f>
        <v>-1523.3534469734859</v>
      </c>
      <c r="P2636">
        <f>-962.621243033067 -108.678872825573 -198.993206533042</f>
        <v>-1270.2933223916821</v>
      </c>
      <c r="Q2636">
        <f>-786.056994727932 -3.1195193699059 -324.424574698079</f>
        <v>-1113.6010887959169</v>
      </c>
      <c r="R2636" t="s">
        <v>54937</v>
      </c>
      <c r="S2636" t="s">
        <v>54938</v>
      </c>
      <c r="T2636" t="s">
        <v>54939</v>
      </c>
      <c r="U2636" t="s">
        <v>54940</v>
      </c>
      <c r="V2636" t="s">
        <v>54941</v>
      </c>
      <c r="W2636" t="s">
        <v>54942</v>
      </c>
      <c r="X2636" t="s">
        <v>54943</v>
      </c>
      <c r="Y2636" t="s">
        <v>54944</v>
      </c>
    </row>
    <row r="2637" spans="1:25" x14ac:dyDescent="0.3">
      <c r="A2637">
        <v>131800</v>
      </c>
      <c r="B2637" t="s">
        <v>54945</v>
      </c>
      <c r="C2637" t="s">
        <v>54946</v>
      </c>
      <c r="D2637" t="s">
        <v>54947</v>
      </c>
      <c r="E2637" t="s">
        <v>54948</v>
      </c>
      <c r="F2637" t="s">
        <v>54949</v>
      </c>
      <c r="G2637" t="s">
        <v>54950</v>
      </c>
      <c r="H2637" t="s">
        <v>54951</v>
      </c>
      <c r="I2637" t="s">
        <v>54952</v>
      </c>
      <c r="J2637" t="s">
        <v>54953</v>
      </c>
      <c r="K2637" t="s">
        <v>54954</v>
      </c>
      <c r="L2637" t="s">
        <v>54955</v>
      </c>
      <c r="M2637" t="s">
        <v>54956</v>
      </c>
      <c r="N2637" t="s">
        <v>54957</v>
      </c>
      <c r="O2637">
        <f>-950.221170705989 -79.7835915041069 -491.852239242105</f>
        <v>-1521.8570014522011</v>
      </c>
      <c r="P2637">
        <f>-959.616427229976 -110.409285937066 -199.337220069537</f>
        <v>-1269.362933236579</v>
      </c>
      <c r="Q2637">
        <f>-783.83423069563 -3.44018815641812 -324.673532926124</f>
        <v>-1111.9479517781722</v>
      </c>
      <c r="R2637" t="s">
        <v>54958</v>
      </c>
      <c r="S2637" t="s">
        <v>54959</v>
      </c>
      <c r="T2637" t="s">
        <v>54960</v>
      </c>
      <c r="U2637" t="s">
        <v>54961</v>
      </c>
      <c r="V2637" t="s">
        <v>54962</v>
      </c>
      <c r="W2637" t="s">
        <v>54963</v>
      </c>
      <c r="X2637" t="s">
        <v>54964</v>
      </c>
      <c r="Y2637" t="s">
        <v>54965</v>
      </c>
    </row>
    <row r="2638" spans="1:25" x14ac:dyDescent="0.3">
      <c r="A2638">
        <v>131850</v>
      </c>
      <c r="B2638" t="s">
        <v>54966</v>
      </c>
      <c r="C2638" t="s">
        <v>54967</v>
      </c>
      <c r="D2638" t="s">
        <v>54968</v>
      </c>
      <c r="E2638" t="s">
        <v>54969</v>
      </c>
      <c r="F2638" t="s">
        <v>54970</v>
      </c>
      <c r="G2638" t="s">
        <v>54971</v>
      </c>
      <c r="H2638" t="s">
        <v>54972</v>
      </c>
      <c r="I2638" t="s">
        <v>54973</v>
      </c>
      <c r="J2638" t="s">
        <v>54974</v>
      </c>
      <c r="K2638" t="s">
        <v>54975</v>
      </c>
      <c r="L2638" t="s">
        <v>54976</v>
      </c>
      <c r="M2638" t="s">
        <v>54977</v>
      </c>
      <c r="N2638" t="s">
        <v>54978</v>
      </c>
      <c r="O2638">
        <f>-948.636300175516 -80.2742179341083 -491.954166046599</f>
        <v>-1520.8646841562233</v>
      </c>
      <c r="P2638">
        <f>-958.180527236237 -111.157520777991 -199.471026996762</f>
        <v>-1268.80907501099</v>
      </c>
      <c r="Q2638">
        <f>-782.890304362197 -3.40690630923746 -324.826699525796</f>
        <v>-1111.1239101972305</v>
      </c>
      <c r="R2638" t="s">
        <v>54979</v>
      </c>
      <c r="S2638" t="s">
        <v>54980</v>
      </c>
      <c r="T2638" t="s">
        <v>54981</v>
      </c>
      <c r="U2638" t="s">
        <v>54982</v>
      </c>
      <c r="V2638" t="s">
        <v>54983</v>
      </c>
      <c r="W2638" t="s">
        <v>54984</v>
      </c>
      <c r="X2638" t="s">
        <v>54985</v>
      </c>
      <c r="Y2638" t="s">
        <v>54986</v>
      </c>
    </row>
    <row r="2639" spans="1:25" x14ac:dyDescent="0.3">
      <c r="A2639">
        <v>131900</v>
      </c>
      <c r="B2639" t="s">
        <v>54987</v>
      </c>
      <c r="C2639" t="s">
        <v>54988</v>
      </c>
      <c r="D2639" t="s">
        <v>54989</v>
      </c>
      <c r="E2639" t="s">
        <v>54990</v>
      </c>
      <c r="F2639" t="s">
        <v>54991</v>
      </c>
      <c r="G2639" t="s">
        <v>54992</v>
      </c>
      <c r="H2639" t="s">
        <v>54993</v>
      </c>
      <c r="I2639" t="s">
        <v>54994</v>
      </c>
      <c r="J2639" t="s">
        <v>54995</v>
      </c>
      <c r="K2639" t="s">
        <v>54996</v>
      </c>
      <c r="L2639" t="s">
        <v>54997</v>
      </c>
      <c r="M2639" t="s">
        <v>54998</v>
      </c>
      <c r="N2639" t="s">
        <v>54999</v>
      </c>
      <c r="O2639">
        <f>-945.428166785769 -81.2288326473538 -492.153658054266</f>
        <v>-1518.8106574873887</v>
      </c>
      <c r="P2639">
        <f>-955.159965474376 -112.003267384484 -199.665400686013</f>
        <v>-1266.8286335448731</v>
      </c>
      <c r="Q2639">
        <f>-780.327565802132 -3.6959828434924 -325.180555317445</f>
        <v>-1109.2041039630694</v>
      </c>
      <c r="R2639" t="s">
        <v>55000</v>
      </c>
      <c r="S2639" t="s">
        <v>55001</v>
      </c>
      <c r="T2639" t="s">
        <v>55002</v>
      </c>
      <c r="U2639" t="s">
        <v>55003</v>
      </c>
      <c r="V2639" t="s">
        <v>55004</v>
      </c>
      <c r="W2639" t="s">
        <v>55005</v>
      </c>
      <c r="X2639" t="s">
        <v>55006</v>
      </c>
      <c r="Y2639" t="s">
        <v>55007</v>
      </c>
    </row>
    <row r="2640" spans="1:25" x14ac:dyDescent="0.3">
      <c r="A2640">
        <v>131950</v>
      </c>
      <c r="B2640" t="s">
        <v>55008</v>
      </c>
      <c r="C2640" t="s">
        <v>55009</v>
      </c>
      <c r="D2640" t="s">
        <v>55010</v>
      </c>
      <c r="E2640" t="s">
        <v>55011</v>
      </c>
      <c r="F2640" t="s">
        <v>55012</v>
      </c>
      <c r="G2640" t="s">
        <v>55013</v>
      </c>
      <c r="H2640" t="s">
        <v>55014</v>
      </c>
      <c r="I2640" t="s">
        <v>55015</v>
      </c>
      <c r="J2640" t="s">
        <v>55016</v>
      </c>
      <c r="K2640" t="s">
        <v>55017</v>
      </c>
      <c r="L2640" t="s">
        <v>55018</v>
      </c>
      <c r="M2640" t="s">
        <v>55019</v>
      </c>
      <c r="N2640" t="s">
        <v>55020</v>
      </c>
      <c r="O2640">
        <f>-943.743355217472 -81.7264806690009 -492.263304155362</f>
        <v>-1517.7331400418348</v>
      </c>
      <c r="P2640">
        <f>-953.431027794229 -112.699574750318 -199.794342464672</f>
        <v>-1265.9249450092188</v>
      </c>
      <c r="Q2640">
        <f>-778.972324312125 -3.85551161459853 -325.364891239274</f>
        <v>-1108.1927271659974</v>
      </c>
      <c r="R2640" t="s">
        <v>55021</v>
      </c>
      <c r="S2640" t="s">
        <v>55022</v>
      </c>
      <c r="T2640" t="s">
        <v>55023</v>
      </c>
      <c r="U2640" t="s">
        <v>55024</v>
      </c>
      <c r="V2640" t="s">
        <v>55025</v>
      </c>
      <c r="W2640" t="s">
        <v>55026</v>
      </c>
      <c r="X2640" t="s">
        <v>55027</v>
      </c>
      <c r="Y2640" t="s">
        <v>55028</v>
      </c>
    </row>
    <row r="2641" spans="1:25" x14ac:dyDescent="0.3">
      <c r="A2641">
        <v>132000</v>
      </c>
      <c r="B2641" t="s">
        <v>55029</v>
      </c>
      <c r="C2641" t="s">
        <v>55030</v>
      </c>
      <c r="D2641" t="s">
        <v>55031</v>
      </c>
      <c r="E2641" t="s">
        <v>55032</v>
      </c>
      <c r="F2641" t="s">
        <v>55033</v>
      </c>
      <c r="G2641" t="s">
        <v>55034</v>
      </c>
      <c r="H2641" t="s">
        <v>55035</v>
      </c>
      <c r="I2641" t="s">
        <v>55036</v>
      </c>
      <c r="J2641" t="s">
        <v>55037</v>
      </c>
      <c r="K2641" t="s">
        <v>55038</v>
      </c>
      <c r="L2641" t="s">
        <v>55039</v>
      </c>
      <c r="M2641" t="s">
        <v>55040</v>
      </c>
      <c r="N2641" t="s">
        <v>55041</v>
      </c>
      <c r="O2641">
        <f>-940.209945440294 -82.8281034762099 -492.472039507992</f>
        <v>-1515.5100884244957</v>
      </c>
      <c r="P2641">
        <f>-950.070841461101 -113.903211891371 -200.019826066246</f>
        <v>-1263.9938794187181</v>
      </c>
      <c r="Q2641">
        <f>-776.175382382175 -4.188487322524 -325.613818878448</f>
        <v>-1105.977688583147</v>
      </c>
      <c r="R2641" t="s">
        <v>55042</v>
      </c>
      <c r="S2641" t="s">
        <v>55043</v>
      </c>
      <c r="T2641" t="s">
        <v>55044</v>
      </c>
      <c r="U2641" t="s">
        <v>55045</v>
      </c>
      <c r="V2641" t="s">
        <v>55046</v>
      </c>
      <c r="W2641" t="s">
        <v>55047</v>
      </c>
      <c r="X2641" t="s">
        <v>55048</v>
      </c>
      <c r="Y2641" t="s">
        <v>55049</v>
      </c>
    </row>
    <row r="2642" spans="1:25" x14ac:dyDescent="0.3">
      <c r="A2642">
        <v>132050</v>
      </c>
      <c r="B2642" t="s">
        <v>55050</v>
      </c>
      <c r="C2642" t="s">
        <v>55051</v>
      </c>
      <c r="D2642" t="s">
        <v>55052</v>
      </c>
      <c r="E2642" t="s">
        <v>55053</v>
      </c>
      <c r="F2642" t="s">
        <v>55054</v>
      </c>
      <c r="G2642" t="s">
        <v>55055</v>
      </c>
      <c r="H2642" t="s">
        <v>55056</v>
      </c>
      <c r="I2642" t="s">
        <v>55057</v>
      </c>
      <c r="J2642" t="s">
        <v>55058</v>
      </c>
      <c r="K2642" t="s">
        <v>55059</v>
      </c>
      <c r="L2642" t="s">
        <v>55060</v>
      </c>
      <c r="M2642" t="s">
        <v>55061</v>
      </c>
      <c r="N2642" t="s">
        <v>55062</v>
      </c>
      <c r="O2642">
        <f>-938.455841494694 -83.2793555434425 -492.555793824599</f>
        <v>-1514.2909908627355</v>
      </c>
      <c r="P2642">
        <f>-948.43716408735 -114.549659975565 -200.128451396131</f>
        <v>-1263.115275459046</v>
      </c>
      <c r="Q2642">
        <f>-775.056856858547 -3.84172586469413 -325.563623215168</f>
        <v>-1104.4622059384092</v>
      </c>
      <c r="R2642" t="s">
        <v>55063</v>
      </c>
      <c r="S2642" t="s">
        <v>55064</v>
      </c>
      <c r="T2642" t="s">
        <v>55065</v>
      </c>
      <c r="U2642" t="s">
        <v>55066</v>
      </c>
      <c r="V2642" t="s">
        <v>55067</v>
      </c>
      <c r="W2642" t="s">
        <v>55068</v>
      </c>
      <c r="X2642" t="s">
        <v>55069</v>
      </c>
      <c r="Y2642" t="s">
        <v>55070</v>
      </c>
    </row>
    <row r="2643" spans="1:25" x14ac:dyDescent="0.3">
      <c r="A2643">
        <v>132100</v>
      </c>
      <c r="B2643" t="s">
        <v>55071</v>
      </c>
      <c r="C2643" t="s">
        <v>55072</v>
      </c>
      <c r="D2643" t="s">
        <v>55073</v>
      </c>
      <c r="E2643" t="s">
        <v>55074</v>
      </c>
      <c r="F2643" t="s">
        <v>55075</v>
      </c>
      <c r="G2643" t="s">
        <v>55076</v>
      </c>
      <c r="H2643" t="s">
        <v>55077</v>
      </c>
      <c r="I2643" t="s">
        <v>55078</v>
      </c>
      <c r="J2643" t="s">
        <v>55079</v>
      </c>
      <c r="K2643" t="s">
        <v>55080</v>
      </c>
      <c r="L2643" t="s">
        <v>55081</v>
      </c>
      <c r="M2643" t="s">
        <v>55082</v>
      </c>
      <c r="N2643" t="s">
        <v>55083</v>
      </c>
      <c r="O2643">
        <f>-934.798962230424 -83.9262374605273 -492.807802038658</f>
        <v>-1511.5330017296092</v>
      </c>
      <c r="P2643">
        <f>-945.110667142329 -115.247323998213 -200.397365552101</f>
        <v>-1260.7553566926431</v>
      </c>
      <c r="Q2643">
        <f>-772.15557138343 -3.55093209806864 -325.542954747851</f>
        <v>-1101.2494582293498</v>
      </c>
      <c r="R2643" t="s">
        <v>55084</v>
      </c>
      <c r="S2643" t="s">
        <v>55085</v>
      </c>
      <c r="T2643" t="s">
        <v>55086</v>
      </c>
      <c r="U2643" t="s">
        <v>55087</v>
      </c>
      <c r="V2643" t="s">
        <v>55088</v>
      </c>
      <c r="W2643" t="s">
        <v>55089</v>
      </c>
      <c r="X2643" t="s">
        <v>55090</v>
      </c>
      <c r="Y2643" t="s">
        <v>55091</v>
      </c>
    </row>
    <row r="2644" spans="1:25" x14ac:dyDescent="0.3">
      <c r="A2644">
        <v>132150</v>
      </c>
      <c r="B2644" t="s">
        <v>55092</v>
      </c>
      <c r="C2644" t="s">
        <v>55093</v>
      </c>
      <c r="D2644" t="s">
        <v>55094</v>
      </c>
      <c r="E2644" t="s">
        <v>55095</v>
      </c>
      <c r="F2644" t="s">
        <v>55096</v>
      </c>
      <c r="G2644" t="s">
        <v>55097</v>
      </c>
      <c r="H2644" t="s">
        <v>55098</v>
      </c>
      <c r="I2644" t="s">
        <v>55099</v>
      </c>
      <c r="J2644" t="s">
        <v>55100</v>
      </c>
      <c r="K2644" t="s">
        <v>55101</v>
      </c>
      <c r="L2644" t="s">
        <v>55102</v>
      </c>
      <c r="M2644" t="s">
        <v>55103</v>
      </c>
      <c r="N2644" t="s">
        <v>55104</v>
      </c>
      <c r="O2644">
        <f>-932.999018737376 -84.3587964420594 -492.943342173704</f>
        <v>-1510.3011573531394</v>
      </c>
      <c r="P2644">
        <f>-943.31528095389 -115.840547956539 -200.550328141379</f>
        <v>-1259.7061570518078</v>
      </c>
      <c r="Q2644">
        <f>-770.585478265198 -3.69930226548377 -325.608735205529</f>
        <v>-1099.8935157362107</v>
      </c>
      <c r="R2644" t="s">
        <v>55105</v>
      </c>
      <c r="S2644" t="s">
        <v>55106</v>
      </c>
      <c r="T2644" t="s">
        <v>55107</v>
      </c>
      <c r="U2644" t="s">
        <v>55108</v>
      </c>
      <c r="V2644" t="s">
        <v>55109</v>
      </c>
      <c r="W2644" t="s">
        <v>55110</v>
      </c>
      <c r="X2644" t="s">
        <v>55111</v>
      </c>
      <c r="Y2644" t="s">
        <v>55112</v>
      </c>
    </row>
    <row r="2645" spans="1:25" x14ac:dyDescent="0.3">
      <c r="A2645">
        <v>132200</v>
      </c>
      <c r="B2645" t="s">
        <v>55113</v>
      </c>
      <c r="C2645" t="s">
        <v>55114</v>
      </c>
      <c r="D2645" t="s">
        <v>55115</v>
      </c>
      <c r="E2645" t="s">
        <v>55116</v>
      </c>
      <c r="F2645" t="s">
        <v>55117</v>
      </c>
      <c r="G2645" t="s">
        <v>55118</v>
      </c>
      <c r="H2645" t="s">
        <v>55119</v>
      </c>
      <c r="I2645" t="s">
        <v>55120</v>
      </c>
      <c r="J2645" t="s">
        <v>55121</v>
      </c>
      <c r="K2645" t="s">
        <v>55122</v>
      </c>
      <c r="L2645" t="s">
        <v>55123</v>
      </c>
      <c r="M2645" t="s">
        <v>55124</v>
      </c>
      <c r="N2645" t="s">
        <v>55125</v>
      </c>
      <c r="O2645">
        <f>-929.429683527836 -85.1519540982504 -493.325319004109</f>
        <v>-1507.9069566301955</v>
      </c>
      <c r="P2645">
        <f>-939.821115676947 -117.206427593512 -200.997191775183</f>
        <v>-1258.024735045642</v>
      </c>
      <c r="Q2645">
        <f>-767.909371806687 -3.81542689002254 -326.056423482108</f>
        <v>-1097.7812221788176</v>
      </c>
      <c r="R2645" t="s">
        <v>55126</v>
      </c>
      <c r="S2645" t="s">
        <v>55127</v>
      </c>
      <c r="T2645" t="s">
        <v>55128</v>
      </c>
      <c r="U2645" t="s">
        <v>55129</v>
      </c>
      <c r="V2645" t="s">
        <v>55130</v>
      </c>
      <c r="W2645" t="s">
        <v>55131</v>
      </c>
      <c r="X2645" t="s">
        <v>55132</v>
      </c>
      <c r="Y2645" t="s">
        <v>55133</v>
      </c>
    </row>
    <row r="2646" spans="1:25" x14ac:dyDescent="0.3">
      <c r="A2646">
        <v>132250</v>
      </c>
      <c r="B2646" t="s">
        <v>55134</v>
      </c>
      <c r="C2646" t="s">
        <v>55135</v>
      </c>
      <c r="D2646" t="s">
        <v>55136</v>
      </c>
      <c r="E2646" t="s">
        <v>55137</v>
      </c>
      <c r="F2646" t="s">
        <v>55138</v>
      </c>
      <c r="G2646" t="s">
        <v>55139</v>
      </c>
      <c r="H2646" t="s">
        <v>55140</v>
      </c>
      <c r="I2646" t="s">
        <v>55141</v>
      </c>
      <c r="J2646" t="s">
        <v>55142</v>
      </c>
      <c r="K2646" t="s">
        <v>55143</v>
      </c>
      <c r="L2646" t="s">
        <v>55144</v>
      </c>
      <c r="M2646" t="s">
        <v>55145</v>
      </c>
      <c r="N2646" t="s">
        <v>55146</v>
      </c>
      <c r="O2646">
        <f>-927.87006291588 -85.4785422292714 -493.491336448669</f>
        <v>-1506.8399415938204</v>
      </c>
      <c r="P2646">
        <f>-938.061238012021 -117.732994005431 -201.17827598941</f>
        <v>-1256.972508006862</v>
      </c>
      <c r="Q2646">
        <f>-766.51504167297 -3.73937874265994 -326.191306333234</f>
        <v>-1096.445726748864</v>
      </c>
      <c r="R2646" t="s">
        <v>55147</v>
      </c>
      <c r="S2646" t="s">
        <v>55148</v>
      </c>
      <c r="T2646" t="s">
        <v>55149</v>
      </c>
      <c r="U2646" t="s">
        <v>55150</v>
      </c>
      <c r="V2646" t="s">
        <v>55151</v>
      </c>
      <c r="W2646" t="s">
        <v>55152</v>
      </c>
      <c r="X2646" t="s">
        <v>55153</v>
      </c>
      <c r="Y2646" t="s">
        <v>55154</v>
      </c>
    </row>
    <row r="2647" spans="1:25" x14ac:dyDescent="0.3">
      <c r="A2647">
        <v>132300</v>
      </c>
      <c r="B2647" t="s">
        <v>55155</v>
      </c>
      <c r="C2647" t="s">
        <v>55156</v>
      </c>
      <c r="D2647" t="s">
        <v>55157</v>
      </c>
      <c r="E2647" t="s">
        <v>55158</v>
      </c>
      <c r="F2647" t="s">
        <v>55159</v>
      </c>
      <c r="G2647" t="s">
        <v>55160</v>
      </c>
      <c r="H2647" t="s">
        <v>55161</v>
      </c>
      <c r="I2647" t="s">
        <v>55162</v>
      </c>
      <c r="J2647" t="s">
        <v>55163</v>
      </c>
      <c r="K2647" t="s">
        <v>55164</v>
      </c>
      <c r="L2647" t="s">
        <v>55165</v>
      </c>
      <c r="M2647" t="s">
        <v>55166</v>
      </c>
      <c r="N2647" t="s">
        <v>55167</v>
      </c>
      <c r="O2647">
        <f>-924.907700458246 -86.0987343446329 -493.834456190342</f>
        <v>-1504.8408909932209</v>
      </c>
      <c r="P2647">
        <f>-934.741382047546 -118.905142311627 -201.570507247603</f>
        <v>-1255.2170316067761</v>
      </c>
      <c r="Q2647">
        <f>-763.976594108961 -3.61617811720862 -326.465185685523</f>
        <v>-1094.0579579116925</v>
      </c>
      <c r="R2647" t="s">
        <v>55168</v>
      </c>
      <c r="S2647" t="s">
        <v>55169</v>
      </c>
      <c r="T2647" t="s">
        <v>55170</v>
      </c>
      <c r="U2647" t="s">
        <v>55171</v>
      </c>
      <c r="V2647" t="s">
        <v>55172</v>
      </c>
      <c r="W2647" t="s">
        <v>55173</v>
      </c>
      <c r="X2647" t="s">
        <v>55174</v>
      </c>
      <c r="Y2647" t="s">
        <v>55175</v>
      </c>
    </row>
    <row r="2648" spans="1:25" x14ac:dyDescent="0.3">
      <c r="A2648">
        <v>132350</v>
      </c>
      <c r="B2648" t="s">
        <v>55176</v>
      </c>
      <c r="C2648" t="s">
        <v>55177</v>
      </c>
      <c r="D2648" t="s">
        <v>55178</v>
      </c>
      <c r="E2648" t="s">
        <v>55179</v>
      </c>
      <c r="F2648" t="s">
        <v>55180</v>
      </c>
      <c r="G2648" t="s">
        <v>55181</v>
      </c>
      <c r="H2648" t="s">
        <v>55182</v>
      </c>
      <c r="I2648" t="s">
        <v>55183</v>
      </c>
      <c r="J2648" t="s">
        <v>55184</v>
      </c>
      <c r="K2648" t="s">
        <v>55185</v>
      </c>
      <c r="L2648" t="s">
        <v>55186</v>
      </c>
      <c r="M2648" t="s">
        <v>55187</v>
      </c>
      <c r="N2648" t="s">
        <v>55188</v>
      </c>
      <c r="O2648">
        <f>-923.588650024008 -86.3523900483947 -493.997635574248</f>
        <v>-1503.9386756466506</v>
      </c>
      <c r="P2648">
        <f>-933.196121678995 -119.466347058107 -201.760718509527</f>
        <v>-1254.4231872466289</v>
      </c>
      <c r="Q2648">
        <f>-762.94398841308 -3.29754885140028 -326.540202124492</f>
        <v>-1092.7817393889723</v>
      </c>
      <c r="R2648" t="s">
        <v>55189</v>
      </c>
      <c r="S2648" t="s">
        <v>55190</v>
      </c>
      <c r="T2648" t="s">
        <v>55191</v>
      </c>
      <c r="U2648" t="s">
        <v>55192</v>
      </c>
      <c r="V2648" t="s">
        <v>55193</v>
      </c>
      <c r="W2648" t="s">
        <v>55194</v>
      </c>
      <c r="X2648" t="s">
        <v>55195</v>
      </c>
      <c r="Y2648" t="s">
        <v>55196</v>
      </c>
    </row>
    <row r="2649" spans="1:25" x14ac:dyDescent="0.3">
      <c r="A2649">
        <v>132400</v>
      </c>
      <c r="B2649" t="s">
        <v>55197</v>
      </c>
      <c r="C2649" t="s">
        <v>55198</v>
      </c>
      <c r="D2649" t="s">
        <v>55199</v>
      </c>
      <c r="E2649" t="s">
        <v>55200</v>
      </c>
      <c r="F2649" t="s">
        <v>55201</v>
      </c>
      <c r="G2649" t="s">
        <v>55202</v>
      </c>
      <c r="H2649" t="s">
        <v>55203</v>
      </c>
      <c r="I2649" t="s">
        <v>55204</v>
      </c>
      <c r="J2649" t="s">
        <v>55205</v>
      </c>
      <c r="K2649" t="s">
        <v>55206</v>
      </c>
      <c r="L2649" t="s">
        <v>55207</v>
      </c>
      <c r="M2649" t="s">
        <v>55208</v>
      </c>
      <c r="N2649" t="s">
        <v>55209</v>
      </c>
      <c r="O2649">
        <f>-920.929676936655 -86.8824944937535 -494.284091820666</f>
        <v>-1502.0962632510746</v>
      </c>
      <c r="P2649">
        <f>-930.251127033894 -120.459468028836 -202.090828470135</f>
        <v>-1252.8014235328651</v>
      </c>
      <c r="Q2649">
        <f>-761.071003208945 -2.72911393195272 -326.864743202135</f>
        <v>-1090.6648603430326</v>
      </c>
      <c r="R2649" t="s">
        <v>55210</v>
      </c>
      <c r="S2649" t="s">
        <v>55211</v>
      </c>
      <c r="T2649" t="s">
        <v>55212</v>
      </c>
      <c r="U2649" t="s">
        <v>55213</v>
      </c>
      <c r="V2649" t="s">
        <v>55214</v>
      </c>
      <c r="W2649" t="s">
        <v>55215</v>
      </c>
      <c r="X2649" t="s">
        <v>55216</v>
      </c>
      <c r="Y2649" t="s">
        <v>55217</v>
      </c>
    </row>
    <row r="2650" spans="1:25" x14ac:dyDescent="0.3">
      <c r="A2650">
        <v>132450</v>
      </c>
      <c r="B2650" t="s">
        <v>55218</v>
      </c>
      <c r="C2650" t="s">
        <v>55219</v>
      </c>
      <c r="D2650" t="s">
        <v>55220</v>
      </c>
      <c r="E2650" t="s">
        <v>55221</v>
      </c>
      <c r="F2650" t="s">
        <v>55222</v>
      </c>
      <c r="G2650" t="s">
        <v>55223</v>
      </c>
      <c r="H2650" t="s">
        <v>55224</v>
      </c>
      <c r="I2650" t="s">
        <v>55225</v>
      </c>
      <c r="J2650" t="s">
        <v>55226</v>
      </c>
      <c r="K2650" t="s">
        <v>55227</v>
      </c>
      <c r="L2650" t="s">
        <v>55228</v>
      </c>
      <c r="M2650" t="s">
        <v>55229</v>
      </c>
      <c r="N2650" t="s">
        <v>55230</v>
      </c>
      <c r="O2650">
        <f>-919.730510041566 -87.1727902226842 -494.390505082765</f>
        <v>-1501.2938053470152</v>
      </c>
      <c r="P2650">
        <f>-928.864538438722 -121.020918194169 -202.222707095404</f>
        <v>-1252.108163728295</v>
      </c>
      <c r="Q2650">
        <f>-760.311575859054 -2.47494759212759 -327.073058560781</f>
        <v>-1089.8595820119626</v>
      </c>
      <c r="R2650" t="s">
        <v>55231</v>
      </c>
      <c r="S2650" t="s">
        <v>55232</v>
      </c>
      <c r="T2650" t="s">
        <v>55233</v>
      </c>
      <c r="U2650" t="s">
        <v>55234</v>
      </c>
      <c r="V2650" t="s">
        <v>55235</v>
      </c>
      <c r="W2650" t="s">
        <v>55236</v>
      </c>
      <c r="X2650" t="s">
        <v>55237</v>
      </c>
      <c r="Y2650" t="s">
        <v>55238</v>
      </c>
    </row>
    <row r="2651" spans="1:25" x14ac:dyDescent="0.3">
      <c r="A2651">
        <v>132500</v>
      </c>
      <c r="B2651" t="s">
        <v>55239</v>
      </c>
      <c r="C2651" t="s">
        <v>55240</v>
      </c>
      <c r="D2651" t="s">
        <v>55241</v>
      </c>
      <c r="E2651" t="s">
        <v>55242</v>
      </c>
      <c r="F2651" t="s">
        <v>55243</v>
      </c>
      <c r="G2651" t="s">
        <v>55244</v>
      </c>
      <c r="H2651" t="s">
        <v>55245</v>
      </c>
      <c r="I2651" t="s">
        <v>55246</v>
      </c>
      <c r="J2651" t="s">
        <v>55247</v>
      </c>
      <c r="K2651" t="s">
        <v>55248</v>
      </c>
      <c r="L2651" t="s">
        <v>55249</v>
      </c>
      <c r="M2651" t="s">
        <v>55250</v>
      </c>
      <c r="N2651" t="s">
        <v>55251</v>
      </c>
      <c r="O2651">
        <f>-917.655455630007 -87.7376376106836 -494.620887982206</f>
        <v>-1500.0139812228967</v>
      </c>
      <c r="P2651">
        <f>-926.354753840921 -121.971965750286 -202.484754952668</f>
        <v>-1250.811474543875</v>
      </c>
      <c r="Q2651">
        <f>-758.838297883996 -1.90676212012477 -327.278062266911</f>
        <v>-1088.0231222710318</v>
      </c>
      <c r="R2651" t="s">
        <v>55252</v>
      </c>
      <c r="S2651" t="s">
        <v>55253</v>
      </c>
      <c r="T2651" t="s">
        <v>55254</v>
      </c>
      <c r="U2651" t="s">
        <v>55255</v>
      </c>
      <c r="V2651">
        <f>-866.753285066022 -0.514780421111482 -63.8697317710282</f>
        <v>-931.13779725816175</v>
      </c>
      <c r="W2651" t="s">
        <v>55256</v>
      </c>
      <c r="X2651" t="s">
        <v>55257</v>
      </c>
      <c r="Y2651" t="s">
        <v>55258</v>
      </c>
    </row>
    <row r="2652" spans="1:25" x14ac:dyDescent="0.3">
      <c r="A2652">
        <v>132550</v>
      </c>
      <c r="B2652" t="s">
        <v>55259</v>
      </c>
      <c r="C2652" t="s">
        <v>55260</v>
      </c>
      <c r="D2652" t="s">
        <v>55261</v>
      </c>
      <c r="E2652" t="s">
        <v>55262</v>
      </c>
      <c r="F2652" t="s">
        <v>55263</v>
      </c>
      <c r="G2652" t="s">
        <v>55264</v>
      </c>
      <c r="H2652" t="s">
        <v>55265</v>
      </c>
      <c r="I2652" t="s">
        <v>55266</v>
      </c>
      <c r="J2652" t="s">
        <v>55267</v>
      </c>
      <c r="K2652" t="s">
        <v>55268</v>
      </c>
      <c r="L2652" t="s">
        <v>55269</v>
      </c>
      <c r="M2652" t="s">
        <v>55270</v>
      </c>
      <c r="N2652" t="s">
        <v>55271</v>
      </c>
      <c r="O2652">
        <f>-916.937196276136 -87.9025298155298 -494.71966757802</f>
        <v>-1499.5593936696857</v>
      </c>
      <c r="P2652">
        <f>-925.366934315468 -122.423624668241 -202.609411823508</f>
        <v>-1250.399970807217</v>
      </c>
      <c r="Q2652">
        <f>-758.607420012902 -0.876919543356053 -326.981870034454</f>
        <v>-1086.466209590712</v>
      </c>
      <c r="R2652" t="s">
        <v>55272</v>
      </c>
      <c r="S2652" t="s">
        <v>55273</v>
      </c>
      <c r="T2652" t="s">
        <v>55274</v>
      </c>
      <c r="U2652" t="s">
        <v>55275</v>
      </c>
      <c r="V2652">
        <f>-866.182227049815 -0.765739459189717 -63.8755566233947</f>
        <v>-930.82352313239937</v>
      </c>
      <c r="W2652" t="s">
        <v>55276</v>
      </c>
      <c r="X2652" t="s">
        <v>55277</v>
      </c>
      <c r="Y2652" t="s">
        <v>55278</v>
      </c>
    </row>
    <row r="2653" spans="1:25" x14ac:dyDescent="0.3">
      <c r="A2653">
        <v>132600</v>
      </c>
      <c r="B2653" t="s">
        <v>55279</v>
      </c>
      <c r="C2653" t="s">
        <v>55280</v>
      </c>
      <c r="D2653" t="s">
        <v>55281</v>
      </c>
      <c r="E2653" t="s">
        <v>55282</v>
      </c>
      <c r="F2653" t="s">
        <v>55283</v>
      </c>
      <c r="G2653" t="s">
        <v>55284</v>
      </c>
      <c r="H2653" t="s">
        <v>55285</v>
      </c>
      <c r="I2653" t="s">
        <v>55286</v>
      </c>
      <c r="J2653" t="s">
        <v>55287</v>
      </c>
      <c r="K2653" t="s">
        <v>55288</v>
      </c>
      <c r="L2653" t="s">
        <v>55289</v>
      </c>
      <c r="M2653" t="s">
        <v>55290</v>
      </c>
      <c r="N2653" t="s">
        <v>55291</v>
      </c>
      <c r="O2653">
        <f>-915.795280594477 -88.3261789787177 -494.886924896619</f>
        <v>-1499.0083844698138</v>
      </c>
      <c r="P2653">
        <f>-923.896473962514 -123.35174770724 -202.827394436489</f>
        <v>-1250.0756161062429</v>
      </c>
      <c r="Q2653" t="s">
        <v>55292</v>
      </c>
      <c r="R2653" t="s">
        <v>55293</v>
      </c>
      <c r="S2653" t="s">
        <v>55294</v>
      </c>
      <c r="T2653" t="s">
        <v>55295</v>
      </c>
      <c r="U2653" t="s">
        <v>55296</v>
      </c>
      <c r="V2653">
        <f>-865.265251609419 -1.49157936914798 -63.8962320847228</f>
        <v>-930.65306306328978</v>
      </c>
      <c r="W2653" t="s">
        <v>55297</v>
      </c>
      <c r="X2653" t="s">
        <v>55298</v>
      </c>
      <c r="Y2653" t="s">
        <v>55299</v>
      </c>
    </row>
    <row r="2654" spans="1:25" x14ac:dyDescent="0.3">
      <c r="A2654">
        <v>132650</v>
      </c>
      <c r="B2654" t="s">
        <v>55300</v>
      </c>
      <c r="C2654" t="s">
        <v>55301</v>
      </c>
      <c r="D2654" t="s">
        <v>55302</v>
      </c>
      <c r="E2654" t="s">
        <v>55303</v>
      </c>
      <c r="F2654" t="s">
        <v>55304</v>
      </c>
      <c r="G2654" t="s">
        <v>55305</v>
      </c>
      <c r="H2654" t="s">
        <v>55306</v>
      </c>
      <c r="I2654" t="s">
        <v>55307</v>
      </c>
      <c r="J2654" t="s">
        <v>55308</v>
      </c>
      <c r="K2654" t="s">
        <v>55309</v>
      </c>
      <c r="L2654" t="s">
        <v>55310</v>
      </c>
      <c r="M2654" t="s">
        <v>55311</v>
      </c>
      <c r="N2654" t="s">
        <v>55312</v>
      </c>
      <c r="O2654">
        <f>-915.286832943392 -88.5743245395499 -494.969742971331</f>
        <v>-1498.830900454273</v>
      </c>
      <c r="P2654">
        <f>-923.189138746573 -123.648514359303 -202.91059921635</f>
        <v>-1249.7482523222259</v>
      </c>
      <c r="Q2654" t="s">
        <v>55313</v>
      </c>
      <c r="R2654" t="s">
        <v>55314</v>
      </c>
      <c r="S2654" t="s">
        <v>55315</v>
      </c>
      <c r="T2654" t="s">
        <v>55316</v>
      </c>
      <c r="U2654" t="s">
        <v>55317</v>
      </c>
      <c r="V2654">
        <f>-864.977708062823 -1.76499402180161 -63.9384585226682</f>
        <v>-930.68116060729278</v>
      </c>
      <c r="W2654" t="s">
        <v>55318</v>
      </c>
      <c r="X2654" t="s">
        <v>55319</v>
      </c>
      <c r="Y2654" t="s">
        <v>55320</v>
      </c>
    </row>
    <row r="2655" spans="1:25" x14ac:dyDescent="0.3">
      <c r="A2655">
        <v>132700</v>
      </c>
      <c r="B2655" t="s">
        <v>55321</v>
      </c>
      <c r="C2655" t="s">
        <v>55322</v>
      </c>
      <c r="D2655" t="s">
        <v>55323</v>
      </c>
      <c r="E2655" t="s">
        <v>55324</v>
      </c>
      <c r="F2655" t="s">
        <v>55325</v>
      </c>
      <c r="G2655" t="s">
        <v>55326</v>
      </c>
      <c r="H2655" t="s">
        <v>55327</v>
      </c>
      <c r="I2655" t="s">
        <v>55328</v>
      </c>
      <c r="J2655" t="s">
        <v>55329</v>
      </c>
      <c r="K2655" t="s">
        <v>55330</v>
      </c>
      <c r="L2655" t="s">
        <v>55331</v>
      </c>
      <c r="M2655" t="s">
        <v>55332</v>
      </c>
      <c r="N2655" t="s">
        <v>55333</v>
      </c>
      <c r="O2655">
        <f>-914.949048308974 -88.4286582600041 -495.136973218647</f>
        <v>-1498.514679787625</v>
      </c>
      <c r="P2655">
        <f>-922.555215295721 -123.108693182626 -203.022902426863</f>
        <v>-1248.6868109052102</v>
      </c>
      <c r="Q2655" t="s">
        <v>55334</v>
      </c>
      <c r="R2655" t="s">
        <v>55335</v>
      </c>
      <c r="S2655" t="s">
        <v>55336</v>
      </c>
      <c r="T2655" t="s">
        <v>55337</v>
      </c>
      <c r="U2655" t="s">
        <v>55338</v>
      </c>
      <c r="V2655">
        <f>-865.010061035684 -1.62455454514884 -64.0202964013081</f>
        <v>-930.6549119821409</v>
      </c>
      <c r="W2655" t="s">
        <v>55339</v>
      </c>
      <c r="X2655" t="s">
        <v>55340</v>
      </c>
      <c r="Y2655" t="s">
        <v>55341</v>
      </c>
    </row>
    <row r="2656" spans="1:25" x14ac:dyDescent="0.3">
      <c r="A2656">
        <v>132750</v>
      </c>
      <c r="B2656" t="s">
        <v>55342</v>
      </c>
      <c r="C2656" t="s">
        <v>55343</v>
      </c>
      <c r="D2656" t="s">
        <v>55344</v>
      </c>
      <c r="E2656" t="s">
        <v>55345</v>
      </c>
      <c r="F2656" t="s">
        <v>55346</v>
      </c>
      <c r="G2656" t="s">
        <v>55347</v>
      </c>
      <c r="H2656" t="s">
        <v>55348</v>
      </c>
      <c r="I2656" t="s">
        <v>55349</v>
      </c>
      <c r="J2656" t="s">
        <v>55350</v>
      </c>
      <c r="K2656" t="s">
        <v>55351</v>
      </c>
      <c r="L2656" t="s">
        <v>55352</v>
      </c>
      <c r="M2656" t="s">
        <v>55353</v>
      </c>
      <c r="N2656" t="s">
        <v>55354</v>
      </c>
      <c r="O2656">
        <f>-915.045494940016 -88.128038566678 -495.219993133642</f>
        <v>-1498.3935266403359</v>
      </c>
      <c r="P2656">
        <f>-922.678848491021 -122.892568159189 -203.116716145783</f>
        <v>-1248.6881327959929</v>
      </c>
      <c r="Q2656" t="s">
        <v>55355</v>
      </c>
      <c r="R2656" t="s">
        <v>55356</v>
      </c>
      <c r="S2656" t="s">
        <v>55357</v>
      </c>
      <c r="T2656" t="s">
        <v>55358</v>
      </c>
      <c r="U2656" t="s">
        <v>55359</v>
      </c>
      <c r="V2656">
        <f>-865.21124418679 -1.48788657527302 -64.0434216944655</f>
        <v>-930.74255245652853</v>
      </c>
      <c r="W2656" t="s">
        <v>55360</v>
      </c>
      <c r="X2656" t="s">
        <v>55361</v>
      </c>
      <c r="Y2656" t="s">
        <v>55362</v>
      </c>
    </row>
    <row r="2657" spans="1:25" x14ac:dyDescent="0.3">
      <c r="A2657">
        <v>132800</v>
      </c>
      <c r="B2657" t="s">
        <v>55363</v>
      </c>
      <c r="C2657" t="s">
        <v>55364</v>
      </c>
      <c r="D2657" t="s">
        <v>55365</v>
      </c>
      <c r="E2657" t="s">
        <v>55366</v>
      </c>
      <c r="F2657" t="s">
        <v>55367</v>
      </c>
      <c r="G2657" t="s">
        <v>55368</v>
      </c>
      <c r="H2657" t="s">
        <v>55369</v>
      </c>
      <c r="I2657" t="s">
        <v>55370</v>
      </c>
      <c r="J2657" t="s">
        <v>55371</v>
      </c>
      <c r="K2657" t="s">
        <v>55372</v>
      </c>
      <c r="L2657" t="s">
        <v>55373</v>
      </c>
      <c r="M2657" t="s">
        <v>55374</v>
      </c>
      <c r="N2657" t="s">
        <v>55375</v>
      </c>
      <c r="O2657">
        <f>-915.636878629037 -88.3009616977013 -495.256686592025</f>
        <v>-1499.1945269187634</v>
      </c>
      <c r="P2657">
        <f>-923.708466132418 -123.026806301814 -203.160422713035</f>
        <v>-1249.8956951472669</v>
      </c>
      <c r="Q2657">
        <f>-756.975698824709 -0.329057397598262 -326.434024272895</f>
        <v>-1083.7387804952023</v>
      </c>
      <c r="R2657" t="s">
        <v>55376</v>
      </c>
      <c r="S2657" t="s">
        <v>55377</v>
      </c>
      <c r="T2657" t="s">
        <v>55378</v>
      </c>
      <c r="U2657" t="s">
        <v>55379</v>
      </c>
      <c r="V2657">
        <f>-865.731879447812 -1.89872415909622 -64.0133672404671</f>
        <v>-931.64397084737539</v>
      </c>
      <c r="W2657" t="s">
        <v>55380</v>
      </c>
      <c r="X2657" t="s">
        <v>55381</v>
      </c>
      <c r="Y2657" t="s">
        <v>55382</v>
      </c>
    </row>
    <row r="2658" spans="1:25" x14ac:dyDescent="0.3">
      <c r="A2658">
        <v>132850</v>
      </c>
      <c r="B2658" t="s">
        <v>55383</v>
      </c>
      <c r="C2658" t="s">
        <v>55384</v>
      </c>
      <c r="D2658" t="s">
        <v>55385</v>
      </c>
      <c r="E2658" t="s">
        <v>55386</v>
      </c>
      <c r="F2658" t="s">
        <v>55387</v>
      </c>
      <c r="G2658" t="s">
        <v>55388</v>
      </c>
      <c r="H2658" t="s">
        <v>55389</v>
      </c>
      <c r="I2658" t="s">
        <v>55390</v>
      </c>
      <c r="J2658" t="s">
        <v>55391</v>
      </c>
      <c r="K2658" t="s">
        <v>55392</v>
      </c>
      <c r="L2658" t="s">
        <v>55393</v>
      </c>
      <c r="M2658" t="s">
        <v>55394</v>
      </c>
      <c r="N2658" t="s">
        <v>55395</v>
      </c>
      <c r="O2658">
        <f>-916.448806942622 -88.9842675259608 -495.120609840803</f>
        <v>-1500.553684309386</v>
      </c>
      <c r="P2658">
        <f>-924.741465656819 -123.868253946239 -203.049537124646</f>
        <v>-1251.6592567277039</v>
      </c>
      <c r="Q2658">
        <f>-757.670320780146 -1.90957571091849 -326.597814575165</f>
        <v>-1086.1777110662294</v>
      </c>
      <c r="R2658" t="s">
        <v>55396</v>
      </c>
      <c r="S2658" t="s">
        <v>55397</v>
      </c>
      <c r="T2658" t="s">
        <v>55398</v>
      </c>
      <c r="U2658" t="s">
        <v>55399</v>
      </c>
      <c r="V2658">
        <f>-866.077090650127 -2.18092881135044 -63.9503080700058</f>
        <v>-932.20832753148329</v>
      </c>
      <c r="W2658" t="s">
        <v>55400</v>
      </c>
      <c r="X2658" t="s">
        <v>55401</v>
      </c>
      <c r="Y2658" t="s">
        <v>55402</v>
      </c>
    </row>
    <row r="2659" spans="1:25" x14ac:dyDescent="0.3">
      <c r="A2659">
        <v>132900</v>
      </c>
      <c r="B2659" t="s">
        <v>55403</v>
      </c>
      <c r="C2659" t="s">
        <v>55404</v>
      </c>
      <c r="D2659" t="s">
        <v>55405</v>
      </c>
      <c r="E2659" t="s">
        <v>55406</v>
      </c>
      <c r="F2659" t="s">
        <v>55407</v>
      </c>
      <c r="G2659" t="s">
        <v>55408</v>
      </c>
      <c r="H2659" t="s">
        <v>55409</v>
      </c>
      <c r="I2659" t="s">
        <v>55410</v>
      </c>
      <c r="J2659" t="s">
        <v>55411</v>
      </c>
      <c r="K2659" t="s">
        <v>55412</v>
      </c>
      <c r="L2659" t="s">
        <v>55413</v>
      </c>
      <c r="M2659" t="s">
        <v>55414</v>
      </c>
      <c r="N2659" t="s">
        <v>55415</v>
      </c>
      <c r="O2659">
        <f>-918.201726081773 -89.9167547629388 -495.060541942453</f>
        <v>-1503.1790227871647</v>
      </c>
      <c r="P2659">
        <f>-926.499541954063 -124.656180172448 -202.972291640639</f>
        <v>-1254.1280137671502</v>
      </c>
      <c r="Q2659">
        <f>-758.218732728319 -4.86792309381553 -327.001387797591</f>
        <v>-1090.0880436197256</v>
      </c>
      <c r="R2659" t="s">
        <v>55416</v>
      </c>
      <c r="S2659" t="s">
        <v>55417</v>
      </c>
      <c r="T2659" t="s">
        <v>55418</v>
      </c>
      <c r="U2659" t="s">
        <v>55419</v>
      </c>
      <c r="V2659">
        <f>-866.500658217783 -2.40650632243114 -63.8811893527718</f>
        <v>-932.78835389298592</v>
      </c>
      <c r="W2659" t="s">
        <v>55420</v>
      </c>
      <c r="X2659" t="s">
        <v>55421</v>
      </c>
      <c r="Y2659" t="s">
        <v>55422</v>
      </c>
    </row>
    <row r="2660" spans="1:25" x14ac:dyDescent="0.3">
      <c r="A2660">
        <v>132950</v>
      </c>
      <c r="B2660" t="s">
        <v>55423</v>
      </c>
      <c r="C2660" t="s">
        <v>55424</v>
      </c>
      <c r="D2660" t="s">
        <v>55425</v>
      </c>
      <c r="E2660" t="s">
        <v>55426</v>
      </c>
      <c r="F2660" t="s">
        <v>55427</v>
      </c>
      <c r="G2660" t="s">
        <v>55428</v>
      </c>
      <c r="H2660" t="s">
        <v>55429</v>
      </c>
      <c r="I2660" t="s">
        <v>55430</v>
      </c>
      <c r="J2660" t="s">
        <v>55431</v>
      </c>
      <c r="K2660" t="s">
        <v>55432</v>
      </c>
      <c r="L2660" t="s">
        <v>55433</v>
      </c>
      <c r="M2660" t="s">
        <v>55434</v>
      </c>
      <c r="N2660" t="s">
        <v>55435</v>
      </c>
      <c r="O2660">
        <f>-919.603342662645 -90.3460291425426 -495.03297573603</f>
        <v>-1504.9823475412177</v>
      </c>
      <c r="P2660">
        <f>-927.821378191554 -125.105120298838 -202.944833811939</f>
        <v>-1255.871332302331</v>
      </c>
      <c r="Q2660">
        <f>-759.118147915941 -6.16241752867472 -327.213754872816</f>
        <v>-1092.4943203174316</v>
      </c>
      <c r="R2660" t="s">
        <v>55436</v>
      </c>
      <c r="S2660" t="s">
        <v>55437</v>
      </c>
      <c r="T2660" t="s">
        <v>55438</v>
      </c>
      <c r="U2660" t="s">
        <v>55439</v>
      </c>
      <c r="V2660">
        <f>-866.803319275929 -2.38823124791179 -63.8537100360073</f>
        <v>-933.04526055984809</v>
      </c>
      <c r="W2660" t="s">
        <v>55440</v>
      </c>
      <c r="X2660" t="s">
        <v>55441</v>
      </c>
      <c r="Y2660" t="s">
        <v>55442</v>
      </c>
    </row>
    <row r="2661" spans="1:25" x14ac:dyDescent="0.3">
      <c r="A2661">
        <v>133000</v>
      </c>
      <c r="B2661" t="s">
        <v>55443</v>
      </c>
      <c r="C2661" t="s">
        <v>55444</v>
      </c>
      <c r="D2661" t="s">
        <v>55445</v>
      </c>
      <c r="E2661" t="s">
        <v>55446</v>
      </c>
      <c r="F2661" t="s">
        <v>55447</v>
      </c>
      <c r="G2661" t="s">
        <v>55448</v>
      </c>
      <c r="H2661" t="s">
        <v>55449</v>
      </c>
      <c r="I2661" t="s">
        <v>55450</v>
      </c>
      <c r="J2661" t="s">
        <v>55451</v>
      </c>
      <c r="K2661" t="s">
        <v>55452</v>
      </c>
      <c r="L2661" t="s">
        <v>55453</v>
      </c>
      <c r="M2661" t="s">
        <v>55454</v>
      </c>
      <c r="N2661" t="s">
        <v>55455</v>
      </c>
      <c r="O2661">
        <f>-923.1140980508 -91.0334780010012 -494.847212445625</f>
        <v>-1508.9947884974263</v>
      </c>
      <c r="P2661">
        <f>-931.22057714234 -125.683496609669 -202.742905585524</f>
        <v>-1259.6469793375331</v>
      </c>
      <c r="Q2661">
        <f>-762.020492430766 -7.36502087838153 -326.932087836632</f>
        <v>-1096.3176011457795</v>
      </c>
      <c r="R2661" t="s">
        <v>55456</v>
      </c>
      <c r="S2661" t="s">
        <v>55457</v>
      </c>
      <c r="T2661" t="s">
        <v>55458</v>
      </c>
      <c r="U2661" t="s">
        <v>55459</v>
      </c>
      <c r="V2661">
        <f>-867.42788645517 -2.0402756506046 -63.7978614315434</f>
        <v>-933.26602353731801</v>
      </c>
      <c r="W2661" t="s">
        <v>55460</v>
      </c>
      <c r="X2661" t="s">
        <v>55461</v>
      </c>
      <c r="Y2661" t="s">
        <v>55462</v>
      </c>
    </row>
    <row r="2662" spans="1:25" x14ac:dyDescent="0.3">
      <c r="A2662">
        <v>133050</v>
      </c>
      <c r="B2662" t="s">
        <v>55463</v>
      </c>
      <c r="C2662" t="s">
        <v>55464</v>
      </c>
      <c r="D2662" t="s">
        <v>55465</v>
      </c>
      <c r="E2662" t="s">
        <v>55466</v>
      </c>
      <c r="F2662" t="s">
        <v>55467</v>
      </c>
      <c r="G2662" t="s">
        <v>55468</v>
      </c>
      <c r="H2662" t="s">
        <v>55469</v>
      </c>
      <c r="I2662" t="s">
        <v>55470</v>
      </c>
      <c r="J2662" t="s">
        <v>55471</v>
      </c>
      <c r="K2662" t="s">
        <v>55472</v>
      </c>
      <c r="L2662" t="s">
        <v>55473</v>
      </c>
      <c r="M2662" t="s">
        <v>55474</v>
      </c>
      <c r="N2662" t="s">
        <v>55475</v>
      </c>
      <c r="O2662">
        <f>-925.070304141051 -91.4027825996059 -494.695556075488</f>
        <v>-1511.1686428161449</v>
      </c>
      <c r="P2662">
        <f>-933.24389107995 -125.768575976353 -202.559677242347</f>
        <v>-1261.5721442986501</v>
      </c>
      <c r="Q2662">
        <f>-763.881108583748 -7.59790205997797 -326.667242295088</f>
        <v>-1098.1462529388139</v>
      </c>
      <c r="R2662" t="s">
        <v>55476</v>
      </c>
      <c r="S2662" t="s">
        <v>55477</v>
      </c>
      <c r="T2662" t="s">
        <v>55478</v>
      </c>
      <c r="U2662" t="s">
        <v>55479</v>
      </c>
      <c r="V2662">
        <f>-867.664553280904 -1.82688696099285 -63.7961449874615</f>
        <v>-933.28758522935834</v>
      </c>
      <c r="W2662" t="s">
        <v>55480</v>
      </c>
      <c r="X2662" t="s">
        <v>55481</v>
      </c>
      <c r="Y2662" t="s">
        <v>55482</v>
      </c>
    </row>
    <row r="2663" spans="1:25" x14ac:dyDescent="0.3">
      <c r="A2663">
        <v>133100</v>
      </c>
      <c r="B2663" t="s">
        <v>55483</v>
      </c>
      <c r="C2663" t="s">
        <v>55484</v>
      </c>
      <c r="D2663" t="s">
        <v>55485</v>
      </c>
      <c r="E2663" t="s">
        <v>55486</v>
      </c>
      <c r="F2663" t="s">
        <v>55487</v>
      </c>
      <c r="G2663" t="s">
        <v>55488</v>
      </c>
      <c r="H2663" t="s">
        <v>55489</v>
      </c>
      <c r="I2663" t="s">
        <v>55490</v>
      </c>
      <c r="J2663" t="s">
        <v>55491</v>
      </c>
      <c r="K2663" t="s">
        <v>55492</v>
      </c>
      <c r="L2663" t="s">
        <v>55493</v>
      </c>
      <c r="M2663" t="s">
        <v>55494</v>
      </c>
      <c r="N2663" t="s">
        <v>55495</v>
      </c>
      <c r="O2663">
        <f>-928.542273082905 -91.9312881916355 -494.340309177807</f>
        <v>-1514.8138704523476</v>
      </c>
      <c r="P2663">
        <f>-937.089780987395 -125.238513004852 -202.092581829814</f>
        <v>-1264.4208758220609</v>
      </c>
      <c r="Q2663">
        <f>-766.710664207285 -8.62013857722332 -326.27791590794</f>
        <v>-1101.6087186924483</v>
      </c>
      <c r="R2663" t="s">
        <v>55496</v>
      </c>
      <c r="S2663" t="s">
        <v>55497</v>
      </c>
      <c r="T2663" t="s">
        <v>55498</v>
      </c>
      <c r="U2663" t="s">
        <v>55499</v>
      </c>
      <c r="V2663">
        <f>-867.89199948886 -1.39516595245641 -63.8179802475482</f>
        <v>-933.1051456888647</v>
      </c>
      <c r="W2663" t="s">
        <v>55500</v>
      </c>
      <c r="X2663" t="s">
        <v>55501</v>
      </c>
      <c r="Y2663" t="s">
        <v>55502</v>
      </c>
    </row>
    <row r="2664" spans="1:25" x14ac:dyDescent="0.3">
      <c r="A2664">
        <v>133150</v>
      </c>
      <c r="B2664" t="s">
        <v>55503</v>
      </c>
      <c r="C2664" t="s">
        <v>55504</v>
      </c>
      <c r="D2664" t="s">
        <v>55505</v>
      </c>
      <c r="E2664" t="s">
        <v>55506</v>
      </c>
      <c r="F2664" t="s">
        <v>55507</v>
      </c>
      <c r="G2664" t="s">
        <v>55508</v>
      </c>
      <c r="H2664" t="s">
        <v>55509</v>
      </c>
      <c r="I2664" t="s">
        <v>55510</v>
      </c>
      <c r="J2664" t="s">
        <v>55511</v>
      </c>
      <c r="K2664" t="s">
        <v>55512</v>
      </c>
      <c r="L2664" t="s">
        <v>55513</v>
      </c>
      <c r="M2664" t="s">
        <v>55514</v>
      </c>
      <c r="N2664" t="s">
        <v>55515</v>
      </c>
      <c r="O2664">
        <f>-929.315807216022 -92.0381812744579 -494.141693940624</f>
        <v>-1515.4956824311039</v>
      </c>
      <c r="P2664">
        <f>-937.94417934823 -124.661766033853 -201.819126635458</f>
        <v>-1264.425072017541</v>
      </c>
      <c r="Q2664">
        <f>-766.804328950597 -9.12378114973581 -325.968257954926</f>
        <v>-1101.8963680552588</v>
      </c>
      <c r="R2664" t="s">
        <v>55516</v>
      </c>
      <c r="S2664" t="s">
        <v>55517</v>
      </c>
      <c r="T2664" t="s">
        <v>55518</v>
      </c>
      <c r="U2664" t="s">
        <v>55519</v>
      </c>
      <c r="V2664">
        <f>-867.822366181606 -1.34119983928758 -63.8274733540283</f>
        <v>-932.9910393749218</v>
      </c>
      <c r="W2664" t="s">
        <v>55520</v>
      </c>
      <c r="X2664" t="s">
        <v>55521</v>
      </c>
      <c r="Y2664" t="s">
        <v>55522</v>
      </c>
    </row>
    <row r="2665" spans="1:25" x14ac:dyDescent="0.3">
      <c r="A2665">
        <v>133200</v>
      </c>
      <c r="B2665" t="s">
        <v>55523</v>
      </c>
      <c r="C2665" t="s">
        <v>55524</v>
      </c>
      <c r="D2665" t="s">
        <v>55525</v>
      </c>
      <c r="E2665" t="s">
        <v>55526</v>
      </c>
      <c r="F2665" t="s">
        <v>55527</v>
      </c>
      <c r="G2665" t="s">
        <v>55528</v>
      </c>
      <c r="H2665" t="s">
        <v>55529</v>
      </c>
      <c r="I2665" t="s">
        <v>55530</v>
      </c>
      <c r="J2665" t="s">
        <v>55531</v>
      </c>
      <c r="K2665" t="s">
        <v>55532</v>
      </c>
      <c r="L2665" t="s">
        <v>55533</v>
      </c>
      <c r="M2665" t="s">
        <v>55534</v>
      </c>
      <c r="N2665" t="s">
        <v>55535</v>
      </c>
      <c r="O2665">
        <f>-929.394176505266 -91.0067932351237 -493.908897538011</f>
        <v>-1514.3098672784008</v>
      </c>
      <c r="P2665">
        <f>-939.348714380701 -122.838396135342 -201.541241928307</f>
        <v>-1263.7283524443501</v>
      </c>
      <c r="Q2665">
        <f>-766.833628266492 -10.1991550836419 -326.448278088008</f>
        <v>-1103.481061438142</v>
      </c>
      <c r="R2665" t="s">
        <v>55536</v>
      </c>
      <c r="S2665" t="s">
        <v>55537</v>
      </c>
      <c r="T2665" t="s">
        <v>55538</v>
      </c>
      <c r="U2665" t="s">
        <v>55539</v>
      </c>
      <c r="V2665">
        <f>-868.030746344199 -0.514772431417441 -63.9070778624441</f>
        <v>-932.45259663806053</v>
      </c>
      <c r="W2665" t="s">
        <v>55540</v>
      </c>
      <c r="X2665" t="s">
        <v>55541</v>
      </c>
      <c r="Y2665" t="s">
        <v>55542</v>
      </c>
    </row>
    <row r="2666" spans="1:25" x14ac:dyDescent="0.3">
      <c r="A2666">
        <v>133250</v>
      </c>
      <c r="B2666" t="s">
        <v>55543</v>
      </c>
      <c r="C2666" t="s">
        <v>55544</v>
      </c>
      <c r="D2666" t="s">
        <v>55545</v>
      </c>
      <c r="E2666" t="s">
        <v>55546</v>
      </c>
      <c r="F2666" t="s">
        <v>55547</v>
      </c>
      <c r="G2666" t="s">
        <v>55548</v>
      </c>
      <c r="H2666" t="s">
        <v>55549</v>
      </c>
      <c r="I2666" t="s">
        <v>55550</v>
      </c>
      <c r="J2666" t="s">
        <v>55551</v>
      </c>
      <c r="K2666" t="s">
        <v>55552</v>
      </c>
      <c r="L2666" t="s">
        <v>55553</v>
      </c>
      <c r="M2666" t="s">
        <v>55554</v>
      </c>
      <c r="N2666" t="s">
        <v>55555</v>
      </c>
      <c r="O2666">
        <f>-929.19043203003 -89.9887013018122 -493.928041721165</f>
        <v>-1513.1071750530073</v>
      </c>
      <c r="P2666">
        <f>-940.166806009381 -121.558204700597 -201.568466488143</f>
        <v>-1263.2934771981211</v>
      </c>
      <c r="Q2666">
        <f>-767.263293019662 -9.71640863981156 -326.655078854251</f>
        <v>-1103.6347805137245</v>
      </c>
      <c r="R2666" t="s">
        <v>55556</v>
      </c>
      <c r="S2666" t="s">
        <v>55557</v>
      </c>
      <c r="T2666" t="s">
        <v>55558</v>
      </c>
      <c r="U2666" t="s">
        <v>55559</v>
      </c>
      <c r="V2666" t="s">
        <v>55560</v>
      </c>
      <c r="W2666" t="s">
        <v>55561</v>
      </c>
      <c r="X2666" t="s">
        <v>55562</v>
      </c>
      <c r="Y2666" t="s">
        <v>55563</v>
      </c>
    </row>
    <row r="2667" spans="1:25" x14ac:dyDescent="0.3">
      <c r="A2667">
        <v>133300</v>
      </c>
      <c r="B2667" t="s">
        <v>55564</v>
      </c>
      <c r="C2667" t="s">
        <v>55565</v>
      </c>
      <c r="D2667" t="s">
        <v>55566</v>
      </c>
      <c r="E2667" t="s">
        <v>55567</v>
      </c>
      <c r="F2667" t="s">
        <v>55568</v>
      </c>
      <c r="G2667" t="s">
        <v>55569</v>
      </c>
      <c r="H2667" t="s">
        <v>55570</v>
      </c>
      <c r="I2667" t="s">
        <v>55571</v>
      </c>
      <c r="J2667" t="s">
        <v>55572</v>
      </c>
      <c r="K2667" t="s">
        <v>55573</v>
      </c>
      <c r="L2667" t="s">
        <v>55574</v>
      </c>
      <c r="M2667" t="s">
        <v>55575</v>
      </c>
      <c r="N2667" t="s">
        <v>55576</v>
      </c>
      <c r="O2667">
        <f>-929.094797278225 -87.7116376325596 -494.239886578615</f>
        <v>-1511.0463214893996</v>
      </c>
      <c r="P2667">
        <f>-941.358036865671 -119.198987992943 -201.922755240584</f>
        <v>-1262.479780099198</v>
      </c>
      <c r="Q2667">
        <f>-767.435914267754 -8.32789204770006 -326.460085357024</f>
        <v>-1102.2238916724782</v>
      </c>
      <c r="R2667" t="s">
        <v>55577</v>
      </c>
      <c r="S2667" t="s">
        <v>55578</v>
      </c>
      <c r="T2667" t="s">
        <v>55579</v>
      </c>
      <c r="U2667" t="s">
        <v>55580</v>
      </c>
      <c r="V2667" t="s">
        <v>55581</v>
      </c>
      <c r="W2667" t="s">
        <v>55582</v>
      </c>
      <c r="X2667" t="s">
        <v>55583</v>
      </c>
      <c r="Y2667" t="s">
        <v>55584</v>
      </c>
    </row>
    <row r="2668" spans="1:25" x14ac:dyDescent="0.3">
      <c r="A2668">
        <v>133350</v>
      </c>
      <c r="B2668" t="s">
        <v>55585</v>
      </c>
      <c r="C2668" t="s">
        <v>55586</v>
      </c>
      <c r="D2668" t="s">
        <v>55587</v>
      </c>
      <c r="E2668" t="s">
        <v>55588</v>
      </c>
      <c r="F2668" t="s">
        <v>55589</v>
      </c>
      <c r="G2668" t="s">
        <v>55590</v>
      </c>
      <c r="H2668" t="s">
        <v>55591</v>
      </c>
      <c r="I2668" t="s">
        <v>55592</v>
      </c>
      <c r="J2668" t="s">
        <v>55593</v>
      </c>
      <c r="K2668" t="s">
        <v>55594</v>
      </c>
      <c r="L2668" t="s">
        <v>55595</v>
      </c>
      <c r="M2668" t="s">
        <v>55596</v>
      </c>
      <c r="N2668" t="s">
        <v>55597</v>
      </c>
      <c r="O2668">
        <f>-928.999470911883 -86.9140608619987 -494.440950435867</f>
        <v>-1510.3544822097488</v>
      </c>
      <c r="P2668">
        <f>-941.557556106273 -118.466698146379 -202.143323222133</f>
        <v>-1262.1675774747848</v>
      </c>
      <c r="Q2668">
        <f>-767.157761630056 -7.96525998599827 -326.340714818682</f>
        <v>-1101.4637364347363</v>
      </c>
      <c r="R2668" t="s">
        <v>55598</v>
      </c>
      <c r="S2668" t="s">
        <v>55599</v>
      </c>
      <c r="T2668" t="s">
        <v>55600</v>
      </c>
      <c r="U2668" t="s">
        <v>55601</v>
      </c>
      <c r="V2668" t="s">
        <v>55602</v>
      </c>
      <c r="W2668" t="s">
        <v>55603</v>
      </c>
      <c r="X2668" t="s">
        <v>55604</v>
      </c>
      <c r="Y2668" t="s">
        <v>55605</v>
      </c>
    </row>
    <row r="2669" spans="1:25" x14ac:dyDescent="0.3">
      <c r="A2669">
        <v>133400</v>
      </c>
      <c r="B2669" t="s">
        <v>55606</v>
      </c>
      <c r="C2669" t="s">
        <v>55607</v>
      </c>
      <c r="D2669" t="s">
        <v>55608</v>
      </c>
      <c r="E2669" t="s">
        <v>55609</v>
      </c>
      <c r="F2669" t="s">
        <v>55610</v>
      </c>
      <c r="G2669" t="s">
        <v>55611</v>
      </c>
      <c r="H2669" t="s">
        <v>55612</v>
      </c>
      <c r="I2669" t="s">
        <v>55613</v>
      </c>
      <c r="J2669" t="s">
        <v>55614</v>
      </c>
      <c r="K2669" t="s">
        <v>55615</v>
      </c>
      <c r="L2669" t="s">
        <v>55616</v>
      </c>
      <c r="M2669" t="s">
        <v>55617</v>
      </c>
      <c r="N2669" t="s">
        <v>55618</v>
      </c>
      <c r="O2669">
        <f>-929.020468683061 -86.4098185243149 -494.624801822752</f>
        <v>-1510.0550890301279</v>
      </c>
      <c r="P2669">
        <f>-941.702326874026 -117.999325741557 -202.336489155519</f>
        <v>-1262.0381417711021</v>
      </c>
      <c r="Q2669">
        <f>-766.991992538409 -7.34886208519902 -325.96373297933</f>
        <v>-1100.304587602938</v>
      </c>
      <c r="R2669" t="s">
        <v>55619</v>
      </c>
      <c r="S2669" t="s">
        <v>55620</v>
      </c>
      <c r="T2669" t="s">
        <v>55621</v>
      </c>
      <c r="U2669" t="s">
        <v>55622</v>
      </c>
      <c r="V2669" t="s">
        <v>55623</v>
      </c>
      <c r="W2669" t="s">
        <v>55624</v>
      </c>
      <c r="X2669" t="s">
        <v>55625</v>
      </c>
      <c r="Y2669" t="s">
        <v>55626</v>
      </c>
    </row>
    <row r="2670" spans="1:25" x14ac:dyDescent="0.3">
      <c r="A2670">
        <v>133450</v>
      </c>
      <c r="B2670" t="s">
        <v>55627</v>
      </c>
      <c r="C2670" t="s">
        <v>55628</v>
      </c>
      <c r="D2670" t="s">
        <v>55629</v>
      </c>
      <c r="E2670" t="s">
        <v>55630</v>
      </c>
      <c r="F2670" t="s">
        <v>55631</v>
      </c>
      <c r="G2670" t="s">
        <v>55632</v>
      </c>
      <c r="H2670" t="s">
        <v>55633</v>
      </c>
      <c r="I2670" t="s">
        <v>55634</v>
      </c>
      <c r="J2670" t="s">
        <v>55635</v>
      </c>
      <c r="K2670" t="s">
        <v>55636</v>
      </c>
      <c r="L2670" t="s">
        <v>55637</v>
      </c>
      <c r="M2670" t="s">
        <v>55638</v>
      </c>
      <c r="N2670" t="s">
        <v>55639</v>
      </c>
      <c r="O2670">
        <f>-928.924911436731 -86.0173083118614 -494.860092578349</f>
        <v>-1509.8023123269413</v>
      </c>
      <c r="P2670">
        <f>-941.9950410892 -117.25581922124 -202.551019968574</f>
        <v>-1261.8018802790139</v>
      </c>
      <c r="Q2670">
        <f>-767.02632816794 -6.38999859185242 -325.61890897741</f>
        <v>-1099.0352357372026</v>
      </c>
      <c r="R2670" t="s">
        <v>55640</v>
      </c>
      <c r="S2670" t="s">
        <v>55641</v>
      </c>
      <c r="T2670" t="s">
        <v>55642</v>
      </c>
      <c r="U2670" t="s">
        <v>55643</v>
      </c>
      <c r="V2670" t="s">
        <v>55644</v>
      </c>
      <c r="W2670" t="s">
        <v>55645</v>
      </c>
      <c r="X2670" t="s">
        <v>55646</v>
      </c>
      <c r="Y2670" t="s">
        <v>55647</v>
      </c>
    </row>
    <row r="2671" spans="1:25" x14ac:dyDescent="0.3">
      <c r="A2671">
        <v>133500</v>
      </c>
      <c r="B2671" t="s">
        <v>55648</v>
      </c>
      <c r="C2671" t="s">
        <v>55649</v>
      </c>
      <c r="D2671" t="s">
        <v>55650</v>
      </c>
      <c r="E2671" t="s">
        <v>55651</v>
      </c>
      <c r="F2671" t="s">
        <v>55652</v>
      </c>
      <c r="G2671" t="s">
        <v>55653</v>
      </c>
      <c r="H2671" t="s">
        <v>55654</v>
      </c>
      <c r="I2671" t="s">
        <v>55655</v>
      </c>
      <c r="J2671" t="s">
        <v>55656</v>
      </c>
      <c r="K2671" t="s">
        <v>55657</v>
      </c>
      <c r="L2671" t="s">
        <v>55658</v>
      </c>
      <c r="M2671" t="s">
        <v>55659</v>
      </c>
      <c r="N2671" t="s">
        <v>55660</v>
      </c>
      <c r="O2671">
        <f>-927.838698290624 -86.0608273257758 -494.961741175346</f>
        <v>-1508.8612667917459</v>
      </c>
      <c r="P2671">
        <f>-941.143207031414 -117.459555989252 -202.680642931272</f>
        <v>-1261.283405951938</v>
      </c>
      <c r="Q2671">
        <f>-766.556847756 -5.99609262747754 -325.750983144685</f>
        <v>-1098.3039235281626</v>
      </c>
      <c r="R2671" t="s">
        <v>55661</v>
      </c>
      <c r="S2671" t="s">
        <v>55662</v>
      </c>
      <c r="T2671" t="s">
        <v>55663</v>
      </c>
      <c r="U2671" t="s">
        <v>55664</v>
      </c>
      <c r="V2671" t="s">
        <v>55665</v>
      </c>
      <c r="W2671" t="s">
        <v>55666</v>
      </c>
      <c r="X2671" t="s">
        <v>55667</v>
      </c>
      <c r="Y2671" t="s">
        <v>55668</v>
      </c>
    </row>
    <row r="2672" spans="1:25" x14ac:dyDescent="0.3">
      <c r="A2672">
        <v>133550</v>
      </c>
      <c r="B2672" t="s">
        <v>55669</v>
      </c>
      <c r="C2672" t="s">
        <v>55670</v>
      </c>
      <c r="D2672" t="s">
        <v>55671</v>
      </c>
      <c r="E2672" t="s">
        <v>55672</v>
      </c>
      <c r="F2672" t="s">
        <v>55673</v>
      </c>
      <c r="G2672" t="s">
        <v>55674</v>
      </c>
      <c r="H2672" t="s">
        <v>55675</v>
      </c>
      <c r="I2672" t="s">
        <v>55676</v>
      </c>
      <c r="J2672" t="s">
        <v>55677</v>
      </c>
      <c r="K2672" t="s">
        <v>55678</v>
      </c>
      <c r="L2672" t="s">
        <v>55679</v>
      </c>
      <c r="M2672" t="s">
        <v>55680</v>
      </c>
      <c r="N2672" t="s">
        <v>55681</v>
      </c>
      <c r="O2672">
        <f>-927.331959745194 -86.0944628232285 -495.015036744017</f>
        <v>-1508.4414593124395</v>
      </c>
      <c r="P2672">
        <f>-940.53519768464 -117.807351715662 -202.763041084139</f>
        <v>-1261.1055904844411</v>
      </c>
      <c r="Q2672">
        <f>-766.343301700666 -5.97317048185504 -326.056026950252</f>
        <v>-1098.3724991327731</v>
      </c>
      <c r="R2672" t="s">
        <v>55682</v>
      </c>
      <c r="S2672" t="s">
        <v>55683</v>
      </c>
      <c r="T2672" t="s">
        <v>55684</v>
      </c>
      <c r="U2672" t="s">
        <v>55685</v>
      </c>
      <c r="V2672" t="s">
        <v>55686</v>
      </c>
      <c r="W2672" t="s">
        <v>55687</v>
      </c>
      <c r="X2672" t="s">
        <v>55688</v>
      </c>
      <c r="Y2672" t="s">
        <v>55689</v>
      </c>
    </row>
    <row r="2673" spans="1:25" x14ac:dyDescent="0.3">
      <c r="A2673">
        <v>133600</v>
      </c>
      <c r="B2673" t="s">
        <v>55690</v>
      </c>
      <c r="C2673" t="s">
        <v>55691</v>
      </c>
      <c r="D2673" t="s">
        <v>55692</v>
      </c>
      <c r="E2673" t="s">
        <v>55693</v>
      </c>
      <c r="F2673" t="s">
        <v>55694</v>
      </c>
      <c r="G2673" t="s">
        <v>55695</v>
      </c>
      <c r="H2673" t="s">
        <v>55696</v>
      </c>
      <c r="I2673" t="s">
        <v>55697</v>
      </c>
      <c r="J2673" t="s">
        <v>55698</v>
      </c>
      <c r="K2673" t="s">
        <v>55699</v>
      </c>
      <c r="L2673" t="s">
        <v>55700</v>
      </c>
      <c r="M2673" t="s">
        <v>55701</v>
      </c>
      <c r="N2673" t="s">
        <v>55702</v>
      </c>
      <c r="O2673">
        <f>-926.895179834388 -86.5185580449347 -495.161920323487</f>
        <v>-1508.5756582028098</v>
      </c>
      <c r="P2673">
        <f>-939.585969626664 -118.636702206429 -202.931499805423</f>
        <v>-1261.1541716385161</v>
      </c>
      <c r="Q2673">
        <f>-766.121671127286 -6.02254407969758 -326.540049922184</f>
        <v>-1098.6842651291677</v>
      </c>
      <c r="R2673" t="s">
        <v>55703</v>
      </c>
      <c r="S2673" t="s">
        <v>55704</v>
      </c>
      <c r="T2673" t="s">
        <v>55705</v>
      </c>
      <c r="U2673" t="s">
        <v>55706</v>
      </c>
      <c r="V2673" t="s">
        <v>55707</v>
      </c>
      <c r="W2673" t="s">
        <v>55708</v>
      </c>
      <c r="X2673" t="s">
        <v>55709</v>
      </c>
      <c r="Y2673" t="s">
        <v>55710</v>
      </c>
    </row>
    <row r="2674" spans="1:25" x14ac:dyDescent="0.3">
      <c r="A2674">
        <v>133650</v>
      </c>
      <c r="B2674" t="s">
        <v>55711</v>
      </c>
      <c r="C2674" t="s">
        <v>55712</v>
      </c>
      <c r="D2674" t="s">
        <v>55713</v>
      </c>
      <c r="E2674" t="s">
        <v>55714</v>
      </c>
      <c r="F2674" t="s">
        <v>55715</v>
      </c>
      <c r="G2674" t="s">
        <v>55716</v>
      </c>
      <c r="H2674" t="s">
        <v>55717</v>
      </c>
      <c r="I2674" t="s">
        <v>55718</v>
      </c>
      <c r="J2674" t="s">
        <v>55719</v>
      </c>
      <c r="K2674" t="s">
        <v>55720</v>
      </c>
      <c r="L2674" t="s">
        <v>55721</v>
      </c>
      <c r="M2674" t="s">
        <v>55722</v>
      </c>
      <c r="N2674" t="s">
        <v>55723</v>
      </c>
      <c r="O2674">
        <f>-926.676574851592 -86.5595608417127 -495.228548903443</f>
        <v>-1508.4646845967477</v>
      </c>
      <c r="P2674">
        <f>-939.133179970561 -118.754548357384 -202.996615868101</f>
        <v>-1260.8843441960457</v>
      </c>
      <c r="Q2674">
        <f>-765.954690060095 -5.67599765216937 -326.581835377202</f>
        <v>-1098.2125230894665</v>
      </c>
      <c r="R2674" t="s">
        <v>55724</v>
      </c>
      <c r="S2674" t="s">
        <v>55725</v>
      </c>
      <c r="T2674" t="s">
        <v>55726</v>
      </c>
      <c r="U2674" t="s">
        <v>55727</v>
      </c>
      <c r="V2674" t="s">
        <v>55728</v>
      </c>
      <c r="W2674" t="s">
        <v>55729</v>
      </c>
      <c r="X2674" t="s">
        <v>55730</v>
      </c>
      <c r="Y2674" t="s">
        <v>55731</v>
      </c>
    </row>
    <row r="2675" spans="1:25" x14ac:dyDescent="0.3">
      <c r="A2675">
        <v>133700</v>
      </c>
      <c r="B2675" t="s">
        <v>55732</v>
      </c>
      <c r="C2675" t="s">
        <v>55733</v>
      </c>
      <c r="D2675" t="s">
        <v>55734</v>
      </c>
      <c r="E2675" t="s">
        <v>55735</v>
      </c>
      <c r="F2675" t="s">
        <v>55736</v>
      </c>
      <c r="G2675" t="s">
        <v>55737</v>
      </c>
      <c r="H2675" t="s">
        <v>55738</v>
      </c>
      <c r="I2675" t="s">
        <v>55739</v>
      </c>
      <c r="J2675" t="s">
        <v>55740</v>
      </c>
      <c r="K2675" t="s">
        <v>55741</v>
      </c>
      <c r="L2675" t="s">
        <v>55742</v>
      </c>
      <c r="M2675" t="s">
        <v>55743</v>
      </c>
      <c r="N2675" t="s">
        <v>55744</v>
      </c>
      <c r="O2675">
        <f>-925.310393434621 -86.6827969593537 -495.27828762836</f>
        <v>-1507.2714780223346</v>
      </c>
      <c r="P2675">
        <f>-937.564264542333 -118.956843249953 -203.046499195057</f>
        <v>-1259.5676069873432</v>
      </c>
      <c r="Q2675">
        <f>-764.725570685597 -5.30636846858079 -326.582735591309</f>
        <v>-1096.6146747454868</v>
      </c>
      <c r="R2675" t="s">
        <v>55745</v>
      </c>
      <c r="S2675" t="s">
        <v>55746</v>
      </c>
      <c r="T2675" t="s">
        <v>55747</v>
      </c>
      <c r="U2675" t="s">
        <v>55748</v>
      </c>
      <c r="V2675" t="s">
        <v>55749</v>
      </c>
      <c r="W2675" t="s">
        <v>55750</v>
      </c>
      <c r="X2675" t="s">
        <v>55751</v>
      </c>
      <c r="Y2675" t="s">
        <v>55752</v>
      </c>
    </row>
    <row r="2676" spans="1:25" x14ac:dyDescent="0.3">
      <c r="A2676">
        <v>133750</v>
      </c>
      <c r="B2676" t="s">
        <v>55753</v>
      </c>
      <c r="C2676" t="s">
        <v>55754</v>
      </c>
      <c r="D2676" t="s">
        <v>55755</v>
      </c>
      <c r="E2676" t="s">
        <v>55756</v>
      </c>
      <c r="F2676" t="s">
        <v>55757</v>
      </c>
      <c r="G2676" t="s">
        <v>55758</v>
      </c>
      <c r="H2676" t="s">
        <v>55759</v>
      </c>
      <c r="I2676" t="s">
        <v>55760</v>
      </c>
      <c r="J2676" t="s">
        <v>55761</v>
      </c>
      <c r="K2676" t="s">
        <v>55762</v>
      </c>
      <c r="L2676" t="s">
        <v>55763</v>
      </c>
      <c r="M2676" t="s">
        <v>55764</v>
      </c>
      <c r="N2676" t="s">
        <v>55765</v>
      </c>
      <c r="O2676">
        <f>-924.728814913717 -86.8467541553155 -495.242435511007</f>
        <v>-1506.8180045800395</v>
      </c>
      <c r="P2676">
        <f>-936.98891695573 -119.188138832611 -203.018437786532</f>
        <v>-1259.1954935748731</v>
      </c>
      <c r="Q2676">
        <f>-764.387613760523 -5.19712894660233 -326.572530826792</f>
        <v>-1096.1572735339173</v>
      </c>
      <c r="R2676" t="s">
        <v>55766</v>
      </c>
      <c r="S2676" t="s">
        <v>55767</v>
      </c>
      <c r="T2676" t="s">
        <v>55768</v>
      </c>
      <c r="U2676" t="s">
        <v>55769</v>
      </c>
      <c r="V2676" t="s">
        <v>55770</v>
      </c>
      <c r="W2676" t="s">
        <v>55771</v>
      </c>
      <c r="X2676" t="s">
        <v>55772</v>
      </c>
      <c r="Y2676" t="s">
        <v>55773</v>
      </c>
    </row>
    <row r="2677" spans="1:25" x14ac:dyDescent="0.3">
      <c r="A2677">
        <v>133800</v>
      </c>
      <c r="B2677" t="s">
        <v>55774</v>
      </c>
      <c r="C2677" t="s">
        <v>55775</v>
      </c>
      <c r="D2677" t="s">
        <v>55776</v>
      </c>
      <c r="E2677" t="s">
        <v>55777</v>
      </c>
      <c r="F2677" t="s">
        <v>55778</v>
      </c>
      <c r="G2677" t="s">
        <v>55779</v>
      </c>
      <c r="H2677" t="s">
        <v>55780</v>
      </c>
      <c r="I2677" t="s">
        <v>55781</v>
      </c>
      <c r="J2677" t="s">
        <v>55782</v>
      </c>
      <c r="K2677" t="s">
        <v>55783</v>
      </c>
      <c r="L2677" t="s">
        <v>55784</v>
      </c>
      <c r="M2677" t="s">
        <v>55785</v>
      </c>
      <c r="N2677" t="s">
        <v>55786</v>
      </c>
      <c r="O2677">
        <f>-924.034416646995 -87.1846946931335 -495.114031503156</f>
        <v>-1506.3331428432846</v>
      </c>
      <c r="P2677">
        <f>-935.970633401045 -119.534164919725 -202.877328420819</f>
        <v>-1258.382126741589</v>
      </c>
      <c r="Q2677">
        <f>-763.777950645099 -5.16674040500311 -326.653955860674</f>
        <v>-1095.5986469107761</v>
      </c>
      <c r="R2677" t="s">
        <v>55787</v>
      </c>
      <c r="S2677" t="s">
        <v>55788</v>
      </c>
      <c r="T2677" t="s">
        <v>55789</v>
      </c>
      <c r="U2677" t="s">
        <v>55790</v>
      </c>
      <c r="V2677" t="s">
        <v>55791</v>
      </c>
      <c r="W2677" t="s">
        <v>55792</v>
      </c>
      <c r="X2677" t="s">
        <v>55793</v>
      </c>
      <c r="Y2677" t="s">
        <v>55794</v>
      </c>
    </row>
    <row r="2678" spans="1:25" x14ac:dyDescent="0.3">
      <c r="A2678">
        <v>133850</v>
      </c>
      <c r="B2678" t="s">
        <v>55795</v>
      </c>
      <c r="C2678" t="s">
        <v>55796</v>
      </c>
      <c r="D2678" t="s">
        <v>55797</v>
      </c>
      <c r="E2678" t="s">
        <v>55798</v>
      </c>
      <c r="F2678" t="s">
        <v>55799</v>
      </c>
      <c r="G2678" t="s">
        <v>55800</v>
      </c>
      <c r="H2678" t="s">
        <v>55801</v>
      </c>
      <c r="I2678" t="s">
        <v>55802</v>
      </c>
      <c r="J2678" t="s">
        <v>55803</v>
      </c>
      <c r="K2678" t="s">
        <v>55804</v>
      </c>
      <c r="L2678" t="s">
        <v>55805</v>
      </c>
      <c r="M2678" t="s">
        <v>55806</v>
      </c>
      <c r="N2678" t="s">
        <v>55807</v>
      </c>
      <c r="O2678">
        <f>-923.567396578243 -87.4523272433007 -495.052218681537</f>
        <v>-1506.0719425030807</v>
      </c>
      <c r="P2678">
        <f>-935.437170995573 -119.7630126 -202.808643046994</f>
        <v>-1258.0088266425669</v>
      </c>
      <c r="Q2678">
        <f>-763.450471832106 -5.27682542591901 -326.761555921106</f>
        <v>-1095.488853179131</v>
      </c>
      <c r="R2678" t="s">
        <v>55808</v>
      </c>
      <c r="S2678" t="s">
        <v>55809</v>
      </c>
      <c r="T2678" t="s">
        <v>55810</v>
      </c>
      <c r="U2678" t="s">
        <v>55811</v>
      </c>
      <c r="V2678" t="s">
        <v>55812</v>
      </c>
      <c r="W2678" t="s">
        <v>55813</v>
      </c>
      <c r="X2678" t="s">
        <v>55814</v>
      </c>
      <c r="Y2678" t="s">
        <v>55815</v>
      </c>
    </row>
    <row r="2679" spans="1:25" x14ac:dyDescent="0.3">
      <c r="A2679">
        <v>133900</v>
      </c>
      <c r="B2679" t="s">
        <v>55816</v>
      </c>
      <c r="C2679" t="s">
        <v>55817</v>
      </c>
      <c r="D2679" t="s">
        <v>55818</v>
      </c>
      <c r="E2679" t="s">
        <v>55819</v>
      </c>
      <c r="F2679" t="s">
        <v>55820</v>
      </c>
      <c r="G2679" t="s">
        <v>55821</v>
      </c>
      <c r="H2679" t="s">
        <v>55822</v>
      </c>
      <c r="I2679" t="s">
        <v>55823</v>
      </c>
      <c r="J2679" t="s">
        <v>55824</v>
      </c>
      <c r="K2679" t="s">
        <v>55825</v>
      </c>
      <c r="L2679" t="s">
        <v>55826</v>
      </c>
      <c r="M2679" t="s">
        <v>55827</v>
      </c>
      <c r="N2679" t="s">
        <v>55828</v>
      </c>
      <c r="O2679">
        <f>-922.681147929084 -88.2596752293271 -494.997865978263</f>
        <v>-1505.9386891366739</v>
      </c>
      <c r="P2679">
        <f>-934.487142941959 -120.474196283642 -202.741028087478</f>
        <v>-1257.7023673130791</v>
      </c>
      <c r="Q2679">
        <f>-762.846715658572 -5.62300511685817 -326.8362696767</f>
        <v>-1095.3059904521301</v>
      </c>
      <c r="R2679" t="s">
        <v>55829</v>
      </c>
      <c r="S2679" t="s">
        <v>55830</v>
      </c>
      <c r="T2679" t="s">
        <v>55831</v>
      </c>
      <c r="U2679" t="s">
        <v>55832</v>
      </c>
      <c r="V2679">
        <f>-866.181517132293 -0.464849813854926 -64.2253395070381</f>
        <v>-930.87170645318611</v>
      </c>
      <c r="W2679" t="s">
        <v>55833</v>
      </c>
      <c r="X2679" t="s">
        <v>55834</v>
      </c>
      <c r="Y2679" t="s">
        <v>55835</v>
      </c>
    </row>
    <row r="2680" spans="1:25" x14ac:dyDescent="0.3">
      <c r="A2680">
        <v>133950</v>
      </c>
      <c r="B2680" t="s">
        <v>55836</v>
      </c>
      <c r="C2680" t="s">
        <v>55837</v>
      </c>
      <c r="D2680" t="s">
        <v>55838</v>
      </c>
      <c r="E2680" t="s">
        <v>55839</v>
      </c>
      <c r="F2680" t="s">
        <v>55840</v>
      </c>
      <c r="G2680" t="s">
        <v>55841</v>
      </c>
      <c r="H2680" t="s">
        <v>55842</v>
      </c>
      <c r="I2680" t="s">
        <v>55843</v>
      </c>
      <c r="J2680" t="s">
        <v>55844</v>
      </c>
      <c r="K2680" t="s">
        <v>55845</v>
      </c>
      <c r="L2680" t="s">
        <v>55846</v>
      </c>
      <c r="M2680" t="s">
        <v>55847</v>
      </c>
      <c r="N2680" t="s">
        <v>55848</v>
      </c>
      <c r="O2680">
        <f>-922.220175299446 -88.6552919925996 -495.00138327871</f>
        <v>-1505.8768505707558</v>
      </c>
      <c r="P2680">
        <f>-933.962291775644 -120.92949477265 -202.748619391033</f>
        <v>-1257.6404059393271</v>
      </c>
      <c r="Q2680">
        <f>-762.466987643385 -5.81664024817519 -326.80204784812</f>
        <v>-1095.0856757396803</v>
      </c>
      <c r="R2680" t="s">
        <v>55849</v>
      </c>
      <c r="S2680" t="s">
        <v>55850</v>
      </c>
      <c r="T2680" t="s">
        <v>55851</v>
      </c>
      <c r="U2680" t="s">
        <v>55852</v>
      </c>
      <c r="V2680">
        <f>-866.007875088318 -0.678782556119586 -64.2234353442839</f>
        <v>-930.91009298872143</v>
      </c>
      <c r="W2680" t="s">
        <v>55853</v>
      </c>
      <c r="X2680" t="s">
        <v>55854</v>
      </c>
      <c r="Y2680" t="s">
        <v>55855</v>
      </c>
    </row>
    <row r="2681" spans="1:25" x14ac:dyDescent="0.3">
      <c r="A2681">
        <v>134000</v>
      </c>
      <c r="B2681" t="s">
        <v>55856</v>
      </c>
      <c r="C2681" t="s">
        <v>55857</v>
      </c>
      <c r="D2681" t="s">
        <v>55858</v>
      </c>
      <c r="E2681" t="s">
        <v>55859</v>
      </c>
      <c r="F2681" t="s">
        <v>55860</v>
      </c>
      <c r="G2681" t="s">
        <v>55861</v>
      </c>
      <c r="H2681" t="s">
        <v>55862</v>
      </c>
      <c r="I2681" t="s">
        <v>55863</v>
      </c>
      <c r="J2681" t="s">
        <v>55864</v>
      </c>
      <c r="K2681" t="s">
        <v>55865</v>
      </c>
      <c r="L2681" t="s">
        <v>55866</v>
      </c>
      <c r="M2681" t="s">
        <v>55867</v>
      </c>
      <c r="N2681" t="s">
        <v>55868</v>
      </c>
      <c r="O2681">
        <f>-920.478190470317 -89.1422700902483 -495.001003146465</f>
        <v>-1504.6214637070302</v>
      </c>
      <c r="P2681">
        <f>-932.431519150691 -121.797305411925 -202.799006019152</f>
        <v>-1257.0278305817678</v>
      </c>
      <c r="Q2681">
        <f>-761.231040258292 -6.05558175288479 -326.674579438932</f>
        <v>-1093.9612014501088</v>
      </c>
      <c r="R2681" t="s">
        <v>55869</v>
      </c>
      <c r="S2681" t="s">
        <v>55870</v>
      </c>
      <c r="T2681" t="s">
        <v>55871</v>
      </c>
      <c r="U2681" t="s">
        <v>55872</v>
      </c>
      <c r="V2681">
        <f>-865.606322632869 -1.06929221983046 -64.1750900287994</f>
        <v>-930.85070488149893</v>
      </c>
      <c r="W2681" t="s">
        <v>55873</v>
      </c>
      <c r="X2681" t="s">
        <v>55874</v>
      </c>
      <c r="Y2681" t="s">
        <v>55875</v>
      </c>
    </row>
    <row r="2682" spans="1:25" x14ac:dyDescent="0.3">
      <c r="A2682">
        <v>134050</v>
      </c>
      <c r="B2682" t="s">
        <v>55876</v>
      </c>
      <c r="C2682" t="s">
        <v>55877</v>
      </c>
      <c r="D2682" t="s">
        <v>55878</v>
      </c>
      <c r="E2682" t="s">
        <v>55879</v>
      </c>
      <c r="F2682" t="s">
        <v>55880</v>
      </c>
      <c r="G2682" t="s">
        <v>55881</v>
      </c>
      <c r="H2682" t="s">
        <v>55882</v>
      </c>
      <c r="I2682" t="s">
        <v>55883</v>
      </c>
      <c r="J2682" t="s">
        <v>55884</v>
      </c>
      <c r="K2682" t="s">
        <v>55885</v>
      </c>
      <c r="L2682" t="s">
        <v>55886</v>
      </c>
      <c r="M2682" t="s">
        <v>55887</v>
      </c>
      <c r="N2682" t="s">
        <v>55888</v>
      </c>
      <c r="O2682">
        <f>-919.339508549256 -89.3308316631731 -494.969355215685</f>
        <v>-1503.639695428114</v>
      </c>
      <c r="P2682">
        <f>-931.499744173573 -122.037488114002 -202.781715938423</f>
        <v>-1256.3189482259982</v>
      </c>
      <c r="Q2682">
        <f>-760.404631434192 -6.03157473140482 -326.555592166437</f>
        <v>-1092.9917983320338</v>
      </c>
      <c r="R2682" t="s">
        <v>55889</v>
      </c>
      <c r="S2682" t="s">
        <v>55890</v>
      </c>
      <c r="T2682" t="s">
        <v>55891</v>
      </c>
      <c r="U2682" t="s">
        <v>55892</v>
      </c>
      <c r="V2682">
        <f>-865.370549174348 -1.34298018961408 -64.1552655080112</f>
        <v>-930.86879487197325</v>
      </c>
      <c r="W2682" t="s">
        <v>55893</v>
      </c>
      <c r="X2682" t="s">
        <v>55894</v>
      </c>
      <c r="Y2682" t="s">
        <v>55895</v>
      </c>
    </row>
    <row r="2683" spans="1:25" x14ac:dyDescent="0.3">
      <c r="A2683">
        <v>134100</v>
      </c>
      <c r="B2683" t="s">
        <v>55896</v>
      </c>
      <c r="C2683" t="s">
        <v>55897</v>
      </c>
      <c r="D2683" t="s">
        <v>55898</v>
      </c>
      <c r="E2683" t="s">
        <v>55899</v>
      </c>
      <c r="F2683" t="s">
        <v>55900</v>
      </c>
      <c r="G2683" t="s">
        <v>55901</v>
      </c>
      <c r="H2683" t="s">
        <v>55902</v>
      </c>
      <c r="I2683" t="s">
        <v>55903</v>
      </c>
      <c r="J2683" t="s">
        <v>55904</v>
      </c>
      <c r="K2683" t="s">
        <v>55905</v>
      </c>
      <c r="L2683" t="s">
        <v>55906</v>
      </c>
      <c r="M2683" t="s">
        <v>55907</v>
      </c>
      <c r="N2683" t="s">
        <v>55908</v>
      </c>
      <c r="O2683">
        <f>-917.090390947139 -90.0897254030126 -494.883412201769</f>
        <v>-1502.0635285519206</v>
      </c>
      <c r="P2683">
        <f>-929.609635415777 -122.726263214724 -202.703022828299</f>
        <v>-1255.0389214588001</v>
      </c>
      <c r="Q2683">
        <f>-758.822254339331 -6.08584710944615 -326.305572709818</f>
        <v>-1091.2136741585953</v>
      </c>
      <c r="R2683" t="s">
        <v>55909</v>
      </c>
      <c r="S2683" t="s">
        <v>55910</v>
      </c>
      <c r="T2683" t="s">
        <v>55911</v>
      </c>
      <c r="U2683" t="s">
        <v>55912</v>
      </c>
      <c r="V2683">
        <f>-864.906772439612 -1.98990754138049 -64.1399167237341</f>
        <v>-931.03659670472666</v>
      </c>
      <c r="W2683" t="s">
        <v>55913</v>
      </c>
      <c r="X2683" t="s">
        <v>55914</v>
      </c>
      <c r="Y2683" t="s">
        <v>55915</v>
      </c>
    </row>
    <row r="2684" spans="1:25" x14ac:dyDescent="0.3">
      <c r="A2684">
        <v>134150</v>
      </c>
      <c r="B2684" t="s">
        <v>55916</v>
      </c>
      <c r="C2684" t="s">
        <v>55917</v>
      </c>
      <c r="D2684" t="s">
        <v>55918</v>
      </c>
      <c r="E2684" t="s">
        <v>55919</v>
      </c>
      <c r="F2684" t="s">
        <v>55920</v>
      </c>
      <c r="G2684" t="s">
        <v>55921</v>
      </c>
      <c r="H2684" t="s">
        <v>55922</v>
      </c>
      <c r="I2684" t="s">
        <v>55923</v>
      </c>
      <c r="J2684" t="s">
        <v>55924</v>
      </c>
      <c r="K2684" t="s">
        <v>55925</v>
      </c>
      <c r="L2684" t="s">
        <v>55926</v>
      </c>
      <c r="M2684" t="s">
        <v>55927</v>
      </c>
      <c r="N2684" t="s">
        <v>55928</v>
      </c>
      <c r="O2684">
        <f>-916.123672613502 -90.4254012289866 -494.857558880131</f>
        <v>-1501.4066327226196</v>
      </c>
      <c r="P2684">
        <f>-928.808964109407 -123.046421554961 -202.682620351413</f>
        <v>-1254.5380060157809</v>
      </c>
      <c r="Q2684">
        <f>-758.240157590477 -6.03049225806126 -326.231718279705</f>
        <v>-1090.5023681282432</v>
      </c>
      <c r="R2684" t="s">
        <v>55929</v>
      </c>
      <c r="S2684" t="s">
        <v>55930</v>
      </c>
      <c r="T2684" t="s">
        <v>55931</v>
      </c>
      <c r="U2684" t="s">
        <v>55932</v>
      </c>
      <c r="V2684">
        <f>-864.701661332858 -2.26475976439542 -64.1384802572869</f>
        <v>-931.10490135454029</v>
      </c>
      <c r="W2684" t="s">
        <v>55933</v>
      </c>
      <c r="X2684" t="s">
        <v>55934</v>
      </c>
      <c r="Y2684" t="s">
        <v>55935</v>
      </c>
    </row>
    <row r="2685" spans="1:25" x14ac:dyDescent="0.3">
      <c r="A2685">
        <v>134200</v>
      </c>
      <c r="B2685" t="s">
        <v>55936</v>
      </c>
      <c r="C2685" t="s">
        <v>55937</v>
      </c>
      <c r="D2685" t="s">
        <v>55938</v>
      </c>
      <c r="E2685" t="s">
        <v>55939</v>
      </c>
      <c r="F2685" t="s">
        <v>55940</v>
      </c>
      <c r="G2685" t="s">
        <v>55941</v>
      </c>
      <c r="H2685" t="s">
        <v>55942</v>
      </c>
      <c r="I2685" t="s">
        <v>55943</v>
      </c>
      <c r="J2685" t="s">
        <v>55944</v>
      </c>
      <c r="K2685" t="s">
        <v>55945</v>
      </c>
      <c r="L2685" t="s">
        <v>55946</v>
      </c>
      <c r="M2685" t="s">
        <v>55947</v>
      </c>
      <c r="N2685" t="s">
        <v>55948</v>
      </c>
      <c r="O2685">
        <f>-914.27877317077 -91.1455116278707 -494.835045855984</f>
        <v>-1500.2593306546248</v>
      </c>
      <c r="P2685">
        <f>-927.173650429527 -123.903214496539 -202.68475751436</f>
        <v>-1253.761622440426</v>
      </c>
      <c r="Q2685">
        <f>-757.158532006336 -5.91461256098182 -326.07233127842</f>
        <v>-1089.1454758457378</v>
      </c>
      <c r="R2685" t="s">
        <v>55949</v>
      </c>
      <c r="S2685" t="s">
        <v>55950</v>
      </c>
      <c r="T2685" t="s">
        <v>55951</v>
      </c>
      <c r="U2685" t="s">
        <v>55952</v>
      </c>
      <c r="V2685">
        <f>-864.282619234017 -2.94199619701067 -64.1452035637601</f>
        <v>-931.36981899478781</v>
      </c>
      <c r="W2685" t="s">
        <v>55953</v>
      </c>
      <c r="X2685" t="s">
        <v>55954</v>
      </c>
      <c r="Y2685" t="s">
        <v>55955</v>
      </c>
    </row>
    <row r="2686" spans="1:25" x14ac:dyDescent="0.3">
      <c r="A2686">
        <v>134250</v>
      </c>
      <c r="B2686" t="s">
        <v>55956</v>
      </c>
      <c r="C2686" t="s">
        <v>55957</v>
      </c>
      <c r="D2686" t="s">
        <v>55958</v>
      </c>
      <c r="E2686" t="s">
        <v>55959</v>
      </c>
      <c r="F2686" t="s">
        <v>55960</v>
      </c>
      <c r="G2686" t="s">
        <v>55961</v>
      </c>
      <c r="H2686" t="s">
        <v>55962</v>
      </c>
      <c r="I2686" t="s">
        <v>55963</v>
      </c>
      <c r="J2686" t="s">
        <v>55964</v>
      </c>
      <c r="K2686" t="s">
        <v>55965</v>
      </c>
      <c r="L2686" t="s">
        <v>55966</v>
      </c>
      <c r="M2686" t="s">
        <v>55967</v>
      </c>
      <c r="N2686" t="s">
        <v>55968</v>
      </c>
      <c r="O2686">
        <f>-913.47198774189 -91.5667965642976 -494.837435436143</f>
        <v>-1499.8762197423307</v>
      </c>
      <c r="P2686">
        <f>-926.318254681287 -124.384525454146 -202.691656632556</f>
        <v>-1253.394436767989</v>
      </c>
      <c r="Q2686">
        <f>-756.565899842461 -5.99733304289066 -326.05888628005</f>
        <v>-1088.6221191654017</v>
      </c>
      <c r="R2686" t="s">
        <v>55969</v>
      </c>
      <c r="S2686" t="s">
        <v>55970</v>
      </c>
      <c r="T2686" t="s">
        <v>55971</v>
      </c>
      <c r="U2686" t="s">
        <v>55972</v>
      </c>
      <c r="V2686">
        <f>-864.079751036724 -3.31589846642464 -64.1657069263233</f>
        <v>-931.56135642947197</v>
      </c>
      <c r="W2686" t="s">
        <v>55973</v>
      </c>
      <c r="X2686" t="s">
        <v>55974</v>
      </c>
      <c r="Y2686" t="s">
        <v>55975</v>
      </c>
    </row>
    <row r="2687" spans="1:25" x14ac:dyDescent="0.3">
      <c r="A2687">
        <v>134300</v>
      </c>
      <c r="B2687" t="s">
        <v>55976</v>
      </c>
      <c r="C2687" t="s">
        <v>55977</v>
      </c>
      <c r="D2687" t="s">
        <v>55978</v>
      </c>
      <c r="E2687" t="s">
        <v>55979</v>
      </c>
      <c r="F2687" t="s">
        <v>55980</v>
      </c>
      <c r="G2687" t="s">
        <v>55981</v>
      </c>
      <c r="H2687" t="s">
        <v>55982</v>
      </c>
      <c r="I2687" t="s">
        <v>55983</v>
      </c>
      <c r="J2687" t="s">
        <v>55984</v>
      </c>
      <c r="K2687" t="s">
        <v>55985</v>
      </c>
      <c r="L2687" t="s">
        <v>55986</v>
      </c>
      <c r="M2687" t="s">
        <v>55987</v>
      </c>
      <c r="N2687" t="s">
        <v>55988</v>
      </c>
      <c r="O2687">
        <f>-912.025403937698 -92.2886888563512 -494.881966885405</f>
        <v>-1499.1960596794543</v>
      </c>
      <c r="P2687">
        <f>-924.544335631455 -125.22143133174 -202.73492157708</f>
        <v>-1252.5006885402752</v>
      </c>
      <c r="Q2687">
        <f>-755.476010492723 -5.95945488268308 -326.198938221349</f>
        <v>-1087.6344035967552</v>
      </c>
      <c r="R2687" t="s">
        <v>55989</v>
      </c>
      <c r="S2687" t="s">
        <v>55990</v>
      </c>
      <c r="T2687" t="s">
        <v>55991</v>
      </c>
      <c r="U2687" t="s">
        <v>55992</v>
      </c>
      <c r="V2687">
        <f>-863.554383720981 -3.74927603288643 -64.2171035337161</f>
        <v>-931.52076328758358</v>
      </c>
      <c r="W2687" t="s">
        <v>55993</v>
      </c>
      <c r="X2687" t="s">
        <v>55994</v>
      </c>
      <c r="Y2687" t="s">
        <v>55995</v>
      </c>
    </row>
    <row r="2688" spans="1:25" x14ac:dyDescent="0.3">
      <c r="A2688">
        <v>134350</v>
      </c>
      <c r="B2688" t="s">
        <v>55996</v>
      </c>
      <c r="C2688" t="s">
        <v>55997</v>
      </c>
      <c r="D2688" t="s">
        <v>55998</v>
      </c>
      <c r="E2688" t="s">
        <v>55999</v>
      </c>
      <c r="F2688" t="s">
        <v>56000</v>
      </c>
      <c r="G2688" t="s">
        <v>56001</v>
      </c>
      <c r="H2688" t="s">
        <v>56002</v>
      </c>
      <c r="I2688" t="s">
        <v>56003</v>
      </c>
      <c r="J2688" t="s">
        <v>56004</v>
      </c>
      <c r="K2688" t="s">
        <v>56005</v>
      </c>
      <c r="L2688" t="s">
        <v>56006</v>
      </c>
      <c r="M2688" t="s">
        <v>56007</v>
      </c>
      <c r="N2688" t="s">
        <v>56008</v>
      </c>
      <c r="O2688">
        <f>-911.475786306635 -92.716821041382 -494.905748519016</f>
        <v>-1499.098355867033</v>
      </c>
      <c r="P2688">
        <f>-923.817314738158 -125.590981143978 -202.744461817495</f>
        <v>-1252.1527576996309</v>
      </c>
      <c r="Q2688">
        <f>-755.116188621671 -5.94026052011486 -326.334894111364</f>
        <v>-1087.3913432531499</v>
      </c>
      <c r="R2688" t="s">
        <v>56009</v>
      </c>
      <c r="S2688" t="s">
        <v>56010</v>
      </c>
      <c r="T2688" t="s">
        <v>56011</v>
      </c>
      <c r="U2688" t="s">
        <v>56012</v>
      </c>
      <c r="V2688">
        <f>-863.345752901805 -4.11417905726194 -64.246519538515</f>
        <v>-931.70645149758195</v>
      </c>
      <c r="W2688" t="s">
        <v>56013</v>
      </c>
      <c r="X2688" t="s">
        <v>56014</v>
      </c>
      <c r="Y2688" t="s">
        <v>56015</v>
      </c>
    </row>
    <row r="2689" spans="1:25" x14ac:dyDescent="0.3">
      <c r="A2689">
        <v>134400</v>
      </c>
      <c r="B2689" t="s">
        <v>56016</v>
      </c>
      <c r="C2689" t="s">
        <v>56017</v>
      </c>
      <c r="D2689" t="s">
        <v>56018</v>
      </c>
      <c r="E2689" t="s">
        <v>56019</v>
      </c>
      <c r="F2689" t="s">
        <v>56020</v>
      </c>
      <c r="G2689" t="s">
        <v>56021</v>
      </c>
      <c r="H2689" t="s">
        <v>56022</v>
      </c>
      <c r="I2689" t="s">
        <v>56023</v>
      </c>
      <c r="J2689" t="s">
        <v>56024</v>
      </c>
      <c r="K2689" t="s">
        <v>56025</v>
      </c>
      <c r="L2689" t="s">
        <v>56026</v>
      </c>
      <c r="M2689" t="s">
        <v>56027</v>
      </c>
      <c r="N2689" t="s">
        <v>56028</v>
      </c>
      <c r="O2689">
        <f>-910.712008911253 -93.5212239801042 -494.920130413754</f>
        <v>-1499.1533633051113</v>
      </c>
      <c r="P2689">
        <f>-922.488117440692 -126.390083213997 -202.734867253965</f>
        <v>-1251.6130679086539</v>
      </c>
      <c r="Q2689">
        <f>-754.695145037142 -5.70150777948129 -326.55226874481</f>
        <v>-1086.9489215614333</v>
      </c>
      <c r="R2689" t="s">
        <v>56029</v>
      </c>
      <c r="S2689" t="s">
        <v>56030</v>
      </c>
      <c r="T2689" t="s">
        <v>56031</v>
      </c>
      <c r="U2689" t="s">
        <v>56032</v>
      </c>
      <c r="V2689">
        <f>-863.043304227356 -4.87658316048783 -64.3013380859372</f>
        <v>-932.22122547378103</v>
      </c>
      <c r="W2689" t="s">
        <v>56033</v>
      </c>
      <c r="X2689" t="s">
        <v>56034</v>
      </c>
      <c r="Y2689" t="s">
        <v>56035</v>
      </c>
    </row>
    <row r="2690" spans="1:25" x14ac:dyDescent="0.3">
      <c r="A2690">
        <v>134450</v>
      </c>
      <c r="B2690" t="s">
        <v>56036</v>
      </c>
      <c r="C2690" t="s">
        <v>56037</v>
      </c>
      <c r="D2690" t="s">
        <v>56038</v>
      </c>
      <c r="E2690" t="s">
        <v>56039</v>
      </c>
      <c r="F2690" t="s">
        <v>56040</v>
      </c>
      <c r="G2690" t="s">
        <v>56041</v>
      </c>
      <c r="H2690" t="s">
        <v>56042</v>
      </c>
      <c r="I2690" t="s">
        <v>56043</v>
      </c>
      <c r="J2690" t="s">
        <v>56044</v>
      </c>
      <c r="K2690" t="s">
        <v>56045</v>
      </c>
      <c r="L2690" t="s">
        <v>56046</v>
      </c>
      <c r="M2690" t="s">
        <v>56047</v>
      </c>
      <c r="N2690" t="s">
        <v>56048</v>
      </c>
      <c r="O2690">
        <f>-910.358731647249 -93.8863424271001 -494.924416718422</f>
        <v>-1499.1694907927711</v>
      </c>
      <c r="P2690">
        <f>-921.796457251327 -126.784428119923 -202.729126673425</f>
        <v>-1251.310012044675</v>
      </c>
      <c r="Q2690">
        <f>-754.450174993962 -5.60786195026867 -326.673933017153</f>
        <v>-1086.7319699613836</v>
      </c>
      <c r="R2690" t="s">
        <v>56049</v>
      </c>
      <c r="S2690" t="s">
        <v>56050</v>
      </c>
      <c r="T2690" t="s">
        <v>56051</v>
      </c>
      <c r="U2690" t="s">
        <v>56052</v>
      </c>
      <c r="V2690">
        <f>-862.898980178442 -5.24822295490003 -64.3249215210423</f>
        <v>-932.47212465438429</v>
      </c>
      <c r="W2690" t="s">
        <v>56053</v>
      </c>
      <c r="X2690" t="s">
        <v>56054</v>
      </c>
      <c r="Y2690" t="s">
        <v>56055</v>
      </c>
    </row>
    <row r="2691" spans="1:25" x14ac:dyDescent="0.3">
      <c r="A2691">
        <v>134500</v>
      </c>
      <c r="B2691" t="s">
        <v>56056</v>
      </c>
      <c r="C2691" t="s">
        <v>56057</v>
      </c>
      <c r="D2691" t="s">
        <v>56058</v>
      </c>
      <c r="E2691" t="s">
        <v>56059</v>
      </c>
      <c r="F2691" t="s">
        <v>56060</v>
      </c>
      <c r="G2691" t="s">
        <v>56061</v>
      </c>
      <c r="H2691" t="s">
        <v>56062</v>
      </c>
      <c r="I2691" t="s">
        <v>56063</v>
      </c>
      <c r="J2691" t="s">
        <v>56064</v>
      </c>
      <c r="K2691" t="s">
        <v>56065</v>
      </c>
      <c r="L2691" t="s">
        <v>56066</v>
      </c>
      <c r="M2691" t="s">
        <v>56067</v>
      </c>
      <c r="N2691" t="s">
        <v>56068</v>
      </c>
      <c r="O2691">
        <f>-910.00552372852 -94.6255340695454 -494.855790083786</f>
        <v>-1499.4868478818514</v>
      </c>
      <c r="P2691">
        <f>-920.75847588153 -127.283512679961 -202.607572617862</f>
        <v>-1250.649561179353</v>
      </c>
      <c r="Q2691">
        <f>-754.245662477782 -5.31916456913905 -326.901577415112</f>
        <v>-1086.4664044620331</v>
      </c>
      <c r="R2691" t="s">
        <v>56069</v>
      </c>
      <c r="S2691" t="s">
        <v>56070</v>
      </c>
      <c r="T2691" t="s">
        <v>56071</v>
      </c>
      <c r="U2691" t="s">
        <v>56072</v>
      </c>
      <c r="V2691">
        <f>-862.741732153002 -5.76904432216134 -64.3542339254757</f>
        <v>-932.86501040063899</v>
      </c>
      <c r="W2691" t="s">
        <v>56073</v>
      </c>
      <c r="X2691" t="s">
        <v>56074</v>
      </c>
      <c r="Y2691" t="s">
        <v>56075</v>
      </c>
    </row>
    <row r="2692" spans="1:25" x14ac:dyDescent="0.3">
      <c r="A2692">
        <v>134550</v>
      </c>
      <c r="B2692" t="s">
        <v>56076</v>
      </c>
      <c r="C2692" t="s">
        <v>56077</v>
      </c>
      <c r="D2692" t="s">
        <v>56078</v>
      </c>
      <c r="E2692" t="s">
        <v>56079</v>
      </c>
      <c r="F2692" t="s">
        <v>56080</v>
      </c>
      <c r="G2692" t="s">
        <v>56081</v>
      </c>
      <c r="H2692" t="s">
        <v>56082</v>
      </c>
      <c r="I2692" t="s">
        <v>56083</v>
      </c>
      <c r="J2692" t="s">
        <v>56084</v>
      </c>
      <c r="K2692" t="s">
        <v>56085</v>
      </c>
      <c r="L2692" t="s">
        <v>56086</v>
      </c>
      <c r="M2692" t="s">
        <v>56087</v>
      </c>
      <c r="N2692" t="s">
        <v>56088</v>
      </c>
      <c r="O2692">
        <f>-909.959517809517 -94.9619017428861 -494.772456400403</f>
        <v>-1499.6938759528061</v>
      </c>
      <c r="P2692">
        <f>-920.413247091231 -127.428648213302 -202.492078812318</f>
        <v>-1250.3339741168509</v>
      </c>
      <c r="Q2692">
        <f>-754.219387508883 -5.2437861739395 -326.996582455375</f>
        <v>-1086.4597561381975</v>
      </c>
      <c r="R2692" t="s">
        <v>56089</v>
      </c>
      <c r="S2692" t="s">
        <v>56090</v>
      </c>
      <c r="T2692" t="s">
        <v>56091</v>
      </c>
      <c r="U2692" t="s">
        <v>56092</v>
      </c>
      <c r="V2692">
        <f>-862.638681889593 -5.93496137393549 -64.3679573704104</f>
        <v>-932.94160063393895</v>
      </c>
      <c r="W2692" t="s">
        <v>56093</v>
      </c>
      <c r="X2692" t="s">
        <v>56094</v>
      </c>
      <c r="Y2692" t="s">
        <v>56095</v>
      </c>
    </row>
    <row r="2693" spans="1:25" x14ac:dyDescent="0.3">
      <c r="A2693">
        <v>134600</v>
      </c>
      <c r="B2693" t="s">
        <v>56096</v>
      </c>
      <c r="C2693" t="s">
        <v>56097</v>
      </c>
      <c r="D2693" t="s">
        <v>56098</v>
      </c>
      <c r="E2693" t="s">
        <v>56099</v>
      </c>
      <c r="F2693" t="s">
        <v>56100</v>
      </c>
      <c r="G2693" t="s">
        <v>56101</v>
      </c>
      <c r="H2693" t="s">
        <v>56102</v>
      </c>
      <c r="I2693" t="s">
        <v>56103</v>
      </c>
      <c r="J2693" t="s">
        <v>56104</v>
      </c>
      <c r="K2693" t="s">
        <v>56105</v>
      </c>
      <c r="L2693" t="s">
        <v>56106</v>
      </c>
      <c r="M2693" t="s">
        <v>56107</v>
      </c>
      <c r="N2693" t="s">
        <v>56108</v>
      </c>
      <c r="O2693">
        <f>-910.087890843381 -95.5417432764232 -494.594491287443</f>
        <v>-1500.2241254072474</v>
      </c>
      <c r="P2693">
        <f>-919.99789743484 -127.648630388786 -202.255393416556</f>
        <v>-1249.901921240182</v>
      </c>
      <c r="Q2693">
        <f>-754.449432909157 -5.00027230117985 -327.162976627835</f>
        <v>-1086.612681838172</v>
      </c>
      <c r="R2693" t="s">
        <v>56109</v>
      </c>
      <c r="S2693" t="s">
        <v>56110</v>
      </c>
      <c r="T2693" t="s">
        <v>56111</v>
      </c>
      <c r="U2693" t="s">
        <v>56112</v>
      </c>
      <c r="V2693">
        <f>-862.568768986771 -6.35340661804321 -64.3622011187657</f>
        <v>-933.28437672357995</v>
      </c>
      <c r="W2693" t="s">
        <v>56113</v>
      </c>
      <c r="X2693" t="s">
        <v>56114</v>
      </c>
      <c r="Y2693" t="s">
        <v>56115</v>
      </c>
    </row>
    <row r="2694" spans="1:25" x14ac:dyDescent="0.3">
      <c r="A2694">
        <v>134650</v>
      </c>
      <c r="B2694" t="s">
        <v>56116</v>
      </c>
      <c r="C2694" t="s">
        <v>56117</v>
      </c>
      <c r="D2694" t="s">
        <v>56118</v>
      </c>
      <c r="E2694" t="s">
        <v>56119</v>
      </c>
      <c r="F2694" t="s">
        <v>56120</v>
      </c>
      <c r="G2694" t="s">
        <v>56121</v>
      </c>
      <c r="H2694" t="s">
        <v>56122</v>
      </c>
      <c r="I2694" t="s">
        <v>56123</v>
      </c>
      <c r="J2694" t="s">
        <v>56124</v>
      </c>
      <c r="K2694" t="s">
        <v>56125</v>
      </c>
      <c r="L2694" t="s">
        <v>56126</v>
      </c>
      <c r="M2694" t="s">
        <v>56127</v>
      </c>
      <c r="N2694" t="s">
        <v>56128</v>
      </c>
      <c r="O2694">
        <f>-910.19731173378 -95.7793659818328 -494.513146616196</f>
        <v>-1500.4898243318089</v>
      </c>
      <c r="P2694">
        <f>-919.893722991377 -127.688499629341 -202.145409205073</f>
        <v>-1249.7276318257911</v>
      </c>
      <c r="Q2694">
        <f>-754.586015101184 -4.91241330582443 -327.246608837679</f>
        <v>-1086.7450372446874</v>
      </c>
      <c r="R2694" t="s">
        <v>56129</v>
      </c>
      <c r="S2694" t="s">
        <v>56130</v>
      </c>
      <c r="T2694" t="s">
        <v>56131</v>
      </c>
      <c r="U2694" t="s">
        <v>56132</v>
      </c>
      <c r="V2694">
        <f>-862.56193280229 -6.48351918796379 -64.3569422153336</f>
        <v>-933.40239420558737</v>
      </c>
      <c r="W2694" t="s">
        <v>56133</v>
      </c>
      <c r="X2694" t="s">
        <v>56134</v>
      </c>
      <c r="Y2694" t="s">
        <v>56135</v>
      </c>
    </row>
    <row r="2695" spans="1:25" x14ac:dyDescent="0.3">
      <c r="A2695">
        <v>134700</v>
      </c>
      <c r="B2695" t="s">
        <v>56136</v>
      </c>
      <c r="C2695" t="s">
        <v>56137</v>
      </c>
      <c r="D2695" t="s">
        <v>56138</v>
      </c>
      <c r="E2695" t="s">
        <v>56139</v>
      </c>
      <c r="F2695" t="s">
        <v>56140</v>
      </c>
      <c r="G2695" t="s">
        <v>56141</v>
      </c>
      <c r="H2695" t="s">
        <v>56142</v>
      </c>
      <c r="I2695" t="s">
        <v>56143</v>
      </c>
      <c r="J2695" t="s">
        <v>56144</v>
      </c>
      <c r="K2695" t="s">
        <v>56145</v>
      </c>
      <c r="L2695" t="s">
        <v>56146</v>
      </c>
      <c r="M2695" t="s">
        <v>56147</v>
      </c>
      <c r="N2695" t="s">
        <v>56148</v>
      </c>
      <c r="O2695">
        <f>-910.55824179208 -96.1598255552431 -494.367966179785</f>
        <v>-1501.0860335271082</v>
      </c>
      <c r="P2695">
        <f>-919.78925006252 -127.776788497166 -201.953247285209</f>
        <v>-1249.519285844895</v>
      </c>
      <c r="Q2695">
        <f>-754.789756377244 -4.91442283450579 -327.37616127265</f>
        <v>-1087.0803404843998</v>
      </c>
      <c r="R2695" t="s">
        <v>56149</v>
      </c>
      <c r="S2695" t="s">
        <v>56150</v>
      </c>
      <c r="T2695" t="s">
        <v>56151</v>
      </c>
      <c r="U2695" t="s">
        <v>56152</v>
      </c>
      <c r="V2695">
        <f>-862.688775005875 -6.67563775289455 -64.3469647288003</f>
        <v>-933.71137748756985</v>
      </c>
      <c r="W2695" t="s">
        <v>56153</v>
      </c>
      <c r="X2695" t="s">
        <v>56154</v>
      </c>
      <c r="Y2695" t="s">
        <v>56155</v>
      </c>
    </row>
    <row r="2696" spans="1:25" x14ac:dyDescent="0.3">
      <c r="A2696">
        <v>134750</v>
      </c>
      <c r="B2696" t="s">
        <v>56156</v>
      </c>
      <c r="C2696" t="s">
        <v>56157</v>
      </c>
      <c r="D2696" t="s">
        <v>56158</v>
      </c>
      <c r="E2696" t="s">
        <v>56159</v>
      </c>
      <c r="F2696" t="s">
        <v>56160</v>
      </c>
      <c r="G2696" t="s">
        <v>56161</v>
      </c>
      <c r="H2696" t="s">
        <v>56162</v>
      </c>
      <c r="I2696" t="s">
        <v>56163</v>
      </c>
      <c r="J2696" t="s">
        <v>56164</v>
      </c>
      <c r="K2696" t="s">
        <v>56165</v>
      </c>
      <c r="L2696" t="s">
        <v>56166</v>
      </c>
      <c r="M2696" t="s">
        <v>56167</v>
      </c>
      <c r="N2696" t="s">
        <v>56168</v>
      </c>
      <c r="O2696">
        <f>-910.715959321514 -96.4518381538933 -494.291547902489</f>
        <v>-1501.4593453778962</v>
      </c>
      <c r="P2696">
        <f>-919.714471200013 -127.918587241363 -201.853431885254</f>
        <v>-1249.48649032663</v>
      </c>
      <c r="Q2696">
        <f>-754.935018828197 -5.02473518862053 -327.534314488909</f>
        <v>-1087.4940685057265</v>
      </c>
      <c r="R2696" t="s">
        <v>56169</v>
      </c>
      <c r="S2696" t="s">
        <v>56170</v>
      </c>
      <c r="T2696" t="s">
        <v>56171</v>
      </c>
      <c r="U2696" t="s">
        <v>56172</v>
      </c>
      <c r="V2696">
        <f>-862.717067305708 -6.75906355799088 -64.3497431230217</f>
        <v>-933.82587398672058</v>
      </c>
      <c r="W2696" t="s">
        <v>56173</v>
      </c>
      <c r="X2696" t="s">
        <v>56174</v>
      </c>
      <c r="Y2696" t="s">
        <v>56175</v>
      </c>
    </row>
    <row r="2697" spans="1:25" x14ac:dyDescent="0.3">
      <c r="A2697">
        <v>134800</v>
      </c>
      <c r="B2697" t="s">
        <v>56176</v>
      </c>
      <c r="C2697" t="s">
        <v>56177</v>
      </c>
      <c r="D2697" t="s">
        <v>56178</v>
      </c>
      <c r="E2697" t="s">
        <v>56179</v>
      </c>
      <c r="F2697" t="s">
        <v>56180</v>
      </c>
      <c r="G2697" t="s">
        <v>56181</v>
      </c>
      <c r="H2697" t="s">
        <v>56182</v>
      </c>
      <c r="I2697" t="s">
        <v>56183</v>
      </c>
      <c r="J2697" t="s">
        <v>56184</v>
      </c>
      <c r="K2697" t="s">
        <v>56185</v>
      </c>
      <c r="L2697" t="s">
        <v>56186</v>
      </c>
      <c r="M2697" t="s">
        <v>56187</v>
      </c>
      <c r="N2697" t="s">
        <v>56188</v>
      </c>
      <c r="O2697">
        <f>-910.971057219999 -97.0380359124172 -494.073200459839</f>
        <v>-1502.0822935922552</v>
      </c>
      <c r="P2697">
        <f>-919.758638888845 -128.001810711368 -201.574949280874</f>
        <v>-1249.335398881087</v>
      </c>
      <c r="Q2697">
        <f>-755.324770129648 -5.40882351440041 -328.000288168409</f>
        <v>-1088.7338818124574</v>
      </c>
      <c r="R2697" t="s">
        <v>56189</v>
      </c>
      <c r="S2697" t="s">
        <v>56190</v>
      </c>
      <c r="T2697" t="s">
        <v>56191</v>
      </c>
      <c r="U2697" t="s">
        <v>56192</v>
      </c>
      <c r="V2697">
        <f>-862.837975080185 -6.86827209070043 -64.3510995131209</f>
        <v>-934.05734668400623</v>
      </c>
      <c r="W2697" t="s">
        <v>56193</v>
      </c>
      <c r="X2697" t="s">
        <v>56194</v>
      </c>
      <c r="Y2697" t="s">
        <v>56195</v>
      </c>
    </row>
    <row r="2698" spans="1:25" x14ac:dyDescent="0.3">
      <c r="A2698">
        <v>134850</v>
      </c>
      <c r="B2698" t="s">
        <v>56196</v>
      </c>
      <c r="C2698" t="s">
        <v>56197</v>
      </c>
      <c r="D2698" t="s">
        <v>56198</v>
      </c>
      <c r="E2698" t="s">
        <v>56199</v>
      </c>
      <c r="F2698" t="s">
        <v>56200</v>
      </c>
      <c r="G2698" t="s">
        <v>56201</v>
      </c>
      <c r="H2698" t="s">
        <v>56202</v>
      </c>
      <c r="I2698" t="s">
        <v>56203</v>
      </c>
      <c r="J2698" t="s">
        <v>56204</v>
      </c>
      <c r="K2698" t="s">
        <v>56205</v>
      </c>
      <c r="L2698" t="s">
        <v>56206</v>
      </c>
      <c r="M2698" t="s">
        <v>56207</v>
      </c>
      <c r="N2698" t="s">
        <v>56208</v>
      </c>
      <c r="O2698">
        <f>-911.149368550347 -97.4249415843069 -493.939008875845</f>
        <v>-1502.5133190104989</v>
      </c>
      <c r="P2698">
        <f>-919.848089854176 -128.084960642725 -201.405948835352</f>
        <v>-1249.338999332253</v>
      </c>
      <c r="Q2698">
        <f>-755.548155458037 -5.7851267081578 -328.288382495137</f>
        <v>-1089.6216646613318</v>
      </c>
      <c r="R2698" t="s">
        <v>56209</v>
      </c>
      <c r="S2698" t="s">
        <v>56210</v>
      </c>
      <c r="T2698" t="s">
        <v>56211</v>
      </c>
      <c r="U2698" t="s">
        <v>56212</v>
      </c>
      <c r="V2698">
        <f>-862.856402670504 -7.01771025471544 -64.3538939997073</f>
        <v>-934.22800692492683</v>
      </c>
      <c r="W2698" t="s">
        <v>56213</v>
      </c>
      <c r="X2698" t="s">
        <v>56214</v>
      </c>
      <c r="Y2698" t="s">
        <v>56215</v>
      </c>
    </row>
    <row r="2699" spans="1:25" x14ac:dyDescent="0.3">
      <c r="A2699">
        <v>134900</v>
      </c>
      <c r="B2699" t="s">
        <v>56216</v>
      </c>
      <c r="C2699" t="s">
        <v>56217</v>
      </c>
      <c r="D2699" t="s">
        <v>56218</v>
      </c>
      <c r="E2699" t="s">
        <v>56219</v>
      </c>
      <c r="F2699" t="s">
        <v>56220</v>
      </c>
      <c r="G2699" t="s">
        <v>56221</v>
      </c>
      <c r="H2699" t="s">
        <v>56222</v>
      </c>
      <c r="I2699" t="s">
        <v>56223</v>
      </c>
      <c r="J2699" t="s">
        <v>56224</v>
      </c>
      <c r="K2699" t="s">
        <v>56225</v>
      </c>
      <c r="L2699" t="s">
        <v>56226</v>
      </c>
      <c r="M2699" t="s">
        <v>56227</v>
      </c>
      <c r="N2699" t="s">
        <v>56228</v>
      </c>
      <c r="O2699">
        <f>-911.399104992478 -97.8597808075351 -493.74812473491</f>
        <v>-1503.0070105349232</v>
      </c>
      <c r="P2699">
        <f>-920.018004695302 -128.184404142811 -201.177780049989</f>
        <v>-1249.3801888881021</v>
      </c>
      <c r="Q2699">
        <f>-756.227110684317 -5.44176086021298 -328.290634521886</f>
        <v>-1089.959506066416</v>
      </c>
      <c r="R2699" t="s">
        <v>56229</v>
      </c>
      <c r="S2699" t="s">
        <v>56230</v>
      </c>
      <c r="T2699" t="s">
        <v>56231</v>
      </c>
      <c r="U2699" t="s">
        <v>56232</v>
      </c>
      <c r="V2699">
        <f>-863.02515602201 -7.21718651690344 -64.3646315683292</f>
        <v>-934.60697410724265</v>
      </c>
      <c r="W2699" t="s">
        <v>56233</v>
      </c>
      <c r="X2699" t="s">
        <v>56234</v>
      </c>
      <c r="Y2699" t="s">
        <v>56235</v>
      </c>
    </row>
    <row r="2700" spans="1:25" x14ac:dyDescent="0.3">
      <c r="A2700">
        <v>134950</v>
      </c>
      <c r="B2700" t="s">
        <v>56236</v>
      </c>
      <c r="C2700" t="s">
        <v>56237</v>
      </c>
      <c r="D2700" t="s">
        <v>56238</v>
      </c>
      <c r="E2700" t="s">
        <v>56239</v>
      </c>
      <c r="F2700" t="s">
        <v>56240</v>
      </c>
      <c r="G2700" t="s">
        <v>56241</v>
      </c>
      <c r="H2700" t="s">
        <v>56242</v>
      </c>
      <c r="I2700" t="s">
        <v>56243</v>
      </c>
      <c r="J2700" t="s">
        <v>56244</v>
      </c>
      <c r="K2700" t="s">
        <v>56245</v>
      </c>
      <c r="L2700" t="s">
        <v>56246</v>
      </c>
      <c r="M2700" t="s">
        <v>56247</v>
      </c>
      <c r="N2700" t="s">
        <v>56248</v>
      </c>
      <c r="O2700">
        <f>-911.517053256566 -97.8363306088897 -493.725515540657</f>
        <v>-1503.0788994061127</v>
      </c>
      <c r="P2700">
        <f>-920.20187663528 -128.025873573241 -201.143213725968</f>
        <v>-1249.3709639344891</v>
      </c>
      <c r="Q2700">
        <f>-756.494235704983 -4.73680628813327 -327.833855059605</f>
        <v>-1089.0648970527213</v>
      </c>
      <c r="R2700" t="s">
        <v>56249</v>
      </c>
      <c r="S2700" t="s">
        <v>56250</v>
      </c>
      <c r="T2700" t="s">
        <v>56251</v>
      </c>
      <c r="U2700" t="s">
        <v>56252</v>
      </c>
      <c r="V2700">
        <f>-863.16334660313 -7.21586951921063 -64.37577963919</f>
        <v>-934.75499576153061</v>
      </c>
      <c r="W2700" t="s">
        <v>56253</v>
      </c>
      <c r="X2700" t="s">
        <v>56254</v>
      </c>
      <c r="Y2700" t="s">
        <v>56255</v>
      </c>
    </row>
    <row r="2701" spans="1:25" x14ac:dyDescent="0.3">
      <c r="A2701">
        <v>135000</v>
      </c>
      <c r="B2701" t="s">
        <v>56256</v>
      </c>
      <c r="C2701" t="s">
        <v>56257</v>
      </c>
      <c r="D2701" t="s">
        <v>56258</v>
      </c>
      <c r="E2701" t="s">
        <v>56259</v>
      </c>
      <c r="F2701" t="s">
        <v>56260</v>
      </c>
      <c r="G2701" t="s">
        <v>56261</v>
      </c>
      <c r="H2701" t="s">
        <v>56262</v>
      </c>
      <c r="I2701" t="s">
        <v>56263</v>
      </c>
      <c r="J2701" t="s">
        <v>56264</v>
      </c>
      <c r="K2701" t="s">
        <v>56265</v>
      </c>
      <c r="L2701" t="s">
        <v>56266</v>
      </c>
      <c r="M2701" t="s">
        <v>56267</v>
      </c>
      <c r="N2701" t="s">
        <v>56268</v>
      </c>
      <c r="O2701">
        <f>-911.392272789991 -97.8954811007509 -493.69275478694</f>
        <v>-1502.9805086776819</v>
      </c>
      <c r="P2701">
        <f>-920.239150151915 -128.29345200215 -201.136845291623</f>
        <v>-1249.6694474456881</v>
      </c>
      <c r="Q2701">
        <f>-756.694288846998 -4.53421313515355 -327.578895453752</f>
        <v>-1088.8073974359036</v>
      </c>
      <c r="R2701" t="s">
        <v>56269</v>
      </c>
      <c r="S2701" t="s">
        <v>56270</v>
      </c>
      <c r="T2701" t="s">
        <v>56271</v>
      </c>
      <c r="U2701" t="s">
        <v>56272</v>
      </c>
      <c r="V2701">
        <f>-863.296093432113 -7.25277328872426 -64.3740889403254</f>
        <v>-934.92295566116263</v>
      </c>
      <c r="W2701" t="s">
        <v>56273</v>
      </c>
      <c r="X2701" t="s">
        <v>56274</v>
      </c>
      <c r="Y2701" t="s">
        <v>56275</v>
      </c>
    </row>
    <row r="2702" spans="1:25" x14ac:dyDescent="0.3">
      <c r="A2702">
        <v>135050</v>
      </c>
      <c r="B2702" t="s">
        <v>56276</v>
      </c>
      <c r="C2702" t="s">
        <v>56277</v>
      </c>
      <c r="D2702" t="s">
        <v>56278</v>
      </c>
      <c r="E2702" t="s">
        <v>56279</v>
      </c>
      <c r="F2702" t="s">
        <v>56280</v>
      </c>
      <c r="G2702" t="s">
        <v>56281</v>
      </c>
      <c r="H2702" t="s">
        <v>56282</v>
      </c>
      <c r="I2702" t="s">
        <v>56283</v>
      </c>
      <c r="J2702" t="s">
        <v>56284</v>
      </c>
      <c r="K2702" t="s">
        <v>56285</v>
      </c>
      <c r="L2702" t="s">
        <v>56286</v>
      </c>
      <c r="M2702" t="s">
        <v>56287</v>
      </c>
      <c r="N2702" t="s">
        <v>56288</v>
      </c>
      <c r="O2702">
        <f>-911.201553359884 -97.8219292834401 -493.715021029176</f>
        <v>-1502.7385036725</v>
      </c>
      <c r="P2702">
        <f>-919.994353176758 -128.245890265195 -201.160244480922</f>
        <v>-1249.4004879228751</v>
      </c>
      <c r="Q2702">
        <f>-756.308072253691 -4.40481455848158 -327.339091470058</f>
        <v>-1088.0519782822305</v>
      </c>
      <c r="R2702" t="s">
        <v>56289</v>
      </c>
      <c r="S2702" t="s">
        <v>56290</v>
      </c>
      <c r="T2702" t="s">
        <v>56291</v>
      </c>
      <c r="U2702" t="s">
        <v>56292</v>
      </c>
      <c r="V2702">
        <f>-863.275881550723 -7.22731838871914 -64.3665584697208</f>
        <v>-934.86975840916296</v>
      </c>
      <c r="W2702" t="s">
        <v>56293</v>
      </c>
      <c r="X2702" t="s">
        <v>56294</v>
      </c>
      <c r="Y2702" t="s">
        <v>56295</v>
      </c>
    </row>
    <row r="2703" spans="1:25" x14ac:dyDescent="0.3">
      <c r="A2703">
        <v>135100</v>
      </c>
      <c r="B2703" t="s">
        <v>56296</v>
      </c>
      <c r="C2703" t="s">
        <v>56297</v>
      </c>
      <c r="D2703" t="s">
        <v>56298</v>
      </c>
      <c r="E2703" t="s">
        <v>56299</v>
      </c>
      <c r="F2703" t="s">
        <v>56300</v>
      </c>
      <c r="G2703" t="s">
        <v>56301</v>
      </c>
      <c r="H2703" t="s">
        <v>56302</v>
      </c>
      <c r="I2703" t="s">
        <v>56303</v>
      </c>
      <c r="J2703" t="s">
        <v>56304</v>
      </c>
      <c r="K2703" t="s">
        <v>56305</v>
      </c>
      <c r="L2703" t="s">
        <v>56306</v>
      </c>
      <c r="M2703" t="s">
        <v>56307</v>
      </c>
      <c r="N2703" t="s">
        <v>56308</v>
      </c>
      <c r="O2703">
        <f>-910.969101559975 -97.7540160981846 -493.659556642519</f>
        <v>-1502.3826743006787</v>
      </c>
      <c r="P2703">
        <f>-919.727109260547 -128.071745303317 -201.092827799313</f>
        <v>-1248.8916823631769</v>
      </c>
      <c r="Q2703">
        <f>-756.069420642112 -4.41831430637058 -327.492618750173</f>
        <v>-1087.9803536986556</v>
      </c>
      <c r="R2703" t="s">
        <v>56309</v>
      </c>
      <c r="S2703" t="s">
        <v>56310</v>
      </c>
      <c r="T2703" t="s">
        <v>56311</v>
      </c>
      <c r="U2703" t="s">
        <v>56312</v>
      </c>
      <c r="V2703">
        <f>-863.317469610527 -7.1926371457057 -64.3703504472087</f>
        <v>-934.88045720344144</v>
      </c>
      <c r="W2703" t="s">
        <v>56313</v>
      </c>
      <c r="X2703" t="s">
        <v>56314</v>
      </c>
      <c r="Y2703" t="s">
        <v>56315</v>
      </c>
    </row>
    <row r="2704" spans="1:25" x14ac:dyDescent="0.3">
      <c r="A2704">
        <v>135150</v>
      </c>
      <c r="B2704" t="s">
        <v>56316</v>
      </c>
      <c r="C2704" t="s">
        <v>56317</v>
      </c>
      <c r="D2704" t="s">
        <v>56318</v>
      </c>
      <c r="E2704" t="s">
        <v>56319</v>
      </c>
      <c r="F2704" t="s">
        <v>56320</v>
      </c>
      <c r="G2704" t="s">
        <v>56321</v>
      </c>
      <c r="H2704" t="s">
        <v>56322</v>
      </c>
      <c r="I2704" t="s">
        <v>56323</v>
      </c>
      <c r="J2704" t="s">
        <v>56324</v>
      </c>
      <c r="K2704" t="s">
        <v>56325</v>
      </c>
      <c r="L2704" t="s">
        <v>56326</v>
      </c>
      <c r="M2704" t="s">
        <v>56327</v>
      </c>
      <c r="N2704" t="s">
        <v>56328</v>
      </c>
      <c r="O2704">
        <f>-910.803926392644 -97.7105157837382 -493.688260638005</f>
        <v>-1502.2027028143871</v>
      </c>
      <c r="P2704">
        <f>-919.698338858657 -128.085727530748 -201.131490111852</f>
        <v>-1248.915556501257</v>
      </c>
      <c r="Q2704">
        <f>-756.479354705078 -3.43854949251545 -327.121740728473</f>
        <v>-1087.0396449260666</v>
      </c>
      <c r="R2704" t="s">
        <v>56329</v>
      </c>
      <c r="S2704" t="s">
        <v>56330</v>
      </c>
      <c r="T2704" t="s">
        <v>56331</v>
      </c>
      <c r="U2704" t="s">
        <v>56332</v>
      </c>
      <c r="V2704">
        <f>-863.257320704789 -7.11976193646024 -64.3822341093629</f>
        <v>-934.75931675061213</v>
      </c>
      <c r="W2704" t="s">
        <v>56333</v>
      </c>
      <c r="X2704" t="s">
        <v>56334</v>
      </c>
      <c r="Y2704" t="s">
        <v>56335</v>
      </c>
    </row>
    <row r="2705" spans="1:25" x14ac:dyDescent="0.3">
      <c r="A2705">
        <v>135200</v>
      </c>
      <c r="B2705" t="s">
        <v>56336</v>
      </c>
      <c r="C2705" t="s">
        <v>56337</v>
      </c>
      <c r="D2705" t="s">
        <v>56338</v>
      </c>
      <c r="E2705" t="s">
        <v>56339</v>
      </c>
      <c r="F2705" t="s">
        <v>56340</v>
      </c>
      <c r="G2705" t="s">
        <v>56341</v>
      </c>
      <c r="H2705" t="s">
        <v>56342</v>
      </c>
      <c r="I2705" t="s">
        <v>56343</v>
      </c>
      <c r="J2705" t="s">
        <v>56344</v>
      </c>
      <c r="K2705" t="s">
        <v>56345</v>
      </c>
      <c r="L2705" t="s">
        <v>56346</v>
      </c>
      <c r="M2705" t="s">
        <v>56347</v>
      </c>
      <c r="N2705" t="s">
        <v>56348</v>
      </c>
      <c r="O2705">
        <f>-910.432877393395 -98.1107037115528 -493.778327343677</f>
        <v>-1502.3219084486248</v>
      </c>
      <c r="P2705">
        <f>-919.562293044708 -128.71536949502 -201.252706411822</f>
        <v>-1249.5303689515499</v>
      </c>
      <c r="Q2705">
        <f>-756.744891666111 -3.0884071562059 -326.788921565597</f>
        <v>-1086.6222203879138</v>
      </c>
      <c r="R2705" t="s">
        <v>56349</v>
      </c>
      <c r="S2705" t="s">
        <v>56350</v>
      </c>
      <c r="T2705" t="s">
        <v>56351</v>
      </c>
      <c r="U2705" t="s">
        <v>56352</v>
      </c>
      <c r="V2705">
        <f>-862.959037448323 -7.38622427938026 -64.4099161674505</f>
        <v>-934.75517789515379</v>
      </c>
      <c r="W2705" t="s">
        <v>56353</v>
      </c>
      <c r="X2705" t="s">
        <v>56354</v>
      </c>
      <c r="Y2705" t="s">
        <v>56355</v>
      </c>
    </row>
    <row r="2706" spans="1:25" x14ac:dyDescent="0.3">
      <c r="A2706">
        <v>135250</v>
      </c>
      <c r="B2706" t="s">
        <v>56356</v>
      </c>
      <c r="C2706" t="s">
        <v>56357</v>
      </c>
      <c r="D2706" t="s">
        <v>56358</v>
      </c>
      <c r="E2706" t="s">
        <v>56359</v>
      </c>
      <c r="F2706" t="s">
        <v>56360</v>
      </c>
      <c r="G2706" t="s">
        <v>56361</v>
      </c>
      <c r="H2706" t="s">
        <v>56362</v>
      </c>
      <c r="I2706" t="s">
        <v>56363</v>
      </c>
      <c r="J2706" t="s">
        <v>56364</v>
      </c>
      <c r="K2706" t="s">
        <v>56365</v>
      </c>
      <c r="L2706" t="s">
        <v>56366</v>
      </c>
      <c r="M2706" t="s">
        <v>56367</v>
      </c>
      <c r="N2706" t="s">
        <v>56368</v>
      </c>
      <c r="O2706">
        <f>-910.237734018679 -98.1707585529348 -493.858821478237</f>
        <v>-1502.2673140498509</v>
      </c>
      <c r="P2706">
        <f>-919.234302191506 -129.090495050282 -201.362284640517</f>
        <v>-1249.6870818823049</v>
      </c>
      <c r="Q2706">
        <f>-756.574833891988 -3.01515434029398 -326.652967025256</f>
        <v>-1086.2429552575379</v>
      </c>
      <c r="R2706" t="s">
        <v>56369</v>
      </c>
      <c r="S2706" t="s">
        <v>56370</v>
      </c>
      <c r="T2706" t="s">
        <v>56371</v>
      </c>
      <c r="U2706" t="s">
        <v>56372</v>
      </c>
      <c r="V2706">
        <f>-862.842824388987 -7.44181427409785 -64.4250823435037</f>
        <v>-934.70972100658855</v>
      </c>
      <c r="W2706" t="s">
        <v>56373</v>
      </c>
      <c r="X2706" t="s">
        <v>56374</v>
      </c>
      <c r="Y2706" t="s">
        <v>56375</v>
      </c>
    </row>
    <row r="2707" spans="1:25" x14ac:dyDescent="0.3">
      <c r="A2707">
        <v>135300</v>
      </c>
      <c r="B2707" t="s">
        <v>56376</v>
      </c>
      <c r="C2707" t="s">
        <v>56377</v>
      </c>
      <c r="D2707" t="s">
        <v>56378</v>
      </c>
      <c r="E2707" t="s">
        <v>56379</v>
      </c>
      <c r="F2707" t="s">
        <v>56380</v>
      </c>
      <c r="G2707" t="s">
        <v>56381</v>
      </c>
      <c r="H2707" t="s">
        <v>56382</v>
      </c>
      <c r="I2707" t="s">
        <v>56383</v>
      </c>
      <c r="J2707" t="s">
        <v>56384</v>
      </c>
      <c r="K2707" t="s">
        <v>56385</v>
      </c>
      <c r="L2707" t="s">
        <v>56386</v>
      </c>
      <c r="M2707" t="s">
        <v>56387</v>
      </c>
      <c r="N2707" t="s">
        <v>56388</v>
      </c>
      <c r="O2707">
        <f>-909.507260923515 -98.2637295231864 -493.900647927372</f>
        <v>-1501.6716383740734</v>
      </c>
      <c r="P2707">
        <f>-918.418662809129 -129.332012498124 -201.417144953529</f>
        <v>-1249.167820260782</v>
      </c>
      <c r="Q2707">
        <f>-756.268865128597 -2.86711440060981 -326.975535376933</f>
        <v>-1086.1115149061397</v>
      </c>
      <c r="R2707" t="s">
        <v>56389</v>
      </c>
      <c r="S2707" t="s">
        <v>56390</v>
      </c>
      <c r="T2707" t="s">
        <v>56391</v>
      </c>
      <c r="U2707" t="s">
        <v>56392</v>
      </c>
      <c r="V2707">
        <f>-862.650408959558 -7.5840574826243 -64.4657818701644</f>
        <v>-934.70024831234673</v>
      </c>
      <c r="W2707" t="s">
        <v>56393</v>
      </c>
      <c r="X2707" t="s">
        <v>56394</v>
      </c>
      <c r="Y2707" t="s">
        <v>56395</v>
      </c>
    </row>
    <row r="2708" spans="1:25" x14ac:dyDescent="0.3">
      <c r="A2708">
        <v>135350</v>
      </c>
      <c r="B2708" t="s">
        <v>56396</v>
      </c>
      <c r="C2708" t="s">
        <v>56397</v>
      </c>
      <c r="D2708" t="s">
        <v>56398</v>
      </c>
      <c r="E2708" t="s">
        <v>56399</v>
      </c>
      <c r="F2708" t="s">
        <v>56400</v>
      </c>
      <c r="G2708" t="s">
        <v>56401</v>
      </c>
      <c r="H2708" t="s">
        <v>56402</v>
      </c>
      <c r="I2708" t="s">
        <v>56403</v>
      </c>
      <c r="J2708" t="s">
        <v>56404</v>
      </c>
      <c r="K2708" t="s">
        <v>56405</v>
      </c>
      <c r="L2708" t="s">
        <v>56406</v>
      </c>
      <c r="M2708" t="s">
        <v>56407</v>
      </c>
      <c r="N2708" t="s">
        <v>56408</v>
      </c>
      <c r="O2708">
        <f>-909.218543335404 -98.3524686703113 -493.899284348778</f>
        <v>-1501.4702963544933</v>
      </c>
      <c r="P2708">
        <f>-918.071969914235 -129.813409563661 -201.456116544754</f>
        <v>-1249.3414960226498</v>
      </c>
      <c r="Q2708">
        <f>-756.906335870941 -1.81870308702219 -326.7314377545</f>
        <v>-1085.4564767124632</v>
      </c>
      <c r="R2708" t="s">
        <v>56409</v>
      </c>
      <c r="S2708" t="s">
        <v>56410</v>
      </c>
      <c r="T2708" t="s">
        <v>56411</v>
      </c>
      <c r="U2708" t="s">
        <v>56412</v>
      </c>
      <c r="V2708">
        <f>-862.647939346656 -7.61671659602234 -64.4708744886586</f>
        <v>-934.735530431337</v>
      </c>
      <c r="W2708" t="s">
        <v>56413</v>
      </c>
      <c r="X2708" t="s">
        <v>56414</v>
      </c>
      <c r="Y2708" t="s">
        <v>56415</v>
      </c>
    </row>
    <row r="2709" spans="1:25" x14ac:dyDescent="0.3">
      <c r="A2709">
        <v>135400</v>
      </c>
      <c r="B2709" t="s">
        <v>56416</v>
      </c>
      <c r="C2709" t="s">
        <v>56417</v>
      </c>
      <c r="D2709" t="s">
        <v>56418</v>
      </c>
      <c r="E2709" t="s">
        <v>56419</v>
      </c>
      <c r="F2709" t="s">
        <v>56420</v>
      </c>
      <c r="G2709" t="s">
        <v>56421</v>
      </c>
      <c r="H2709" t="s">
        <v>56422</v>
      </c>
      <c r="I2709" t="s">
        <v>56423</v>
      </c>
      <c r="J2709" t="s">
        <v>56424</v>
      </c>
      <c r="K2709" t="s">
        <v>56425</v>
      </c>
      <c r="L2709" t="s">
        <v>56426</v>
      </c>
      <c r="M2709" t="s">
        <v>56427</v>
      </c>
      <c r="N2709" t="s">
        <v>56428</v>
      </c>
      <c r="O2709">
        <f>-908.866410899886 -98.4210437098529 -493.979924464484</f>
        <v>-1501.2673790742228</v>
      </c>
      <c r="P2709">
        <f>-917.770013031357 -130.127404773513 -201.564811234612</f>
        <v>-1249.4622290394821</v>
      </c>
      <c r="Q2709">
        <f>-757.18796967835 -1.03368402349406 -326.46059941997</f>
        <v>-1084.682253121814</v>
      </c>
      <c r="R2709" t="s">
        <v>56429</v>
      </c>
      <c r="S2709" t="s">
        <v>56430</v>
      </c>
      <c r="T2709" t="s">
        <v>56431</v>
      </c>
      <c r="U2709" t="s">
        <v>56432</v>
      </c>
      <c r="V2709">
        <f>-862.531174149428 -7.88289250092885 -64.4801249139946</f>
        <v>-934.89419156435144</v>
      </c>
      <c r="W2709" t="s">
        <v>56433</v>
      </c>
      <c r="X2709" t="s">
        <v>56434</v>
      </c>
      <c r="Y2709" t="s">
        <v>56435</v>
      </c>
    </row>
    <row r="2710" spans="1:25" x14ac:dyDescent="0.3">
      <c r="A2710">
        <v>135450</v>
      </c>
      <c r="B2710" t="s">
        <v>56436</v>
      </c>
      <c r="C2710" t="s">
        <v>56437</v>
      </c>
      <c r="D2710" t="s">
        <v>56438</v>
      </c>
      <c r="E2710" t="s">
        <v>56439</v>
      </c>
      <c r="F2710" t="s">
        <v>56440</v>
      </c>
      <c r="G2710" t="s">
        <v>56441</v>
      </c>
      <c r="H2710" t="s">
        <v>56442</v>
      </c>
      <c r="I2710" t="s">
        <v>56443</v>
      </c>
      <c r="J2710" t="s">
        <v>56444</v>
      </c>
      <c r="K2710" t="s">
        <v>56445</v>
      </c>
      <c r="L2710" t="s">
        <v>56446</v>
      </c>
      <c r="M2710" t="s">
        <v>56447</v>
      </c>
      <c r="N2710" t="s">
        <v>56448</v>
      </c>
      <c r="O2710">
        <f>-908.717281376334 -98.4202600176054 -494.008735514751</f>
        <v>-1501.1462769086904</v>
      </c>
      <c r="P2710">
        <f>-917.149491616989 -130.553527467951 -201.626185470743</f>
        <v>-1249.329204555683</v>
      </c>
      <c r="Q2710">
        <f>-756.788738562386 -0.763860031758668 -326.085025225193</f>
        <v>-1083.6376238193377</v>
      </c>
      <c r="R2710" t="s">
        <v>56449</v>
      </c>
      <c r="S2710" t="s">
        <v>56450</v>
      </c>
      <c r="T2710" t="s">
        <v>56451</v>
      </c>
      <c r="U2710" t="s">
        <v>56452</v>
      </c>
      <c r="V2710">
        <f>-862.505315711408 -7.98571631119285 -64.4717983522712</f>
        <v>-934.96283037487206</v>
      </c>
      <c r="W2710" t="s">
        <v>56453</v>
      </c>
      <c r="X2710" t="s">
        <v>56454</v>
      </c>
      <c r="Y2710" t="s">
        <v>56455</v>
      </c>
    </row>
    <row r="2711" spans="1:25" x14ac:dyDescent="0.3">
      <c r="A2711">
        <v>135500</v>
      </c>
      <c r="B2711" t="s">
        <v>56456</v>
      </c>
      <c r="C2711" t="s">
        <v>56457</v>
      </c>
      <c r="D2711" t="s">
        <v>56458</v>
      </c>
      <c r="E2711" t="s">
        <v>56459</v>
      </c>
      <c r="F2711" t="s">
        <v>56460</v>
      </c>
      <c r="G2711" t="s">
        <v>56461</v>
      </c>
      <c r="H2711" t="s">
        <v>56462</v>
      </c>
      <c r="I2711" t="s">
        <v>56463</v>
      </c>
      <c r="J2711" t="s">
        <v>56464</v>
      </c>
      <c r="K2711" t="s">
        <v>56465</v>
      </c>
      <c r="L2711" t="s">
        <v>56466</v>
      </c>
      <c r="M2711" t="s">
        <v>56467</v>
      </c>
      <c r="N2711" t="s">
        <v>56468</v>
      </c>
      <c r="O2711">
        <f>-907.983842078065 -98.6955469500117 -493.981581042793</f>
        <v>-1500.6609700708696</v>
      </c>
      <c r="P2711">
        <f>-916.564272656368 -130.99334129612 -201.621480269033</f>
        <v>-1249.1790942215212</v>
      </c>
      <c r="Q2711">
        <f>-756.327597430357 -1.31088296680173 -326.35145154392</f>
        <v>-1083.9899319410788</v>
      </c>
      <c r="R2711" t="s">
        <v>56469</v>
      </c>
      <c r="S2711" t="s">
        <v>56470</v>
      </c>
      <c r="T2711" t="s">
        <v>56471</v>
      </c>
      <c r="U2711" t="s">
        <v>56472</v>
      </c>
      <c r="V2711">
        <f>-862.330856144075 -8.40203896335424 -64.4507478669767</f>
        <v>-935.18364297440598</v>
      </c>
      <c r="W2711" t="s">
        <v>56473</v>
      </c>
      <c r="X2711" t="s">
        <v>56474</v>
      </c>
      <c r="Y2711" t="s">
        <v>56475</v>
      </c>
    </row>
    <row r="2712" spans="1:25" x14ac:dyDescent="0.3">
      <c r="A2712">
        <v>135550</v>
      </c>
      <c r="B2712" t="s">
        <v>56476</v>
      </c>
      <c r="C2712" t="s">
        <v>56477</v>
      </c>
      <c r="D2712" t="s">
        <v>56478</v>
      </c>
      <c r="E2712" t="s">
        <v>56479</v>
      </c>
      <c r="F2712" t="s">
        <v>56480</v>
      </c>
      <c r="G2712" t="s">
        <v>56481</v>
      </c>
      <c r="H2712" t="s">
        <v>56482</v>
      </c>
      <c r="I2712" t="s">
        <v>56483</v>
      </c>
      <c r="J2712" t="s">
        <v>56484</v>
      </c>
      <c r="K2712" t="s">
        <v>56485</v>
      </c>
      <c r="L2712" t="s">
        <v>56486</v>
      </c>
      <c r="M2712" t="s">
        <v>56487</v>
      </c>
      <c r="N2712" t="s">
        <v>56488</v>
      </c>
      <c r="O2712">
        <f>-907.713320924586 -98.7352530444139 -493.980534278281</f>
        <v>-1500.429108247281</v>
      </c>
      <c r="P2712">
        <f>-916.218989020412 -131.319936657943 -201.650008653632</f>
        <v>-1249.1889343319872</v>
      </c>
      <c r="Q2712">
        <f>-756.658244728128 -0.692919503617304 -326.260415541605</f>
        <v>-1083.6115797733503</v>
      </c>
      <c r="R2712" t="s">
        <v>56489</v>
      </c>
      <c r="S2712" t="s">
        <v>56490</v>
      </c>
      <c r="T2712" t="s">
        <v>56491</v>
      </c>
      <c r="U2712" t="s">
        <v>56492</v>
      </c>
      <c r="V2712">
        <f>-862.26201807066 -8.53392078367506 -64.4432748406757</f>
        <v>-935.23921369501079</v>
      </c>
      <c r="W2712" t="s">
        <v>56493</v>
      </c>
      <c r="X2712" t="s">
        <v>56494</v>
      </c>
      <c r="Y2712" t="s">
        <v>56495</v>
      </c>
    </row>
    <row r="2713" spans="1:25" x14ac:dyDescent="0.3">
      <c r="A2713">
        <v>135600</v>
      </c>
      <c r="B2713" t="s">
        <v>56496</v>
      </c>
      <c r="C2713" t="s">
        <v>56497</v>
      </c>
      <c r="D2713" t="s">
        <v>56498</v>
      </c>
      <c r="E2713" t="s">
        <v>56499</v>
      </c>
      <c r="F2713" t="s">
        <v>56500</v>
      </c>
      <c r="G2713" t="s">
        <v>56501</v>
      </c>
      <c r="H2713" t="s">
        <v>56502</v>
      </c>
      <c r="I2713" t="s">
        <v>56503</v>
      </c>
      <c r="J2713" t="s">
        <v>56504</v>
      </c>
      <c r="K2713" t="s">
        <v>56505</v>
      </c>
      <c r="L2713" t="s">
        <v>56506</v>
      </c>
      <c r="M2713" t="s">
        <v>56507</v>
      </c>
      <c r="N2713" t="s">
        <v>56508</v>
      </c>
      <c r="O2713">
        <f>-907.091076260664 -98.8445780086777 -493.918479895225</f>
        <v>-1499.8541341645666</v>
      </c>
      <c r="P2713">
        <f>-915.773106393081 -131.295606125655 -201.578334605716</f>
        <v>-1248.647047124452</v>
      </c>
      <c r="Q2713">
        <f>-756.540107438085 -0.317469925262685 -326.239620559588</f>
        <v>-1083.0971979229357</v>
      </c>
      <c r="R2713" t="s">
        <v>56509</v>
      </c>
      <c r="S2713" t="s">
        <v>56510</v>
      </c>
      <c r="T2713" t="s">
        <v>56511</v>
      </c>
      <c r="U2713" t="s">
        <v>56512</v>
      </c>
      <c r="V2713">
        <f>-862.185127684556 -9.00970333940131 -64.4094828144541</f>
        <v>-935.60431383841149</v>
      </c>
      <c r="W2713" t="s">
        <v>56513</v>
      </c>
      <c r="X2713" t="s">
        <v>56514</v>
      </c>
      <c r="Y2713" t="s">
        <v>56515</v>
      </c>
    </row>
    <row r="2714" spans="1:25" x14ac:dyDescent="0.3">
      <c r="A2714">
        <v>135650</v>
      </c>
      <c r="B2714" t="s">
        <v>56516</v>
      </c>
      <c r="C2714" t="s">
        <v>56517</v>
      </c>
      <c r="D2714" t="s">
        <v>56518</v>
      </c>
      <c r="E2714" t="s">
        <v>56519</v>
      </c>
      <c r="F2714" t="s">
        <v>56520</v>
      </c>
      <c r="G2714" t="s">
        <v>56521</v>
      </c>
      <c r="H2714" t="s">
        <v>56522</v>
      </c>
      <c r="I2714" t="s">
        <v>56523</v>
      </c>
      <c r="J2714" t="s">
        <v>56524</v>
      </c>
      <c r="K2714" t="s">
        <v>56525</v>
      </c>
      <c r="L2714" t="s">
        <v>56526</v>
      </c>
      <c r="M2714" t="s">
        <v>56527</v>
      </c>
      <c r="N2714" t="s">
        <v>56528</v>
      </c>
      <c r="O2714">
        <f>-906.602709571027 -98.974671421629 -493.878609060127</f>
        <v>-1499.4559900527829</v>
      </c>
      <c r="P2714">
        <f>-915.153616993483 -131.64747939001 -201.559379634149</f>
        <v>-1248.360476017642</v>
      </c>
      <c r="Q2714">
        <f>-756.189253425928 -0.159685014019942 -326.026886834631</f>
        <v>-1082.3758252745788</v>
      </c>
      <c r="R2714" t="s">
        <v>56529</v>
      </c>
      <c r="S2714" t="s">
        <v>56530</v>
      </c>
      <c r="T2714" t="s">
        <v>56531</v>
      </c>
      <c r="U2714" t="s">
        <v>56532</v>
      </c>
      <c r="V2714">
        <f>-862.123415545744 -9.23485609028057 -64.387998812402</f>
        <v>-935.74627044842657</v>
      </c>
      <c r="W2714" t="s">
        <v>56533</v>
      </c>
      <c r="X2714" t="s">
        <v>56534</v>
      </c>
      <c r="Y2714" t="s">
        <v>56535</v>
      </c>
    </row>
    <row r="2715" spans="1:25" x14ac:dyDescent="0.3">
      <c r="A2715">
        <v>135700</v>
      </c>
      <c r="B2715" t="s">
        <v>56536</v>
      </c>
      <c r="C2715" t="s">
        <v>56537</v>
      </c>
      <c r="D2715" t="s">
        <v>56538</v>
      </c>
      <c r="E2715" t="s">
        <v>56539</v>
      </c>
      <c r="F2715" t="s">
        <v>56540</v>
      </c>
      <c r="G2715" t="s">
        <v>56541</v>
      </c>
      <c r="H2715" t="s">
        <v>56542</v>
      </c>
      <c r="I2715" t="s">
        <v>56543</v>
      </c>
      <c r="J2715" t="s">
        <v>56544</v>
      </c>
      <c r="K2715" t="s">
        <v>56545</v>
      </c>
      <c r="L2715" t="s">
        <v>56546</v>
      </c>
      <c r="M2715" t="s">
        <v>56547</v>
      </c>
      <c r="N2715" t="s">
        <v>56548</v>
      </c>
      <c r="O2715">
        <f>-905.537304611073 -99.143417351893 -493.78318290908</f>
        <v>-1498.463904872046</v>
      </c>
      <c r="P2715">
        <f>-914.40487720012 -131.42358016304 -201.429729200997</f>
        <v>-1247.2581865641569</v>
      </c>
      <c r="Q2715" t="s">
        <v>56549</v>
      </c>
      <c r="R2715" t="s">
        <v>56550</v>
      </c>
      <c r="S2715" t="s">
        <v>56551</v>
      </c>
      <c r="T2715" t="s">
        <v>56552</v>
      </c>
      <c r="U2715" t="s">
        <v>56553</v>
      </c>
      <c r="V2715">
        <f>-861.922574491862 -9.50627898175753 -64.3623049878053</f>
        <v>-935.79115846142474</v>
      </c>
      <c r="W2715" t="s">
        <v>56554</v>
      </c>
      <c r="X2715" t="s">
        <v>56555</v>
      </c>
      <c r="Y2715" t="s">
        <v>56556</v>
      </c>
    </row>
    <row r="2716" spans="1:25" x14ac:dyDescent="0.3">
      <c r="A2716">
        <v>135750</v>
      </c>
      <c r="B2716" t="s">
        <v>56557</v>
      </c>
      <c r="C2716" t="s">
        <v>56558</v>
      </c>
      <c r="D2716" t="s">
        <v>56559</v>
      </c>
      <c r="E2716" t="s">
        <v>56560</v>
      </c>
      <c r="F2716" t="s">
        <v>56561</v>
      </c>
      <c r="G2716" t="s">
        <v>56562</v>
      </c>
      <c r="H2716" t="s">
        <v>56563</v>
      </c>
      <c r="I2716" t="s">
        <v>56564</v>
      </c>
      <c r="J2716" t="s">
        <v>56565</v>
      </c>
      <c r="K2716" t="s">
        <v>56566</v>
      </c>
      <c r="L2716" t="s">
        <v>56567</v>
      </c>
      <c r="M2716" t="s">
        <v>56568</v>
      </c>
      <c r="N2716" t="s">
        <v>56569</v>
      </c>
      <c r="O2716">
        <f>-904.80171627201 -99.3421685716899 -493.705678399357</f>
        <v>-1497.8495632430568</v>
      </c>
      <c r="P2716">
        <f>-913.89860735079 -131.625279479972 -201.359534591708</f>
        <v>-1246.8834214224701</v>
      </c>
      <c r="Q2716">
        <f>-754.530660041213 -0.0432096957492831 -325.209569625805</f>
        <v>-1079.7834393627672</v>
      </c>
      <c r="R2716" t="s">
        <v>56570</v>
      </c>
      <c r="S2716" t="s">
        <v>56571</v>
      </c>
      <c r="T2716" t="s">
        <v>56572</v>
      </c>
      <c r="U2716" t="s">
        <v>56573</v>
      </c>
      <c r="V2716">
        <f>-861.730568527286 -9.73487293726384 -64.3546366260244</f>
        <v>-935.82007809057427</v>
      </c>
      <c r="W2716" t="s">
        <v>56574</v>
      </c>
      <c r="X2716" t="s">
        <v>56575</v>
      </c>
      <c r="Y2716" t="s">
        <v>56576</v>
      </c>
    </row>
    <row r="2717" spans="1:25" x14ac:dyDescent="0.3">
      <c r="A2717">
        <v>135800</v>
      </c>
      <c r="B2717" t="s">
        <v>56577</v>
      </c>
      <c r="C2717" t="s">
        <v>56578</v>
      </c>
      <c r="D2717" t="s">
        <v>56579</v>
      </c>
      <c r="E2717" t="s">
        <v>56580</v>
      </c>
      <c r="F2717" t="s">
        <v>56581</v>
      </c>
      <c r="G2717" t="s">
        <v>56582</v>
      </c>
      <c r="H2717" t="s">
        <v>56583</v>
      </c>
      <c r="I2717" t="s">
        <v>56584</v>
      </c>
      <c r="J2717" t="s">
        <v>56585</v>
      </c>
      <c r="K2717" t="s">
        <v>56586</v>
      </c>
      <c r="L2717" t="s">
        <v>56587</v>
      </c>
      <c r="M2717" t="s">
        <v>56588</v>
      </c>
      <c r="N2717" t="s">
        <v>56589</v>
      </c>
      <c r="O2717">
        <f>-902.857157469809 -99.6411903426369 -493.600526487278</f>
        <v>-1496.0988742997238</v>
      </c>
      <c r="P2717">
        <f>-912.555778760177 -131.645491076427 -201.242973273157</f>
        <v>-1245.4442431097609</v>
      </c>
      <c r="Q2717">
        <f>-752.915077660685 -0.422652611670401 -325.123092850074</f>
        <v>-1078.4608231224295</v>
      </c>
      <c r="R2717" t="s">
        <v>56590</v>
      </c>
      <c r="S2717" t="s">
        <v>56591</v>
      </c>
      <c r="T2717" t="s">
        <v>56592</v>
      </c>
      <c r="U2717" t="s">
        <v>56593</v>
      </c>
      <c r="V2717">
        <f>-861.403128815869 -10.2731939282921 -64.3204363903396</f>
        <v>-935.99675913450073</v>
      </c>
      <c r="W2717" t="s">
        <v>56594</v>
      </c>
      <c r="X2717" t="s">
        <v>56595</v>
      </c>
      <c r="Y2717" t="s">
        <v>56596</v>
      </c>
    </row>
    <row r="2718" spans="1:25" x14ac:dyDescent="0.3">
      <c r="A2718">
        <v>135850</v>
      </c>
      <c r="B2718" t="s">
        <v>56597</v>
      </c>
      <c r="C2718" t="s">
        <v>56598</v>
      </c>
      <c r="D2718" t="s">
        <v>56599</v>
      </c>
      <c r="E2718" t="s">
        <v>56600</v>
      </c>
      <c r="F2718" t="s">
        <v>56601</v>
      </c>
      <c r="G2718" t="s">
        <v>56602</v>
      </c>
      <c r="H2718" t="s">
        <v>56603</v>
      </c>
      <c r="I2718" t="s">
        <v>56604</v>
      </c>
      <c r="J2718" t="s">
        <v>56605</v>
      </c>
      <c r="K2718" t="s">
        <v>56606</v>
      </c>
      <c r="L2718" t="s">
        <v>56607</v>
      </c>
      <c r="M2718" t="s">
        <v>56608</v>
      </c>
      <c r="N2718" t="s">
        <v>56609</v>
      </c>
      <c r="O2718">
        <f>-901.881088982367 -99.9288127661014 -493.54770476262</f>
        <v>-1495.3576065110883</v>
      </c>
      <c r="P2718">
        <f>-911.792173709152 -131.784620856057 -201.181220973844</f>
        <v>-1244.7580155390528</v>
      </c>
      <c r="Q2718">
        <f>-752.01261951292 -0.816326442300124 -325.151736490886</f>
        <v>-1077.9806824461061</v>
      </c>
      <c r="R2718" t="s">
        <v>56610</v>
      </c>
      <c r="S2718" t="s">
        <v>56611</v>
      </c>
      <c r="T2718" t="s">
        <v>56612</v>
      </c>
      <c r="U2718" t="s">
        <v>56613</v>
      </c>
      <c r="V2718">
        <f>-861.20122816022 -10.5756605509314 -64.2953046471164</f>
        <v>-936.07219335826778</v>
      </c>
      <c r="W2718" t="s">
        <v>56614</v>
      </c>
      <c r="X2718" t="s">
        <v>56615</v>
      </c>
      <c r="Y2718" t="s">
        <v>56616</v>
      </c>
    </row>
    <row r="2719" spans="1:25" x14ac:dyDescent="0.3">
      <c r="A2719">
        <v>135900</v>
      </c>
      <c r="B2719" t="s">
        <v>56617</v>
      </c>
      <c r="C2719" t="s">
        <v>56618</v>
      </c>
      <c r="D2719" t="s">
        <v>56619</v>
      </c>
      <c r="E2719" t="s">
        <v>56620</v>
      </c>
      <c r="F2719" t="s">
        <v>56621</v>
      </c>
      <c r="G2719" t="s">
        <v>56622</v>
      </c>
      <c r="H2719" t="s">
        <v>56623</v>
      </c>
      <c r="I2719" t="s">
        <v>56624</v>
      </c>
      <c r="J2719" t="s">
        <v>56625</v>
      </c>
      <c r="K2719" t="s">
        <v>56626</v>
      </c>
      <c r="L2719" t="s">
        <v>56627</v>
      </c>
      <c r="M2719" t="s">
        <v>56628</v>
      </c>
      <c r="N2719" t="s">
        <v>56629</v>
      </c>
      <c r="O2719">
        <f>-900.483100055411 -100.695822111893 -493.445996099194</f>
        <v>-1494.6249182664981</v>
      </c>
      <c r="P2719">
        <f>-910.561470423427 -132.410649973532 -201.069899885506</f>
        <v>-1244.0420202824648</v>
      </c>
      <c r="Q2719">
        <f>-750.859882971065 -1.48319890549055 -325.184044452965</f>
        <v>-1077.5271263295206</v>
      </c>
      <c r="R2719" t="s">
        <v>56630</v>
      </c>
      <c r="S2719" t="s">
        <v>56631</v>
      </c>
      <c r="T2719" t="s">
        <v>56632</v>
      </c>
      <c r="U2719" t="s">
        <v>56633</v>
      </c>
      <c r="V2719">
        <f>-860.867143336985 -11.0412665386107 -64.2570637742443</f>
        <v>-936.16547364984001</v>
      </c>
      <c r="W2719" t="s">
        <v>56634</v>
      </c>
      <c r="X2719" t="s">
        <v>56635</v>
      </c>
      <c r="Y2719" t="s">
        <v>56636</v>
      </c>
    </row>
    <row r="2720" spans="1:25" x14ac:dyDescent="0.3">
      <c r="A2720">
        <v>135950</v>
      </c>
      <c r="B2720" t="s">
        <v>56637</v>
      </c>
      <c r="C2720" t="s">
        <v>56638</v>
      </c>
      <c r="D2720" t="s">
        <v>56639</v>
      </c>
      <c r="E2720" t="s">
        <v>56640</v>
      </c>
      <c r="F2720" t="s">
        <v>56641</v>
      </c>
      <c r="G2720" t="s">
        <v>56642</v>
      </c>
      <c r="H2720" t="s">
        <v>56643</v>
      </c>
      <c r="I2720" t="s">
        <v>56644</v>
      </c>
      <c r="J2720" t="s">
        <v>56645</v>
      </c>
      <c r="K2720" t="s">
        <v>56646</v>
      </c>
      <c r="L2720" t="s">
        <v>56647</v>
      </c>
      <c r="M2720" t="s">
        <v>56648</v>
      </c>
      <c r="N2720" t="s">
        <v>56649</v>
      </c>
      <c r="O2720">
        <f>-899.938801858369 -101.109403170687 -493.375989772456</f>
        <v>-1494.4241948015119</v>
      </c>
      <c r="P2720">
        <f>-909.986244178781 -132.791323561722 -200.99517982267</f>
        <v>-1243.772747563173</v>
      </c>
      <c r="Q2720">
        <f>-750.438132072907 -1.74682324287096 -325.182937873599</f>
        <v>-1077.3678931893769</v>
      </c>
      <c r="R2720" t="s">
        <v>56650</v>
      </c>
      <c r="S2720" t="s">
        <v>56651</v>
      </c>
      <c r="T2720" t="s">
        <v>56652</v>
      </c>
      <c r="U2720" t="s">
        <v>56653</v>
      </c>
      <c r="V2720">
        <f>-860.722553662348 -11.3491367664774 -64.2415269207306</f>
        <v>-936.313217349556</v>
      </c>
      <c r="W2720" t="s">
        <v>56654</v>
      </c>
      <c r="X2720" t="s">
        <v>56655</v>
      </c>
      <c r="Y2720" t="s">
        <v>56656</v>
      </c>
    </row>
    <row r="2721" spans="1:25" x14ac:dyDescent="0.3">
      <c r="A2721">
        <v>136000</v>
      </c>
      <c r="B2721" t="s">
        <v>56657</v>
      </c>
      <c r="C2721" t="s">
        <v>56658</v>
      </c>
      <c r="D2721" t="s">
        <v>56659</v>
      </c>
      <c r="E2721" t="s">
        <v>56660</v>
      </c>
      <c r="F2721" t="s">
        <v>56661</v>
      </c>
      <c r="G2721" t="s">
        <v>56662</v>
      </c>
      <c r="H2721" t="s">
        <v>56663</v>
      </c>
      <c r="I2721" t="s">
        <v>56664</v>
      </c>
      <c r="J2721" t="s">
        <v>56665</v>
      </c>
      <c r="K2721" t="s">
        <v>56666</v>
      </c>
      <c r="L2721" t="s">
        <v>56667</v>
      </c>
      <c r="M2721" t="s">
        <v>56668</v>
      </c>
      <c r="N2721" t="s">
        <v>56669</v>
      </c>
      <c r="O2721">
        <f>-898.742898093041 -102.219069202707 -493.168929414949</f>
        <v>-1494.130896710697</v>
      </c>
      <c r="P2721">
        <f>-909.026960853759 -133.607979611474 -200.764889590647</f>
        <v>-1243.3998300558801</v>
      </c>
      <c r="Q2721">
        <f>-749.652466988235 -2.49519053712311 -325.103662503415</f>
        <v>-1077.2513200287731</v>
      </c>
      <c r="R2721" t="s">
        <v>56670</v>
      </c>
      <c r="S2721" t="s">
        <v>56671</v>
      </c>
      <c r="T2721" t="s">
        <v>56672</v>
      </c>
      <c r="U2721" t="s">
        <v>56673</v>
      </c>
      <c r="V2721">
        <f>-860.311537920658 -12.085129940157 -64.2318736457693</f>
        <v>-936.62854150658427</v>
      </c>
      <c r="W2721" t="s">
        <v>56674</v>
      </c>
      <c r="X2721" t="s">
        <v>56675</v>
      </c>
      <c r="Y2721" t="s">
        <v>56676</v>
      </c>
    </row>
    <row r="2722" spans="1:25" x14ac:dyDescent="0.3">
      <c r="A2722">
        <v>136050</v>
      </c>
      <c r="B2722" t="s">
        <v>56677</v>
      </c>
      <c r="C2722" t="s">
        <v>56678</v>
      </c>
      <c r="D2722" t="s">
        <v>56679</v>
      </c>
      <c r="E2722" t="s">
        <v>56680</v>
      </c>
      <c r="F2722" t="s">
        <v>56681</v>
      </c>
      <c r="G2722" t="s">
        <v>56682</v>
      </c>
      <c r="H2722" t="s">
        <v>56683</v>
      </c>
      <c r="I2722" t="s">
        <v>56684</v>
      </c>
      <c r="J2722" t="s">
        <v>56685</v>
      </c>
      <c r="K2722" t="s">
        <v>56686</v>
      </c>
      <c r="L2722" t="s">
        <v>56687</v>
      </c>
      <c r="M2722" t="s">
        <v>56688</v>
      </c>
      <c r="N2722" t="s">
        <v>56689</v>
      </c>
      <c r="O2722">
        <f>-898.13244829343 -102.891912481975 -493.070347013836</f>
        <v>-1494.0947077892411</v>
      </c>
      <c r="P2722">
        <f>-908.526934590617 -134.074657256476 -200.647932689799</f>
        <v>-1243.2495245368921</v>
      </c>
      <c r="Q2722">
        <f>-749.173388853897 -2.96151242250107 -325.012984344059</f>
        <v>-1077.1478856204571</v>
      </c>
      <c r="R2722" t="s">
        <v>56690</v>
      </c>
      <c r="S2722" t="s">
        <v>56691</v>
      </c>
      <c r="T2722" t="s">
        <v>56692</v>
      </c>
      <c r="U2722" t="s">
        <v>56693</v>
      </c>
      <c r="V2722">
        <f>-860.08733961201 -12.5065223165698 -64.2208068015393</f>
        <v>-936.81466873011914</v>
      </c>
      <c r="W2722" t="s">
        <v>56694</v>
      </c>
      <c r="X2722" t="s">
        <v>56695</v>
      </c>
      <c r="Y2722" t="s">
        <v>56696</v>
      </c>
    </row>
    <row r="2723" spans="1:25" x14ac:dyDescent="0.3">
      <c r="A2723">
        <v>136100</v>
      </c>
      <c r="B2723" t="s">
        <v>56697</v>
      </c>
      <c r="C2723" t="s">
        <v>56698</v>
      </c>
      <c r="D2723" t="s">
        <v>56699</v>
      </c>
      <c r="E2723" t="s">
        <v>56700</v>
      </c>
      <c r="F2723" t="s">
        <v>56701</v>
      </c>
      <c r="G2723" t="s">
        <v>56702</v>
      </c>
      <c r="H2723" t="s">
        <v>56703</v>
      </c>
      <c r="I2723" t="s">
        <v>56704</v>
      </c>
      <c r="J2723" t="s">
        <v>56705</v>
      </c>
      <c r="K2723" t="s">
        <v>56706</v>
      </c>
      <c r="L2723" t="s">
        <v>56707</v>
      </c>
      <c r="M2723" t="s">
        <v>56708</v>
      </c>
      <c r="N2723" t="s">
        <v>56709</v>
      </c>
      <c r="O2723">
        <f>-896.972905127373 -104.310171088366 -492.8767196729</f>
        <v>-1494.1597958886391</v>
      </c>
      <c r="P2723">
        <f>-907.659940887459 -135.112965640988 -200.424645796068</f>
        <v>-1243.1975523245151</v>
      </c>
      <c r="Q2723">
        <f>-748.285210058371 -4.18362517744708 -324.956148994483</f>
        <v>-1077.4249842303011</v>
      </c>
      <c r="R2723" t="s">
        <v>56710</v>
      </c>
      <c r="S2723" t="s">
        <v>56711</v>
      </c>
      <c r="T2723" t="s">
        <v>56712</v>
      </c>
      <c r="U2723" t="s">
        <v>56713</v>
      </c>
      <c r="V2723">
        <f>-859.613377432727 -13.4860250709871 -64.2011160957188</f>
        <v>-937.30051859943296</v>
      </c>
      <c r="W2723" t="s">
        <v>56714</v>
      </c>
      <c r="X2723" t="s">
        <v>56715</v>
      </c>
      <c r="Y2723" t="s">
        <v>56716</v>
      </c>
    </row>
    <row r="2724" spans="1:25" x14ac:dyDescent="0.3">
      <c r="A2724">
        <v>136150</v>
      </c>
      <c r="B2724" t="s">
        <v>56717</v>
      </c>
      <c r="C2724" t="s">
        <v>56718</v>
      </c>
      <c r="D2724" t="s">
        <v>56719</v>
      </c>
      <c r="E2724" t="s">
        <v>56720</v>
      </c>
      <c r="F2724" t="s">
        <v>56721</v>
      </c>
      <c r="G2724" t="s">
        <v>56722</v>
      </c>
      <c r="H2724" t="s">
        <v>56723</v>
      </c>
      <c r="I2724" t="s">
        <v>56724</v>
      </c>
      <c r="J2724" t="s">
        <v>56725</v>
      </c>
      <c r="K2724" t="s">
        <v>56726</v>
      </c>
      <c r="L2724" t="s">
        <v>56727</v>
      </c>
      <c r="M2724" t="s">
        <v>56728</v>
      </c>
      <c r="N2724" t="s">
        <v>56729</v>
      </c>
      <c r="O2724">
        <f>-896.365609140293 -105.05094905049 -492.787609301034</f>
        <v>-1494.2041674918171</v>
      </c>
      <c r="P2724">
        <f>-907.111152408877 -135.730101967261 -200.324657819386</f>
        <v>-1243.165912195524</v>
      </c>
      <c r="Q2724">
        <f>-747.682421978424 -4.91842709856019 -324.910767848405</f>
        <v>-1077.5116169253893</v>
      </c>
      <c r="R2724" t="s">
        <v>56730</v>
      </c>
      <c r="S2724" t="s">
        <v>56731</v>
      </c>
      <c r="T2724" t="s">
        <v>56732</v>
      </c>
      <c r="U2724" t="s">
        <v>56733</v>
      </c>
      <c r="V2724">
        <f>-859.340426377801 -13.9991761966621 -64.1834647925073</f>
        <v>-937.52306736697039</v>
      </c>
      <c r="W2724" t="s">
        <v>56734</v>
      </c>
      <c r="X2724" t="s">
        <v>56735</v>
      </c>
      <c r="Y2724" t="s">
        <v>56736</v>
      </c>
    </row>
    <row r="2725" spans="1:25" x14ac:dyDescent="0.3">
      <c r="A2725">
        <v>136200</v>
      </c>
      <c r="B2725" t="s">
        <v>56737</v>
      </c>
      <c r="C2725" t="s">
        <v>56738</v>
      </c>
      <c r="D2725" t="s">
        <v>56739</v>
      </c>
      <c r="E2725" t="s">
        <v>56740</v>
      </c>
      <c r="F2725" t="s">
        <v>56741</v>
      </c>
      <c r="G2725" t="s">
        <v>56742</v>
      </c>
      <c r="H2725" t="s">
        <v>56743</v>
      </c>
      <c r="I2725" t="s">
        <v>56744</v>
      </c>
      <c r="J2725" t="s">
        <v>56745</v>
      </c>
      <c r="K2725" t="s">
        <v>56746</v>
      </c>
      <c r="L2725" t="s">
        <v>56747</v>
      </c>
      <c r="M2725" t="s">
        <v>56748</v>
      </c>
      <c r="N2725" t="s">
        <v>56749</v>
      </c>
      <c r="O2725">
        <f>-894.840876609351 -106.667588033311 -492.697934069712</f>
        <v>-1494.2063987123738</v>
      </c>
      <c r="P2725">
        <f>-905.877069638853 -137.126627972959 -200.222991320069</f>
        <v>-1243.226688931881</v>
      </c>
      <c r="Q2725">
        <f>-746.31822612819 -6.42338415832774 -324.755652716363</f>
        <v>-1077.4972630028806</v>
      </c>
      <c r="R2725" t="s">
        <v>56750</v>
      </c>
      <c r="S2725" t="s">
        <v>56751</v>
      </c>
      <c r="T2725" t="s">
        <v>56752</v>
      </c>
      <c r="U2725" t="s">
        <v>56753</v>
      </c>
      <c r="V2725">
        <f>-858.614675504532 -15.2188934315377 -64.1541844735747</f>
        <v>-937.98775340964437</v>
      </c>
      <c r="W2725" t="s">
        <v>56754</v>
      </c>
      <c r="X2725" t="s">
        <v>56755</v>
      </c>
      <c r="Y2725" t="s">
        <v>56756</v>
      </c>
    </row>
    <row r="2726" spans="1:25" x14ac:dyDescent="0.3">
      <c r="A2726">
        <v>136250</v>
      </c>
      <c r="B2726" t="s">
        <v>56757</v>
      </c>
      <c r="C2726" t="s">
        <v>56758</v>
      </c>
      <c r="D2726" t="s">
        <v>56759</v>
      </c>
      <c r="E2726" t="s">
        <v>56760</v>
      </c>
      <c r="F2726" t="s">
        <v>56761</v>
      </c>
      <c r="G2726" t="s">
        <v>56762</v>
      </c>
      <c r="H2726" t="s">
        <v>56763</v>
      </c>
      <c r="I2726" t="s">
        <v>56764</v>
      </c>
      <c r="J2726" t="s">
        <v>56765</v>
      </c>
      <c r="K2726" t="s">
        <v>56766</v>
      </c>
      <c r="L2726" t="s">
        <v>56767</v>
      </c>
      <c r="M2726" t="s">
        <v>56768</v>
      </c>
      <c r="N2726" t="s">
        <v>56769</v>
      </c>
      <c r="O2726">
        <f>-894.049271469966 -107.557773201091 -492.657923216167</f>
        <v>-1494.264967887224</v>
      </c>
      <c r="P2726">
        <f>-905.181742128007 -137.992358389135 -200.184000898025</f>
        <v>-1243.3581014151671</v>
      </c>
      <c r="Q2726">
        <f>-745.545043333908 -7.26890857430362 -324.596228690936</f>
        <v>-1077.4101805991477</v>
      </c>
      <c r="R2726" t="s">
        <v>56770</v>
      </c>
      <c r="S2726" t="s">
        <v>56771</v>
      </c>
      <c r="T2726" t="s">
        <v>56772</v>
      </c>
      <c r="U2726" t="s">
        <v>56773</v>
      </c>
      <c r="V2726">
        <f>-858.289817810899 -15.9575215717318 -64.1438388302633</f>
        <v>-938.39117821289415</v>
      </c>
      <c r="W2726" t="s">
        <v>56774</v>
      </c>
      <c r="X2726" t="s">
        <v>56775</v>
      </c>
      <c r="Y2726" t="s">
        <v>56776</v>
      </c>
    </row>
    <row r="2727" spans="1:25" x14ac:dyDescent="0.3">
      <c r="A2727">
        <v>136300</v>
      </c>
      <c r="B2727" t="s">
        <v>56777</v>
      </c>
      <c r="C2727" t="s">
        <v>56778</v>
      </c>
      <c r="D2727" t="s">
        <v>56779</v>
      </c>
      <c r="E2727" t="s">
        <v>56780</v>
      </c>
      <c r="F2727" t="s">
        <v>56781</v>
      </c>
      <c r="G2727" t="s">
        <v>56782</v>
      </c>
      <c r="H2727" t="s">
        <v>56783</v>
      </c>
      <c r="I2727" t="s">
        <v>56784</v>
      </c>
      <c r="J2727" t="s">
        <v>56785</v>
      </c>
      <c r="K2727" t="s">
        <v>56786</v>
      </c>
      <c r="L2727" t="s">
        <v>56787</v>
      </c>
      <c r="M2727" t="s">
        <v>56788</v>
      </c>
      <c r="N2727" t="s">
        <v>56789</v>
      </c>
      <c r="O2727">
        <f>-892.240156869035 -109.375905344513 -492.65647147581</f>
        <v>-1494.2725336893582</v>
      </c>
      <c r="P2727">
        <f>-903.44841888373 -139.904224070607 -200.195206664546</f>
        <v>-1243.547849618883</v>
      </c>
      <c r="Q2727">
        <f>-743.785653504939 -9.08032935259143 -324.468578500993</f>
        <v>-1077.3345613585234</v>
      </c>
      <c r="R2727" t="s">
        <v>56790</v>
      </c>
      <c r="S2727" t="s">
        <v>56791</v>
      </c>
      <c r="T2727" t="s">
        <v>56792</v>
      </c>
      <c r="U2727" t="s">
        <v>56793</v>
      </c>
      <c r="V2727">
        <f>-857.629407054166 -17.4197491655755 -64.1271870409981</f>
        <v>-939.1763432607396</v>
      </c>
      <c r="W2727" t="s">
        <v>56794</v>
      </c>
      <c r="X2727" t="s">
        <v>56795</v>
      </c>
      <c r="Y2727" t="s">
        <v>56796</v>
      </c>
    </row>
    <row r="2728" spans="1:25" x14ac:dyDescent="0.3">
      <c r="A2728">
        <v>136350</v>
      </c>
      <c r="B2728" t="s">
        <v>56797</v>
      </c>
      <c r="C2728" t="s">
        <v>56798</v>
      </c>
      <c r="D2728" t="s">
        <v>56799</v>
      </c>
      <c r="E2728" t="s">
        <v>56800</v>
      </c>
      <c r="F2728" t="s">
        <v>56801</v>
      </c>
      <c r="G2728" t="s">
        <v>56802</v>
      </c>
      <c r="H2728" t="s">
        <v>56803</v>
      </c>
      <c r="I2728" t="s">
        <v>56804</v>
      </c>
      <c r="J2728" t="s">
        <v>56805</v>
      </c>
      <c r="K2728" t="s">
        <v>56806</v>
      </c>
      <c r="L2728" t="s">
        <v>56807</v>
      </c>
      <c r="M2728" t="s">
        <v>56808</v>
      </c>
      <c r="N2728" t="s">
        <v>56809</v>
      </c>
      <c r="O2728">
        <f>-891.34596320898 -110.342582726073 -492.624164852525</f>
        <v>-1494.312710787578</v>
      </c>
      <c r="P2728">
        <f>-902.749668016139 -140.907005334322 -200.174249671437</f>
        <v>-1243.8309230218979</v>
      </c>
      <c r="Q2728">
        <f>-743.092797021716 -9.97968207114764 -324.345842114858</f>
        <v>-1077.4183212077216</v>
      </c>
      <c r="R2728" t="s">
        <v>56810</v>
      </c>
      <c r="S2728" t="s">
        <v>56811</v>
      </c>
      <c r="T2728" t="s">
        <v>56812</v>
      </c>
      <c r="U2728" t="s">
        <v>56813</v>
      </c>
      <c r="V2728">
        <f>-857.294573502104 -18.3256228089836 -64.0898927273113</f>
        <v>-939.71008903839879</v>
      </c>
      <c r="W2728" t="s">
        <v>56814</v>
      </c>
      <c r="X2728" t="s">
        <v>56815</v>
      </c>
      <c r="Y2728" t="s">
        <v>56816</v>
      </c>
    </row>
    <row r="2729" spans="1:25" x14ac:dyDescent="0.3">
      <c r="A2729">
        <v>136400</v>
      </c>
      <c r="B2729" t="s">
        <v>56817</v>
      </c>
      <c r="C2729" t="s">
        <v>56818</v>
      </c>
      <c r="D2729" t="s">
        <v>56819</v>
      </c>
      <c r="E2729" t="s">
        <v>56820</v>
      </c>
      <c r="F2729" t="s">
        <v>56821</v>
      </c>
      <c r="G2729" t="s">
        <v>56822</v>
      </c>
      <c r="H2729" t="s">
        <v>56823</v>
      </c>
      <c r="I2729" t="s">
        <v>56824</v>
      </c>
      <c r="J2729" t="s">
        <v>56825</v>
      </c>
      <c r="K2729" t="s">
        <v>56826</v>
      </c>
      <c r="L2729" t="s">
        <v>56827</v>
      </c>
      <c r="M2729" t="s">
        <v>56828</v>
      </c>
      <c r="N2729" t="s">
        <v>56829</v>
      </c>
      <c r="O2729">
        <f>-889.916319274747 -113.111407293447 -492.476892832282</f>
        <v>-1495.504619400476</v>
      </c>
      <c r="P2729">
        <f>-901.800467297495 -144.217659786206 -200.103137940509</f>
        <v>-1246.1212650242101</v>
      </c>
      <c r="Q2729">
        <f>-742.055260623525 -12.7829488762077 -323.62333873682</f>
        <v>-1078.4615482365527</v>
      </c>
      <c r="R2729" t="s">
        <v>56830</v>
      </c>
      <c r="S2729" t="s">
        <v>56831</v>
      </c>
      <c r="T2729" t="s">
        <v>56832</v>
      </c>
      <c r="U2729" t="s">
        <v>56833</v>
      </c>
      <c r="V2729">
        <f>-856.514367626213 -20.6377620664584 -63.9658980580351</f>
        <v>-941.11802775070657</v>
      </c>
      <c r="W2729" t="s">
        <v>56834</v>
      </c>
      <c r="X2729" t="s">
        <v>56835</v>
      </c>
      <c r="Y2729" t="s">
        <v>56836</v>
      </c>
    </row>
    <row r="2730" spans="1:25" x14ac:dyDescent="0.3">
      <c r="A2730">
        <v>136450</v>
      </c>
      <c r="B2730" t="s">
        <v>56837</v>
      </c>
      <c r="C2730" t="s">
        <v>56838</v>
      </c>
      <c r="D2730" t="s">
        <v>56839</v>
      </c>
      <c r="E2730" t="s">
        <v>56840</v>
      </c>
      <c r="F2730" t="s">
        <v>56841</v>
      </c>
      <c r="G2730" t="s">
        <v>56842</v>
      </c>
      <c r="H2730" t="s">
        <v>56843</v>
      </c>
      <c r="I2730" t="s">
        <v>56844</v>
      </c>
      <c r="J2730" t="s">
        <v>56845</v>
      </c>
      <c r="K2730" t="s">
        <v>56846</v>
      </c>
      <c r="L2730" t="s">
        <v>56847</v>
      </c>
      <c r="M2730" t="s">
        <v>56848</v>
      </c>
      <c r="N2730" t="s">
        <v>56849</v>
      </c>
      <c r="O2730">
        <f>-889.333016611963 -115.059448495854 -492.420884138924</f>
        <v>-1496.8133492467409</v>
      </c>
      <c r="P2730">
        <f>-901.22954636375 -146.699396385209 -200.105021714659</f>
        <v>-1248.0339644636181</v>
      </c>
      <c r="Q2730">
        <f>-741.46340208439 -14.8087022714849 -323.111095788685</f>
        <v>-1079.3832001445599</v>
      </c>
      <c r="R2730" t="s">
        <v>56850</v>
      </c>
      <c r="S2730" t="s">
        <v>56851</v>
      </c>
      <c r="T2730" t="s">
        <v>56852</v>
      </c>
      <c r="U2730" t="s">
        <v>56853</v>
      </c>
      <c r="V2730">
        <f>-856.138061463475 -22.143254804394 -63.9022193111249</f>
        <v>-942.18353557899388</v>
      </c>
      <c r="W2730" t="s">
        <v>56854</v>
      </c>
      <c r="X2730" t="s">
        <v>56855</v>
      </c>
      <c r="Y2730" t="s">
        <v>56856</v>
      </c>
    </row>
    <row r="2731" spans="1:25" x14ac:dyDescent="0.3">
      <c r="A2731">
        <v>136500</v>
      </c>
      <c r="B2731" t="s">
        <v>56857</v>
      </c>
      <c r="C2731" t="s">
        <v>56858</v>
      </c>
      <c r="D2731" t="s">
        <v>56859</v>
      </c>
      <c r="E2731" t="s">
        <v>56860</v>
      </c>
      <c r="F2731" t="s">
        <v>56861</v>
      </c>
      <c r="G2731" t="s">
        <v>56862</v>
      </c>
      <c r="H2731" t="s">
        <v>56863</v>
      </c>
      <c r="I2731" t="s">
        <v>56864</v>
      </c>
      <c r="J2731" t="s">
        <v>56865</v>
      </c>
      <c r="K2731" t="s">
        <v>56866</v>
      </c>
      <c r="L2731" t="s">
        <v>56867</v>
      </c>
      <c r="M2731" t="s">
        <v>56868</v>
      </c>
      <c r="N2731" t="s">
        <v>56869</v>
      </c>
      <c r="O2731">
        <f>-889.218257122236 -119.202424571757 -492.660608396781</f>
        <v>-1501.081290090774</v>
      </c>
      <c r="P2731">
        <f>-900.439949448959 -152.319137513945 -200.481580749811</f>
        <v>-1253.2406677127151</v>
      </c>
      <c r="Q2731">
        <f>-740.659150915734 -19.5032539562453 -322.468914051267</f>
        <v>-1082.6313189232465</v>
      </c>
      <c r="R2731" t="s">
        <v>56870</v>
      </c>
      <c r="S2731" t="s">
        <v>56871</v>
      </c>
      <c r="T2731" t="s">
        <v>56872</v>
      </c>
      <c r="U2731" t="s">
        <v>56873</v>
      </c>
      <c r="V2731">
        <f>-855.894547851008 -25.5007043179407 -63.8290098989828</f>
        <v>-945.22426206793159</v>
      </c>
      <c r="W2731" t="s">
        <v>56874</v>
      </c>
      <c r="X2731" t="s">
        <v>56875</v>
      </c>
      <c r="Y2731" t="s">
        <v>56876</v>
      </c>
    </row>
    <row r="2732" spans="1:25" x14ac:dyDescent="0.3">
      <c r="A2732">
        <v>136550</v>
      </c>
      <c r="B2732" t="s">
        <v>56877</v>
      </c>
      <c r="C2732" t="s">
        <v>56878</v>
      </c>
      <c r="D2732" t="s">
        <v>56879</v>
      </c>
      <c r="E2732" t="s">
        <v>56880</v>
      </c>
      <c r="F2732" t="s">
        <v>56881</v>
      </c>
      <c r="G2732" t="s">
        <v>56882</v>
      </c>
      <c r="H2732" t="s">
        <v>56883</v>
      </c>
      <c r="I2732" t="s">
        <v>56884</v>
      </c>
      <c r="J2732" t="s">
        <v>56885</v>
      </c>
      <c r="K2732" t="s">
        <v>56886</v>
      </c>
      <c r="L2732" t="s">
        <v>56887</v>
      </c>
      <c r="M2732" t="s">
        <v>56888</v>
      </c>
      <c r="N2732" t="s">
        <v>56889</v>
      </c>
      <c r="O2732">
        <f>-890.049249225575 -121.43814101302 -492.895396808138</f>
        <v>-1504.382787046733</v>
      </c>
      <c r="P2732">
        <f>-900.37568870837 -155.329475405204 -200.772359969723</f>
        <v>-1256.4775240832971</v>
      </c>
      <c r="Q2732">
        <f>-740.580298129867 -22.1960893360306 -322.393591018592</f>
        <v>-1085.1699784844895</v>
      </c>
      <c r="R2732" t="s">
        <v>56890</v>
      </c>
      <c r="S2732" t="s">
        <v>56891</v>
      </c>
      <c r="T2732" t="s">
        <v>56892</v>
      </c>
      <c r="U2732" t="s">
        <v>56893</v>
      </c>
      <c r="V2732">
        <f>-856.238634006327 -27.3069073104089 -63.8294631566625</f>
        <v>-947.37500447339835</v>
      </c>
      <c r="W2732" t="s">
        <v>56894</v>
      </c>
      <c r="X2732" t="s">
        <v>56895</v>
      </c>
      <c r="Y2732" t="s">
        <v>56896</v>
      </c>
    </row>
    <row r="2733" spans="1:25" x14ac:dyDescent="0.3">
      <c r="A2733">
        <v>136600</v>
      </c>
      <c r="B2733" t="s">
        <v>56897</v>
      </c>
      <c r="C2733" t="s">
        <v>56898</v>
      </c>
      <c r="D2733" t="s">
        <v>56899</v>
      </c>
      <c r="E2733" t="s">
        <v>56900</v>
      </c>
      <c r="F2733" t="s">
        <v>56901</v>
      </c>
      <c r="G2733" t="s">
        <v>56902</v>
      </c>
      <c r="H2733" t="s">
        <v>56903</v>
      </c>
      <c r="I2733" t="s">
        <v>56904</v>
      </c>
      <c r="J2733" t="s">
        <v>56905</v>
      </c>
      <c r="K2733" t="s">
        <v>56906</v>
      </c>
      <c r="L2733" t="s">
        <v>56907</v>
      </c>
      <c r="M2733" t="s">
        <v>56908</v>
      </c>
      <c r="N2733" t="s">
        <v>56909</v>
      </c>
      <c r="O2733">
        <f>-892.563874645037 -127.132664433351 -492.68977322024</f>
        <v>-1512.3863122986281</v>
      </c>
      <c r="P2733">
        <f>-898.989276629367 -163.278073748133 -200.724995487445</f>
        <v>-1262.992345864945</v>
      </c>
      <c r="Q2733">
        <f>-739.526158604519 -28.9507876506004 -321.466463410445</f>
        <v>-1089.9434096655643</v>
      </c>
      <c r="R2733" t="s">
        <v>56910</v>
      </c>
      <c r="S2733" t="s">
        <v>56911</v>
      </c>
      <c r="T2733" t="s">
        <v>56912</v>
      </c>
      <c r="U2733" t="s">
        <v>56913</v>
      </c>
      <c r="V2733">
        <f>-857.579797079663 -31.1818922404796 -63.7579513868282</f>
        <v>-952.51964070697068</v>
      </c>
      <c r="W2733" t="s">
        <v>56914</v>
      </c>
      <c r="X2733" t="s">
        <v>56915</v>
      </c>
      <c r="Y2733" t="s">
        <v>56916</v>
      </c>
    </row>
    <row r="2734" spans="1:25" x14ac:dyDescent="0.3">
      <c r="A2734">
        <v>136650</v>
      </c>
      <c r="B2734" t="s">
        <v>56917</v>
      </c>
      <c r="C2734" t="s">
        <v>56918</v>
      </c>
      <c r="D2734" t="s">
        <v>56919</v>
      </c>
      <c r="E2734" t="s">
        <v>56920</v>
      </c>
      <c r="F2734" t="s">
        <v>56921</v>
      </c>
      <c r="G2734" t="s">
        <v>56922</v>
      </c>
      <c r="H2734" t="s">
        <v>56923</v>
      </c>
      <c r="I2734" t="s">
        <v>56924</v>
      </c>
      <c r="J2734" t="s">
        <v>56925</v>
      </c>
      <c r="K2734" t="s">
        <v>56926</v>
      </c>
      <c r="L2734" t="s">
        <v>56927</v>
      </c>
      <c r="M2734" t="s">
        <v>56928</v>
      </c>
      <c r="N2734">
        <f>-927.854213881116 -0.505303141446348 -520.141426083741</f>
        <v>-1448.5009431063033</v>
      </c>
      <c r="O2734">
        <f>-894.095347002763 -130.758341111262 -492.048272445417</f>
        <v>-1516.9019605594422</v>
      </c>
      <c r="P2734">
        <f>-896.143198483213 -169.311493281156 -200.328083866511</f>
        <v>-1265.78277563088</v>
      </c>
      <c r="Q2734">
        <f>-738.032430672619 -31.8899781735768 -319.353942592522</f>
        <v>-1089.2763514387177</v>
      </c>
      <c r="R2734" t="s">
        <v>56929</v>
      </c>
      <c r="S2734" t="s">
        <v>56930</v>
      </c>
      <c r="T2734" t="s">
        <v>56931</v>
      </c>
      <c r="U2734" t="s">
        <v>56932</v>
      </c>
      <c r="V2734">
        <f>-858.406249031416 -33.5994049625638 -63.6352957545126</f>
        <v>-955.6409497484924</v>
      </c>
      <c r="W2734" t="s">
        <v>56933</v>
      </c>
      <c r="X2734" t="s">
        <v>56934</v>
      </c>
      <c r="Y2734" t="s">
        <v>56935</v>
      </c>
    </row>
    <row r="2735" spans="1:25" x14ac:dyDescent="0.3">
      <c r="A2735">
        <v>136700</v>
      </c>
      <c r="B2735" t="s">
        <v>56936</v>
      </c>
      <c r="C2735" t="s">
        <v>56937</v>
      </c>
      <c r="D2735" t="s">
        <v>56938</v>
      </c>
      <c r="E2735" t="s">
        <v>56939</v>
      </c>
      <c r="F2735" t="s">
        <v>56940</v>
      </c>
      <c r="G2735" t="s">
        <v>56941</v>
      </c>
      <c r="H2735" t="s">
        <v>56942</v>
      </c>
      <c r="I2735" t="s">
        <v>56943</v>
      </c>
      <c r="J2735" t="s">
        <v>56944</v>
      </c>
      <c r="K2735" t="s">
        <v>56945</v>
      </c>
      <c r="L2735" t="s">
        <v>56946</v>
      </c>
      <c r="M2735" t="s">
        <v>56947</v>
      </c>
      <c r="N2735">
        <f>-927.240674707198 -9.06098595554067 -518.801588894919</f>
        <v>-1455.1032495576576</v>
      </c>
      <c r="O2735">
        <f>-900.220816230923 -140.573349181146 -489.2127057032</f>
        <v>-1530.0068711152692</v>
      </c>
      <c r="P2735">
        <f>-884.957311109701 -189.465535068014 -199.440706136189</f>
        <v>-1273.8635523139039</v>
      </c>
      <c r="Q2735">
        <f>-730.428712900437 -44.9034932628481 -314.651854009704</f>
        <v>-1089.9840601729891</v>
      </c>
      <c r="R2735" t="s">
        <v>56948</v>
      </c>
      <c r="S2735" t="s">
        <v>56949</v>
      </c>
      <c r="T2735" t="s">
        <v>56950</v>
      </c>
      <c r="U2735" t="s">
        <v>56951</v>
      </c>
      <c r="V2735">
        <f>-860.886763587126 -39.9358171166868 -63.0923304533538</f>
        <v>-963.91491115716667</v>
      </c>
      <c r="W2735" t="s">
        <v>56952</v>
      </c>
      <c r="X2735" t="s">
        <v>56953</v>
      </c>
      <c r="Y2735" t="s">
        <v>56954</v>
      </c>
    </row>
    <row r="2736" spans="1:25" x14ac:dyDescent="0.3">
      <c r="A2736">
        <v>136750</v>
      </c>
      <c r="B2736" t="s">
        <v>56955</v>
      </c>
      <c r="C2736" t="s">
        <v>56956</v>
      </c>
      <c r="D2736" t="s">
        <v>56957</v>
      </c>
      <c r="E2736" t="s">
        <v>56958</v>
      </c>
      <c r="F2736" t="s">
        <v>56959</v>
      </c>
      <c r="G2736" t="s">
        <v>56960</v>
      </c>
      <c r="H2736" t="s">
        <v>56961</v>
      </c>
      <c r="I2736">
        <f>-896.880422131072 -0.0434138806353985 -649.652532463333</f>
        <v>-1546.5763684750405</v>
      </c>
      <c r="J2736" t="s">
        <v>56962</v>
      </c>
      <c r="K2736" t="s">
        <v>56963</v>
      </c>
      <c r="L2736" t="s">
        <v>56964</v>
      </c>
      <c r="M2736" t="s">
        <v>56965</v>
      </c>
      <c r="N2736">
        <f>-927.085852525039 -13.9893833129358 -517.884322051915</f>
        <v>-1458.9595578898898</v>
      </c>
      <c r="O2736">
        <f>-904.128684676777 -146.084069208847 -487.408130551588</f>
        <v>-1537.6208844372118</v>
      </c>
      <c r="P2736">
        <f>-878.667425044811 -201.863258807305 -199.603296519287</f>
        <v>-1280.1339803714029</v>
      </c>
      <c r="Q2736">
        <f>-725.82750285611 -53.0184829980558 -311.568306244454</f>
        <v>-1090.4142920986196</v>
      </c>
      <c r="R2736" t="s">
        <v>56966</v>
      </c>
      <c r="S2736" t="s">
        <v>56967</v>
      </c>
      <c r="T2736" t="s">
        <v>56968</v>
      </c>
      <c r="U2736" t="s">
        <v>56969</v>
      </c>
      <c r="V2736">
        <f>-862.491826961741 -44.2862026721523 -62.657945621747</f>
        <v>-969.4359752556403</v>
      </c>
      <c r="W2736" t="s">
        <v>56970</v>
      </c>
      <c r="X2736" t="s">
        <v>56971</v>
      </c>
      <c r="Y2736" t="s">
        <v>56972</v>
      </c>
    </row>
    <row r="2737" spans="1:25" x14ac:dyDescent="0.3">
      <c r="A2737">
        <v>136800</v>
      </c>
      <c r="B2737" t="s">
        <v>56973</v>
      </c>
      <c r="C2737" t="s">
        <v>56974</v>
      </c>
      <c r="D2737" t="s">
        <v>56975</v>
      </c>
      <c r="E2737" t="s">
        <v>56976</v>
      </c>
      <c r="F2737" t="s">
        <v>56977</v>
      </c>
      <c r="G2737" t="s">
        <v>56978</v>
      </c>
      <c r="H2737" t="s">
        <v>56979</v>
      </c>
      <c r="I2737">
        <f>-893.762901628116 -12.3136500534424 -647.420764399105</f>
        <v>-1553.4973160806635</v>
      </c>
      <c r="J2737" t="s">
        <v>56980</v>
      </c>
      <c r="K2737" t="s">
        <v>56981</v>
      </c>
      <c r="L2737" t="s">
        <v>56982</v>
      </c>
      <c r="M2737" t="s">
        <v>56983</v>
      </c>
      <c r="N2737">
        <f>-926.90101457435 -22.5492697245932 -516.172022471539</f>
        <v>-1465.6223067704823</v>
      </c>
      <c r="O2737">
        <f>-911.410551613972 -155.464823812244 -484.626573768415</f>
        <v>-1551.5019491946309</v>
      </c>
      <c r="P2737">
        <f>-876.377986330593 -219.465354241487 -199.551344714299</f>
        <v>-1295.3946852863789</v>
      </c>
      <c r="Q2737">
        <f>-723.851548614821 -65.9545947950653 -305.480803855409</f>
        <v>-1095.2869472652953</v>
      </c>
      <c r="R2737" t="s">
        <v>56984</v>
      </c>
      <c r="S2737" t="s">
        <v>56985</v>
      </c>
      <c r="T2737" t="s">
        <v>56986</v>
      </c>
      <c r="U2737" t="s">
        <v>56987</v>
      </c>
      <c r="V2737">
        <f>-866.486763566235 -53.3856983502437 -61.7370518207164</f>
        <v>-981.60951373719513</v>
      </c>
      <c r="W2737" t="s">
        <v>56988</v>
      </c>
      <c r="X2737" t="s">
        <v>56989</v>
      </c>
      <c r="Y2737" t="s">
        <v>56990</v>
      </c>
    </row>
    <row r="2738" spans="1:25" x14ac:dyDescent="0.3">
      <c r="A2738">
        <v>136850</v>
      </c>
      <c r="B2738" t="s">
        <v>56991</v>
      </c>
      <c r="C2738" t="s">
        <v>56992</v>
      </c>
      <c r="D2738" t="s">
        <v>56993</v>
      </c>
      <c r="E2738" t="s">
        <v>56994</v>
      </c>
      <c r="F2738" t="s">
        <v>56995</v>
      </c>
      <c r="G2738" t="s">
        <v>56996</v>
      </c>
      <c r="H2738">
        <f>-923.762478803207 -0.446809789996678 -571.115635130581</f>
        <v>-1495.3249237237847</v>
      </c>
      <c r="I2738">
        <f>-892.7970327759 -17.188992132234 -646.387370609375</f>
        <v>-1556.3733955175089</v>
      </c>
      <c r="J2738" t="s">
        <v>56997</v>
      </c>
      <c r="K2738" t="s">
        <v>56998</v>
      </c>
      <c r="L2738" t="s">
        <v>56999</v>
      </c>
      <c r="M2738" t="s">
        <v>57000</v>
      </c>
      <c r="N2738">
        <f>-927.1032902017 -26.0739747365524 -515.389440361633</f>
        <v>-1468.5667052998854</v>
      </c>
      <c r="O2738">
        <f>-915.08798427612 -159.243799895556 -483.46136166791</f>
        <v>-1557.793145839586</v>
      </c>
      <c r="P2738">
        <f>-879.236159404531 -224.338189558869 -198.735905817504</f>
        <v>-1302.3102547809042</v>
      </c>
      <c r="Q2738">
        <f>-724.835270208662 -71.3972655502087 -302.756188758715</f>
        <v>-1098.9887245175855</v>
      </c>
      <c r="R2738" t="s">
        <v>57001</v>
      </c>
      <c r="S2738" t="s">
        <v>57002</v>
      </c>
      <c r="T2738" t="s">
        <v>57003</v>
      </c>
      <c r="U2738" t="s">
        <v>57004</v>
      </c>
      <c r="V2738">
        <f>-868.772111085317 -57.8781713531175 -61.2085333237724</f>
        <v>-987.85881576220686</v>
      </c>
      <c r="W2738" t="s">
        <v>57005</v>
      </c>
      <c r="X2738" t="s">
        <v>57006</v>
      </c>
      <c r="Y2738" t="s">
        <v>57007</v>
      </c>
    </row>
    <row r="2739" spans="1:25" x14ac:dyDescent="0.3">
      <c r="A2739">
        <v>136900</v>
      </c>
      <c r="B2739" t="s">
        <v>57008</v>
      </c>
      <c r="C2739" t="s">
        <v>57009</v>
      </c>
      <c r="D2739" t="s">
        <v>57010</v>
      </c>
      <c r="E2739" t="s">
        <v>57011</v>
      </c>
      <c r="F2739" t="s">
        <v>57012</v>
      </c>
      <c r="G2739">
        <f>-938.833473876384 -2.32943149697849 -445.760418124755</f>
        <v>-1386.9233234981175</v>
      </c>
      <c r="H2739">
        <f>-922.799064583008 -7.54850261924958 -569.196607016522</f>
        <v>-1499.5441742187795</v>
      </c>
      <c r="I2739">
        <f>-891.97735553336 -25.8968049774066 -644.15250232313</f>
        <v>-1562.0266628338966</v>
      </c>
      <c r="J2739" t="s">
        <v>57013</v>
      </c>
      <c r="K2739" t="s">
        <v>57014</v>
      </c>
      <c r="L2739" t="s">
        <v>57015</v>
      </c>
      <c r="M2739" t="s">
        <v>57016</v>
      </c>
      <c r="N2739">
        <f>-927.82546884724 -32.8494684395646 -513.447944907434</f>
        <v>-1474.1228821942386</v>
      </c>
      <c r="O2739">
        <f>-922.205198036808 -166.19780804137 -480.452787534891</f>
        <v>-1568.8557936130692</v>
      </c>
      <c r="P2739">
        <f>-890.145550481898 -228.020582474944 -194.5484250322</f>
        <v>-1312.7145579890419</v>
      </c>
      <c r="Q2739">
        <f>-729.365751010843 -80.8530925782841 -297.224439977823</f>
        <v>-1107.4432835669502</v>
      </c>
      <c r="R2739" t="s">
        <v>57017</v>
      </c>
      <c r="S2739" t="s">
        <v>57018</v>
      </c>
      <c r="T2739" t="s">
        <v>57019</v>
      </c>
      <c r="U2739" t="s">
        <v>57020</v>
      </c>
      <c r="V2739">
        <f>-872.387640796769 -68.1162854643765 -59.8794941501337</f>
        <v>-1000.3834204112792</v>
      </c>
      <c r="W2739" t="s">
        <v>57021</v>
      </c>
      <c r="X2739" t="s">
        <v>57022</v>
      </c>
      <c r="Y2739" t="s">
        <v>57023</v>
      </c>
    </row>
    <row r="2740" spans="1:25" x14ac:dyDescent="0.3">
      <c r="A2740">
        <v>136950</v>
      </c>
      <c r="B2740" t="s">
        <v>57024</v>
      </c>
      <c r="C2740" t="s">
        <v>57025</v>
      </c>
      <c r="D2740" t="s">
        <v>57026</v>
      </c>
      <c r="E2740" t="s">
        <v>57027</v>
      </c>
      <c r="F2740">
        <f>-943.909610726807 -1.47390926709659 -355.816906615366</f>
        <v>-1301.2004266092697</v>
      </c>
      <c r="G2740">
        <f>-938.205251674647 -5.70856723904581 -444.630181566269</f>
        <v>-1388.5440004799618</v>
      </c>
      <c r="H2740">
        <f>-921.895908352042 -11.3492692999594 -568.011680321181</f>
        <v>-1501.2568579731824</v>
      </c>
      <c r="I2740">
        <f>-891.240416609041 -30.2979680353324 -642.886386548411</f>
        <v>-1564.4247711927842</v>
      </c>
      <c r="J2740" t="s">
        <v>57028</v>
      </c>
      <c r="K2740" t="s">
        <v>57029</v>
      </c>
      <c r="L2740" t="s">
        <v>57030</v>
      </c>
      <c r="M2740" t="s">
        <v>57031</v>
      </c>
      <c r="N2740">
        <f>-927.596578839137 -36.4982215955349 -512.259052216016</f>
        <v>-1476.3538526506879</v>
      </c>
      <c r="O2740">
        <f>-924.832322272491 -169.821179508624 -478.861708980416</f>
        <v>-1573.5152107615309</v>
      </c>
      <c r="P2740">
        <f>-896.27621622225 -227.887928055623 -191.800717551016</f>
        <v>-1315.9648618288891</v>
      </c>
      <c r="Q2740">
        <f>-732.097064388154 -84.5535744358549 -294.520388337562</f>
        <v>-1111.1710271615709</v>
      </c>
      <c r="R2740" t="s">
        <v>57032</v>
      </c>
      <c r="S2740" t="s">
        <v>57033</v>
      </c>
      <c r="T2740" t="s">
        <v>57034</v>
      </c>
      <c r="U2740" t="s">
        <v>57035</v>
      </c>
      <c r="V2740">
        <f>-873.754237114734 -73.6409390532681 -59.0721606524313</f>
        <v>-1006.4673368204334</v>
      </c>
      <c r="W2740" t="s">
        <v>57036</v>
      </c>
      <c r="X2740" t="s">
        <v>57037</v>
      </c>
      <c r="Y2740" t="s">
        <v>57038</v>
      </c>
    </row>
    <row r="2741" spans="1:25" x14ac:dyDescent="0.3">
      <c r="A2741">
        <v>137000</v>
      </c>
      <c r="B2741" t="s">
        <v>57039</v>
      </c>
      <c r="C2741" t="s">
        <v>57040</v>
      </c>
      <c r="D2741" t="s">
        <v>57041</v>
      </c>
      <c r="E2741">
        <f>-939.533485656585 -3.47618777836897 -264.302297581447</f>
        <v>-1207.311971016401</v>
      </c>
      <c r="F2741">
        <f>-941.899341879104 -7.92917784913925 -353.256249853047</f>
        <v>-1303.0847695812902</v>
      </c>
      <c r="G2741">
        <f>-936.033817618168 -12.1760122286992 -442.058364606139</f>
        <v>-1390.2681944530061</v>
      </c>
      <c r="H2741">
        <f>-919.238089926469 -18.1724553409495 -565.35788253601</f>
        <v>-1502.7684278034285</v>
      </c>
      <c r="I2741">
        <f>-888.694739477754 -38.2291753837007 -639.989270171976</f>
        <v>-1566.9131850334306</v>
      </c>
      <c r="J2741" t="s">
        <v>57042</v>
      </c>
      <c r="K2741" t="s">
        <v>57043</v>
      </c>
      <c r="L2741" t="s">
        <v>57044</v>
      </c>
      <c r="M2741" t="s">
        <v>57045</v>
      </c>
      <c r="N2741">
        <f>-926.211700166432 -43.2040913969965 -509.697182717575</f>
        <v>-1479.1129742810035</v>
      </c>
      <c r="O2741">
        <f>-928.617428293568 -176.482180426832 -476.088271295674</f>
        <v>-1581.1878800160741</v>
      </c>
      <c r="P2741">
        <f>-908.404419783587 -225.311970913043 -186.608892026694</f>
        <v>-1320.3252827233241</v>
      </c>
      <c r="Q2741">
        <f>-737.507872765727 -89.601272503794 -288.725216347538</f>
        <v>-1115.8343616170591</v>
      </c>
      <c r="R2741" t="s">
        <v>57046</v>
      </c>
      <c r="S2741" t="s">
        <v>57047</v>
      </c>
      <c r="T2741" t="s">
        <v>57048</v>
      </c>
      <c r="U2741" t="s">
        <v>57049</v>
      </c>
      <c r="V2741">
        <f>-875.123978834089 -83.6862386131272 -57.2654292921036</f>
        <v>-1016.0756467393198</v>
      </c>
      <c r="W2741" t="s">
        <v>57050</v>
      </c>
      <c r="X2741" t="s">
        <v>57051</v>
      </c>
      <c r="Y2741" t="s">
        <v>57052</v>
      </c>
    </row>
    <row r="2742" spans="1:25" x14ac:dyDescent="0.3">
      <c r="A2742">
        <v>137050</v>
      </c>
      <c r="B2742" t="s">
        <v>57053</v>
      </c>
      <c r="C2742" t="s">
        <v>57054</v>
      </c>
      <c r="D2742">
        <f>-926.651501659776 -2.03335696096065 -165.004862000129</f>
        <v>-1093.6897206208657</v>
      </c>
      <c r="E2742">
        <f>-938.250276736225 -7.06482672748189 -262.814981650614</f>
        <v>-1208.130085114321</v>
      </c>
      <c r="F2742">
        <f>-940.760967236344 -11.2889632168881 -351.776179837918</f>
        <v>-1303.8261102911501</v>
      </c>
      <c r="G2742">
        <f>-934.923225454874 -15.4556522178382 -440.583801030593</f>
        <v>-1390.9626787033053</v>
      </c>
      <c r="H2742">
        <f>-918.051089062261 -21.4974531888897 -563.870586388828</f>
        <v>-1503.4191286399787</v>
      </c>
      <c r="I2742">
        <f>-887.585666030022 -42.0139915139494 -638.408974660194</f>
        <v>-1568.0086322041652</v>
      </c>
      <c r="J2742" t="s">
        <v>57055</v>
      </c>
      <c r="K2742" t="s">
        <v>57056</v>
      </c>
      <c r="L2742" t="s">
        <v>57057</v>
      </c>
      <c r="M2742" t="s">
        <v>57058</v>
      </c>
      <c r="N2742">
        <f>-925.564949921145 -46.5150500586301 -508.274068247669</f>
        <v>-1480.354068227444</v>
      </c>
      <c r="O2742">
        <f>-930.472726099619 -179.777704868427 -474.844582960351</f>
        <v>-1585.0950139283968</v>
      </c>
      <c r="P2742">
        <f>-914.345052387423 -224.467809203403 -184.441607233043</f>
        <v>-1323.254468823869</v>
      </c>
      <c r="Q2742">
        <f>-740.59615608599 -91.5169658156776 -285.368780512742</f>
        <v>-1117.4819024144094</v>
      </c>
      <c r="R2742" t="s">
        <v>57059</v>
      </c>
      <c r="S2742" t="s">
        <v>57060</v>
      </c>
      <c r="T2742" t="s">
        <v>57061</v>
      </c>
      <c r="U2742" t="s">
        <v>57062</v>
      </c>
      <c r="V2742">
        <f>-875.335939284066 -89.0162868894388 -56.2576082468012</f>
        <v>-1020.6098344203059</v>
      </c>
      <c r="W2742" t="s">
        <v>57063</v>
      </c>
      <c r="X2742" t="s">
        <v>57064</v>
      </c>
      <c r="Y2742" t="s">
        <v>57065</v>
      </c>
    </row>
    <row r="2743" spans="1:25" x14ac:dyDescent="0.3">
      <c r="A2743">
        <v>137100</v>
      </c>
      <c r="B2743" t="s">
        <v>57066</v>
      </c>
      <c r="C2743">
        <f>-883.928528009404 -3.28836728335 -52.9395758802527</f>
        <v>-940.15647117300671</v>
      </c>
      <c r="D2743">
        <f>-923.138126726617 -9.9485428617354 -161.725923654539</f>
        <v>-1094.8125932428914</v>
      </c>
      <c r="E2743">
        <f>-935.407180558793 -14.1131785729885 -259.495052007671</f>
        <v>-1209.0154111394527</v>
      </c>
      <c r="F2743">
        <f>-938.337524062639 -17.8157261305005 -348.466659912151</f>
        <v>-1304.6199101052905</v>
      </c>
      <c r="G2743">
        <f>-932.738761402468 -21.7436867934548 -437.300593220839</f>
        <v>-1391.7830414167618</v>
      </c>
      <c r="H2743">
        <f>-916.020923549235 -27.7549167161724 -560.609857529875</f>
        <v>-1504.3856977952823</v>
      </c>
      <c r="I2743">
        <f>-885.702369796233 -48.982339246254 -635.008954386499</f>
        <v>-1569.6936634289859</v>
      </c>
      <c r="J2743" t="s">
        <v>57067</v>
      </c>
      <c r="K2743" t="s">
        <v>57068</v>
      </c>
      <c r="L2743" t="s">
        <v>57069</v>
      </c>
      <c r="M2743" t="s">
        <v>57070</v>
      </c>
      <c r="N2743">
        <f>-924.400800217086 -52.773488964111 -505.137614006182</f>
        <v>-1482.3119031873791</v>
      </c>
      <c r="O2743">
        <f>-933.963374565203 -185.965702919668 -472.438143168517</f>
        <v>-1592.3672206533879</v>
      </c>
      <c r="P2743">
        <f>-925.041617732423 -226.059834850798 -181.055088481482</f>
        <v>-1332.1565410647031</v>
      </c>
      <c r="Q2743">
        <f>-747.470378440347 -95.4726455393827 -278.350290257032</f>
        <v>-1121.2933142367617</v>
      </c>
      <c r="R2743" t="s">
        <v>57071</v>
      </c>
      <c r="S2743" t="s">
        <v>57072</v>
      </c>
      <c r="T2743" t="s">
        <v>57073</v>
      </c>
      <c r="U2743" t="s">
        <v>57074</v>
      </c>
      <c r="V2743">
        <f>-875.410059600786 -98.7923934406656 -54.2048430367178</f>
        <v>-1028.4072960781693</v>
      </c>
      <c r="W2743" t="s">
        <v>57075</v>
      </c>
      <c r="X2743" t="s">
        <v>57076</v>
      </c>
      <c r="Y2743" t="s">
        <v>57077</v>
      </c>
    </row>
    <row r="2744" spans="1:25" x14ac:dyDescent="0.3">
      <c r="A2744">
        <v>137150</v>
      </c>
      <c r="B2744" t="s">
        <v>57078</v>
      </c>
      <c r="C2744">
        <f>-881.545749812427 -7.86616367130591 -51.3840007372481</f>
        <v>-940.79591422098099</v>
      </c>
      <c r="D2744">
        <f>-921.382361812382 -13.5415886755627 -159.998309804446</f>
        <v>-1094.9222602923908</v>
      </c>
      <c r="E2744">
        <f>-933.978931594492 -17.2190882097029 -257.745160311334</f>
        <v>-1208.943180115529</v>
      </c>
      <c r="F2744">
        <f>-937.122079392607 -20.6243946058094 -346.721475864963</f>
        <v>-1304.4679498633793</v>
      </c>
      <c r="G2744">
        <f>-931.657553682789 -24.4068484821787 -435.570032113002</f>
        <v>-1391.6344342779696</v>
      </c>
      <c r="H2744">
        <f>-915.048986709413 -30.3759703307801 -558.89617734433</f>
        <v>-1504.3211343845232</v>
      </c>
      <c r="I2744">
        <f>-884.722859425779 -51.8711397820528 -633.215205126356</f>
        <v>-1569.8092043341876</v>
      </c>
      <c r="J2744">
        <f>-920.941701259963 -0.100125856446539 -505.774004182941</f>
        <v>-1426.8158312993505</v>
      </c>
      <c r="K2744" t="s">
        <v>57079</v>
      </c>
      <c r="L2744" t="s">
        <v>57080</v>
      </c>
      <c r="M2744" t="s">
        <v>57081</v>
      </c>
      <c r="N2744">
        <f>-923.773715692975 -55.3983242063409 -503.478868964928</f>
        <v>-1482.6509088642438</v>
      </c>
      <c r="O2744">
        <f>-935.267506929994 -188.531592718518 -471.217841619042</f>
        <v>-1595.0169412675541</v>
      </c>
      <c r="P2744">
        <f>-929.735829503081 -227.671267790661 -179.621113832124</f>
        <v>-1337.0282111258659</v>
      </c>
      <c r="Q2744">
        <f>-750.78869944767 -97.4887552807713 -274.916898398816</f>
        <v>-1123.1943531272573</v>
      </c>
      <c r="R2744" t="s">
        <v>57082</v>
      </c>
      <c r="S2744" t="s">
        <v>57083</v>
      </c>
      <c r="T2744" t="s">
        <v>57084</v>
      </c>
      <c r="U2744" t="s">
        <v>57085</v>
      </c>
      <c r="V2744">
        <f>-875.277089729164 -103.282649083526 -53.1515021399613</f>
        <v>-1031.7112409526515</v>
      </c>
      <c r="W2744" t="s">
        <v>57086</v>
      </c>
      <c r="X2744" t="s">
        <v>57087</v>
      </c>
      <c r="Y2744" t="s">
        <v>57088</v>
      </c>
    </row>
    <row r="2745" spans="1:25" x14ac:dyDescent="0.3">
      <c r="A2745">
        <v>137200</v>
      </c>
      <c r="B2745" t="s">
        <v>57089</v>
      </c>
      <c r="C2745">
        <f>-878.13301904668 -15.0232683561148 -48.8065880006402</f>
        <v>-941.96287540343508</v>
      </c>
      <c r="D2745">
        <f>-919.048876613887 -18.5036062832173 -157.111770585787</f>
        <v>-1094.6642534828914</v>
      </c>
      <c r="E2745">
        <f>-932.255217787932 -21.2171951411228 -254.809651448574</f>
        <v>-1208.2820643776288</v>
      </c>
      <c r="F2745">
        <f>-935.832936030764 -24.1106051277275 -343.787554894716</f>
        <v>-1303.7310960532075</v>
      </c>
      <c r="G2745">
        <f>-930.695715071565 -27.75013266717 -432.661641088524</f>
        <v>-1391.107488827259</v>
      </c>
      <c r="H2745">
        <f>-914.443544389284 -33.9032938131313 -556.026188210743</f>
        <v>-1504.3730264131584</v>
      </c>
      <c r="I2745">
        <f>-884.147481899661 -55.8580236607947 -630.222983529107</f>
        <v>-1570.2284890895626</v>
      </c>
      <c r="J2745">
        <f>-919.501255307495 -3.58768467272103 -502.840816482262</f>
        <v>-1425.9297564624781</v>
      </c>
      <c r="K2745" t="s">
        <v>57090</v>
      </c>
      <c r="L2745" t="s">
        <v>57091</v>
      </c>
      <c r="M2745" t="s">
        <v>57092</v>
      </c>
      <c r="N2745">
        <f>-923.689248470458 -58.8034556670011 -500.638376951757</f>
        <v>-1483.131081089216</v>
      </c>
      <c r="O2745">
        <f>-938.396264405007 -191.787873346626 -469.064837784426</f>
        <v>-1599.2489755360589</v>
      </c>
      <c r="P2745">
        <f>-938.115280716353 -231.272993492816 -177.462286581921</f>
        <v>-1346.8505607910902</v>
      </c>
      <c r="Q2745">
        <f>-758.689101215572 -99.8583271582334 -270.130099982424</f>
        <v>-1128.6775283562292</v>
      </c>
      <c r="R2745" t="s">
        <v>57093</v>
      </c>
      <c r="S2745" t="s">
        <v>57094</v>
      </c>
      <c r="T2745" t="s">
        <v>57095</v>
      </c>
      <c r="U2745" t="s">
        <v>57096</v>
      </c>
      <c r="V2745">
        <f>-875.882678638095 -110.256225102477 -51.6826969848339</f>
        <v>-1037.8216007254059</v>
      </c>
      <c r="W2745" t="s">
        <v>57097</v>
      </c>
      <c r="X2745" t="s">
        <v>57098</v>
      </c>
      <c r="Y2745" t="s">
        <v>57099</v>
      </c>
    </row>
    <row r="2746" spans="1:25" x14ac:dyDescent="0.3">
      <c r="A2746">
        <v>137250</v>
      </c>
      <c r="B2746" t="s">
        <v>57100</v>
      </c>
      <c r="C2746">
        <f>-877.781303816553 -17.2096959607152 -48.2490425259407</f>
        <v>-943.24004230320884</v>
      </c>
      <c r="D2746">
        <f>-919.026950957819 -19.7732395211838 -156.454752831311</f>
        <v>-1095.2549433103138</v>
      </c>
      <c r="E2746">
        <f>-932.470730961132 -22.0933859353418 -254.130360826899</f>
        <v>-1208.6944777233728</v>
      </c>
      <c r="F2746">
        <f>-936.251432342265 -24.7802913360215 -343.106457133856</f>
        <v>-1304.1381808121425</v>
      </c>
      <c r="G2746">
        <f>-931.308213969694 -28.3645719567689 -431.993684631972</f>
        <v>-1391.6664705584349</v>
      </c>
      <c r="H2746">
        <f>-915.322115403362 -34.5959986124794 -555.389176401632</f>
        <v>-1505.3072904174733</v>
      </c>
      <c r="I2746">
        <f>-885.054041586813 -56.7429080911252 -629.54034895906</f>
        <v>-1571.3372986369982</v>
      </c>
      <c r="J2746">
        <f>-919.959192409933 -4.26999614807391 -502.171350098198</f>
        <v>-1426.4005386562048</v>
      </c>
      <c r="K2746" t="s">
        <v>57101</v>
      </c>
      <c r="L2746" t="s">
        <v>57102</v>
      </c>
      <c r="M2746" t="s">
        <v>57103</v>
      </c>
      <c r="N2746">
        <f>-924.754389961475 -59.4378704092533 -500.006654295344</f>
        <v>-1484.1989146660721</v>
      </c>
      <c r="O2746">
        <f>-940.889522699764 -192.309108438144 -468.664427015456</f>
        <v>-1601.8630581533639</v>
      </c>
      <c r="P2746">
        <f>-941.934891431637 -232.548157195827 -177.166712163409</f>
        <v>-1351.6497607908732</v>
      </c>
      <c r="Q2746">
        <f>-762.957054565769 -100.211512868726 -269.388074777167</f>
        <v>-1132.5566422116619</v>
      </c>
      <c r="R2746" t="s">
        <v>57104</v>
      </c>
      <c r="S2746" t="s">
        <v>57105</v>
      </c>
      <c r="T2746" t="s">
        <v>57106</v>
      </c>
      <c r="U2746" t="s">
        <v>57107</v>
      </c>
      <c r="V2746">
        <f>-877.363266786126 -111.873069102771 -51.4538537661056</f>
        <v>-1040.6901896550025</v>
      </c>
      <c r="W2746" t="s">
        <v>57108</v>
      </c>
      <c r="X2746" t="s">
        <v>57109</v>
      </c>
      <c r="Y2746" t="s">
        <v>57110</v>
      </c>
    </row>
    <row r="2747" spans="1:25" x14ac:dyDescent="0.3">
      <c r="A2747">
        <v>137300</v>
      </c>
      <c r="B2747" t="s">
        <v>57111</v>
      </c>
      <c r="C2747">
        <f>-879.200848451975 -18.5267938638667 -48.6550951342325</f>
        <v>-946.38273745007427</v>
      </c>
      <c r="D2747">
        <f>-920.271051168037 -19.7272253523161 -156.951100925384</f>
        <v>-1096.9493774457371</v>
      </c>
      <c r="E2747">
        <f>-933.943416984667 -21.490554757725 -254.606656653627</f>
        <v>-1210.040628396019</v>
      </c>
      <c r="F2747">
        <f>-938.102191887263 -23.8826663949139 -343.574295077658</f>
        <v>-1305.5591533598349</v>
      </c>
      <c r="G2747">
        <f>-933.7141239866 -27.3737450352569 -432.494371602986</f>
        <v>-1393.5822406248431</v>
      </c>
      <c r="H2747">
        <f>-918.68833581022 -33.6702644441129 -556.007200777735</f>
        <v>-1508.3658010320678</v>
      </c>
      <c r="I2747">
        <f>-888.57978160364 -56.131780065471 -630.128502457843</f>
        <v>-1574.8400641269541</v>
      </c>
      <c r="J2747">
        <f>-922.344911272926 -3.36818631255255 -502.699159886048</f>
        <v>-1428.4122574715266</v>
      </c>
      <c r="K2747" t="s">
        <v>57112</v>
      </c>
      <c r="L2747" t="s">
        <v>57113</v>
      </c>
      <c r="M2747" t="s">
        <v>57114</v>
      </c>
      <c r="N2747">
        <f>-928.25589101114 -58.430538311638 -500.61131385519</f>
        <v>-1487.297743177968</v>
      </c>
      <c r="O2747">
        <f>-946.878802240376 -190.998654022971 -469.378449388348</f>
        <v>-1607.255905651695</v>
      </c>
      <c r="P2747">
        <f>-947.663987044545 -232.641289238662 -178.07707580905</f>
        <v>-1358.3823520922572</v>
      </c>
      <c r="Q2747">
        <f>-769.318444351554 -99.3940472190443 -270.212436478052</f>
        <v>-1138.9249280486504</v>
      </c>
      <c r="R2747" t="s">
        <v>57115</v>
      </c>
      <c r="S2747" t="s">
        <v>57116</v>
      </c>
      <c r="T2747" t="s">
        <v>57117</v>
      </c>
      <c r="U2747" t="s">
        <v>57118</v>
      </c>
      <c r="V2747">
        <f>-880.643526840267 -110.765924444331 -52.0077733712353</f>
        <v>-1043.4172246558333</v>
      </c>
      <c r="W2747" t="s">
        <v>57119</v>
      </c>
      <c r="X2747" t="s">
        <v>57120</v>
      </c>
      <c r="Y2747" t="s">
        <v>57121</v>
      </c>
    </row>
    <row r="2748" spans="1:25" x14ac:dyDescent="0.3">
      <c r="A2748">
        <v>137350</v>
      </c>
      <c r="B2748" t="s">
        <v>57122</v>
      </c>
      <c r="C2748">
        <f>-880.932605154592 -18.6425418902886 -48.9614777880146</f>
        <v>-948.5366248328952</v>
      </c>
      <c r="D2748">
        <f>-921.758859967531 -19.3319257634171 -157.354235840445</f>
        <v>-1098.445021571393</v>
      </c>
      <c r="E2748">
        <f>-935.517356369871 -20.9404537571104 -255.000297779011</f>
        <v>-1211.4581079059924</v>
      </c>
      <c r="F2748">
        <f>-939.884171133183 -23.2824393239075 -343.959202477375</f>
        <v>-1307.1258129344656</v>
      </c>
      <c r="G2748">
        <f>-935.835683837302 -26.8064023786956 -432.894223376124</f>
        <v>-1395.5363095921216</v>
      </c>
      <c r="H2748">
        <f>-921.421063282928 -33.2257567161123 -556.473478770044</f>
        <v>-1511.1202987690845</v>
      </c>
      <c r="I2748">
        <f>-891.389502127924 -55.8991285472462 -630.561504564104</f>
        <v>-1577.8501352392741</v>
      </c>
      <c r="J2748">
        <f>-924.539733524672 -2.90028859862014 -503.14472920013</f>
        <v>-1430.5847513234221</v>
      </c>
      <c r="K2748" t="s">
        <v>57123</v>
      </c>
      <c r="L2748" t="s">
        <v>57124</v>
      </c>
      <c r="M2748" t="s">
        <v>57125</v>
      </c>
      <c r="N2748">
        <f>-930.988783178253 -57.9015177260715 -501.03981818</f>
        <v>-1489.9301190843244</v>
      </c>
      <c r="O2748">
        <f>-950.869164030189 -190.272678227543 -469.742775583078</f>
        <v>-1610.8846178408103</v>
      </c>
      <c r="P2748">
        <f>-950.567544656645 -232.904780033914 -178.583634971242</f>
        <v>-1362.0559596618011</v>
      </c>
      <c r="Q2748">
        <f>-772.377557179647 -99.5468192853559 -270.859825905657</f>
        <v>-1142.7842023706598</v>
      </c>
      <c r="R2748" t="s">
        <v>57126</v>
      </c>
      <c r="S2748" t="s">
        <v>57127</v>
      </c>
      <c r="T2748" t="s">
        <v>57128</v>
      </c>
      <c r="U2748" t="s">
        <v>57129</v>
      </c>
      <c r="V2748">
        <f>-882.976863310603 -110.199854841589 -52.2353716832808</f>
        <v>-1045.4120898354729</v>
      </c>
      <c r="W2748" t="s">
        <v>57130</v>
      </c>
      <c r="X2748" t="s">
        <v>57131</v>
      </c>
      <c r="Y2748" t="s">
        <v>57132</v>
      </c>
    </row>
    <row r="2749" spans="1:25" x14ac:dyDescent="0.3">
      <c r="A2749">
        <v>137400</v>
      </c>
      <c r="B2749" t="s">
        <v>57133</v>
      </c>
      <c r="C2749">
        <f>-887.087873783733 -18.4433834768402 -49.3266715196364</f>
        <v>-954.85792878020959</v>
      </c>
      <c r="D2749">
        <f>-927.61031381165 -18.1677487094457 -157.835159768921</f>
        <v>-1103.6132222900167</v>
      </c>
      <c r="E2749">
        <f>-941.396801613603 -19.5401036439184 -255.480877514934</f>
        <v>-1216.4177827724554</v>
      </c>
      <c r="F2749">
        <f>-945.921382418788 -21.8689920130746 -344.432267766461</f>
        <v>-1312.2226421983237</v>
      </c>
      <c r="G2749">
        <f>-942.168348745947 -25.5722840697558 -433.372869039957</f>
        <v>-1401.1135018556597</v>
      </c>
      <c r="H2749">
        <f>-928.313077945373 -32.427982931933 -556.992670127359</f>
        <v>-1517.7337310046651</v>
      </c>
      <c r="I2749">
        <f>-898.506456124977 -55.7266322388032 -630.977665104521</f>
        <v>-1585.2107534683012</v>
      </c>
      <c r="J2749">
        <f>-930.668225611605 -1.97808113465271 -503.695714707548</f>
        <v>-1436.3420214538057</v>
      </c>
      <c r="K2749" t="s">
        <v>57134</v>
      </c>
      <c r="L2749" t="s">
        <v>57135</v>
      </c>
      <c r="M2749" t="s">
        <v>57136</v>
      </c>
      <c r="N2749">
        <f>-938.15221997794 -56.8442310602791 -501.491715548572</f>
        <v>-1496.4881665867911</v>
      </c>
      <c r="O2749">
        <f>-960.420533970906 -188.69470281706 -469.659411046649</f>
        <v>-1618.7746478346151</v>
      </c>
      <c r="P2749">
        <f>-958.698360157647 -233.196496817457 -178.785159302247</f>
        <v>-1370.6800162773509</v>
      </c>
      <c r="Q2749">
        <f>-780.166889249888 -100.94956347705 -271.995018765789</f>
        <v>-1153.1114714927269</v>
      </c>
      <c r="R2749" t="s">
        <v>57137</v>
      </c>
      <c r="S2749" t="s">
        <v>57138</v>
      </c>
      <c r="T2749" t="s">
        <v>57139</v>
      </c>
      <c r="U2749" t="s">
        <v>57140</v>
      </c>
      <c r="V2749">
        <f>-888.537743040609 -109.508821057555 -52.5435394455077</f>
        <v>-1050.5901035436718</v>
      </c>
      <c r="W2749" t="s">
        <v>57141</v>
      </c>
      <c r="X2749" t="s">
        <v>57142</v>
      </c>
      <c r="Y2749" t="s">
        <v>57143</v>
      </c>
    </row>
    <row r="2750" spans="1:25" x14ac:dyDescent="0.3">
      <c r="A2750">
        <v>137450</v>
      </c>
      <c r="B2750" t="s">
        <v>57144</v>
      </c>
      <c r="C2750">
        <f>-892.405793552341 -14.0201179677829 -49.9156966571254</f>
        <v>-956.34160817724933</v>
      </c>
      <c r="D2750">
        <f>-932.86694920974 -13.369127034005 -158.445386279384</f>
        <v>-1104.6814625231291</v>
      </c>
      <c r="E2750">
        <f>-946.626582079478 -14.7243720426322 -256.095270260907</f>
        <v>-1217.4462243830171</v>
      </c>
      <c r="F2750">
        <f>-951.143338734569 -17.152756400978 -345.044504991209</f>
        <v>-1313.340600126756</v>
      </c>
      <c r="G2750">
        <f>-947.403767555575 -21.0702052367528 -433.976475464979</f>
        <v>-1402.4504482573068</v>
      </c>
      <c r="H2750">
        <f>-933.592661724741 -28.3430188984789 -557.577341938888</f>
        <v>-1519.5130225621078</v>
      </c>
      <c r="I2750">
        <f>-903.89829314952 -52.0435314479669 -631.479693968428</f>
        <v>-1587.421518565915</v>
      </c>
      <c r="J2750" t="s">
        <v>57145</v>
      </c>
      <c r="K2750" t="s">
        <v>57146</v>
      </c>
      <c r="L2750" t="s">
        <v>57147</v>
      </c>
      <c r="M2750" t="s">
        <v>57148</v>
      </c>
      <c r="N2750">
        <f>-943.633320468426 -52.5419830519299 -502.017225103146</f>
        <v>-1498.1925286235019</v>
      </c>
      <c r="O2750">
        <f>-966.956435162968 -184.097028925925 -469.76124101147</f>
        <v>-1620.814705100363</v>
      </c>
      <c r="P2750">
        <f>-965.496970596332 -228.787274973732 -178.914506257119</f>
        <v>-1373.1987518271828</v>
      </c>
      <c r="Q2750">
        <f>-786.195099921801 -97.783672964988 -272.401094335766</f>
        <v>-1156.379867222555</v>
      </c>
      <c r="R2750" t="s">
        <v>57149</v>
      </c>
      <c r="S2750" t="s">
        <v>57150</v>
      </c>
      <c r="T2750" t="s">
        <v>57151</v>
      </c>
      <c r="U2750" t="s">
        <v>57152</v>
      </c>
      <c r="V2750">
        <f>-891.831281197845 -107.368591882276 -52.8988677925314</f>
        <v>-1052.0987408726523</v>
      </c>
      <c r="W2750" t="s">
        <v>57153</v>
      </c>
      <c r="X2750" t="s">
        <v>57154</v>
      </c>
      <c r="Y2750" t="s">
        <v>57155</v>
      </c>
    </row>
    <row r="2751" spans="1:25" x14ac:dyDescent="0.3">
      <c r="A2751">
        <v>137500</v>
      </c>
      <c r="B2751" t="s">
        <v>57156</v>
      </c>
      <c r="C2751">
        <f>-897.754463767149 -8.57740135175118 -51.6852844686283</f>
        <v>-958.01714958752848</v>
      </c>
      <c r="D2751">
        <f>-938.194820613863 -7.59299515052226 -160.220235910268</f>
        <v>-1106.0080516746534</v>
      </c>
      <c r="E2751">
        <f>-951.93233081568 -9.13989987775949 -257.870368235812</f>
        <v>-1218.9425989292515</v>
      </c>
      <c r="F2751">
        <f>-956.438158013158 -11.9272786648726 -346.809510486894</f>
        <v>-1315.1749471649246</v>
      </c>
      <c r="G2751">
        <f>-952.703073758274 -16.3929506762315 -435.715844905557</f>
        <v>-1404.8118693400625</v>
      </c>
      <c r="H2751">
        <f>-938.920979108939 -24.6277846526873 -559.259590251085</f>
        <v>-1522.8083540127113</v>
      </c>
      <c r="I2751">
        <f>-909.3762136294 -49.2751083168209 -632.911720046984</f>
        <v>-1591.5630419932049</v>
      </c>
      <c r="J2751" t="s">
        <v>57157</v>
      </c>
      <c r="K2751" t="s">
        <v>57158</v>
      </c>
      <c r="L2751" t="s">
        <v>57159</v>
      </c>
      <c r="M2751" t="s">
        <v>57160</v>
      </c>
      <c r="N2751">
        <f>-949.311286386618 -48.3406323833422 -503.554460510731</f>
        <v>-1501.2063792806912</v>
      </c>
      <c r="O2751">
        <f>-974.339642689063 -179.357916468636 -470.301693949963</f>
        <v>-1623.9992531076621</v>
      </c>
      <c r="P2751">
        <f>-974.829733347959 -222.079552163549 -179.156077620411</f>
        <v>-1376.065363131919</v>
      </c>
      <c r="Q2751">
        <f>-793.374137186366 -94.1761810893649 -272.780303441072</f>
        <v>-1160.3306217168031</v>
      </c>
      <c r="R2751" t="s">
        <v>57161</v>
      </c>
      <c r="S2751" t="s">
        <v>57162</v>
      </c>
      <c r="T2751" t="s">
        <v>57163</v>
      </c>
      <c r="U2751" t="s">
        <v>57164</v>
      </c>
      <c r="V2751">
        <f>-895.587601720363 -105.350290743759 -53.8408841218226</f>
        <v>-1054.7787765859446</v>
      </c>
      <c r="W2751" t="s">
        <v>57165</v>
      </c>
      <c r="X2751" t="s">
        <v>57166</v>
      </c>
      <c r="Y2751" t="s">
        <v>57167</v>
      </c>
    </row>
    <row r="2752" spans="1:25" x14ac:dyDescent="0.3">
      <c r="A2752">
        <v>137550</v>
      </c>
      <c r="B2752" t="s">
        <v>57168</v>
      </c>
      <c r="C2752">
        <f>-897.629416007318 -8.86959613331373 -52.3567164633643</f>
        <v>-958.855728603996</v>
      </c>
      <c r="D2752">
        <f>-938.08963904663 -7.93407965731876 -160.884648616394</f>
        <v>-1106.9083673203429</v>
      </c>
      <c r="E2752">
        <f>-951.796917542878 -9.65249338033755 -258.53617110286</f>
        <v>-1219.9855820260755</v>
      </c>
      <c r="F2752">
        <f>-956.257819308287 -12.6456767702489 -347.470759385389</f>
        <v>-1316.3742554639248</v>
      </c>
      <c r="G2752">
        <f>-952.463037678784 -17.3695957363561 -436.361390371846</f>
        <v>-1406.1940237869862</v>
      </c>
      <c r="H2752">
        <f>-938.584082190414 -26.0195729660977 -559.865885524847</f>
        <v>-1524.4695406813589</v>
      </c>
      <c r="I2752">
        <f>-909.027117086761 -51.0928343853329 -633.369245729819</f>
        <v>-1593.4891972019129</v>
      </c>
      <c r="J2752" t="s">
        <v>57169</v>
      </c>
      <c r="K2752" t="s">
        <v>57170</v>
      </c>
      <c r="L2752" t="s">
        <v>57171</v>
      </c>
      <c r="M2752" t="s">
        <v>57172</v>
      </c>
      <c r="N2752">
        <f>-949.14758002054 -49.525165345693 -504.105637384161</f>
        <v>-1502.778382750394</v>
      </c>
      <c r="O2752">
        <f>-974.825669414598 -180.285843507876 -470.377275060774</f>
        <v>-1625.4887879832481</v>
      </c>
      <c r="P2752">
        <f>-976.63486754893 -221.516441891087 -179.021832617726</f>
        <v>-1377.173142057743</v>
      </c>
      <c r="Q2752">
        <f>-793.79924662166 -95.6138022631092 -272.673294961494</f>
        <v>-1162.0863438462632</v>
      </c>
      <c r="R2752" t="s">
        <v>57173</v>
      </c>
      <c r="S2752" t="s">
        <v>57174</v>
      </c>
      <c r="T2752" t="s">
        <v>57175</v>
      </c>
      <c r="U2752" t="s">
        <v>57176</v>
      </c>
      <c r="V2752">
        <f>-895.826700100744 -105.738376785106 -54.1759756740315</f>
        <v>-1055.7410525598814</v>
      </c>
      <c r="W2752" t="s">
        <v>57177</v>
      </c>
      <c r="X2752" t="s">
        <v>57178</v>
      </c>
      <c r="Y2752" t="s">
        <v>57179</v>
      </c>
    </row>
    <row r="2753" spans="1:25" x14ac:dyDescent="0.3">
      <c r="A2753">
        <v>137600</v>
      </c>
      <c r="B2753" t="s">
        <v>57180</v>
      </c>
      <c r="C2753">
        <f>-897.507142875191 -9.0206519910721 -52.8214676057755</f>
        <v>-959.34926247203862</v>
      </c>
      <c r="D2753">
        <f>-938.055364527176 -8.35978364376024 -161.318604943763</f>
        <v>-1107.7337531146993</v>
      </c>
      <c r="E2753">
        <f>-951.667983597262 -10.4812314844485 -258.975325505107</f>
        <v>-1221.1245405868176</v>
      </c>
      <c r="F2753">
        <f>-955.97577112847 -13.9085052222363 -347.901978890508</f>
        <v>-1317.7862552412143</v>
      </c>
      <c r="G2753">
        <f>-951.964996414956 -19.139992211029 -436.75453308086</f>
        <v>-1407.859521706845</v>
      </c>
      <c r="H2753">
        <f>-937.723385359109 -28.5772308539995 -560.160112575112</f>
        <v>-1526.4607287882204</v>
      </c>
      <c r="I2753">
        <f>-907.960151207586 -54.4133875746356 -633.315080739304</f>
        <v>-1595.6886195215257</v>
      </c>
      <c r="J2753" t="s">
        <v>57181</v>
      </c>
      <c r="K2753" t="s">
        <v>57182</v>
      </c>
      <c r="L2753" t="s">
        <v>57183</v>
      </c>
      <c r="M2753" t="s">
        <v>57184</v>
      </c>
      <c r="N2753">
        <f>-948.599801047412 -51.7031130723958 -504.301310212357</f>
        <v>-1504.6042243321649</v>
      </c>
      <c r="O2753">
        <f>-975.247012811007 -182.085311977381 -469.837473883202</f>
        <v>-1627.1697986715899</v>
      </c>
      <c r="P2753">
        <f>-979.115174368533 -221.369550159882 -178.23339867431</f>
        <v>-1378.7181232027249</v>
      </c>
      <c r="Q2753">
        <f>-794.044444686366 -98.4552865819285 -271.462985257304</f>
        <v>-1163.9627165255984</v>
      </c>
      <c r="R2753" t="s">
        <v>57185</v>
      </c>
      <c r="S2753" t="s">
        <v>57186</v>
      </c>
      <c r="T2753" t="s">
        <v>57187</v>
      </c>
      <c r="U2753" t="s">
        <v>57188</v>
      </c>
      <c r="V2753">
        <f>-895.824172143871 -107.001649556234 -54.2182279766648</f>
        <v>-1057.0440496767699</v>
      </c>
      <c r="W2753" t="s">
        <v>57189</v>
      </c>
      <c r="X2753" t="s">
        <v>57190</v>
      </c>
      <c r="Y2753" t="s">
        <v>57191</v>
      </c>
    </row>
    <row r="2754" spans="1:25" x14ac:dyDescent="0.3">
      <c r="A2754">
        <v>137650</v>
      </c>
      <c r="B2754" t="s">
        <v>57192</v>
      </c>
      <c r="C2754">
        <f>-896.773484537998 -10.3040978593353 -52.6555311127142</f>
        <v>-959.73311351004759</v>
      </c>
      <c r="D2754">
        <f>-937.405513413535 -9.75275245608827 -161.121835912927</f>
        <v>-1108.2801017825502</v>
      </c>
      <c r="E2754">
        <f>-950.972978760731 -12.0458652209018 -258.781075146678</f>
        <v>-1221.7999191283109</v>
      </c>
      <c r="F2754">
        <f>-955.1931934461 -15.6595081121118 -347.704406145005</f>
        <v>-1318.5571077032168</v>
      </c>
      <c r="G2754">
        <f>-951.048029192332 -21.1078119852486 -436.537913905709</f>
        <v>-1408.6937550832897</v>
      </c>
      <c r="H2754">
        <f>-936.573143392641 -30.8792869720314 -559.890336347298</f>
        <v>-1527.3427667119704</v>
      </c>
      <c r="I2754">
        <f>-906.634848402366 -56.9725232996743 -632.88252256841</f>
        <v>-1596.4898942704503</v>
      </c>
      <c r="J2754" t="s">
        <v>57193</v>
      </c>
      <c r="K2754" t="s">
        <v>57194</v>
      </c>
      <c r="L2754" t="s">
        <v>57195</v>
      </c>
      <c r="M2754" t="s">
        <v>57196</v>
      </c>
      <c r="N2754">
        <f>-947.557306206725 -53.8535955409791 -503.989927685938</f>
        <v>-1505.4008294336422</v>
      </c>
      <c r="O2754">
        <f>-974.342463930766 -184.128633420525 -469.26535188779</f>
        <v>-1627.7364492390811</v>
      </c>
      <c r="P2754">
        <f>-978.99468463499 -223.189963121145 -177.642620288913</f>
        <v>-1379.8272680450482</v>
      </c>
      <c r="Q2754">
        <f>-793.267847992396 -101.006576285783 -270.527730266247</f>
        <v>-1164.802154544426</v>
      </c>
      <c r="R2754" t="s">
        <v>57197</v>
      </c>
      <c r="S2754" t="s">
        <v>57198</v>
      </c>
      <c r="T2754" t="s">
        <v>57199</v>
      </c>
      <c r="U2754" t="s">
        <v>57200</v>
      </c>
      <c r="V2754">
        <f>-895.334937417978 -108.597939566033 -53.9739843828065</f>
        <v>-1057.9068613668176</v>
      </c>
      <c r="W2754" t="s">
        <v>57201</v>
      </c>
      <c r="X2754" t="s">
        <v>57202</v>
      </c>
      <c r="Y2754" t="s">
        <v>57203</v>
      </c>
    </row>
    <row r="2755" spans="1:25" x14ac:dyDescent="0.3">
      <c r="A2755">
        <v>137700</v>
      </c>
      <c r="B2755" t="s">
        <v>57204</v>
      </c>
      <c r="C2755">
        <f>-895.740434372795 -12.6894604935892 -52.1181585372951</f>
        <v>-960.54805340367932</v>
      </c>
      <c r="D2755">
        <f>-936.747474659134 -12.3283399204929 -160.444045818962</f>
        <v>-1109.5198603985889</v>
      </c>
      <c r="E2755">
        <f>-950.375905798621 -14.9106020782556 -258.087498200302</f>
        <v>-1223.3740060771786</v>
      </c>
      <c r="F2755">
        <f>-954.541426844053 -18.8358913800266 -347.000367288859</f>
        <v>-1320.3776855129386</v>
      </c>
      <c r="G2755">
        <f>-950.231994474827 -24.6434064270375 -435.803110724783</f>
        <v>-1410.6785116266474</v>
      </c>
      <c r="H2755">
        <f>-935.415986296178 -34.9630740375273 -559.070376143079</f>
        <v>-1529.4494364767843</v>
      </c>
      <c r="I2755">
        <f>-905.027654399571 -61.3502097866487 -631.770547384756</f>
        <v>-1598.1484115709759</v>
      </c>
      <c r="J2755">
        <f>-937.4370783621 -3.1360847675769 -506.570125321419</f>
        <v>-1447.1432884510959</v>
      </c>
      <c r="K2755" t="s">
        <v>57205</v>
      </c>
      <c r="L2755" t="s">
        <v>57206</v>
      </c>
      <c r="M2755" t="s">
        <v>57207</v>
      </c>
      <c r="N2755">
        <f>-946.434553976437 -57.7076105065091 -503.082983027031</f>
        <v>-1507.225147509977</v>
      </c>
      <c r="O2755">
        <f>-972.763232424443 -187.934408018187 -467.822665655037</f>
        <v>-1628.5203060976669</v>
      </c>
      <c r="P2755">
        <f>-978.148347121622 -226.318168630174 -176.122688793</f>
        <v>-1380.5892045447961</v>
      </c>
      <c r="Q2755">
        <f>-792.048693857364 -104.633268402739 -268.915676887718</f>
        <v>-1165.5976391478209</v>
      </c>
      <c r="R2755" t="s">
        <v>57208</v>
      </c>
      <c r="S2755" t="s">
        <v>57209</v>
      </c>
      <c r="T2755" t="s">
        <v>57210</v>
      </c>
      <c r="U2755" t="s">
        <v>57211</v>
      </c>
      <c r="V2755">
        <f>-894.04647472719 -111.738134648798 -53.3908827161541</f>
        <v>-1059.1754920921421</v>
      </c>
      <c r="W2755" t="s">
        <v>57212</v>
      </c>
      <c r="X2755" t="s">
        <v>57213</v>
      </c>
      <c r="Y2755" t="s">
        <v>57214</v>
      </c>
    </row>
    <row r="2756" spans="1:25" x14ac:dyDescent="0.3">
      <c r="A2756">
        <v>137750</v>
      </c>
      <c r="B2756" t="s">
        <v>57215</v>
      </c>
      <c r="C2756">
        <f>-895.236431268341 -13.540337049797 -51.8105224338384</f>
        <v>-960.58729075197641</v>
      </c>
      <c r="D2756">
        <f>-936.51614665892 -13.3403414338532 -160.033267385946</f>
        <v>-1109.8897554787191</v>
      </c>
      <c r="E2756">
        <f>-950.291085797009 -16.0531167493114 -257.652652931558</f>
        <v>-1223.9968554778784</v>
      </c>
      <c r="F2756">
        <f>-954.549617131362 -20.0970542623381 -346.555710111104</f>
        <v>-1321.2023815048042</v>
      </c>
      <c r="G2756">
        <f>-950.29308924802 -26.0232580704514 -435.353218754337</f>
        <v>-1411.6695660728085</v>
      </c>
      <c r="H2756">
        <f>-935.508373895345 -36.5099901272165 -558.610058522565</f>
        <v>-1530.6284225451266</v>
      </c>
      <c r="I2756">
        <f>-904.906569027203 -62.9174705975888 -631.212971850576</f>
        <v>-1599.0370114753678</v>
      </c>
      <c r="J2756">
        <f>-937.615944814925 -4.59650053227506 -506.165833999215</f>
        <v>-1448.3782793464152</v>
      </c>
      <c r="K2756" t="s">
        <v>57216</v>
      </c>
      <c r="L2756" t="s">
        <v>57217</v>
      </c>
      <c r="M2756" t="s">
        <v>57218</v>
      </c>
      <c r="N2756">
        <f>-946.413098927899 -59.1940360577892 -502.575948703128</f>
        <v>-1508.1830836888162</v>
      </c>
      <c r="O2756">
        <f>-972.307369767821 -189.442454009786 -467.070892205961</f>
        <v>-1628.8207159835679</v>
      </c>
      <c r="P2756">
        <f>-977.568008701009 -227.290680759726 -175.298779607964</f>
        <v>-1380.1574690686991</v>
      </c>
      <c r="Q2756">
        <f>-791.71707304705 -105.407835756534 -268.330316580919</f>
        <v>-1165.4552253845031</v>
      </c>
      <c r="R2756" t="s">
        <v>57219</v>
      </c>
      <c r="S2756" t="s">
        <v>57220</v>
      </c>
      <c r="T2756" t="s">
        <v>57221</v>
      </c>
      <c r="U2756" t="s">
        <v>57222</v>
      </c>
      <c r="V2756">
        <f>-893.213520268164 -112.868953893791 -53.1380623354678</f>
        <v>-1059.2205364974227</v>
      </c>
      <c r="W2756" t="s">
        <v>57223</v>
      </c>
      <c r="X2756" t="s">
        <v>57224</v>
      </c>
      <c r="Y2756" t="s">
        <v>57225</v>
      </c>
    </row>
    <row r="2757" spans="1:25" x14ac:dyDescent="0.3">
      <c r="A2757">
        <v>137800</v>
      </c>
      <c r="B2757" t="s">
        <v>57226</v>
      </c>
      <c r="C2757">
        <f>-894.158115743441 -14.7311307603777 -51.188615679304</f>
        <v>-960.07786218312276</v>
      </c>
      <c r="D2757">
        <f>-935.920733791709 -14.8997733515976 -159.225980042242</f>
        <v>-1110.0464871855486</v>
      </c>
      <c r="E2757">
        <f>-950.064804699059 -17.7659144205077 -256.788159068655</f>
        <v>-1224.6188781882215</v>
      </c>
      <c r="F2757">
        <f>-954.630674344507 -21.8923432830952 -345.67223205157</f>
        <v>-1322.1952496791723</v>
      </c>
      <c r="G2757">
        <f>-950.649958886723 -27.8433912324631 -434.480878328042</f>
        <v>-1412.9742284472281</v>
      </c>
      <c r="H2757">
        <f>-936.214661796305 -38.3071190213639 -557.781173844255</f>
        <v>-1532.3029546619239</v>
      </c>
      <c r="I2757">
        <f>-905.299906948922 -64.5657670117819 -630.305553705499</f>
        <v>-1600.1712276662029</v>
      </c>
      <c r="J2757">
        <f>-938.415769368777 -6.36763176334034 -505.356552549753</f>
        <v>-1450.1399536818703</v>
      </c>
      <c r="K2757" t="s">
        <v>57227</v>
      </c>
      <c r="L2757" t="s">
        <v>57228</v>
      </c>
      <c r="M2757" t="s">
        <v>57229</v>
      </c>
      <c r="N2757">
        <f>-946.718051027639 -61.0374203643928 -501.68897124189</f>
        <v>-1509.4444426339219</v>
      </c>
      <c r="O2757">
        <f>-971.40867767569 -191.458983159855 -465.892712345886</f>
        <v>-1628.7603731814311</v>
      </c>
      <c r="P2757">
        <f>-975.647076218092 -228.411436135853 -173.989050737487</f>
        <v>-1378.047563091432</v>
      </c>
      <c r="Q2757">
        <f>-790.666284586875 -105.479482921982 -267.373906743706</f>
        <v>-1163.5196742525632</v>
      </c>
      <c r="R2757" t="s">
        <v>57230</v>
      </c>
      <c r="S2757" t="s">
        <v>57231</v>
      </c>
      <c r="T2757" t="s">
        <v>57232</v>
      </c>
      <c r="U2757" t="s">
        <v>57233</v>
      </c>
      <c r="V2757">
        <f>-891.437384648821 -114.235137101841 -52.6677855168506</f>
        <v>-1058.3403072675126</v>
      </c>
      <c r="W2757" t="s">
        <v>57234</v>
      </c>
      <c r="X2757" t="s">
        <v>57235</v>
      </c>
      <c r="Y2757" t="s">
        <v>57236</v>
      </c>
    </row>
    <row r="2758" spans="1:25" x14ac:dyDescent="0.3">
      <c r="A2758">
        <v>137850</v>
      </c>
      <c r="B2758" t="s">
        <v>57237</v>
      </c>
      <c r="C2758">
        <f>-893.418658466537 -15.0813819142754 -50.9503007609809</f>
        <v>-959.45034114179327</v>
      </c>
      <c r="D2758">
        <f>-935.324680811702 -15.4090390903475 -158.931732579871</f>
        <v>-1109.6654524819205</v>
      </c>
      <c r="E2758">
        <f>-949.623499804268 -18.3183744678108 -256.470100132033</f>
        <v>-1224.4119744041118</v>
      </c>
      <c r="F2758">
        <f>-954.337604285794 -22.446997179848 -345.346374061567</f>
        <v>-1322.1309755272091</v>
      </c>
      <c r="G2758">
        <f>-950.512061185027 -28.3608812917314 -434.16418977252</f>
        <v>-1413.0371322492783</v>
      </c>
      <c r="H2758">
        <f>-936.296845332223 -38.731277355414 -557.498049327996</f>
        <v>-1532.5261720156332</v>
      </c>
      <c r="I2758">
        <f>-905.313203555835 -64.8511584941539 -630.043129975283</f>
        <v>-1600.2074920252719</v>
      </c>
      <c r="J2758">
        <f>-938.541375387807 -6.81223520919548 -505.06273677185</f>
        <v>-1450.4163473688525</v>
      </c>
      <c r="K2758" t="s">
        <v>57238</v>
      </c>
      <c r="L2758" t="s">
        <v>57239</v>
      </c>
      <c r="M2758" t="s">
        <v>57240</v>
      </c>
      <c r="N2758">
        <f>-946.563251821118 -61.5233696821667 -501.387083173316</f>
        <v>-1509.4737046766008</v>
      </c>
      <c r="O2758">
        <f>-970.558255008782 -192.059821811914 -465.565164454805</f>
        <v>-1628.1832412755009</v>
      </c>
      <c r="P2758">
        <f>-973.938355530913 -229.059747495039 -173.656246448435</f>
        <v>-1376.6543494743869</v>
      </c>
      <c r="Q2758">
        <f>-789.71900190041 -104.993324613726 -267.045856264857</f>
        <v>-1161.7581827789932</v>
      </c>
      <c r="R2758" t="s">
        <v>57241</v>
      </c>
      <c r="S2758" t="s">
        <v>57242</v>
      </c>
      <c r="T2758" t="s">
        <v>57243</v>
      </c>
      <c r="U2758" t="s">
        <v>57244</v>
      </c>
      <c r="V2758">
        <f>-890.562276424191 -114.626739665181 -52.4944749507906</f>
        <v>-1057.6834910401626</v>
      </c>
      <c r="W2758" t="s">
        <v>57245</v>
      </c>
      <c r="X2758" t="s">
        <v>57246</v>
      </c>
      <c r="Y2758" t="s">
        <v>57247</v>
      </c>
    </row>
    <row r="2759" spans="1:25" x14ac:dyDescent="0.3">
      <c r="A2759">
        <v>137900</v>
      </c>
      <c r="B2759" t="s">
        <v>57248</v>
      </c>
      <c r="C2759">
        <f>-891.810836796857 -14.9876953663074 -50.862212827628</f>
        <v>-957.66074499079241</v>
      </c>
      <c r="D2759">
        <f>-933.801875892005 -15.7041840493412 -158.808883655024</f>
        <v>-1108.3149435963701</v>
      </c>
      <c r="E2759">
        <f>-948.278676951081 -18.6695180115635 -256.3192607705</f>
        <v>-1223.2674557331445</v>
      </c>
      <c r="F2759">
        <f>-953.190605863656 -22.7364058796002 -345.187563503694</f>
        <v>-1321.1145752469502</v>
      </c>
      <c r="G2759">
        <f>-949.593109637937 -28.4709173276747 -434.026836711657</f>
        <v>-1412.0908636772688</v>
      </c>
      <c r="H2759">
        <f>-935.722967741874 -38.4657013103538 -557.430750199068</f>
        <v>-1531.6194192512958</v>
      </c>
      <c r="I2759">
        <f>-904.732918862847 -64.2435017872258 -630.09546834284</f>
        <v>-1599.0718889929128</v>
      </c>
      <c r="J2759">
        <f>-938.101444240319 -6.668963484904 -504.927291830703</f>
        <v>-1449.697699555926</v>
      </c>
      <c r="K2759" t="s">
        <v>57249</v>
      </c>
      <c r="L2759" t="s">
        <v>57250</v>
      </c>
      <c r="M2759" t="s">
        <v>57251</v>
      </c>
      <c r="N2759">
        <f>-945.551541392402 -61.4659172973275 -501.326458997342</f>
        <v>-1508.3439176870716</v>
      </c>
      <c r="O2759">
        <f>-968.065435157338 -192.294773967175 -465.585321294387</f>
        <v>-1625.9455304189</v>
      </c>
      <c r="P2759">
        <f>-969.690690855922 -230.450928855785 -173.810295265419</f>
        <v>-1373.9519149771259</v>
      </c>
      <c r="Q2759">
        <f>-787.270333184705 -103.542512863302 -266.911722067946</f>
        <v>-1157.7245681159529</v>
      </c>
      <c r="R2759" t="s">
        <v>57252</v>
      </c>
      <c r="S2759" t="s">
        <v>57253</v>
      </c>
      <c r="T2759" t="s">
        <v>57254</v>
      </c>
      <c r="U2759" t="s">
        <v>57255</v>
      </c>
      <c r="V2759">
        <f>-888.905054124555 -114.406944035334 -52.4439974396465</f>
        <v>-1055.7559955995355</v>
      </c>
      <c r="W2759" t="s">
        <v>57256</v>
      </c>
      <c r="X2759" t="s">
        <v>57257</v>
      </c>
      <c r="Y2759" t="s">
        <v>57258</v>
      </c>
    </row>
    <row r="2760" spans="1:25" x14ac:dyDescent="0.3">
      <c r="A2760">
        <v>137950</v>
      </c>
      <c r="B2760" t="s">
        <v>57259</v>
      </c>
      <c r="C2760">
        <f>-891.296168788232 -14.8034477579668 -50.8716821994773</f>
        <v>-956.97129874567599</v>
      </c>
      <c r="D2760">
        <f>-933.218167114474 -15.6833153567186 -158.843962350752</f>
        <v>-1107.7454448219446</v>
      </c>
      <c r="E2760">
        <f>-947.684006371548 -18.6266029431008 -256.35660469212</f>
        <v>-1222.6672140067687</v>
      </c>
      <c r="F2760">
        <f>-952.603064390294 -22.6062519658044 -345.228498545421</f>
        <v>-1320.4378149015195</v>
      </c>
      <c r="G2760">
        <f>-949.027402896405 -28.1819623486181 -434.078705071979</f>
        <v>-1411.2880703170022</v>
      </c>
      <c r="H2760">
        <f>-935.198399902324 -37.8783559897772 -557.511191125777</f>
        <v>-1530.5879470178784</v>
      </c>
      <c r="I2760">
        <f>-904.186641055295 -63.452535094222 -630.238330773878</f>
        <v>-1597.877506923395</v>
      </c>
      <c r="J2760">
        <f>-937.709223288365 -6.18996579880104 -504.948291869899</f>
        <v>-1448.847480957065</v>
      </c>
      <c r="K2760" t="s">
        <v>57260</v>
      </c>
      <c r="L2760" t="s">
        <v>57261</v>
      </c>
      <c r="M2760" t="s">
        <v>57262</v>
      </c>
      <c r="N2760">
        <f>-944.858373181449 -61.0328786367211 -501.440913555424</f>
        <v>-1507.3321653735941</v>
      </c>
      <c r="O2760">
        <f>-966.558707433088 -192.044207090033 -465.871343938548</f>
        <v>-1624.474258461669</v>
      </c>
      <c r="P2760">
        <f>-967.501646903432 -230.938824023247 -174.190957944942</f>
        <v>-1372.631428871621</v>
      </c>
      <c r="Q2760">
        <f>-785.801260690282 -102.878990138355 -267.123182557217</f>
        <v>-1155.8034333858541</v>
      </c>
      <c r="R2760" t="s">
        <v>57263</v>
      </c>
      <c r="S2760" t="s">
        <v>57264</v>
      </c>
      <c r="T2760" t="s">
        <v>57265</v>
      </c>
      <c r="U2760" t="s">
        <v>57266</v>
      </c>
      <c r="V2760">
        <f>-888.280292015118 -114.117213424354 -52.4788269243138</f>
        <v>-1054.8763323637857</v>
      </c>
      <c r="W2760" t="s">
        <v>57267</v>
      </c>
      <c r="X2760" t="s">
        <v>57268</v>
      </c>
      <c r="Y2760" t="s">
        <v>57269</v>
      </c>
    </row>
    <row r="2761" spans="1:25" x14ac:dyDescent="0.3">
      <c r="A2761">
        <v>138000</v>
      </c>
      <c r="B2761" t="s">
        <v>57270</v>
      </c>
      <c r="C2761">
        <f>-890.688189915862 -15.0016959448421 -50.8322500223549</f>
        <v>-956.52213588305904</v>
      </c>
      <c r="D2761">
        <f>-932.535769905908 -16.1236660824075 -158.83103248078</f>
        <v>-1107.4904684690955</v>
      </c>
      <c r="E2761">
        <f>-947.066073372883 -18.9646888570801 -256.337198828708</f>
        <v>-1222.367961058671</v>
      </c>
      <c r="F2761">
        <f>-952.089187514777 -22.7212569062272 -345.212857500156</f>
        <v>-1320.0233019211601</v>
      </c>
      <c r="G2761">
        <f>-948.657869639631 -27.9358391803116 -434.090905924599</f>
        <v>-1410.6846147445417</v>
      </c>
      <c r="H2761">
        <f>-935.066006307308 -36.9798054751714 -557.599087826384</f>
        <v>-1529.6448996088634</v>
      </c>
      <c r="I2761">
        <f>-903.96668740013 -62.1213378541515 -630.439793088096</f>
        <v>-1596.5278183423775</v>
      </c>
      <c r="J2761">
        <f>-937.743897573616 -5.53779288717988 -504.896534692348</f>
        <v>-1448.1782251531438</v>
      </c>
      <c r="K2761" t="s">
        <v>57271</v>
      </c>
      <c r="L2761" t="s">
        <v>57272</v>
      </c>
      <c r="M2761" t="s">
        <v>57273</v>
      </c>
      <c r="N2761">
        <f>-944.350100883025 -60.4621161011626 -501.601752905073</f>
        <v>-1506.4139698892604</v>
      </c>
      <c r="O2761">
        <f>-964.624673820477 -191.802135772344 -466.435635073336</f>
        <v>-1622.862444666157</v>
      </c>
      <c r="P2761">
        <f>-964.015209031285 -232.062260048323 -174.939515095131</f>
        <v>-1371.016984174739</v>
      </c>
      <c r="Q2761">
        <f>-783.849389664726 -101.930999429843 -267.982436892187</f>
        <v>-1153.7628259867561</v>
      </c>
      <c r="R2761" t="s">
        <v>57274</v>
      </c>
      <c r="S2761" t="s">
        <v>57275</v>
      </c>
      <c r="T2761" t="s">
        <v>57276</v>
      </c>
      <c r="U2761" t="s">
        <v>57277</v>
      </c>
      <c r="V2761">
        <f>-887.598585143196 -114.014588300327 -52.4912241043443</f>
        <v>-1054.1043975478674</v>
      </c>
      <c r="W2761" t="s">
        <v>57278</v>
      </c>
      <c r="X2761" t="s">
        <v>57279</v>
      </c>
      <c r="Y2761" t="s">
        <v>57280</v>
      </c>
    </row>
    <row r="2762" spans="1:25" x14ac:dyDescent="0.3">
      <c r="A2762">
        <v>138050</v>
      </c>
      <c r="B2762" t="s">
        <v>57281</v>
      </c>
      <c r="C2762">
        <f>-890.592930207536 -15.336043095173 -50.7880130578426</f>
        <v>-956.71698636055157</v>
      </c>
      <c r="D2762">
        <f>-932.448731038181 -16.5417612273645 -158.78281434094</f>
        <v>-1107.7733066064854</v>
      </c>
      <c r="E2762">
        <f>-947.052655471386 -19.3165991495071 -256.279837770442</f>
        <v>-1222.649092391335</v>
      </c>
      <c r="F2762">
        <f>-952.167000927568 -22.9566517157828 -345.155275174717</f>
        <v>-1320.2789278180678</v>
      </c>
      <c r="G2762">
        <f>-948.84829094219 -27.9960685798455 -434.047471445291</f>
        <v>-1410.8918309673265</v>
      </c>
      <c r="H2762">
        <f>-935.434330345713 -36.7327901324775 -557.597257288673</f>
        <v>-1529.7643777668634</v>
      </c>
      <c r="I2762">
        <f>-904.299543114475 -61.6511750814811 -630.499508762476</f>
        <v>-1596.4502269584323</v>
      </c>
      <c r="J2762">
        <f>-938.144932115993 -5.40992867700788 -504.825652050275</f>
        <v>-1448.3805128432759</v>
      </c>
      <c r="K2762" t="s">
        <v>57282</v>
      </c>
      <c r="L2762" t="s">
        <v>57283</v>
      </c>
      <c r="M2762" t="s">
        <v>57284</v>
      </c>
      <c r="N2762">
        <f>-944.529349859241 -60.3663632864655 -501.632648669416</f>
        <v>-1506.5283618151225</v>
      </c>
      <c r="O2762">
        <f>-964.22370618969 -191.832790088385 -466.602845796357</f>
        <v>-1622.6593420744321</v>
      </c>
      <c r="P2762">
        <f>-962.813610578345 -232.524231817638 -175.169501642402</f>
        <v>-1370.5073440383849</v>
      </c>
      <c r="Q2762">
        <f>-783.217197951463 -101.747131427102 -268.407937343688</f>
        <v>-1153.372266722253</v>
      </c>
      <c r="R2762" t="s">
        <v>57285</v>
      </c>
      <c r="S2762" t="s">
        <v>57286</v>
      </c>
      <c r="T2762" t="s">
        <v>57287</v>
      </c>
      <c r="U2762" t="s">
        <v>57288</v>
      </c>
      <c r="V2762">
        <f>-887.480005573965 -114.059658825021 -52.503614156013</f>
        <v>-1054.043278554999</v>
      </c>
      <c r="W2762" t="s">
        <v>57289</v>
      </c>
      <c r="X2762" t="s">
        <v>57290</v>
      </c>
      <c r="Y2762" t="s">
        <v>57291</v>
      </c>
    </row>
    <row r="2763" spans="1:25" x14ac:dyDescent="0.3">
      <c r="A2763">
        <v>138100</v>
      </c>
      <c r="B2763" t="s">
        <v>57292</v>
      </c>
      <c r="C2763">
        <f>-890.532899463705 -16.5376230028205 -50.7155704378062</f>
        <v>-957.78609290433167</v>
      </c>
      <c r="D2763">
        <f>-932.493381627518 -17.8071870567628 -158.668867471949</f>
        <v>-1108.9694361562299</v>
      </c>
      <c r="E2763">
        <f>-947.267161740479 -20.4535797247463 -256.144031094262</f>
        <v>-1223.8647725594874</v>
      </c>
      <c r="F2763">
        <f>-952.563046340552 -23.9039335994353 -345.016289860481</f>
        <v>-1321.4832698004682</v>
      </c>
      <c r="G2763">
        <f>-949.45015001867 -28.6761275194372 -433.930788050829</f>
        <v>-1412.0570655889362</v>
      </c>
      <c r="H2763">
        <f>-936.343493717688 -36.9582222105475 -557.544835110863</f>
        <v>-1530.8465510390986</v>
      </c>
      <c r="I2763">
        <f>-905.178285038363 -61.560486856486 -630.541271408907</f>
        <v>-1597.280043303756</v>
      </c>
      <c r="J2763">
        <f>-939.07947555128 -5.81292695624779 -504.669530233724</f>
        <v>-1449.5619327412519</v>
      </c>
      <c r="K2763" t="s">
        <v>57293</v>
      </c>
      <c r="L2763" t="s">
        <v>57294</v>
      </c>
      <c r="M2763" t="s">
        <v>57295</v>
      </c>
      <c r="N2763">
        <f>-945.142610418671 -60.8142635386923 -501.627287630138</f>
        <v>-1507.5841615875013</v>
      </c>
      <c r="O2763">
        <f>-963.924557832785 -192.464728618158 -466.827083622613</f>
        <v>-1623.2163700735559</v>
      </c>
      <c r="P2763">
        <f>-961.34525057955 -233.497444267704 -175.449722153376</f>
        <v>-1370.2924170006299</v>
      </c>
      <c r="Q2763">
        <f>-782.635254229116 -101.777985206389 -269.063593803403</f>
        <v>-1153.4768332389081</v>
      </c>
      <c r="R2763" t="s">
        <v>57296</v>
      </c>
      <c r="S2763" t="s">
        <v>57297</v>
      </c>
      <c r="T2763" t="s">
        <v>57298</v>
      </c>
      <c r="U2763" t="s">
        <v>57299</v>
      </c>
      <c r="V2763">
        <f>-887.216256140432 -114.823510514176 -52.4833698785054</f>
        <v>-1054.5231365331133</v>
      </c>
      <c r="W2763" t="s">
        <v>57300</v>
      </c>
      <c r="X2763" t="s">
        <v>57301</v>
      </c>
      <c r="Y2763" t="s">
        <v>57302</v>
      </c>
    </row>
    <row r="2764" spans="1:25" x14ac:dyDescent="0.3">
      <c r="A2764">
        <v>138150</v>
      </c>
      <c r="B2764" t="s">
        <v>57303</v>
      </c>
      <c r="C2764">
        <f>-890.359108911196 -17.5161367812157 -50.6369703054056</f>
        <v>-958.51221599781729</v>
      </c>
      <c r="D2764">
        <f>-932.423337974121 -18.7807074526031 -158.549926445976</f>
        <v>-1109.7539718727</v>
      </c>
      <c r="E2764">
        <f>-947.28988860608 -21.3620001871036 -256.012685727453</f>
        <v>-1224.6645745206365</v>
      </c>
      <c r="F2764">
        <f>-952.668845756681 -24.7302250303455 -344.883191415568</f>
        <v>-1322.2822622025944</v>
      </c>
      <c r="G2764">
        <f>-949.636342147414 -29.3975196906385 -433.805993988685</f>
        <v>-1412.8398558267374</v>
      </c>
      <c r="H2764">
        <f>-936.638665396116 -37.5095861483974 -557.44274294936</f>
        <v>-1531.5909944938735</v>
      </c>
      <c r="I2764">
        <f>-905.479651398641 -61.995341153794 -630.48114938019</f>
        <v>-1597.9561419326251</v>
      </c>
      <c r="J2764">
        <f>-939.375944537951 -6.43213984618205 -504.527615876996</f>
        <v>-1450.335700261129</v>
      </c>
      <c r="K2764" t="s">
        <v>57304</v>
      </c>
      <c r="L2764" t="s">
        <v>57305</v>
      </c>
      <c r="M2764" t="s">
        <v>57306</v>
      </c>
      <c r="N2764">
        <f>-945.340295903907 -61.4474762561924 -501.545053123566</f>
        <v>-1508.3328252836654</v>
      </c>
      <c r="O2764">
        <f>-963.853853079631 -193.163248742134 -466.828996262343</f>
        <v>-1623.846098084108</v>
      </c>
      <c r="P2764">
        <f>-960.844507987552 -234.350471006435 -175.477429091255</f>
        <v>-1370.6724080852421</v>
      </c>
      <c r="Q2764">
        <f>-782.437449219075 -102.367042840966 -269.297311012843</f>
        <v>-1154.101803072884</v>
      </c>
      <c r="R2764" t="s">
        <v>57307</v>
      </c>
      <c r="S2764" t="s">
        <v>57308</v>
      </c>
      <c r="T2764" t="s">
        <v>57309</v>
      </c>
      <c r="U2764" t="s">
        <v>57310</v>
      </c>
      <c r="V2764">
        <f>-886.927932299536 -115.755635349941 -52.3992745184099</f>
        <v>-1055.0828421678868</v>
      </c>
      <c r="W2764" t="s">
        <v>57311</v>
      </c>
      <c r="X2764" t="s">
        <v>57312</v>
      </c>
      <c r="Y2764" t="s">
        <v>57313</v>
      </c>
    </row>
    <row r="2765" spans="1:25" x14ac:dyDescent="0.3">
      <c r="A2765">
        <v>138200</v>
      </c>
      <c r="B2765" t="s">
        <v>57314</v>
      </c>
      <c r="C2765">
        <f>-890.044593856054 -19.4887014599835 -50.4676055746975</f>
        <v>-960.00090089073501</v>
      </c>
      <c r="D2765">
        <f>-932.336937682029 -20.7979349657317 -158.290860937292</f>
        <v>-1111.4257335850525</v>
      </c>
      <c r="E2765">
        <f>-947.39213059966 -23.3054751556938 -255.726592081306</f>
        <v>-1226.4241978366599</v>
      </c>
      <c r="F2765">
        <f>-952.934135991861 -26.5678425568303 -344.591052325679</f>
        <v>-1324.0930308743705</v>
      </c>
      <c r="G2765">
        <f>-950.054739588732 -31.092490615024 -433.526282467354</f>
        <v>-1414.6735126711101</v>
      </c>
      <c r="H2765">
        <f>-937.258701393687 -38.969674181669 -557.199351483483</f>
        <v>-1533.4277270588391</v>
      </c>
      <c r="I2765">
        <f>-906.153789330511 -63.3293084235395 -630.302847090678</f>
        <v>-1599.7859448447284</v>
      </c>
      <c r="J2765">
        <f>-939.950416667479 -7.98871693804858 -504.225302783275</f>
        <v>-1452.1644363888026</v>
      </c>
      <c r="K2765" t="s">
        <v>57315</v>
      </c>
      <c r="L2765" t="s">
        <v>57316</v>
      </c>
      <c r="M2765" t="s">
        <v>57317</v>
      </c>
      <c r="N2765">
        <f>-945.828369307745 -63.0180471198796 -501.328500584579</f>
        <v>-1510.1749170122037</v>
      </c>
      <c r="O2765">
        <f>-964.116403437571 -194.79773690609 -466.728238013399</f>
        <v>-1625.6423783570601</v>
      </c>
      <c r="P2765">
        <f>-960.420335298834 -236.261383191866 -175.423852910809</f>
        <v>-1372.105571401509</v>
      </c>
      <c r="Q2765">
        <f>-782.29768285514 -104.200613277411 -269.674071051749</f>
        <v>-1156.1723671843001</v>
      </c>
      <c r="R2765" t="s">
        <v>57318</v>
      </c>
      <c r="S2765" t="s">
        <v>57319</v>
      </c>
      <c r="T2765" t="s">
        <v>57320</v>
      </c>
      <c r="U2765" t="s">
        <v>57321</v>
      </c>
      <c r="V2765">
        <f>-886.355683404606 -117.784831919662 -52.2078431155508</f>
        <v>-1056.3483584398189</v>
      </c>
      <c r="W2765" t="s">
        <v>57322</v>
      </c>
      <c r="X2765" t="s">
        <v>57323</v>
      </c>
      <c r="Y2765" t="s">
        <v>57324</v>
      </c>
    </row>
    <row r="2766" spans="1:25" x14ac:dyDescent="0.3">
      <c r="A2766">
        <v>138250</v>
      </c>
      <c r="B2766" t="s">
        <v>57325</v>
      </c>
      <c r="C2766">
        <f>-889.908724860449 -19.955686909922 -50.4286361132278</f>
        <v>-960.29304788359866</v>
      </c>
      <c r="D2766">
        <f>-932.303495670289 -21.3281446207488 -158.210908810947</f>
        <v>-1111.8425491019848</v>
      </c>
      <c r="E2766">
        <f>-947.436440666381 -23.8166372588344 -255.6351023294</f>
        <v>-1226.8881802546155</v>
      </c>
      <c r="F2766">
        <f>-953.041783451499 -27.035499048779 -344.497189664657</f>
        <v>-1324.5744721649351</v>
      </c>
      <c r="G2766">
        <f>-950.218328335775 -31.4916914673222 -433.437634384395</f>
        <v>-1415.1476541874922</v>
      </c>
      <c r="H2766">
        <f>-937.490340533602 -39.2489272831754 -557.125304573506</f>
        <v>-1533.8645723902832</v>
      </c>
      <c r="I2766">
        <f>-906.40187358298 -63.561793834537 -630.251359858755</f>
        <v>-1600.2150272762719</v>
      </c>
      <c r="J2766">
        <f>-940.164468366294 -8.31807428655657 -504.121079426482</f>
        <v>-1452.6036220793326</v>
      </c>
      <c r="K2766" t="s">
        <v>57326</v>
      </c>
      <c r="L2766" t="s">
        <v>57327</v>
      </c>
      <c r="M2766" t="s">
        <v>57328</v>
      </c>
      <c r="N2766">
        <f>-946.017718976866 -63.3525193929161 -501.271810895176</f>
        <v>-1510.6420492649581</v>
      </c>
      <c r="O2766">
        <f>-964.254356930697 -195.167517911366 -466.756787269368</f>
        <v>-1626.1786621114311</v>
      </c>
      <c r="P2766">
        <f>-960.287935271832 -236.619887791506 -175.45430467617</f>
        <v>-1372.362127739508</v>
      </c>
      <c r="Q2766">
        <f>-782.169716645696 -104.675623317713 -269.876242791194</f>
        <v>-1156.7215827546029</v>
      </c>
      <c r="R2766" t="s">
        <v>57329</v>
      </c>
      <c r="S2766" t="s">
        <v>57330</v>
      </c>
      <c r="T2766" t="s">
        <v>57331</v>
      </c>
      <c r="U2766" t="s">
        <v>57332</v>
      </c>
      <c r="V2766">
        <f>-886.017585997431 -118.262251235025 -52.160962472387</f>
        <v>-1056.4407997048429</v>
      </c>
      <c r="W2766" t="s">
        <v>57333</v>
      </c>
      <c r="X2766" t="s">
        <v>57334</v>
      </c>
      <c r="Y2766" t="s">
        <v>57335</v>
      </c>
    </row>
    <row r="2767" spans="1:25" x14ac:dyDescent="0.3">
      <c r="A2767">
        <v>138300</v>
      </c>
      <c r="B2767" t="s">
        <v>57336</v>
      </c>
      <c r="C2767">
        <f>-889.088078527943 -20.0362578143213 -50.4984134739346</f>
        <v>-959.62274981619896</v>
      </c>
      <c r="D2767">
        <f>-931.626266560751 -21.5612789965658 -158.222283766918</f>
        <v>-1111.4098293242348</v>
      </c>
      <c r="E2767">
        <f>-946.89654642268 -24.0605024469305 -255.624555502274</f>
        <v>-1226.5816043718846</v>
      </c>
      <c r="F2767">
        <f>-952.627800863087 -27.2419505665862 -344.479979812447</f>
        <v>-1324.3497312421202</v>
      </c>
      <c r="G2767">
        <f>-949.929522669471 -31.6140909104447 -433.428487835391</f>
        <v>-1414.9721014153067</v>
      </c>
      <c r="H2767">
        <f>-937.373786723428 -39.2063599223002 -557.14410070524</f>
        <v>-1533.7242473509682</v>
      </c>
      <c r="I2767">
        <f>-906.324607926615 -63.4304828462439 -630.316156621439</f>
        <v>-1600.0712473942979</v>
      </c>
      <c r="J2767">
        <f>-939.990561080938 -8.34463945225752 -504.096695460764</f>
        <v>-1452.4318959939596</v>
      </c>
      <c r="K2767" t="s">
        <v>57337</v>
      </c>
      <c r="L2767" t="s">
        <v>57338</v>
      </c>
      <c r="M2767" t="s">
        <v>57339</v>
      </c>
      <c r="N2767">
        <f>-945.807001142263 -63.3861591224145 -501.309142330358</f>
        <v>-1510.5023025950354</v>
      </c>
      <c r="O2767">
        <f>-963.938720040631 -195.246209309266 -466.924730880251</f>
        <v>-1626.1096602301479</v>
      </c>
      <c r="P2767">
        <f>-959.512939931368 -236.712415558081 -175.630630763325</f>
        <v>-1371.8559862527738</v>
      </c>
      <c r="Q2767">
        <f>-781.370840223326 -104.948683711522 -270.259392098807</f>
        <v>-1156.5789160336549</v>
      </c>
      <c r="R2767" t="s">
        <v>57340</v>
      </c>
      <c r="S2767" t="s">
        <v>57341</v>
      </c>
      <c r="T2767" t="s">
        <v>57342</v>
      </c>
      <c r="U2767" t="s">
        <v>57343</v>
      </c>
      <c r="V2767">
        <f>-885.064272298129 -118.6067890959 -52.1351575047703</f>
        <v>-1055.8062188987994</v>
      </c>
      <c r="W2767" t="s">
        <v>57344</v>
      </c>
      <c r="X2767" t="s">
        <v>57345</v>
      </c>
      <c r="Y2767" t="s">
        <v>57346</v>
      </c>
    </row>
    <row r="2768" spans="1:25" x14ac:dyDescent="0.3">
      <c r="A2768">
        <v>138350</v>
      </c>
      <c r="B2768" t="s">
        <v>57347</v>
      </c>
      <c r="C2768">
        <f>-888.580400683008 -19.8281455487763 -50.5922207277979</f>
        <v>-959.00076695958217</v>
      </c>
      <c r="D2768">
        <f>-931.157179290213 -21.4403131059053 -158.299541751417</f>
        <v>-1110.8970341475351</v>
      </c>
      <c r="E2768">
        <f>-946.486955314156 -23.9608724042209 -255.692005000049</f>
        <v>-1226.1398327184261</v>
      </c>
      <c r="F2768">
        <f>-952.282069475225 -27.1390871651502 -344.543321928275</f>
        <v>-1323.9644785686501</v>
      </c>
      <c r="G2768">
        <f>-949.655411492017 -31.4848608810094 -433.495347002169</f>
        <v>-1414.6356193751953</v>
      </c>
      <c r="H2768">
        <f>-937.206960518644 -39.0158855148845 -557.225444998369</f>
        <v>-1533.4482910318975</v>
      </c>
      <c r="I2768">
        <f>-906.189561639848 -63.1893679144673 -630.427927619753</f>
        <v>-1599.8068571740682</v>
      </c>
      <c r="J2768">
        <f>-939.784505126774 -8.17978575128836 -504.161313174861</f>
        <v>-1452.1256040529233</v>
      </c>
      <c r="K2768" t="s">
        <v>57348</v>
      </c>
      <c r="L2768" t="s">
        <v>57349</v>
      </c>
      <c r="M2768" t="s">
        <v>57350</v>
      </c>
      <c r="N2768">
        <f>-945.585189584803 -63.2239316460814 -501.39452854471</f>
        <v>-1510.2036497755944</v>
      </c>
      <c r="O2768">
        <f>-963.675338466654 -195.101185166289 -467.052935639013</f>
        <v>-1625.829459271956</v>
      </c>
      <c r="P2768">
        <f>-959.014748647837 -236.628487785561 -175.771291372347</f>
        <v>-1371.4145278057449</v>
      </c>
      <c r="Q2768">
        <f>-780.893986845173 -104.886071859757 -270.470018355604</f>
        <v>-1156.2500770605338</v>
      </c>
      <c r="R2768" t="s">
        <v>57351</v>
      </c>
      <c r="S2768" t="s">
        <v>57352</v>
      </c>
      <c r="T2768" t="s">
        <v>57353</v>
      </c>
      <c r="U2768" t="s">
        <v>57354</v>
      </c>
      <c r="V2768">
        <f>-884.536386016157 -118.583000343923 -52.1444704927486</f>
        <v>-1055.2638568528287</v>
      </c>
      <c r="W2768" t="s">
        <v>57355</v>
      </c>
      <c r="X2768" t="s">
        <v>57356</v>
      </c>
      <c r="Y2768" t="s">
        <v>57357</v>
      </c>
    </row>
    <row r="2769" spans="1:25" x14ac:dyDescent="0.3">
      <c r="A2769">
        <v>138400</v>
      </c>
      <c r="B2769" t="s">
        <v>57358</v>
      </c>
      <c r="C2769">
        <f>-887.534137320867 -19.4273011442624 -50.7862211872493</f>
        <v>-957.74765965237873</v>
      </c>
      <c r="D2769">
        <f>-930.224537675595 -21.2444627669556 -158.445164204824</f>
        <v>-1109.9141646473747</v>
      </c>
      <c r="E2769">
        <f>-945.63274372407 -23.8199642678128 -255.823893342306</f>
        <v>-1225.2766013341889</v>
      </c>
      <c r="F2769">
        <f>-951.48566078291 -26.9981281764549 -344.671359018142</f>
        <v>-1323.1551479775069</v>
      </c>
      <c r="G2769">
        <f>-948.902672514726 -31.2931838227178 -433.627128282143</f>
        <v>-1413.8229846195868</v>
      </c>
      <c r="H2769">
        <f>-936.497664936236 -38.6996223106064 -557.369135079469</f>
        <v>-1532.5664223263113</v>
      </c>
      <c r="I2769">
        <f>-905.496315126449 -62.7641079002447 -630.614281903778</f>
        <v>-1598.8747049304716</v>
      </c>
      <c r="J2769">
        <f>-939.098611784879 -7.91271781842852 -504.277448696483</f>
        <v>-1451.2887782997905</v>
      </c>
      <c r="K2769" t="s">
        <v>57359</v>
      </c>
      <c r="L2769" t="s">
        <v>57360</v>
      </c>
      <c r="M2769" t="s">
        <v>57361</v>
      </c>
      <c r="N2769">
        <f>-944.814219107442 -62.9679849991217 -501.555273514585</f>
        <v>-1509.3374776211485</v>
      </c>
      <c r="O2769">
        <f>-962.750488010916 -194.898939393515 -467.344570642743</f>
        <v>-1624.993998047174</v>
      </c>
      <c r="P2769">
        <f>-957.815834098719 -236.468463999192 -176.073549202289</f>
        <v>-1370.3578473002001</v>
      </c>
      <c r="Q2769">
        <f>-779.702130653248 -104.692249435704 -270.738155199174</f>
        <v>-1155.1325352881258</v>
      </c>
      <c r="R2769" t="s">
        <v>57362</v>
      </c>
      <c r="S2769" t="s">
        <v>57363</v>
      </c>
      <c r="T2769" t="s">
        <v>57364</v>
      </c>
      <c r="U2769" t="s">
        <v>57365</v>
      </c>
      <c r="V2769">
        <f>-883.375440433969 -118.632090325345 -52.1502385936393</f>
        <v>-1054.1577693529532</v>
      </c>
      <c r="W2769" t="s">
        <v>57366</v>
      </c>
      <c r="X2769" t="s">
        <v>57367</v>
      </c>
      <c r="Y2769" t="s">
        <v>57368</v>
      </c>
    </row>
    <row r="2770" spans="1:25" x14ac:dyDescent="0.3">
      <c r="A2770">
        <v>138450</v>
      </c>
      <c r="B2770" t="s">
        <v>57369</v>
      </c>
      <c r="C2770">
        <f>-887.111202134431 -19.3464036697474 -50.8312594142154</f>
        <v>-957.28886521839377</v>
      </c>
      <c r="D2770">
        <f>-929.857356173275 -21.2577736425228 -158.466466531636</f>
        <v>-1109.5815963474338</v>
      </c>
      <c r="E2770">
        <f>-945.292591237315 -23.8597930880806 -255.840182774432</f>
        <v>-1224.9925670998275</v>
      </c>
      <c r="F2770">
        <f>-951.160371730615 -27.0396497377969 -344.686599036876</f>
        <v>-1322.886620505288</v>
      </c>
      <c r="G2770">
        <f>-948.580675238846 -31.3131828699502 -433.643511777019</f>
        <v>-1413.5373698858152</v>
      </c>
      <c r="H2770">
        <f>-936.167651649119 -38.6655069000958 -557.38797499494</f>
        <v>-1532.2211335441548</v>
      </c>
      <c r="I2770">
        <f>-905.149800328729 -62.6961470148128 -630.637090469887</f>
        <v>-1598.4830378134288</v>
      </c>
      <c r="J2770">
        <f>-938.806848104934 -7.89848685375364 -504.286769239771</f>
        <v>-1450.9921041984587</v>
      </c>
      <c r="K2770" t="s">
        <v>57370</v>
      </c>
      <c r="L2770" t="s">
        <v>57371</v>
      </c>
      <c r="M2770" t="s">
        <v>57372</v>
      </c>
      <c r="N2770">
        <f>-944.45310979963 -62.9618123154285 -501.581482184548</f>
        <v>-1508.9964042996066</v>
      </c>
      <c r="O2770">
        <f>-962.244886113506 -194.920868656354 -467.430979000858</f>
        <v>-1624.5967337707179</v>
      </c>
      <c r="P2770">
        <f>-957.297375196857 -236.487114129041 -176.159631598738</f>
        <v>-1369.9441209246361</v>
      </c>
      <c r="Q2770">
        <f>-779.172010360447 -104.681080360464 -270.760861374119</f>
        <v>-1154.6139520950298</v>
      </c>
      <c r="R2770" t="s">
        <v>57373</v>
      </c>
      <c r="S2770" t="s">
        <v>57374</v>
      </c>
      <c r="T2770" t="s">
        <v>57375</v>
      </c>
      <c r="U2770" t="s">
        <v>57376</v>
      </c>
      <c r="V2770">
        <f>-882.799769649193 -118.757197969506 -52.1283240137095</f>
        <v>-1053.6852916324085</v>
      </c>
      <c r="W2770" t="s">
        <v>57377</v>
      </c>
      <c r="X2770" t="s">
        <v>57378</v>
      </c>
      <c r="Y2770" t="s">
        <v>57379</v>
      </c>
    </row>
    <row r="2771" spans="1:25" x14ac:dyDescent="0.3">
      <c r="A2771">
        <v>138500</v>
      </c>
      <c r="B2771" t="s">
        <v>57380</v>
      </c>
      <c r="C2771">
        <f>-886.372437231164 -19.4851989352683 -50.7795214279829</f>
        <v>-956.63715759441516</v>
      </c>
      <c r="D2771">
        <f>-929.25373396412 -21.5740385053559 -158.357656705415</f>
        <v>-1109.1854291748909</v>
      </c>
      <c r="E2771">
        <f>-944.744690775163 -24.2211955621992 -255.721237476548</f>
        <v>-1224.6871238139101</v>
      </c>
      <c r="F2771">
        <f>-950.633845412531 -27.3991527078551 -344.5664645199</f>
        <v>-1322.5994626402862</v>
      </c>
      <c r="G2771">
        <f>-948.044017994368 -31.6271073768803 -433.525210473933</f>
        <v>-1413.1963358451812</v>
      </c>
      <c r="H2771">
        <f>-935.582982699286 -38.8691182175462 -557.271356342378</f>
        <v>-1531.7234572592101</v>
      </c>
      <c r="I2771">
        <f>-904.456495282142 -62.8213277331602 -630.500157908584</f>
        <v>-1597.7779809238862</v>
      </c>
      <c r="J2771">
        <f>-938.33204341572 -8.14096213320317 -504.153266968103</f>
        <v>-1450.6262725170263</v>
      </c>
      <c r="K2771" t="s">
        <v>57381</v>
      </c>
      <c r="L2771" t="s">
        <v>57382</v>
      </c>
      <c r="M2771" t="s">
        <v>57383</v>
      </c>
      <c r="N2771">
        <f>-943.800849213848 -63.2235778704728 -501.480223054794</f>
        <v>-1508.5046501391148</v>
      </c>
      <c r="O2771">
        <f>-961.216128228068 -195.257269968798 -467.404954342085</f>
        <v>-1623.8783525389508</v>
      </c>
      <c r="P2771">
        <f>-956.213662036221 -236.861150578877 -176.139984427735</f>
        <v>-1369.214797042833</v>
      </c>
      <c r="Q2771">
        <f>-778.214100250853 -104.80980440672 -270.636387159978</f>
        <v>-1153.6602918175511</v>
      </c>
      <c r="R2771" t="s">
        <v>57384</v>
      </c>
      <c r="S2771" t="s">
        <v>57385</v>
      </c>
      <c r="T2771" t="s">
        <v>57386</v>
      </c>
      <c r="U2771" t="s">
        <v>57387</v>
      </c>
      <c r="V2771">
        <f>-881.706296456089 -119.178229767499 -52.0343175647045</f>
        <v>-1052.9188437882926</v>
      </c>
      <c r="W2771" t="s">
        <v>57388</v>
      </c>
      <c r="X2771" t="s">
        <v>57389</v>
      </c>
      <c r="Y2771" t="s">
        <v>57390</v>
      </c>
    </row>
    <row r="2772" spans="1:25" x14ac:dyDescent="0.3">
      <c r="A2772">
        <v>138550</v>
      </c>
      <c r="B2772" t="s">
        <v>57391</v>
      </c>
      <c r="C2772">
        <f>-886.007237372854 -19.644600025907 -50.678000406544</f>
        <v>-956.32983780530503</v>
      </c>
      <c r="D2772">
        <f>-928.939404782482 -21.7976377674568 -158.234647015555</f>
        <v>-1108.9716895654938</v>
      </c>
      <c r="E2772">
        <f>-944.436975591636 -24.4623831792869 -255.596712038585</f>
        <v>-1224.496070809508</v>
      </c>
      <c r="F2772">
        <f>-950.315383168768 -27.6406829161892 -344.442550609752</f>
        <v>-1322.3986166947093</v>
      </c>
      <c r="G2772">
        <f>-947.696935983701 -31.852442947245 -433.401225782233</f>
        <v>-1412.950604713179</v>
      </c>
      <c r="H2772">
        <f>-935.177729465831 -39.053839238409 -557.143798005384</f>
        <v>-1531.3753667096239</v>
      </c>
      <c r="I2772">
        <f>-903.965165375897 -62.9542443350786 -630.352924456652</f>
        <v>-1597.2723341676274</v>
      </c>
      <c r="J2772">
        <f>-938.001105577441 -8.33849006397986 -504.022188316431</f>
        <v>-1450.3617839578519</v>
      </c>
      <c r="K2772" t="s">
        <v>57392</v>
      </c>
      <c r="L2772" t="s">
        <v>57393</v>
      </c>
      <c r="M2772" t="s">
        <v>57394</v>
      </c>
      <c r="N2772">
        <f>-943.372816118905 -63.431229464137 -501.359376518182</f>
        <v>-1508.1634221012241</v>
      </c>
      <c r="O2772">
        <f>-960.593497170185 -195.49528515867 -467.313869442828</f>
        <v>-1623.4026517716829</v>
      </c>
      <c r="P2772">
        <f>-955.474931555356 -237.143384517808 -176.05713064259</f>
        <v>-1368.6754467157539</v>
      </c>
      <c r="Q2772">
        <f>-777.607012172148 -104.873076101112 -270.494654408708</f>
        <v>-1152.9747426819681</v>
      </c>
      <c r="R2772" t="s">
        <v>57395</v>
      </c>
      <c r="S2772" t="s">
        <v>57396</v>
      </c>
      <c r="T2772" t="s">
        <v>57397</v>
      </c>
      <c r="U2772" t="s">
        <v>57398</v>
      </c>
      <c r="V2772">
        <f>-881.246463042916 -119.363863984532 -51.9617929053844</f>
        <v>-1052.5721199328325</v>
      </c>
      <c r="W2772" t="s">
        <v>57399</v>
      </c>
      <c r="X2772" t="s">
        <v>57400</v>
      </c>
      <c r="Y2772" t="s">
        <v>57401</v>
      </c>
    </row>
    <row r="2773" spans="1:25" x14ac:dyDescent="0.3">
      <c r="A2773">
        <v>138600</v>
      </c>
      <c r="B2773" t="s">
        <v>57402</v>
      </c>
      <c r="C2773">
        <f>-885.54052018649 -19.8492469260796 -50.448676986642</f>
        <v>-955.83844409921153</v>
      </c>
      <c r="D2773">
        <f>-928.518760348725 -22.0645528863811 -157.985638048049</f>
        <v>-1108.568951283155</v>
      </c>
      <c r="E2773">
        <f>-944.014220673088 -24.7351564394244 -255.347878168822</f>
        <v>-1224.0972552813344</v>
      </c>
      <c r="F2773">
        <f>-949.871313735977 -27.8959846534103 -344.195743308411</f>
        <v>-1321.9630416977984</v>
      </c>
      <c r="G2773">
        <f>-947.211463644974 -32.0640001353345 -433.155222565621</f>
        <v>-1412.4306863459294</v>
      </c>
      <c r="H2773">
        <f>-934.611656859476 -39.1743766018983 -556.895013562143</f>
        <v>-1530.6810470235173</v>
      </c>
      <c r="I2773">
        <f>-903.2227715297 -62.9446338463445 -630.070837085755</f>
        <v>-1596.2382424617995</v>
      </c>
      <c r="J2773">
        <f>-937.563892209022 -8.48943661408157 -503.762660704812</f>
        <v>-1449.8159895279155</v>
      </c>
      <c r="K2773" t="s">
        <v>57403</v>
      </c>
      <c r="L2773" t="s">
        <v>57404</v>
      </c>
      <c r="M2773" t="s">
        <v>57405</v>
      </c>
      <c r="N2773">
        <f>-942.748545553329 -63.6014462794656 -501.123753167916</f>
        <v>-1507.4737450007106</v>
      </c>
      <c r="O2773">
        <f>-959.562691076557 -195.730009748995 -467.106271499927</f>
        <v>-1622.398972325479</v>
      </c>
      <c r="P2773">
        <f>-954.218508921944 -237.538959376384 -175.876581829867</f>
        <v>-1367.6340501281952</v>
      </c>
      <c r="Q2773">
        <f>-776.73525778916 -104.714986845723 -270.260420786014</f>
        <v>-1151.7106654208969</v>
      </c>
      <c r="R2773" t="s">
        <v>57406</v>
      </c>
      <c r="S2773" t="s">
        <v>57407</v>
      </c>
      <c r="T2773" t="s">
        <v>57408</v>
      </c>
      <c r="U2773" t="s">
        <v>57409</v>
      </c>
      <c r="V2773">
        <f>-880.624384529638 -119.497465182066 -51.7850839683912</f>
        <v>-1051.9069336800951</v>
      </c>
      <c r="W2773" t="s">
        <v>57410</v>
      </c>
      <c r="X2773" t="s">
        <v>57411</v>
      </c>
      <c r="Y2773" t="s">
        <v>57412</v>
      </c>
    </row>
    <row r="2774" spans="1:25" x14ac:dyDescent="0.3">
      <c r="A2774">
        <v>138650</v>
      </c>
      <c r="B2774" t="s">
        <v>57413</v>
      </c>
      <c r="C2774">
        <f>-885.326821715391 -19.9460351457446 -50.3592131097477</f>
        <v>-955.63206997088332</v>
      </c>
      <c r="D2774">
        <f>-928.311742735246 -22.1677193810224 -157.893341394511</f>
        <v>-1108.3728035107792</v>
      </c>
      <c r="E2774">
        <f>-943.802018231578 -24.8302763226388 -255.256692208494</f>
        <v>-1223.8889867627108</v>
      </c>
      <c r="F2774">
        <f>-949.648815524615 -27.9760803847671 -344.105772605082</f>
        <v>-1321.730668514464</v>
      </c>
      <c r="G2774">
        <f>-946.973524011113 -32.1195020255359 -433.06590308908</f>
        <v>-1412.1589291257289</v>
      </c>
      <c r="H2774">
        <f>-934.345328452303 -39.1840801590004 -556.805360474742</f>
        <v>-1530.3347690860453</v>
      </c>
      <c r="I2774">
        <f>-902.890155205758 -62.8846517896238 -629.975671311399</f>
        <v>-1595.7504783067807</v>
      </c>
      <c r="J2774">
        <f>-937.341975984079 -8.51602904337869 -503.665911842485</f>
        <v>-1449.5239168699427</v>
      </c>
      <c r="K2774" t="s">
        <v>57414</v>
      </c>
      <c r="L2774" t="s">
        <v>57415</v>
      </c>
      <c r="M2774" t="s">
        <v>57416</v>
      </c>
      <c r="N2774">
        <f>-942.462699880518 -63.6345180938024 -501.041664642146</f>
        <v>-1507.1388826164664</v>
      </c>
      <c r="O2774">
        <f>-959.157055473475 -195.782709775821 -467.03961895436</f>
        <v>-1621.9793842036561</v>
      </c>
      <c r="P2774">
        <f>-953.65578629479 -237.628519635238 -175.818306070432</f>
        <v>-1367.1026120004601</v>
      </c>
      <c r="Q2774">
        <f>-776.348433063085 -104.573035742616 -270.206537667233</f>
        <v>-1151.128006472934</v>
      </c>
      <c r="R2774" t="s">
        <v>57417</v>
      </c>
      <c r="S2774" t="s">
        <v>57418</v>
      </c>
      <c r="T2774" t="s">
        <v>57419</v>
      </c>
      <c r="U2774" t="s">
        <v>57420</v>
      </c>
      <c r="V2774">
        <f>-880.408964379906 -119.553030504055 -51.7162355784384</f>
        <v>-1051.6782304623994</v>
      </c>
      <c r="W2774" t="s">
        <v>57421</v>
      </c>
      <c r="X2774" t="s">
        <v>57422</v>
      </c>
      <c r="Y2774" t="s">
        <v>57423</v>
      </c>
    </row>
    <row r="2775" spans="1:25" x14ac:dyDescent="0.3">
      <c r="A2775">
        <v>138700</v>
      </c>
      <c r="B2775" t="s">
        <v>57424</v>
      </c>
      <c r="C2775">
        <f>-885.133516586724 -20.0578265513641 -50.2771619686608</f>
        <v>-955.46850510674892</v>
      </c>
      <c r="D2775">
        <f>-928.10493005615 -22.3000027765215 -157.816210322988</f>
        <v>-1108.2211431556595</v>
      </c>
      <c r="E2775">
        <f>-943.562700649396 -24.9449435004549 -255.185158967746</f>
        <v>-1223.6928031175969</v>
      </c>
      <c r="F2775">
        <f>-949.370845578057 -28.0563856404901 -344.038017179012</f>
        <v>-1321.4652483975592</v>
      </c>
      <c r="G2775">
        <f>-946.646319303243 -32.1438416098122 -432.99940157554</f>
        <v>-1411.789562488595</v>
      </c>
      <c r="H2775">
        <f>-933.937840555188 -39.1057186051983 -556.736351821679</f>
        <v>-1529.7799109820653</v>
      </c>
      <c r="I2775">
        <f>-902.375604255066 -62.6851264745296 -629.899677291306</f>
        <v>-1594.9604080209017</v>
      </c>
      <c r="J2775">
        <f>-936.999814937436 -8.47900003136419 -503.576750489072</f>
        <v>-1449.0555654578723</v>
      </c>
      <c r="K2775" t="s">
        <v>57425</v>
      </c>
      <c r="L2775" t="s">
        <v>57426</v>
      </c>
      <c r="M2775" t="s">
        <v>57427</v>
      </c>
      <c r="N2775">
        <f>-942.060578715719 -63.6052067995897 -500.994852000881</f>
        <v>-1506.6606375161896</v>
      </c>
      <c r="O2775">
        <f>-958.684915834368 -195.769304172695 -467.002684233211</f>
        <v>-1621.4569042402741</v>
      </c>
      <c r="P2775">
        <f>-952.999191841802 -237.827066488026 -175.815386981315</f>
        <v>-1366.6416453111431</v>
      </c>
      <c r="Q2775">
        <f>-775.866752509688 -104.602952112219 -270.294480975792</f>
        <v>-1150.764185597699</v>
      </c>
      <c r="R2775" t="s">
        <v>57428</v>
      </c>
      <c r="S2775" t="s">
        <v>57429</v>
      </c>
      <c r="T2775" t="s">
        <v>57430</v>
      </c>
      <c r="U2775" t="s">
        <v>57431</v>
      </c>
      <c r="V2775">
        <f>-880.295964192416 -119.474280786605 -51.6381680828891</f>
        <v>-1051.4084130619101</v>
      </c>
      <c r="W2775" t="s">
        <v>57432</v>
      </c>
      <c r="X2775" t="s">
        <v>57433</v>
      </c>
      <c r="Y2775" t="s">
        <v>57434</v>
      </c>
    </row>
    <row r="2776" spans="1:25" x14ac:dyDescent="0.3">
      <c r="A2776">
        <v>138750</v>
      </c>
      <c r="B2776" t="s">
        <v>57435</v>
      </c>
      <c r="C2776">
        <f>-885.245688150766 -20.0335231681379 -50.2607012409401</f>
        <v>-955.53991255984397</v>
      </c>
      <c r="D2776">
        <f>-928.195761080301 -22.2581774333835 -157.808681539846</f>
        <v>-1108.2626200535306</v>
      </c>
      <c r="E2776">
        <f>-943.618125846752 -24.8858013886975 -255.183688614105</f>
        <v>-1223.6876158495545</v>
      </c>
      <c r="F2776">
        <f>-949.387561019168 -27.9772314502661 -344.03985415299</f>
        <v>-1321.404646622424</v>
      </c>
      <c r="G2776">
        <f>-946.617235446481 -32.0387706396932 -433.000905771815</f>
        <v>-1411.6569118579891</v>
      </c>
      <c r="H2776">
        <f>-933.837451569598 -38.9567543439375 -556.732988627797</f>
        <v>-1529.5271945413324</v>
      </c>
      <c r="I2776">
        <f>-902.220189421946 -62.4921242577643 -629.886727241027</f>
        <v>-1594.5990409207373</v>
      </c>
      <c r="J2776">
        <f>-936.937805014423 -8.3483471611562 -503.565123612839</f>
        <v>-1448.8512757884182</v>
      </c>
      <c r="K2776" t="s">
        <v>57436</v>
      </c>
      <c r="L2776" t="s">
        <v>57437</v>
      </c>
      <c r="M2776" t="s">
        <v>57438</v>
      </c>
      <c r="N2776">
        <f>-941.984238312268 -63.4766735762696 -501.004078375419</f>
        <v>-1506.4649902639567</v>
      </c>
      <c r="O2776">
        <f>-958.626641945222 -195.635689095323 -467.016901530399</f>
        <v>-1621.279232570944</v>
      </c>
      <c r="P2776">
        <f>-952.988821400505 -237.75754758976 -175.837972894464</f>
        <v>-1366.5843418847289</v>
      </c>
      <c r="Q2776">
        <f>-775.820574943598 -104.614482537259 -270.363990137921</f>
        <v>-1150.7990476187781</v>
      </c>
      <c r="R2776" t="s">
        <v>57439</v>
      </c>
      <c r="S2776" t="s">
        <v>57440</v>
      </c>
      <c r="T2776" t="s">
        <v>57441</v>
      </c>
      <c r="U2776" t="s">
        <v>57442</v>
      </c>
      <c r="V2776">
        <f>-880.441973804369 -119.405344678485 -51.6064029988687</f>
        <v>-1051.4537214817228</v>
      </c>
      <c r="W2776" t="s">
        <v>57443</v>
      </c>
      <c r="X2776" t="s">
        <v>57444</v>
      </c>
      <c r="Y2776" t="s">
        <v>57445</v>
      </c>
    </row>
    <row r="2777" spans="1:25" x14ac:dyDescent="0.3">
      <c r="A2777">
        <v>138800</v>
      </c>
      <c r="B2777" t="s">
        <v>57446</v>
      </c>
      <c r="C2777">
        <f>-885.415154098241 -20.1961086636429 -50.1875207703298</f>
        <v>-955.79878353221375</v>
      </c>
      <c r="D2777">
        <f>-928.32591869627 -22.3434029811506 -157.752813959825</f>
        <v>-1108.4221356372457</v>
      </c>
      <c r="E2777">
        <f>-943.677050746276 -24.9122775862293 -255.140541326215</f>
        <v>-1223.7298696587202</v>
      </c>
      <c r="F2777">
        <f>-949.366444375549 -27.9495940000302 -344.003634914954</f>
        <v>-1321.319673290533</v>
      </c>
      <c r="G2777">
        <f>-946.500835793493 -31.9542713416895 -432.964272472504</f>
        <v>-1411.4193796076866</v>
      </c>
      <c r="H2777">
        <f>-933.572358479578 -38.7877456065312 -556.685775657974</f>
        <v>-1529.0458797440833</v>
      </c>
      <c r="I2777">
        <f>-901.887553079998 -62.2811229457341 -629.823717089085</f>
        <v>-1593.9923931148171</v>
      </c>
      <c r="J2777">
        <f>-936.724668356341 -8.21651643165023 -503.499426189966</f>
        <v>-1448.4406109779572</v>
      </c>
      <c r="K2777" t="s">
        <v>57447</v>
      </c>
      <c r="L2777" t="s">
        <v>57448</v>
      </c>
      <c r="M2777" t="s">
        <v>57449</v>
      </c>
      <c r="N2777">
        <f>-941.798608615617 -63.3446431492423 -500.984708774741</f>
        <v>-1506.1279605396003</v>
      </c>
      <c r="O2777">
        <f>-958.5777236223 -195.474498751172 -466.973062500009</f>
        <v>-1621.025284873481</v>
      </c>
      <c r="P2777">
        <f>-953.155972669322 -237.572221384742 -175.786562161114</f>
        <v>-1366.5147562151781</v>
      </c>
      <c r="Q2777">
        <f>-775.718955538547 -104.812165165238 -270.346953733449</f>
        <v>-1150.8780744372339</v>
      </c>
      <c r="R2777" t="s">
        <v>57450</v>
      </c>
      <c r="S2777" t="s">
        <v>57451</v>
      </c>
      <c r="T2777" t="s">
        <v>57452</v>
      </c>
      <c r="U2777" t="s">
        <v>57453</v>
      </c>
      <c r="V2777">
        <f>-880.722630850375 -119.407812406956 -51.5406991141865</f>
        <v>-1051.6711423715176</v>
      </c>
      <c r="W2777" t="s">
        <v>57454</v>
      </c>
      <c r="X2777" t="s">
        <v>57455</v>
      </c>
      <c r="Y2777" t="s">
        <v>57456</v>
      </c>
    </row>
    <row r="2778" spans="1:25" x14ac:dyDescent="0.3">
      <c r="A2778">
        <v>138850</v>
      </c>
      <c r="B2778" t="s">
        <v>57457</v>
      </c>
      <c r="C2778">
        <f>-885.520644010585 -20.3879937283018 -50.1330880571946</f>
        <v>-956.04172579608144</v>
      </c>
      <c r="D2778">
        <f>-928.407570024836 -22.4798930341703 -157.708874858999</f>
        <v>-1108.5963379180052</v>
      </c>
      <c r="E2778">
        <f>-943.721572803868 -25.0213321306537 -255.103334440522</f>
        <v>-1223.8462393750438</v>
      </c>
      <c r="F2778">
        <f>-949.371278322958 -28.0411831806373 -343.969585190913</f>
        <v>-1321.3820466945083</v>
      </c>
      <c r="G2778">
        <f>-946.460446115417 -32.0358178299362 -432.929115790397</f>
        <v>-1411.4253797357501</v>
      </c>
      <c r="H2778">
        <f>-933.462887732823 -38.8631612351103 -556.643652376919</f>
        <v>-1528.9697013448522</v>
      </c>
      <c r="I2778">
        <f>-901.758068489645 -62.3637325653465 -629.770632491181</f>
        <v>-1593.8924335461725</v>
      </c>
      <c r="J2778">
        <f>-936.629547787398 -8.29599570966775 -503.455847007401</f>
        <v>-1448.3813905044667</v>
      </c>
      <c r="K2778" t="s">
        <v>57458</v>
      </c>
      <c r="L2778" t="s">
        <v>57459</v>
      </c>
      <c r="M2778" t="s">
        <v>57460</v>
      </c>
      <c r="N2778">
        <f>-941.735200115343 -63.4216107803225 -500.950223844977</f>
        <v>-1506.1070347406426</v>
      </c>
      <c r="O2778">
        <f>-958.621149367929 -195.533286741681 -466.920382220779</f>
        <v>-1621.074818330389</v>
      </c>
      <c r="P2778">
        <f>-953.356909151037 -237.661630472441 -175.735450132311</f>
        <v>-1366.753989755789</v>
      </c>
      <c r="Q2778">
        <f>-775.80035032091 -105.061625110385 -270.295989412341</f>
        <v>-1151.1579648436359</v>
      </c>
      <c r="R2778" t="s">
        <v>57461</v>
      </c>
      <c r="S2778" t="s">
        <v>57462</v>
      </c>
      <c r="T2778" t="s">
        <v>57463</v>
      </c>
      <c r="U2778" t="s">
        <v>57464</v>
      </c>
      <c r="V2778">
        <f>-880.879460021492 -119.535198328485 -51.5114607274971</f>
        <v>-1051.9261190774741</v>
      </c>
      <c r="W2778" t="s">
        <v>57465</v>
      </c>
      <c r="X2778" t="s">
        <v>57466</v>
      </c>
      <c r="Y2778" t="s">
        <v>57467</v>
      </c>
    </row>
    <row r="2779" spans="1:25" x14ac:dyDescent="0.3">
      <c r="A2779">
        <v>138900</v>
      </c>
      <c r="B2779" t="s">
        <v>57468</v>
      </c>
      <c r="C2779">
        <f>-885.691620026027 -20.6864726806607 -50.0142626812569</f>
        <v>-956.39235538794458</v>
      </c>
      <c r="D2779">
        <f>-928.53929862069 -22.6794131594174 -157.607520978014</f>
        <v>-1108.8262327581215</v>
      </c>
      <c r="E2779">
        <f>-943.828000655246 -25.1622718005601 -255.007471418391</f>
        <v>-1223.9977438741971</v>
      </c>
      <c r="F2779">
        <f>-949.458900564867 -28.1403694069286 -343.876376026221</f>
        <v>-1321.4756459980167</v>
      </c>
      <c r="G2779">
        <f>-946.534153751264 -32.1059693887787 -432.836735093262</f>
        <v>-1411.4768582333047</v>
      </c>
      <c r="H2779">
        <f>-933.523344771146 -38.9062761898326 -556.551295081154</f>
        <v>-1528.9809160421325</v>
      </c>
      <c r="I2779">
        <f>-901.83109234916 -62.449427593747 -629.669954461201</f>
        <v>-1593.950474404108</v>
      </c>
      <c r="J2779">
        <f>-936.659490946943 -8.35399052751018 -503.35331856874</f>
        <v>-1448.3668000431933</v>
      </c>
      <c r="K2779" t="s">
        <v>57469</v>
      </c>
      <c r="L2779" t="s">
        <v>57470</v>
      </c>
      <c r="M2779" t="s">
        <v>57471</v>
      </c>
      <c r="N2779">
        <f>-941.838114459901 -63.4735792147073 -500.868140606388</f>
        <v>-1506.1798342809964</v>
      </c>
      <c r="O2779">
        <f>-958.913979685562 -195.568062641936 -466.85065409149</f>
        <v>-1621.332696418988</v>
      </c>
      <c r="P2779">
        <f>-954.048303830177 -237.79171046161 -175.67256083316</f>
        <v>-1367.512575124947</v>
      </c>
      <c r="Q2779">
        <f>-776.306634121196 -105.421335764122 -270.207815787114</f>
        <v>-1151.9357856724318</v>
      </c>
      <c r="R2779" t="s">
        <v>57472</v>
      </c>
      <c r="S2779" t="s">
        <v>57473</v>
      </c>
      <c r="T2779" t="s">
        <v>57474</v>
      </c>
      <c r="U2779" t="s">
        <v>57475</v>
      </c>
      <c r="V2779">
        <f>-881.124188545208 -119.654371013576 -51.4550984628639</f>
        <v>-1052.2336580216479</v>
      </c>
      <c r="W2779" t="s">
        <v>57476</v>
      </c>
      <c r="X2779" t="s">
        <v>57477</v>
      </c>
      <c r="Y2779" t="s">
        <v>57478</v>
      </c>
    </row>
    <row r="2780" spans="1:25" x14ac:dyDescent="0.3">
      <c r="A2780">
        <v>138950</v>
      </c>
      <c r="B2780" t="s">
        <v>57479</v>
      </c>
      <c r="C2780">
        <f>-885.758900703594 -20.7905571016408 -49.9674626600768</f>
        <v>-956.51692046531161</v>
      </c>
      <c r="D2780">
        <f>-928.625738254373 -22.7488968446542 -157.55393184962</f>
        <v>-1108.9285669486471</v>
      </c>
      <c r="E2780">
        <f>-943.929997003592 -25.1987570650513 -254.952189365497</f>
        <v>-1224.0809434341402</v>
      </c>
      <c r="F2780">
        <f>-949.574851024864 -28.1468875279161 -343.821215764972</f>
        <v>-1321.542954317752</v>
      </c>
      <c r="G2780">
        <f>-946.663425550701 -32.0829989742474 -432.783417586634</f>
        <v>-1411.5298421115824</v>
      </c>
      <c r="H2780">
        <f>-933.671101037639 -38.8433081502769 -556.50209572758</f>
        <v>-1529.0165049154959</v>
      </c>
      <c r="I2780">
        <f>-901.973814190562 -62.3940707158299 -629.616224514798</f>
        <v>-1593.9841094211899</v>
      </c>
      <c r="J2780">
        <f>-936.789530677138 -8.30913980183777 -503.292566600004</f>
        <v>-1448.3912370789799</v>
      </c>
      <c r="K2780" t="s">
        <v>57480</v>
      </c>
      <c r="L2780" t="s">
        <v>57481</v>
      </c>
      <c r="M2780" t="s">
        <v>57482</v>
      </c>
      <c r="N2780">
        <f>-941.987103232504 -63.427880808317 -500.826540552676</f>
        <v>-1506.2415245934969</v>
      </c>
      <c r="O2780">
        <f>-959.126681029599 -195.527152033246 -466.858882236884</f>
        <v>-1621.5127152997291</v>
      </c>
      <c r="P2780">
        <f>-954.450956709582 -237.791256432374 -175.683549365636</f>
        <v>-1367.925762507592</v>
      </c>
      <c r="Q2780">
        <f>-776.619537881253 -105.508457209894 -270.172151813761</f>
        <v>-1152.3001469049079</v>
      </c>
      <c r="R2780" t="s">
        <v>57483</v>
      </c>
      <c r="S2780" t="s">
        <v>57484</v>
      </c>
      <c r="T2780" t="s">
        <v>57485</v>
      </c>
      <c r="U2780" t="s">
        <v>57486</v>
      </c>
      <c r="V2780">
        <f>-881.207182933462 -119.725163038205 -51.4274390955438</f>
        <v>-1052.3597850672109</v>
      </c>
      <c r="W2780" t="s">
        <v>57487</v>
      </c>
      <c r="X2780" t="s">
        <v>57488</v>
      </c>
      <c r="Y2780" t="s">
        <v>57489</v>
      </c>
    </row>
    <row r="2781" spans="1:25" x14ac:dyDescent="0.3">
      <c r="A2781">
        <v>139000</v>
      </c>
      <c r="B2781" t="s">
        <v>57490</v>
      </c>
      <c r="C2781">
        <f>-885.916639198369 -21.0803552802413 -49.8380710861006</f>
        <v>-956.83506556471093</v>
      </c>
      <c r="D2781">
        <f>-928.812382825076 -22.9775034500062 -157.414027742633</f>
        <v>-1109.2039140177153</v>
      </c>
      <c r="E2781">
        <f>-944.094344592554 -25.3844152049628 -254.816923003646</f>
        <v>-1224.2956828011627</v>
      </c>
      <c r="F2781">
        <f>-949.699332822547 -28.3008731250043 -343.689459601946</f>
        <v>-1321.6896655494972</v>
      </c>
      <c r="G2781">
        <f>-946.728883166435 -32.214072582899 -432.650617772099</f>
        <v>-1411.593573521433</v>
      </c>
      <c r="H2781">
        <f>-933.635226432001 -38.9533313189581 -556.359910672013</f>
        <v>-1528.9484684229722</v>
      </c>
      <c r="I2781">
        <f>-901.873614995039 -62.5197126226979 -629.44096202045</f>
        <v>-1593.8342896381869</v>
      </c>
      <c r="J2781">
        <f>-936.796692875726 -8.42821117791664 -503.147679395939</f>
        <v>-1448.3725834495817</v>
      </c>
      <c r="K2781" t="s">
        <v>57491</v>
      </c>
      <c r="L2781" t="s">
        <v>57492</v>
      </c>
      <c r="M2781" t="s">
        <v>57493</v>
      </c>
      <c r="N2781">
        <f>-941.997684692126 -63.5472409666595 -500.695333292307</f>
        <v>-1506.2402589510925</v>
      </c>
      <c r="O2781">
        <f>-959.166275472801 -195.653243267704 -466.799072479003</f>
        <v>-1621.6185912195078</v>
      </c>
      <c r="P2781">
        <f>-954.627953756554 -238.119523500244 -175.651023753856</f>
        <v>-1368.3985010106539</v>
      </c>
      <c r="Q2781">
        <f>-776.819981957052 -105.760123494275 -270.076409609094</f>
        <v>-1152.656515060421</v>
      </c>
      <c r="R2781" t="s">
        <v>57494</v>
      </c>
      <c r="S2781" t="s">
        <v>57495</v>
      </c>
      <c r="T2781" t="s">
        <v>57496</v>
      </c>
      <c r="U2781" t="s">
        <v>57497</v>
      </c>
      <c r="V2781">
        <f>-881.24273510713 -120.024081656855 -51.355059896626</f>
        <v>-1052.621876660611</v>
      </c>
      <c r="W2781" t="s">
        <v>57498</v>
      </c>
      <c r="X2781" t="s">
        <v>57499</v>
      </c>
      <c r="Y2781" t="s">
        <v>57500</v>
      </c>
    </row>
    <row r="2782" spans="1:25" x14ac:dyDescent="0.3">
      <c r="A2782">
        <v>139050</v>
      </c>
      <c r="B2782" t="s">
        <v>57501</v>
      </c>
      <c r="C2782">
        <f>-885.909188044607 -21.1622815554006 -49.788008798552</f>
        <v>-956.85947839855965</v>
      </c>
      <c r="D2782">
        <f>-928.786822726078 -23.055163283535 -157.371239071733</f>
        <v>-1109.2132250813459</v>
      </c>
      <c r="E2782">
        <f>-944.040857113243 -25.4736580706035 -254.778126308534</f>
        <v>-1224.2926414923804</v>
      </c>
      <c r="F2782">
        <f>-949.616485879701 -28.4079017853642 -343.651987695713</f>
        <v>-1321.6763753607781</v>
      </c>
      <c r="G2782">
        <f>-946.612699915788 -32.3469138849077 -432.610992590056</f>
        <v>-1411.5706063907517</v>
      </c>
      <c r="H2782">
        <f>-933.468250619216 -39.1308496704698 -556.312294780361</f>
        <v>-1528.9113950700466</v>
      </c>
      <c r="I2782">
        <f>-901.667034505765 -62.6915166049271 -629.37813069587</f>
        <v>-1593.736681806562</v>
      </c>
      <c r="J2782">
        <f>-936.655429711947 -8.58612340534 -503.11296141567</f>
        <v>-1448.354514532957</v>
      </c>
      <c r="K2782" t="s">
        <v>57502</v>
      </c>
      <c r="L2782" t="s">
        <v>57503</v>
      </c>
      <c r="M2782" t="s">
        <v>57504</v>
      </c>
      <c r="N2782">
        <f>-941.849416218842 -63.704959846973 -500.642048916459</f>
        <v>-1506.196424982274</v>
      </c>
      <c r="O2782">
        <f>-958.975280851951 -195.823643075656 -466.736708273836</f>
        <v>-1621.5356322014429</v>
      </c>
      <c r="P2782">
        <f>-954.515894519186 -238.364485956773 -175.598254126701</f>
        <v>-1368.4786346026599</v>
      </c>
      <c r="Q2782">
        <f>-776.740974697419 -105.94987483906 -270.009048968674</f>
        <v>-1152.699898505153</v>
      </c>
      <c r="R2782" t="s">
        <v>57505</v>
      </c>
      <c r="S2782" t="s">
        <v>57506</v>
      </c>
      <c r="T2782" t="s">
        <v>57507</v>
      </c>
      <c r="U2782" t="s">
        <v>57508</v>
      </c>
      <c r="V2782">
        <f>-881.190298352464 -120.028898003851 -51.3507877122835</f>
        <v>-1052.5699840685986</v>
      </c>
      <c r="W2782" t="s">
        <v>57509</v>
      </c>
      <c r="X2782" t="s">
        <v>57510</v>
      </c>
      <c r="Y2782" t="s">
        <v>57511</v>
      </c>
    </row>
    <row r="2783" spans="1:25" x14ac:dyDescent="0.3">
      <c r="A2783">
        <v>139100</v>
      </c>
      <c r="B2783" t="s">
        <v>57512</v>
      </c>
      <c r="C2783">
        <f>-885.843569565485 -21.0452747301401 -49.7821006703792</f>
        <v>-956.67094496600441</v>
      </c>
      <c r="D2783">
        <f>-928.701957107413 -22.974246032918 -157.372392239179</f>
        <v>-1109.0485953795101</v>
      </c>
      <c r="E2783">
        <f>-943.916107615398 -25.4515458797287 -254.784124802737</f>
        <v>-1224.1517782978638</v>
      </c>
      <c r="F2783">
        <f>-949.447077145829 -28.4523060155652 -343.658411606421</f>
        <v>-1321.5577947678153</v>
      </c>
      <c r="G2783">
        <f>-946.390930545393 -32.4710766439289 -432.612167420928</f>
        <v>-1411.47417461025</v>
      </c>
      <c r="H2783">
        <f>-933.166254073696 -39.3811680333836 -556.297920566217</f>
        <v>-1528.8453426732967</v>
      </c>
      <c r="I2783">
        <f>-901.31923391735 -62.9447915159467 -629.342681298182</f>
        <v>-1593.6067067314787</v>
      </c>
      <c r="J2783">
        <f>-936.403760168182 -8.78078049326314 -503.13349782077</f>
        <v>-1448.3180384822151</v>
      </c>
      <c r="K2783" t="s">
        <v>57513</v>
      </c>
      <c r="L2783" t="s">
        <v>57514</v>
      </c>
      <c r="M2783" t="s">
        <v>57515</v>
      </c>
      <c r="N2783">
        <f>-941.567712719717 -63.8999088363901 -500.606202511698</f>
        <v>-1506.0738240678049</v>
      </c>
      <c r="O2783">
        <f>-958.550562399749 -196.024501253139 -466.648045402457</f>
        <v>-1621.223109055345</v>
      </c>
      <c r="P2783">
        <f>-954.230330636189 -238.349416450482 -175.47615593969</f>
        <v>-1368.055903026361</v>
      </c>
      <c r="Q2783">
        <f>-776.42694498208 -105.953780385274 -269.859258377785</f>
        <v>-1152.2399837451389</v>
      </c>
      <c r="R2783" t="s">
        <v>57516</v>
      </c>
      <c r="S2783" t="s">
        <v>57517</v>
      </c>
      <c r="T2783" t="s">
        <v>57518</v>
      </c>
      <c r="U2783" t="s">
        <v>57519</v>
      </c>
      <c r="V2783">
        <f>-881.105612296881 -119.715444890511 -51.3835137240171</f>
        <v>-1052.2045709114091</v>
      </c>
      <c r="W2783" t="s">
        <v>57520</v>
      </c>
      <c r="X2783" t="s">
        <v>57521</v>
      </c>
      <c r="Y2783" t="s">
        <v>57522</v>
      </c>
    </row>
    <row r="2784" spans="1:25" x14ac:dyDescent="0.3">
      <c r="A2784">
        <v>139150</v>
      </c>
      <c r="B2784" t="s">
        <v>57523</v>
      </c>
      <c r="C2784">
        <f>-885.874693406117 -20.8955297085067 -49.7942599533231</f>
        <v>-956.56448306794687</v>
      </c>
      <c r="D2784">
        <f>-928.712267211812 -22.8372089371337 -157.392482718414</f>
        <v>-1108.9419588673597</v>
      </c>
      <c r="E2784">
        <f>-943.895872219404 -25.3441441864384 -254.808224586685</f>
        <v>-1224.0482409925273</v>
      </c>
      <c r="F2784">
        <f>-949.393926730594 -28.3788602929499 -343.683443488373</f>
        <v>-1321.4562305119168</v>
      </c>
      <c r="G2784">
        <f>-946.299795479973 -32.4387212569054 -432.633980221371</f>
        <v>-1411.3724969582495</v>
      </c>
      <c r="H2784">
        <f>-933.018086250477 -39.4127105782641 -556.31002530693</f>
        <v>-1528.7408221356711</v>
      </c>
      <c r="I2784">
        <f>-901.151013907771 -62.9775741161784 -629.345804127915</f>
        <v>-1593.4743921518643</v>
      </c>
      <c r="J2784">
        <f>-936.298493116348 -8.7832262173506 -503.165095892181</f>
        <v>-1448.2468152258796</v>
      </c>
      <c r="K2784" t="s">
        <v>57524</v>
      </c>
      <c r="L2784" t="s">
        <v>57525</v>
      </c>
      <c r="M2784" t="s">
        <v>57526</v>
      </c>
      <c r="N2784">
        <f>-941.427030387167 -63.9041529454241 -500.607593620354</f>
        <v>-1505.9387769529451</v>
      </c>
      <c r="O2784">
        <f>-958.321885312337 -196.024100357218 -466.584691936254</f>
        <v>-1620.9306776058088</v>
      </c>
      <c r="P2784">
        <f>-953.955436951404 -238.223628100925 -175.395119227919</f>
        <v>-1367.5741842802479</v>
      </c>
      <c r="Q2784">
        <f>-776.194478010135 -105.787888765484 -269.80178786911</f>
        <v>-1151.7841546447289</v>
      </c>
      <c r="R2784" t="s">
        <v>57527</v>
      </c>
      <c r="S2784" t="s">
        <v>57528</v>
      </c>
      <c r="T2784" t="s">
        <v>57529</v>
      </c>
      <c r="U2784" t="s">
        <v>57530</v>
      </c>
      <c r="V2784">
        <f>-881.095852934714 -119.4534696004 -51.4110820221897</f>
        <v>-1051.9604045573037</v>
      </c>
      <c r="W2784" t="s">
        <v>57531</v>
      </c>
      <c r="X2784" t="s">
        <v>57532</v>
      </c>
      <c r="Y2784" t="s">
        <v>57533</v>
      </c>
    </row>
    <row r="2785" spans="1:25" x14ac:dyDescent="0.3">
      <c r="A2785">
        <v>139200</v>
      </c>
      <c r="B2785" t="s">
        <v>57534</v>
      </c>
      <c r="C2785">
        <f>-886.152727464596 -20.5140657034467 -49.843768135266</f>
        <v>-956.51056130330869</v>
      </c>
      <c r="D2785">
        <f>-928.861243187753 -22.4494387316731 -157.493510932132</f>
        <v>-1108.8041928515581</v>
      </c>
      <c r="E2785">
        <f>-943.971960132133 -25.0124438375133 -254.919105763366</f>
        <v>-1223.9035097330122</v>
      </c>
      <c r="F2785">
        <f>-949.422178323516 -28.1212282185643 -343.794676739346</f>
        <v>-1321.3380832814264</v>
      </c>
      <c r="G2785">
        <f>-946.300312492889 -32.2764493163613 -432.739822657959</f>
        <v>-1411.3165844672094</v>
      </c>
      <c r="H2785">
        <f>-933.001034758724 -39.4051456846805 -556.405251839864</f>
        <v>-1528.8114322832685</v>
      </c>
      <c r="I2785">
        <f>-901.156078757972 -63.0218595284985 -629.433738290989</f>
        <v>-1593.6116765774595</v>
      </c>
      <c r="J2785">
        <f>-936.318398061743 -8.70667206566168 -503.302379030716</f>
        <v>-1448.3274491581205</v>
      </c>
      <c r="K2785" t="s">
        <v>57535</v>
      </c>
      <c r="L2785" t="s">
        <v>57536</v>
      </c>
      <c r="M2785" t="s">
        <v>57537</v>
      </c>
      <c r="N2785">
        <f>-941.388483569504 -63.8295700564624 -500.670019136439</f>
        <v>-1505.8880727624055</v>
      </c>
      <c r="O2785">
        <f>-958.071140352072 -195.935867610751 -466.497007346822</f>
        <v>-1620.5040153096452</v>
      </c>
      <c r="P2785">
        <f>-953.674401107478 -237.90862828632 -175.275053171276</f>
        <v>-1366.8580825650743</v>
      </c>
      <c r="Q2785">
        <f>-775.981596936841 -105.44022622747 -269.764076141223</f>
        <v>-1151.1858993055339</v>
      </c>
      <c r="R2785" t="s">
        <v>57538</v>
      </c>
      <c r="S2785" t="s">
        <v>57539</v>
      </c>
      <c r="T2785" t="s">
        <v>57540</v>
      </c>
      <c r="U2785" t="s">
        <v>57541</v>
      </c>
      <c r="V2785">
        <f>-881.31200776579 -118.837839979929 -51.4910724308407</f>
        <v>-1051.6409201765596</v>
      </c>
      <c r="W2785" t="s">
        <v>57542</v>
      </c>
      <c r="X2785" t="s">
        <v>57543</v>
      </c>
      <c r="Y2785" t="s">
        <v>57544</v>
      </c>
    </row>
    <row r="2786" spans="1:25" x14ac:dyDescent="0.3">
      <c r="A2786">
        <v>139250</v>
      </c>
      <c r="B2786" t="s">
        <v>57545</v>
      </c>
      <c r="C2786">
        <f>-886.202238874401 -20.3322985251198 -49.9081158161299</f>
        <v>-956.44265321565069</v>
      </c>
      <c r="D2786">
        <f>-928.855189630295 -22.2694794395616 -157.57985485674</f>
        <v>-1108.7045239265965</v>
      </c>
      <c r="E2786">
        <f>-943.931557471323 -24.8557648380984 -255.010113585711</f>
        <v>-1223.7974358951324</v>
      </c>
      <c r="F2786">
        <f>-949.35765894624 -27.9933291387292 -343.886191221702</f>
        <v>-1321.2371793066714</v>
      </c>
      <c r="G2786">
        <f>-946.218895126967 -32.1841487174843 -432.829103661962</f>
        <v>-1411.2321475064132</v>
      </c>
      <c r="H2786">
        <f>-932.90345199037 -39.3690300813437 -556.489449762921</f>
        <v>-1528.7619318346347</v>
      </c>
      <c r="I2786">
        <f>-901.065923443342 -63.0237814474979 -629.50892850648</f>
        <v>-1593.5986333973196</v>
      </c>
      <c r="J2786">
        <f>-936.244582006976 -8.64510139882441 -503.402862356595</f>
        <v>-1448.2925457623953</v>
      </c>
      <c r="K2786" t="s">
        <v>57546</v>
      </c>
      <c r="L2786" t="s">
        <v>57547</v>
      </c>
      <c r="M2786" t="s">
        <v>57548</v>
      </c>
      <c r="N2786">
        <f>-941.281271414549 -63.7696576878984 -500.74242762508</f>
        <v>-1505.7933567275275</v>
      </c>
      <c r="O2786">
        <f>-957.891079917411 -195.868856275686 -466.509944426325</f>
        <v>-1620.269880619423</v>
      </c>
      <c r="P2786">
        <f>-953.470216716095 -237.732645662003 -175.272799713634</f>
        <v>-1366.4756620917319</v>
      </c>
      <c r="Q2786">
        <f>-775.838908613868 -105.169854179319 -269.745605837224</f>
        <v>-1150.7543686304109</v>
      </c>
      <c r="R2786" t="s">
        <v>57549</v>
      </c>
      <c r="S2786" t="s">
        <v>57550</v>
      </c>
      <c r="T2786" t="s">
        <v>57551</v>
      </c>
      <c r="U2786" t="s">
        <v>57552</v>
      </c>
      <c r="V2786">
        <f>-881.35781270664 -118.513476800205 -51.5465071388307</f>
        <v>-1051.4177966456757</v>
      </c>
      <c r="W2786" t="s">
        <v>57553</v>
      </c>
      <c r="X2786" t="s">
        <v>57554</v>
      </c>
      <c r="Y2786" t="s">
        <v>57555</v>
      </c>
    </row>
    <row r="2787" spans="1:25" x14ac:dyDescent="0.3">
      <c r="A2787">
        <v>139300</v>
      </c>
      <c r="B2787" t="s">
        <v>57556</v>
      </c>
      <c r="C2787">
        <f>-886.321718831559 -20.148044378298 -50.0256106717555</f>
        <v>-956.49537388161252</v>
      </c>
      <c r="D2787">
        <f>-928.945716177403 -22.0890178828372 -157.708776410412</f>
        <v>-1108.7435104706522</v>
      </c>
      <c r="E2787">
        <f>-943.972392752599 -24.7313119434366 -255.145268876025</f>
        <v>-1223.8489735720607</v>
      </c>
      <c r="F2787">
        <f>-949.344354846831 -27.938671243955 -344.022145332081</f>
        <v>-1321.305171422867</v>
      </c>
      <c r="G2787">
        <f>-946.143171784095 -32.217082031575 -432.958624959414</f>
        <v>-1411.3188787750842</v>
      </c>
      <c r="H2787">
        <f>-932.733225742129 -39.5409844046067 -556.600552242856</f>
        <v>-1528.8747623895915</v>
      </c>
      <c r="I2787">
        <f>-900.914838736668 -63.2944274904285 -629.596548597582</f>
        <v>-1593.8058148246785</v>
      </c>
      <c r="J2787">
        <f>-936.136530028605 -8.75557017419396 -503.553613093737</f>
        <v>-1448.4457132965358</v>
      </c>
      <c r="K2787" t="s">
        <v>57557</v>
      </c>
      <c r="L2787" t="s">
        <v>57558</v>
      </c>
      <c r="M2787" t="s">
        <v>57559</v>
      </c>
      <c r="N2787">
        <f>-941.132190462492 -63.8807007727521 -500.829964162957</f>
        <v>-1505.8428553982012</v>
      </c>
      <c r="O2787">
        <f>-957.596455555374 -195.963789489162 -466.458908302547</f>
        <v>-1620.0191533470829</v>
      </c>
      <c r="P2787">
        <f>-953.223928826596 -237.568841679224 -175.183994076911</f>
        <v>-1365.976764582731</v>
      </c>
      <c r="Q2787">
        <f>-775.748588035283 -104.785747744254 -269.640478290656</f>
        <v>-1150.174814070193</v>
      </c>
      <c r="R2787" t="s">
        <v>57560</v>
      </c>
      <c r="S2787" t="s">
        <v>57561</v>
      </c>
      <c r="T2787" t="s">
        <v>57562</v>
      </c>
      <c r="U2787" t="s">
        <v>57563</v>
      </c>
      <c r="V2787">
        <f>-881.505428157349 -118.242750391074 -51.6242602514891</f>
        <v>-1051.3724387999121</v>
      </c>
      <c r="W2787" t="s">
        <v>57564</v>
      </c>
      <c r="X2787" t="s">
        <v>57565</v>
      </c>
      <c r="Y2787" t="s">
        <v>57566</v>
      </c>
    </row>
    <row r="2788" spans="1:25" x14ac:dyDescent="0.3">
      <c r="A2788">
        <v>139350</v>
      </c>
      <c r="B2788" t="s">
        <v>57567</v>
      </c>
      <c r="C2788">
        <f>-886.341879649664 -20.1900177825592 -50.0488675865165</f>
        <v>-956.58076501873961</v>
      </c>
      <c r="D2788">
        <f>-928.971459584409 -22.1410437964564 -157.729454681496</f>
        <v>-1108.8419580623613</v>
      </c>
      <c r="E2788">
        <f>-943.986982975465 -24.8213984821359 -255.166751715984</f>
        <v>-1223.9751331735849</v>
      </c>
      <c r="F2788">
        <f>-949.343090549522 -28.0743553826974 -344.042824668003</f>
        <v>-1321.4602706002224</v>
      </c>
      <c r="G2788">
        <f>-946.119893820508 -32.4088393348575 -432.975894471162</f>
        <v>-1411.5046276265275</v>
      </c>
      <c r="H2788">
        <f>-932.673132407001 -39.8220175900335 -556.608498253842</f>
        <v>-1529.1036482508766</v>
      </c>
      <c r="I2788">
        <f>-900.869073717633 -63.6321105732986 -629.592103413178</f>
        <v>-1594.0932877041096</v>
      </c>
      <c r="J2788">
        <f>-936.09568699511 -8.99793212798932 -503.585167102861</f>
        <v>-1448.6787862259603</v>
      </c>
      <c r="K2788" t="s">
        <v>57568</v>
      </c>
      <c r="L2788" t="s">
        <v>57569</v>
      </c>
      <c r="M2788" t="s">
        <v>57570</v>
      </c>
      <c r="N2788">
        <f>-941.085051298699 -64.1218626149787 -500.822547319822</f>
        <v>-1506.0294612334997</v>
      </c>
      <c r="O2788">
        <f>-957.533847407582 -196.178125135049 -466.367526602841</f>
        <v>-1620.079499145472</v>
      </c>
      <c r="P2788">
        <f>-953.301557005526 -237.673967539563 -175.074739035838</f>
        <v>-1366.0502635809271</v>
      </c>
      <c r="Q2788">
        <f>-775.890074140947 -104.8085993896 -269.535398912112</f>
        <v>-1150.234072442659</v>
      </c>
      <c r="R2788" t="s">
        <v>57571</v>
      </c>
      <c r="S2788" t="s">
        <v>57572</v>
      </c>
      <c r="T2788" t="s">
        <v>57573</v>
      </c>
      <c r="U2788" t="s">
        <v>57574</v>
      </c>
      <c r="V2788">
        <f>-881.516282067602 -118.290675015977 -51.6299197316256</f>
        <v>-1051.4368768152046</v>
      </c>
      <c r="W2788" t="s">
        <v>57575</v>
      </c>
      <c r="X2788" t="s">
        <v>57576</v>
      </c>
      <c r="Y2788" t="s">
        <v>57577</v>
      </c>
    </row>
    <row r="2789" spans="1:25" x14ac:dyDescent="0.3">
      <c r="A2789">
        <v>139400</v>
      </c>
      <c r="B2789" t="s">
        <v>57578</v>
      </c>
      <c r="C2789">
        <f>-886.499817243258 -20.2348425842929 -50.0728609638885</f>
        <v>-956.8075207914394</v>
      </c>
      <c r="D2789">
        <f>-929.101251458805 -22.2275971627105 -157.76398152402</f>
        <v>-1109.0928301455356</v>
      </c>
      <c r="E2789">
        <f>-944.088401639109 -24.9995228467892 -255.20296688667</f>
        <v>-1224.2908913725682</v>
      </c>
      <c r="F2789">
        <f>-949.418980973787 -28.359119597174 -344.076717639016</f>
        <v>-1321.8548182099771</v>
      </c>
      <c r="G2789">
        <f>-946.171817418837 -32.8249780282695 -433.002286153151</f>
        <v>-1411.9990816002573</v>
      </c>
      <c r="H2789">
        <f>-932.693860236501 -40.4475587650772 -556.61877208238</f>
        <v>-1529.7601910839583</v>
      </c>
      <c r="I2789">
        <f>-900.932449247134 -64.3906724369142 -629.577479806002</f>
        <v>-1594.9006014900501</v>
      </c>
      <c r="J2789">
        <f>-936.118331211236 -9.53466107784652 -503.647391983126</f>
        <v>-1449.3003842722085</v>
      </c>
      <c r="K2789" t="s">
        <v>57579</v>
      </c>
      <c r="L2789" t="s">
        <v>57580</v>
      </c>
      <c r="M2789" t="s">
        <v>57581</v>
      </c>
      <c r="N2789">
        <f>-941.131352932963 -64.6517938908582 -500.795163613806</f>
        <v>-1506.5783104376271</v>
      </c>
      <c r="O2789">
        <f>-957.662003766233 -196.650189334634 -466.143449860926</f>
        <v>-1620.455642961793</v>
      </c>
      <c r="P2789">
        <f>-953.738539772148 -237.766258084312 -174.792572369724</f>
        <v>-1366.2973702261841</v>
      </c>
      <c r="Q2789">
        <f>-776.32376712764 -104.931958914438 -269.290831439514</f>
        <v>-1150.5465574815921</v>
      </c>
      <c r="R2789" t="s">
        <v>57582</v>
      </c>
      <c r="S2789" t="s">
        <v>57583</v>
      </c>
      <c r="T2789" t="s">
        <v>57584</v>
      </c>
      <c r="U2789" t="s">
        <v>57585</v>
      </c>
      <c r="V2789">
        <f>-881.614095925873 -118.298350385508 -51.6400598808279</f>
        <v>-1051.552506192209</v>
      </c>
      <c r="W2789" t="s">
        <v>57586</v>
      </c>
      <c r="X2789" t="s">
        <v>57587</v>
      </c>
      <c r="Y2789" t="s">
        <v>57588</v>
      </c>
    </row>
    <row r="2790" spans="1:25" x14ac:dyDescent="0.3">
      <c r="A2790">
        <v>139450</v>
      </c>
      <c r="B2790" t="s">
        <v>57589</v>
      </c>
      <c r="C2790">
        <f>-886.498853116014 -20.2422121716982 -50.0961124369441</f>
        <v>-956.83717772465616</v>
      </c>
      <c r="D2790">
        <f>-929.080542003584 -22.2610504683735 -157.794555965642</f>
        <v>-1109.1361484375996</v>
      </c>
      <c r="E2790">
        <f>-944.072087458549 -25.0727396165489 -255.231683945748</f>
        <v>-1224.376511020846</v>
      </c>
      <c r="F2790">
        <f>-949.416079757141 -28.4765895496134 -344.102908248906</f>
        <v>-1321.9955775556605</v>
      </c>
      <c r="G2790">
        <f>-946.191853904519 -32.9958410315512 -433.026616183162</f>
        <v>-1412.2143111192322</v>
      </c>
      <c r="H2790">
        <f>-932.756735069976 -40.7035124215101 -556.64270469414</f>
        <v>-1530.1029521856262</v>
      </c>
      <c r="I2790">
        <f>-901.024565316119 -64.7140313466284 -629.591903000853</f>
        <v>-1595.3304996636004</v>
      </c>
      <c r="J2790">
        <f>-936.151030563311 -9.755212937343 -503.68985987446</f>
        <v>-1449.5961033751141</v>
      </c>
      <c r="K2790" t="s">
        <v>57590</v>
      </c>
      <c r="L2790" t="s">
        <v>57591</v>
      </c>
      <c r="M2790" t="s">
        <v>57592</v>
      </c>
      <c r="N2790">
        <f>-941.186768966759 -64.8684605416604 -500.800766951479</f>
        <v>-1506.8559964598985</v>
      </c>
      <c r="O2790">
        <f>-957.775269067953 -196.841933289098 -466.071887901306</f>
        <v>-1620.6890902583568</v>
      </c>
      <c r="P2790">
        <f>-953.987378499208 -237.712036735439 -174.684645897086</f>
        <v>-1366.384061131733</v>
      </c>
      <c r="Q2790">
        <f>-776.482717397848 -105.006350930295 -269.194879910054</f>
        <v>-1150.683948238197</v>
      </c>
      <c r="R2790" t="s">
        <v>57593</v>
      </c>
      <c r="S2790" t="s">
        <v>57594</v>
      </c>
      <c r="T2790" t="s">
        <v>57595</v>
      </c>
      <c r="U2790" t="s">
        <v>57596</v>
      </c>
      <c r="V2790">
        <f>-881.597499353047 -118.209349872045 -51.6592458707792</f>
        <v>-1051.4660950958712</v>
      </c>
      <c r="W2790" t="s">
        <v>57597</v>
      </c>
      <c r="X2790" t="s">
        <v>57598</v>
      </c>
      <c r="Y2790" t="s">
        <v>57599</v>
      </c>
    </row>
    <row r="2791" spans="1:25" x14ac:dyDescent="0.3">
      <c r="A2791">
        <v>139500</v>
      </c>
      <c r="B2791" t="s">
        <v>57600</v>
      </c>
      <c r="C2791">
        <f>-886.741880286319 -20.1265988938244 -50.1336338802798</f>
        <v>-957.0021130604232</v>
      </c>
      <c r="D2791">
        <f>-929.313466057538 -22.131338984937 -157.83637894935</f>
        <v>-1109.2811839918249</v>
      </c>
      <c r="E2791">
        <f>-944.347981434498 -24.9751407004524 -255.26596772556</f>
        <v>-1224.5890898605103</v>
      </c>
      <c r="F2791">
        <f>-949.753173772324 -28.4283745862681 -344.131526534598</f>
        <v>-1322.3130748931901</v>
      </c>
      <c r="G2791">
        <f>-946.614152542869 -33.0194452223077 -433.054658103818</f>
        <v>-1412.6882558689947</v>
      </c>
      <c r="H2791">
        <f>-933.32259746726 -40.8522949916105 -556.678191268478</f>
        <v>-1530.8530837273486</v>
      </c>
      <c r="I2791">
        <f>-901.676795350819 -65.0031313285963 -629.618624776676</f>
        <v>-1596.2985514560914</v>
      </c>
      <c r="J2791">
        <f>-936.610551500089 -9.85426812794822 -503.74799250582</f>
        <v>-1450.2128121338571</v>
      </c>
      <c r="K2791" t="s">
        <v>57601</v>
      </c>
      <c r="L2791" t="s">
        <v>57602</v>
      </c>
      <c r="M2791" t="s">
        <v>57603</v>
      </c>
      <c r="N2791">
        <f>-941.732393901355 -64.9567078748264 -500.807160094773</f>
        <v>-1507.4962618709544</v>
      </c>
      <c r="O2791">
        <f>-958.431685322053 -196.893074617144 -465.998219249565</f>
        <v>-1621.322979188762</v>
      </c>
      <c r="P2791">
        <f>-954.777209331514 -237.529384207477 -174.576590296796</f>
        <v>-1366.8831838357869</v>
      </c>
      <c r="Q2791">
        <f>-776.99207540232 -105.189069284557 -269.072066028144</f>
        <v>-1151.2532107150209</v>
      </c>
      <c r="R2791" t="s">
        <v>57604</v>
      </c>
      <c r="S2791" t="s">
        <v>57605</v>
      </c>
      <c r="T2791" t="s">
        <v>57606</v>
      </c>
      <c r="U2791" t="s">
        <v>57607</v>
      </c>
      <c r="V2791">
        <f>-881.798013820588 -118.010456151384 -51.701629865178</f>
        <v>-1051.5100998371499</v>
      </c>
      <c r="W2791" t="s">
        <v>57608</v>
      </c>
      <c r="X2791" t="s">
        <v>57609</v>
      </c>
      <c r="Y2791" t="s">
        <v>57610</v>
      </c>
    </row>
    <row r="2792" spans="1:25" x14ac:dyDescent="0.3">
      <c r="A2792">
        <v>139550</v>
      </c>
      <c r="B2792" t="s">
        <v>57611</v>
      </c>
      <c r="C2792">
        <f>-886.842244238932 -20.0822264363046 -50.147765691709</f>
        <v>-957.07223636694562</v>
      </c>
      <c r="D2792">
        <f>-929.427876667324 -22.0720514848458 -157.845069164437</f>
        <v>-1109.3449973166069</v>
      </c>
      <c r="E2792">
        <f>-944.505601606257 -24.9230517097735 -255.267840751367</f>
        <v>-1224.6964940673975</v>
      </c>
      <c r="F2792">
        <f>-949.962625980508 -28.3926559487959 -344.129600429194</f>
        <v>-1322.484882358498</v>
      </c>
      <c r="G2792">
        <f>-946.888928519377 -33.0107963703722 -433.053576206939</f>
        <v>-1412.9533010966882</v>
      </c>
      <c r="H2792">
        <f>-933.70278635927 -40.8937103165586 -556.685277190322</f>
        <v>-1531.2817738661506</v>
      </c>
      <c r="I2792">
        <f>-902.122420281589 -65.1129750975354 -629.631528204808</f>
        <v>-1596.8669235839325</v>
      </c>
      <c r="J2792">
        <f>-936.912231430785 -9.87697583140834 -503.760966405009</f>
        <v>-1450.5501736672024</v>
      </c>
      <c r="K2792" t="s">
        <v>57612</v>
      </c>
      <c r="L2792" t="s">
        <v>57613</v>
      </c>
      <c r="M2792" t="s">
        <v>57614</v>
      </c>
      <c r="N2792">
        <f>-942.09831574778 -64.9725407038407 -500.80119605321</f>
        <v>-1507.8720525048307</v>
      </c>
      <c r="O2792">
        <f>-958.858444941959 -196.905937525926 -466.000098561676</f>
        <v>-1621.7644810295608</v>
      </c>
      <c r="P2792">
        <f>-955.218684150584 -237.563329776689 -174.581350546272</f>
        <v>-1367.3633644735451</v>
      </c>
      <c r="Q2792">
        <f>-777.298055259804 -105.390059561783 -269.055612450215</f>
        <v>-1151.7437272718021</v>
      </c>
      <c r="R2792" t="s">
        <v>57615</v>
      </c>
      <c r="S2792" t="s">
        <v>57616</v>
      </c>
      <c r="T2792" t="s">
        <v>57617</v>
      </c>
      <c r="U2792" t="s">
        <v>57618</v>
      </c>
      <c r="V2792">
        <f>-881.919319183006 -117.940512423207 -51.7134549220991</f>
        <v>-1051.5732865283121</v>
      </c>
      <c r="W2792" t="s">
        <v>57619</v>
      </c>
      <c r="X2792" t="s">
        <v>57620</v>
      </c>
      <c r="Y2792" t="s">
        <v>57621</v>
      </c>
    </row>
    <row r="2793" spans="1:25" x14ac:dyDescent="0.3">
      <c r="A2793">
        <v>139600</v>
      </c>
      <c r="B2793" t="s">
        <v>57622</v>
      </c>
      <c r="C2793">
        <f>-886.959119302564 -20.1271339356158 -50.1392255145761</f>
        <v>-957.22547875275586</v>
      </c>
      <c r="D2793">
        <f>-929.644134246759 -22.027923398553 -157.798880976156</f>
        <v>-1109.4709386214679</v>
      </c>
      <c r="E2793">
        <f>-944.858059011516 -24.850666156849 -255.201333136721</f>
        <v>-1224.9100583050861</v>
      </c>
      <c r="F2793">
        <f>-950.460543313226 -28.3196377887134 -344.054115730635</f>
        <v>-1322.8342968325744</v>
      </c>
      <c r="G2793">
        <f>-947.554313793582 -32.9665037278742 -432.982168271318</f>
        <v>-1413.5029857927741</v>
      </c>
      <c r="H2793">
        <f>-934.625706855418 -40.9236261312399 -556.63629201936</f>
        <v>-1532.1856250060177</v>
      </c>
      <c r="I2793">
        <f>-903.213386698988 -65.2615738134782 -629.615437557083</f>
        <v>-1598.0903980695493</v>
      </c>
      <c r="J2793">
        <f>-937.648200780217 -9.88214549495251 -503.715574624668</f>
        <v>-1451.2459208998375</v>
      </c>
      <c r="K2793" t="s">
        <v>57623</v>
      </c>
      <c r="L2793" t="s">
        <v>57624</v>
      </c>
      <c r="M2793" t="s">
        <v>57625</v>
      </c>
      <c r="N2793">
        <f>-942.981587009915 -64.9620362463893 -500.728802848098</f>
        <v>-1508.6724261044023</v>
      </c>
      <c r="O2793">
        <f>-959.845613403674 -196.886023005832 -465.958393194774</f>
        <v>-1622.69002960428</v>
      </c>
      <c r="P2793">
        <f>-956.12469523421 -237.720634710096 -174.56540110013</f>
        <v>-1368.410731044436</v>
      </c>
      <c r="Q2793">
        <f>-777.908058297424 -105.902772523526 -268.97779576238</f>
        <v>-1152.7886265833299</v>
      </c>
      <c r="R2793" t="s">
        <v>57626</v>
      </c>
      <c r="S2793" t="s">
        <v>57627</v>
      </c>
      <c r="T2793" t="s">
        <v>57628</v>
      </c>
      <c r="U2793" t="s">
        <v>57629</v>
      </c>
      <c r="V2793">
        <f>-882.068710891023 -117.897147031779 -51.7526066714167</f>
        <v>-1051.7184645942186</v>
      </c>
      <c r="W2793" t="s">
        <v>57630</v>
      </c>
      <c r="X2793" t="s">
        <v>57631</v>
      </c>
      <c r="Y2793" t="s">
        <v>57632</v>
      </c>
    </row>
    <row r="2794" spans="1:25" x14ac:dyDescent="0.3">
      <c r="A2794">
        <v>139650</v>
      </c>
      <c r="B2794" t="s">
        <v>57633</v>
      </c>
      <c r="C2794">
        <f>-887.026972628697 -20.1413542924238 -50.1062675642025</f>
        <v>-957.27459448532329</v>
      </c>
      <c r="D2794">
        <f>-929.828390746623 -22.0082631889468 -157.720224757147</f>
        <v>-1109.5568786927167</v>
      </c>
      <c r="E2794">
        <f>-945.145220093681 -24.8169616158498 -255.106839370434</f>
        <v>-1225.0690210799648</v>
      </c>
      <c r="F2794">
        <f>-950.840845003121 -28.2839327339821 -343.953850433422</f>
        <v>-1323.078628170525</v>
      </c>
      <c r="G2794">
        <f>-948.028124103395 -32.9421208601357 -432.884346028554</f>
        <v>-1413.8545909920847</v>
      </c>
      <c r="H2794">
        <f>-935.231008428422 -40.9314909684961 -556.550193270852</f>
        <v>-1532.7126926677702</v>
      </c>
      <c r="I2794">
        <f>-903.903049798036 -65.3271027682779 -629.546242821334</f>
        <v>-1598.7763953876479</v>
      </c>
      <c r="J2794">
        <f>-938.163604890353 -9.87928855268319 -503.630557416437</f>
        <v>-1451.6734508594732</v>
      </c>
      <c r="K2794" t="s">
        <v>57634</v>
      </c>
      <c r="L2794" t="s">
        <v>57635</v>
      </c>
      <c r="M2794" t="s">
        <v>57636</v>
      </c>
      <c r="N2794">
        <f>-943.561430642106 -64.9522163850575 -500.631196363887</f>
        <v>-1509.1448433910505</v>
      </c>
      <c r="O2794">
        <f>-960.445632278522 -196.878602156385 -465.87749507817</f>
        <v>-1623.2017295130768</v>
      </c>
      <c r="P2794">
        <f>-956.696924060166 -237.795065989677 -174.496182686305</f>
        <v>-1368.988172736148</v>
      </c>
      <c r="Q2794">
        <f>-778.383304867628 -106.090897417153 -268.884021318326</f>
        <v>-1153.358223603107</v>
      </c>
      <c r="R2794" t="s">
        <v>57637</v>
      </c>
      <c r="S2794" t="s">
        <v>57638</v>
      </c>
      <c r="T2794" t="s">
        <v>57639</v>
      </c>
      <c r="U2794" t="s">
        <v>57640</v>
      </c>
      <c r="V2794">
        <f>-882.105084695631 -117.850667964123 -51.7681095254227</f>
        <v>-1051.7238621851768</v>
      </c>
      <c r="W2794" t="s">
        <v>57641</v>
      </c>
      <c r="X2794" t="s">
        <v>57642</v>
      </c>
      <c r="Y2794" t="s">
        <v>57643</v>
      </c>
    </row>
    <row r="2795" spans="1:25" x14ac:dyDescent="0.3">
      <c r="A2795">
        <v>139700</v>
      </c>
      <c r="B2795" t="s">
        <v>57644</v>
      </c>
      <c r="C2795">
        <f>-887.071588375009 -20.3142192344303 -50.0121515873414</f>
        <v>-957.39795919678068</v>
      </c>
      <c r="D2795">
        <f>-930.209450659545 -22.1745783140918 -157.491842599654</f>
        <v>-1109.8758715732909</v>
      </c>
      <c r="E2795">
        <f>-945.722772236915 -24.9622790820599 -254.848034198541</f>
        <v>-1225.5330855175159</v>
      </c>
      <c r="F2795">
        <f>-951.554775180342 -28.4161532230637 -343.686567623055</f>
        <v>-1323.6574960264606</v>
      </c>
      <c r="G2795">
        <f>-948.83613557266 -33.0739669448753 -432.620138345109</f>
        <v>-1414.5302408626444</v>
      </c>
      <c r="H2795">
        <f>-936.127082595677 -41.082338350991 -556.293685261671</f>
        <v>-1533.503106208339</v>
      </c>
      <c r="I2795">
        <f>-904.905846104575 -65.5766045413902 -629.302413203603</f>
        <v>-1599.7848638495682</v>
      </c>
      <c r="J2795">
        <f>-938.969163035403 -10.0268472923758 -503.37106130519</f>
        <v>-1452.3670716329689</v>
      </c>
      <c r="K2795" t="s">
        <v>57645</v>
      </c>
      <c r="L2795" t="s">
        <v>57646</v>
      </c>
      <c r="M2795" t="s">
        <v>57647</v>
      </c>
      <c r="N2795">
        <f>-944.47051492895 -65.0895242889401 -500.370898842651</f>
        <v>-1509.9309380605412</v>
      </c>
      <c r="O2795">
        <f>-961.40165560681 -197.017606139296 -465.628711550697</f>
        <v>-1624.0479732968031</v>
      </c>
      <c r="P2795">
        <f>-957.549206558187 -238.200525074244 -174.286427501553</f>
        <v>-1370.036159133984</v>
      </c>
      <c r="Q2795">
        <f>-779.086031851447 -106.697993872637 -268.673225568252</f>
        <v>-1154.457251292336</v>
      </c>
      <c r="R2795" t="s">
        <v>57648</v>
      </c>
      <c r="S2795" t="s">
        <v>57649</v>
      </c>
      <c r="T2795" t="s">
        <v>57650</v>
      </c>
      <c r="U2795" t="s">
        <v>57651</v>
      </c>
      <c r="V2795">
        <f>-882.072898334754 -117.974234068873 -51.7507006684259</f>
        <v>-1051.7978330720528</v>
      </c>
      <c r="W2795" t="s">
        <v>57652</v>
      </c>
      <c r="X2795" t="s">
        <v>57653</v>
      </c>
      <c r="Y2795" t="s">
        <v>57654</v>
      </c>
    </row>
    <row r="2796" spans="1:25" x14ac:dyDescent="0.3">
      <c r="A2796">
        <v>139750</v>
      </c>
      <c r="B2796" t="s">
        <v>57655</v>
      </c>
      <c r="C2796">
        <f>-887.120506656584 -20.4981485930916 -49.956041136924</f>
        <v>-957.57469638659961</v>
      </c>
      <c r="D2796">
        <f>-930.426589580235 -22.3467528361707 -157.368134126747</f>
        <v>-1110.1414765431527</v>
      </c>
      <c r="E2796">
        <f>-946.042242449509 -25.1295375336276 -254.708163188415</f>
        <v>-1225.8799431715515</v>
      </c>
      <c r="F2796">
        <f>-951.947676145191 -28.5853452305996 -343.541762116179</f>
        <v>-1324.0747834919696</v>
      </c>
      <c r="G2796">
        <f>-949.283213771272 -33.254400394565 -432.47634203324</f>
        <v>-1415.013956199077</v>
      </c>
      <c r="H2796">
        <f>-936.629853958105 -41.2907540452313 -556.153735385864</f>
        <v>-1534.0743433892003</v>
      </c>
      <c r="I2796">
        <f>-905.466384636983 -65.8238183372166 -629.17428157284</f>
        <v>-1600.4644845470395</v>
      </c>
      <c r="J2796">
        <f>-939.426144284877 -10.2254060610139 -503.234662614855</f>
        <v>-1452.886212960746</v>
      </c>
      <c r="K2796" t="s">
        <v>57656</v>
      </c>
      <c r="L2796" t="s">
        <v>57657</v>
      </c>
      <c r="M2796" t="s">
        <v>57658</v>
      </c>
      <c r="N2796">
        <f>-944.969397863 -65.2832889192662 -500.224233814551</f>
        <v>-1510.4769205968173</v>
      </c>
      <c r="O2796">
        <f>-961.94602349312 -197.209144234372 -465.506169563708</f>
        <v>-1624.6613372912</v>
      </c>
      <c r="P2796">
        <f>-958.026068436586 -238.427117602297 -174.169664926274</f>
        <v>-1370.6228509651569</v>
      </c>
      <c r="Q2796">
        <f>-779.434383137508 -107.110366653078 -268.571812991945</f>
        <v>-1155.116562782531</v>
      </c>
      <c r="R2796" t="s">
        <v>57659</v>
      </c>
      <c r="S2796" t="s">
        <v>57660</v>
      </c>
      <c r="T2796" t="s">
        <v>57661</v>
      </c>
      <c r="U2796" t="s">
        <v>57662</v>
      </c>
      <c r="V2796">
        <f>-882.110447230627 -118.188466392578 -51.7200890454476</f>
        <v>-1052.0190026686525</v>
      </c>
      <c r="W2796" t="s">
        <v>57663</v>
      </c>
      <c r="X2796" t="s">
        <v>57664</v>
      </c>
      <c r="Y2796" t="s">
        <v>57665</v>
      </c>
    </row>
    <row r="2797" spans="1:25" x14ac:dyDescent="0.3">
      <c r="A2797">
        <v>139800</v>
      </c>
      <c r="B2797" t="s">
        <v>57666</v>
      </c>
      <c r="C2797">
        <f>-887.268678426671 -20.7427302278738 -49.8522795529749</f>
        <v>-957.86368820751977</v>
      </c>
      <c r="D2797">
        <f>-930.805279019489 -22.6021610866201 -157.17113747745</f>
        <v>-1110.5785775835591</v>
      </c>
      <c r="E2797">
        <f>-946.619518748583 -25.37057924893 -254.479531003556</f>
        <v>-1226.4696290010691</v>
      </c>
      <c r="F2797">
        <f>-952.701963278509 -28.8080941115118 -343.301893150581</f>
        <v>-1324.8119505406016</v>
      </c>
      <c r="G2797">
        <f>-950.210640409452 -33.4562817516289 -432.242417595677</f>
        <v>-1415.9093397567581</v>
      </c>
      <c r="H2797">
        <f>-937.794252664643 -41.4628307857943 -555.945857972354</f>
        <v>-1535.2029414227914</v>
      </c>
      <c r="I2797">
        <f>-906.74785915457 -65.9801049331932 -629.021834393656</f>
        <v>-1601.7497984814192</v>
      </c>
      <c r="J2797">
        <f>-940.454873833233 -10.4134973023183 -503.010364071498</f>
        <v>-1453.8787352070494</v>
      </c>
      <c r="K2797" t="s">
        <v>57667</v>
      </c>
      <c r="L2797" t="s">
        <v>57668</v>
      </c>
      <c r="M2797" t="s">
        <v>57669</v>
      </c>
      <c r="N2797">
        <f>-946.061206035348 -65.4655502266894 -500.009969404099</f>
        <v>-1511.5367256661366</v>
      </c>
      <c r="O2797">
        <f>-963.095962608576 -197.398980993749 -465.342715603611</f>
        <v>-1625.837659205936</v>
      </c>
      <c r="P2797">
        <f>-958.977764032544 -238.33930415532 -173.969944045331</f>
        <v>-1371.2870122331949</v>
      </c>
      <c r="Q2797">
        <f>-780.068157268297 -107.545688103569 -268.496032429885</f>
        <v>-1156.1098778017511</v>
      </c>
      <c r="R2797" t="s">
        <v>57670</v>
      </c>
      <c r="S2797" t="s">
        <v>57671</v>
      </c>
      <c r="T2797" t="s">
        <v>57672</v>
      </c>
      <c r="U2797" t="s">
        <v>57673</v>
      </c>
      <c r="V2797">
        <f>-882.267749276155 -118.325485047929 -51.6683009175854</f>
        <v>-1052.2615352416694</v>
      </c>
      <c r="W2797" t="s">
        <v>57674</v>
      </c>
      <c r="X2797" t="s">
        <v>57675</v>
      </c>
      <c r="Y2797" t="s">
        <v>57676</v>
      </c>
    </row>
    <row r="2798" spans="1:25" x14ac:dyDescent="0.3">
      <c r="A2798">
        <v>139850</v>
      </c>
      <c r="B2798" t="s">
        <v>57677</v>
      </c>
      <c r="C2798">
        <f>-887.419873373773 -20.7474759452766 -49.8144414759031</f>
        <v>-957.98179079495276</v>
      </c>
      <c r="D2798">
        <f>-931.043784118641 -22.6127526641953 -157.097788940534</f>
        <v>-1110.7543257233704</v>
      </c>
      <c r="E2798">
        <f>-946.952003247406 -25.3634927562307 -254.391234219561</f>
        <v>-1226.7067302231976</v>
      </c>
      <c r="F2798">
        <f>-953.126009003665 -28.7756165243813 -343.208328857632</f>
        <v>-1325.1099543856783</v>
      </c>
      <c r="G2798">
        <f>-950.731551873226 -33.3893271046063 -432.153396742135</f>
        <v>-1416.2742757199671</v>
      </c>
      <c r="H2798">
        <f>-938.454815564686 -41.3381490109023 -555.874503938648</f>
        <v>-1535.6674685142361</v>
      </c>
      <c r="I2798">
        <f>-907.450175998603 -65.8188714475136 -628.980214608968</f>
        <v>-1602.2492620550847</v>
      </c>
      <c r="J2798">
        <f>-941.051565690368 -10.3138922243038 -502.921080687363</f>
        <v>-1454.2865386020349</v>
      </c>
      <c r="K2798" t="s">
        <v>57678</v>
      </c>
      <c r="L2798" t="s">
        <v>57679</v>
      </c>
      <c r="M2798" t="s">
        <v>57680</v>
      </c>
      <c r="N2798">
        <f>-946.662793054788 -65.3666349755906 -499.940780203054</f>
        <v>-1511.9702082334327</v>
      </c>
      <c r="O2798">
        <f>-963.684034063293 -197.316304769798 -465.30634679002</f>
        <v>-1626.306685623111</v>
      </c>
      <c r="P2798">
        <f>-959.40134477789 -238.173342716615 -173.924128576826</f>
        <v>-1371.498816071331</v>
      </c>
      <c r="Q2798">
        <f>-780.39564723027 -107.577573088915 -268.542335511788</f>
        <v>-1156.515555830973</v>
      </c>
      <c r="R2798" t="s">
        <v>57681</v>
      </c>
      <c r="S2798" t="s">
        <v>57682</v>
      </c>
      <c r="T2798" t="s">
        <v>57683</v>
      </c>
      <c r="U2798" t="s">
        <v>57684</v>
      </c>
      <c r="V2798">
        <f>-882.415542256716 -118.269439035248 -51.6518591215281</f>
        <v>-1052.3368404134919</v>
      </c>
      <c r="W2798" t="s">
        <v>57685</v>
      </c>
      <c r="X2798" t="s">
        <v>57686</v>
      </c>
      <c r="Y2798" t="s">
        <v>57687</v>
      </c>
    </row>
    <row r="2799" spans="1:25" x14ac:dyDescent="0.3">
      <c r="A2799">
        <v>139900</v>
      </c>
      <c r="B2799" t="s">
        <v>57688</v>
      </c>
      <c r="C2799">
        <f>-887.919478961933 -20.7757853092189 -49.7746057694698</f>
        <v>-958.46987004062169</v>
      </c>
      <c r="D2799">
        <f>-931.655738212676 -22.6355518214514 -157.011948424905</f>
        <v>-1111.3032384590324</v>
      </c>
      <c r="E2799">
        <f>-947.702374720506 -25.3486980127072 -254.283758539795</f>
        <v>-1227.3348312730081</v>
      </c>
      <c r="F2799">
        <f>-954.016631190391 -28.7125088009943 -343.092977737466</f>
        <v>-1325.8221177288513</v>
      </c>
      <c r="G2799">
        <f>-951.77588721496 -33.262761080563 -432.045219964892</f>
        <v>-1417.0838682604149</v>
      </c>
      <c r="H2799">
        <f>-939.726341905081 -41.1073575553614 -555.79526582335</f>
        <v>-1536.6289652837922</v>
      </c>
      <c r="I2799">
        <f>-908.778305369857 -65.5311659043286 -628.944006715637</f>
        <v>-1603.2534779898226</v>
      </c>
      <c r="J2799">
        <f>-942.216145772703 -10.1287381623556 -502.81013252419</f>
        <v>-1455.1550164592486</v>
      </c>
      <c r="K2799" t="s">
        <v>57689</v>
      </c>
      <c r="L2799" t="s">
        <v>57690</v>
      </c>
      <c r="M2799" t="s">
        <v>57691</v>
      </c>
      <c r="N2799">
        <f>-947.841187037294 -65.182037068199 -499.867945017256</f>
        <v>-1512.891169122749</v>
      </c>
      <c r="O2799">
        <f>-964.825526717204 -197.149958827217 -465.326113507706</f>
        <v>-1627.3015990521269</v>
      </c>
      <c r="P2799">
        <f>-960.017242183148 -238.176028128463 -173.97597291563</f>
        <v>-1372.1692432272412</v>
      </c>
      <c r="Q2799">
        <f>-781.079499843281 -107.593582083667 -268.740785445492</f>
        <v>-1157.4138673724401</v>
      </c>
      <c r="R2799" t="s">
        <v>57692</v>
      </c>
      <c r="S2799" t="s">
        <v>57693</v>
      </c>
      <c r="T2799" t="s">
        <v>57694</v>
      </c>
      <c r="U2799" t="s">
        <v>57695</v>
      </c>
      <c r="V2799">
        <f>-882.811368276355 -118.285728545633 -51.6053744911487</f>
        <v>-1052.7024713131366</v>
      </c>
      <c r="W2799" t="s">
        <v>57696</v>
      </c>
      <c r="X2799" t="s">
        <v>57697</v>
      </c>
      <c r="Y2799" t="s">
        <v>57698</v>
      </c>
    </row>
    <row r="2800" spans="1:25" x14ac:dyDescent="0.3">
      <c r="A2800">
        <v>139950</v>
      </c>
      <c r="B2800" t="s">
        <v>57699</v>
      </c>
      <c r="C2800">
        <f>-888.122097309873 -20.818451490582 -49.782673210541</f>
        <v>-958.72322201099598</v>
      </c>
      <c r="D2800">
        <f>-931.944161731248 -22.7058169328457 -156.98476004048</f>
        <v>-1111.6347387045737</v>
      </c>
      <c r="E2800">
        <f>-948.069667998448 -25.4115492408646 -254.243732022503</f>
        <v>-1227.7249492618157</v>
      </c>
      <c r="F2800">
        <f>-954.45552591236 -28.7563770897805 -343.048346899421</f>
        <v>-1326.2602499015616</v>
      </c>
      <c r="G2800">
        <f>-952.286451588787 -33.2758397868761 -432.0040902431</f>
        <v>-1417.566381618763</v>
      </c>
      <c r="H2800">
        <f>-940.33567981306 -41.0653919549106 -555.767178926183</f>
        <v>-1537.1682506941536</v>
      </c>
      <c r="I2800">
        <f>-909.417156201268 -65.4686632147007 -628.935305448343</f>
        <v>-1603.8211248643115</v>
      </c>
      <c r="J2800">
        <f>-942.781903271182 -10.1103881003983 -502.766008746038</f>
        <v>-1455.6583001176182</v>
      </c>
      <c r="K2800" t="s">
        <v>57700</v>
      </c>
      <c r="L2800" t="s">
        <v>57701</v>
      </c>
      <c r="M2800" t="s">
        <v>57702</v>
      </c>
      <c r="N2800">
        <f>-948.40747765859 -65.1648185634988 -499.844301421364</f>
        <v>-1513.4165976434529</v>
      </c>
      <c r="O2800">
        <f>-965.35972188879 -197.150327325494 -465.348613459938</f>
        <v>-1627.8586626742219</v>
      </c>
      <c r="P2800">
        <f>-960.331657297543 -238.306341867289 -174.020452183419</f>
        <v>-1372.6584513482508</v>
      </c>
      <c r="Q2800">
        <f>-781.473691164457 -107.639028558779 -268.818881837648</f>
        <v>-1157.931601560884</v>
      </c>
      <c r="R2800" t="s">
        <v>57703</v>
      </c>
      <c r="S2800" t="s">
        <v>57704</v>
      </c>
      <c r="T2800" t="s">
        <v>57705</v>
      </c>
      <c r="U2800" t="s">
        <v>57706</v>
      </c>
      <c r="V2800">
        <f>-882.973349748861 -118.278773435229 -51.595424634554</f>
        <v>-1052.847547818644</v>
      </c>
      <c r="W2800" t="s">
        <v>57707</v>
      </c>
      <c r="X2800" t="s">
        <v>57708</v>
      </c>
      <c r="Y2800" t="s">
        <v>57709</v>
      </c>
    </row>
    <row r="2801" spans="1:25" x14ac:dyDescent="0.3">
      <c r="A2801">
        <v>140000</v>
      </c>
      <c r="B2801" t="s">
        <v>57710</v>
      </c>
      <c r="C2801">
        <f>-888.500212389386 -20.8300098118802 -49.7722332979629</f>
        <v>-959.10245549922911</v>
      </c>
      <c r="D2801">
        <f>-932.429649429484 -22.782325712627 -156.929151620979</f>
        <v>-1112.1411267630899</v>
      </c>
      <c r="E2801">
        <f>-948.680749103484 -25.4915083853571 -254.167156370816</f>
        <v>-1228.339413859657</v>
      </c>
      <c r="F2801">
        <f>-955.191474234944 -28.8184939983603 -342.963567305608</f>
        <v>-1326.9735355389123</v>
      </c>
      <c r="G2801">
        <f>-953.157227516674 -33.2999874590346 -431.924323394993</f>
        <v>-1418.3815383707015</v>
      </c>
      <c r="H2801">
        <f>-941.403609504241 -41.0157406059445 -555.710915025211</f>
        <v>-1538.1302651353965</v>
      </c>
      <c r="I2801">
        <f>-910.530982229556 -65.3897625122349 -628.908086240798</f>
        <v>-1604.8288309825889</v>
      </c>
      <c r="J2801">
        <f>-943.759508542196 -10.09295101104 -502.686823083053</f>
        <v>-1456.539282636289</v>
      </c>
      <c r="K2801" t="s">
        <v>57711</v>
      </c>
      <c r="L2801" t="s">
        <v>57712</v>
      </c>
      <c r="M2801" t="s">
        <v>57713</v>
      </c>
      <c r="N2801">
        <f>-949.39208329089 -65.1478782601696 -499.790150520672</f>
        <v>-1514.3301120717315</v>
      </c>
      <c r="O2801">
        <f>-966.294316548905 -197.166966277452 -465.397411590555</f>
        <v>-1628.8586944169122</v>
      </c>
      <c r="P2801">
        <f>-961.138118969544 -238.628230491303 -174.114903881934</f>
        <v>-1373.8812533427811</v>
      </c>
      <c r="Q2801">
        <f>-782.250645090675 -107.667751453461 -268.451734875479</f>
        <v>-1158.3701314196151</v>
      </c>
      <c r="R2801" t="s">
        <v>57714</v>
      </c>
      <c r="S2801" t="s">
        <v>57715</v>
      </c>
      <c r="T2801" t="s">
        <v>57716</v>
      </c>
      <c r="U2801" t="s">
        <v>57717</v>
      </c>
      <c r="V2801">
        <f>-883.216490024899 -118.274255999088 -51.5599758649339</f>
        <v>-1053.0507218889209</v>
      </c>
      <c r="W2801" t="s">
        <v>57718</v>
      </c>
      <c r="X2801" t="s">
        <v>57719</v>
      </c>
      <c r="Y2801" t="s">
        <v>57720</v>
      </c>
    </row>
    <row r="2802" spans="1:25" x14ac:dyDescent="0.3">
      <c r="A2802">
        <v>140050</v>
      </c>
      <c r="B2802" t="s">
        <v>57721</v>
      </c>
      <c r="C2802">
        <f>-888.550058392027 -20.9379380499108 -49.7663295244878</f>
        <v>-959.25432596642565</v>
      </c>
      <c r="D2802">
        <f>-932.532476248617 -22.9018385706404 -156.901503684428</f>
        <v>-1112.3358185036855</v>
      </c>
      <c r="E2802">
        <f>-948.842873973854 -25.6032934989494 -254.129683289421</f>
        <v>-1228.5758507622245</v>
      </c>
      <c r="F2802">
        <f>-955.411999952587 -28.9165466802488 -342.92218953202</f>
        <v>-1327.2507361648559</v>
      </c>
      <c r="G2802">
        <f>-953.440353179923 -33.3775666391016 -431.88541218696</f>
        <v>-1418.7033320059845</v>
      </c>
      <c r="H2802">
        <f>-941.778085405091 -41.0580912298847 -555.682867385478</f>
        <v>-1538.5190440204537</v>
      </c>
      <c r="I2802">
        <f>-910.928408564403 -65.4244185139892 -628.89225352043</f>
        <v>-1605.2450805988221</v>
      </c>
      <c r="J2802">
        <f>-944.090746152131 -10.1508064492887 -502.647934036035</f>
        <v>-1456.8894866374546</v>
      </c>
      <c r="K2802" t="s">
        <v>57722</v>
      </c>
      <c r="L2802" t="s">
        <v>57723</v>
      </c>
      <c r="M2802" t="s">
        <v>57724</v>
      </c>
      <c r="N2802">
        <f>-949.729614729086 -65.2058176680575 -499.763379798873</f>
        <v>-1514.6988121960167</v>
      </c>
      <c r="O2802">
        <f>-966.624863990355 -197.232318192706 -465.404914675756</f>
        <v>-1629.2620968588171</v>
      </c>
      <c r="P2802">
        <f>-961.400263961423 -238.755224014469 -174.132333716391</f>
        <v>-1374.2878216922829</v>
      </c>
      <c r="Q2802">
        <f>-782.478079871891 -107.774844914546 -268.376172976884</f>
        <v>-1158.6290977633209</v>
      </c>
      <c r="R2802" t="s">
        <v>57725</v>
      </c>
      <c r="S2802" t="s">
        <v>57726</v>
      </c>
      <c r="T2802" t="s">
        <v>57727</v>
      </c>
      <c r="U2802" t="s">
        <v>57728</v>
      </c>
      <c r="V2802">
        <f>-883.279214058637 -118.336558651672 -51.5389134621836</f>
        <v>-1053.1546861724926</v>
      </c>
      <c r="W2802" t="s">
        <v>57729</v>
      </c>
      <c r="X2802" t="s">
        <v>57730</v>
      </c>
      <c r="Y2802" t="s">
        <v>57731</v>
      </c>
    </row>
    <row r="2803" spans="1:25" x14ac:dyDescent="0.3">
      <c r="A2803">
        <v>140100</v>
      </c>
      <c r="B2803" t="s">
        <v>57732</v>
      </c>
      <c r="C2803">
        <f>-888.725539203862 -21.0733450979174 -49.7652005245601</f>
        <v>-959.56408482633947</v>
      </c>
      <c r="D2803">
        <f>-932.816297095839 -23.0552283502575 -156.855341510113</f>
        <v>-1112.7268669562095</v>
      </c>
      <c r="E2803">
        <f>-949.253525168438 -25.7330252579636 -254.062928074274</f>
        <v>-1229.0494785006756</v>
      </c>
      <c r="F2803">
        <f>-955.949165248659 -29.0104806720205 -342.847244619164</f>
        <v>-1327.8068905398436</v>
      </c>
      <c r="G2803">
        <f>-954.114626152739 -33.4217837896294 -431.815931495712</f>
        <v>-1419.3523414380804</v>
      </c>
      <c r="H2803">
        <f>-942.653978899296 -41.0189996967979 -555.637332257073</f>
        <v>-1539.3103108531668</v>
      </c>
      <c r="I2803">
        <f>-911.840573784452 -65.3763584190401 -628.864852352396</f>
        <v>-1606.0817845558881</v>
      </c>
      <c r="J2803">
        <f>-944.879808790846 -10.1474675275849 -502.5779247001</f>
        <v>-1457.605201018531</v>
      </c>
      <c r="K2803" t="s">
        <v>57733</v>
      </c>
      <c r="L2803" t="s">
        <v>57734</v>
      </c>
      <c r="M2803" t="s">
        <v>57735</v>
      </c>
      <c r="N2803">
        <f>-950.514864810757 -65.2043703593813 -499.721314808916</f>
        <v>-1515.4405499790544</v>
      </c>
      <c r="O2803">
        <f>-967.379655596417 -197.257886456019 -465.422878876277</f>
        <v>-1630.060420928713</v>
      </c>
      <c r="P2803">
        <f>-961.894109302775 -238.562869868599 -174.123927485032</f>
        <v>-1374.5809066564059</v>
      </c>
      <c r="Q2803">
        <f>-783.004836480514 -107.721309814207 -268.6221297412</f>
        <v>-1159.3482760359209</v>
      </c>
      <c r="R2803" t="s">
        <v>57736</v>
      </c>
      <c r="S2803" t="s">
        <v>57737</v>
      </c>
      <c r="T2803" t="s">
        <v>57738</v>
      </c>
      <c r="U2803" t="s">
        <v>57739</v>
      </c>
      <c r="V2803">
        <f>-883.426364937247 -118.370425262747 -51.536549231561</f>
        <v>-1053.3333394315548</v>
      </c>
      <c r="W2803" t="s">
        <v>57740</v>
      </c>
      <c r="X2803" t="s">
        <v>57741</v>
      </c>
      <c r="Y2803" t="s">
        <v>57742</v>
      </c>
    </row>
    <row r="2804" spans="1:25" x14ac:dyDescent="0.3">
      <c r="A2804">
        <v>140150</v>
      </c>
      <c r="B2804" t="s">
        <v>57743</v>
      </c>
      <c r="C2804">
        <f>-888.861892490944 -21.1733477026819 -49.7639815957444</f>
        <v>-959.79922178937034</v>
      </c>
      <c r="D2804">
        <f>-933.005139448884 -23.1494496712698 -156.832758450612</f>
        <v>-1112.9873475707659</v>
      </c>
      <c r="E2804">
        <f>-949.503115614574 -25.797049080963 -254.030773375771</f>
        <v>-1229.3309380713081</v>
      </c>
      <c r="F2804">
        <f>-956.259597722569 -29.0357645269778 -342.811954778978</f>
        <v>-1328.1073170285249</v>
      </c>
      <c r="G2804">
        <f>-954.489911433809 -33.3970783387676 -431.784360952148</f>
        <v>-1419.6713507247246</v>
      </c>
      <c r="H2804">
        <f>-943.124071948154 -40.9115600467767 -555.619496901984</f>
        <v>-1539.6551288969147</v>
      </c>
      <c r="I2804">
        <f>-912.297380039881 -65.2456360724682 -628.84951582663</f>
        <v>-1606.3925319389791</v>
      </c>
      <c r="J2804">
        <f>-945.322677531638 -10.0741631656915 -502.539192152807</f>
        <v>-1457.9360328501366</v>
      </c>
      <c r="K2804" t="s">
        <v>57744</v>
      </c>
      <c r="L2804" t="s">
        <v>57745</v>
      </c>
      <c r="M2804" t="s">
        <v>57746</v>
      </c>
      <c r="N2804">
        <f>-950.928711470576 -65.1355051989131 -499.712567110151</f>
        <v>-1515.77678377964</v>
      </c>
      <c r="O2804">
        <f>-967.700849867824 -197.213521362131 -465.471629921186</f>
        <v>-1630.3860011511408</v>
      </c>
      <c r="P2804">
        <f>-962.033162826711 -238.562172043879 -174.18237548624</f>
        <v>-1374.7777103568301</v>
      </c>
      <c r="Q2804">
        <f>-783.35148808691 -107.518187446896 -268.793115669865</f>
        <v>-1159.6627912036711</v>
      </c>
      <c r="R2804" t="s">
        <v>57747</v>
      </c>
      <c r="S2804" t="s">
        <v>57748</v>
      </c>
      <c r="T2804" t="s">
        <v>57749</v>
      </c>
      <c r="U2804" t="s">
        <v>57750</v>
      </c>
      <c r="V2804">
        <f>-883.550428090382 -118.437892746491 -51.5440070551812</f>
        <v>-1053.5323278920541</v>
      </c>
      <c r="W2804" t="s">
        <v>57751</v>
      </c>
      <c r="X2804" t="s">
        <v>57752</v>
      </c>
      <c r="Y2804" t="s">
        <v>57753</v>
      </c>
    </row>
    <row r="2805" spans="1:25" x14ac:dyDescent="0.3">
      <c r="A2805">
        <v>140200</v>
      </c>
      <c r="B2805" t="s">
        <v>57754</v>
      </c>
      <c r="C2805">
        <f>-889.240373981288 -21.2273626036954 -49.7327601640022</f>
        <v>-960.20049674898564</v>
      </c>
      <c r="D2805">
        <f>-933.470052811236 -23.2155124123669 -156.76529493851</f>
        <v>-1113.4508601621128</v>
      </c>
      <c r="E2805">
        <f>-950.081079436613 -25.7986912122688 -253.945903967124</f>
        <v>-1229.8256746160057</v>
      </c>
      <c r="F2805">
        <f>-956.952855126844 -28.9473234315933 -342.721468241192</f>
        <v>-1328.6216467996294</v>
      </c>
      <c r="G2805">
        <f>-955.310014088631 -33.1845509839718 -431.702368020099</f>
        <v>-1420.1969330927018</v>
      </c>
      <c r="H2805">
        <f>-944.129707635154 -40.489481052088 -555.567048436875</f>
        <v>-1540.1862371241168</v>
      </c>
      <c r="I2805">
        <f>-913.250274876078 -64.746634265344 -628.80005502594</f>
        <v>-1606.7969641673621</v>
      </c>
      <c r="J2805">
        <f>-946.299793175059 -9.73705986845243 -502.436182435217</f>
        <v>-1458.4730354787284</v>
      </c>
      <c r="K2805" t="s">
        <v>57755</v>
      </c>
      <c r="L2805" t="s">
        <v>57756</v>
      </c>
      <c r="M2805" t="s">
        <v>57757</v>
      </c>
      <c r="N2805">
        <f>-951.799240292565 -64.8128624763772 -499.68452694474</f>
        <v>-1516.2966297136823</v>
      </c>
      <c r="O2805">
        <f>-968.266327671078 -196.974945217842 -465.6261827138</f>
        <v>-1630.8674556027199</v>
      </c>
      <c r="P2805">
        <f>-962.070607641483 -238.753028315806 -174.409040775968</f>
        <v>-1375.232676733257</v>
      </c>
      <c r="Q2805">
        <f>-783.915527150642 -107.054263274162 -269.103747165493</f>
        <v>-1160.0735375902968</v>
      </c>
      <c r="R2805" t="s">
        <v>57758</v>
      </c>
      <c r="S2805" t="s">
        <v>57759</v>
      </c>
      <c r="T2805" t="s">
        <v>57760</v>
      </c>
      <c r="U2805" t="s">
        <v>57761</v>
      </c>
      <c r="V2805">
        <f>-883.794263211538 -118.359149632292 -51.5688097029105</f>
        <v>-1053.7222225467406</v>
      </c>
      <c r="W2805" t="s">
        <v>57762</v>
      </c>
      <c r="X2805" t="s">
        <v>57763</v>
      </c>
      <c r="Y2805" t="s">
        <v>57764</v>
      </c>
    </row>
    <row r="2806" spans="1:25" x14ac:dyDescent="0.3">
      <c r="A2806">
        <v>140250</v>
      </c>
      <c r="B2806" t="s">
        <v>57765</v>
      </c>
      <c r="C2806">
        <f>-889.417786588022 -21.3007451040662 -49.7321003690294</f>
        <v>-960.45063206111752</v>
      </c>
      <c r="D2806">
        <f>-933.694596008627 -23.2976853823657 -156.745179602335</f>
        <v>-1113.7374609933277</v>
      </c>
      <c r="E2806">
        <f>-950.361822392273 -25.8516243075906 -253.91684126897</f>
        <v>-1230.1302879688335</v>
      </c>
      <c r="F2806">
        <f>-957.28950280233 -28.9586978761408 -342.689511733382</f>
        <v>-1328.9377124118528</v>
      </c>
      <c r="G2806">
        <f>-955.706853254604 -33.1385458662726 -431.674229736994</f>
        <v>-1420.5196288578704</v>
      </c>
      <c r="H2806">
        <f>-944.614523488619 -40.3464417630792 -555.552500043997</f>
        <v>-1540.5134652956954</v>
      </c>
      <c r="I2806">
        <f>-913.702116852781 -64.5525753303875 -628.788515229802</f>
        <v>-1607.0432074129706</v>
      </c>
      <c r="J2806">
        <f>-946.773752043824 -9.63298240964832 -502.398580934877</f>
        <v>-1458.8053153883493</v>
      </c>
      <c r="K2806" t="s">
        <v>57766</v>
      </c>
      <c r="L2806" t="s">
        <v>57767</v>
      </c>
      <c r="M2806" t="s">
        <v>57768</v>
      </c>
      <c r="N2806">
        <f>-952.217590884969 -64.7160861349619 -499.680946124903</f>
        <v>-1516.6146231448338</v>
      </c>
      <c r="O2806">
        <f>-968.518787521025 -196.918360638648 -465.697304980806</f>
        <v>-1631.1344531404791</v>
      </c>
      <c r="P2806">
        <f>-962.07718938409 -238.98255162651 -174.526732775315</f>
        <v>-1375.5864737859149</v>
      </c>
      <c r="Q2806">
        <f>-784.169162852946 -106.926388901496 -269.188053715243</f>
        <v>-1160.283605469685</v>
      </c>
      <c r="R2806" t="s">
        <v>57769</v>
      </c>
      <c r="S2806" t="s">
        <v>57770</v>
      </c>
      <c r="T2806" t="s">
        <v>57771</v>
      </c>
      <c r="U2806" t="s">
        <v>57772</v>
      </c>
      <c r="V2806">
        <f>-883.917645058653 -118.399606283736 -51.5777449045385</f>
        <v>-1053.8949962469276</v>
      </c>
      <c r="W2806" t="s">
        <v>57773</v>
      </c>
      <c r="X2806" t="s">
        <v>57774</v>
      </c>
      <c r="Y2806" t="s">
        <v>57775</v>
      </c>
    </row>
    <row r="2807" spans="1:25" x14ac:dyDescent="0.3">
      <c r="A2807">
        <v>140300</v>
      </c>
      <c r="B2807" t="s">
        <v>57776</v>
      </c>
      <c r="C2807">
        <f>-889.828296788558 -21.4440580628357 -49.7250705731537</f>
        <v>-960.99742542454737</v>
      </c>
      <c r="D2807">
        <f>-934.161964567753 -23.5047597002831 -156.713408048179</f>
        <v>-1114.3801323162152</v>
      </c>
      <c r="E2807">
        <f>-950.91701152177 -26.0207946091555 -253.871074794731</f>
        <v>-1230.8088809256565</v>
      </c>
      <c r="F2807">
        <f>-957.938173482592 -29.0576284605386 -342.638772416081</f>
        <v>-1329.6345743592115</v>
      </c>
      <c r="G2807">
        <f>-956.460944137644 -33.1305484728596 -431.630114537332</f>
        <v>-1421.2216071478356</v>
      </c>
      <c r="H2807">
        <f>-945.526289333399 -40.1513932836167 -555.533221844469</f>
        <v>-1541.2109044614847</v>
      </c>
      <c r="I2807">
        <f>-914.54676540356 -64.261905998887 -628.772450416635</f>
        <v>-1607.581121819082</v>
      </c>
      <c r="J2807">
        <f>-947.667318016019 -9.51359618916558 -502.334961652357</f>
        <v>-1459.5158758575415</v>
      </c>
      <c r="K2807" t="s">
        <v>57777</v>
      </c>
      <c r="L2807" t="s">
        <v>57778</v>
      </c>
      <c r="M2807" t="s">
        <v>57779</v>
      </c>
      <c r="N2807">
        <f>-953.008615605792 -64.6100454601956 -499.684240477308</f>
        <v>-1517.3029015432955</v>
      </c>
      <c r="O2807">
        <f>-968.986504290806 -196.89172578255 -465.84936674511</f>
        <v>-1631.7275968184661</v>
      </c>
      <c r="P2807">
        <f>-962.227856446349 -239.288569592514 -174.734167970262</f>
        <v>-1376.2505940091251</v>
      </c>
      <c r="Q2807">
        <f>-784.796132239165 -106.55585466438 -269.343312684072</f>
        <v>-1160.695299587617</v>
      </c>
      <c r="R2807" t="s">
        <v>57780</v>
      </c>
      <c r="S2807" t="s">
        <v>57781</v>
      </c>
      <c r="T2807" t="s">
        <v>57782</v>
      </c>
      <c r="U2807" t="s">
        <v>57783</v>
      </c>
      <c r="V2807">
        <f>-884.190085196772 -118.466088474095 -51.5915271509032</f>
        <v>-1054.2477008217702</v>
      </c>
      <c r="W2807" t="s">
        <v>57784</v>
      </c>
      <c r="X2807" t="s">
        <v>57785</v>
      </c>
      <c r="Y2807" t="s">
        <v>57786</v>
      </c>
    </row>
    <row r="2808" spans="1:25" x14ac:dyDescent="0.3">
      <c r="A2808">
        <v>140350</v>
      </c>
      <c r="B2808" t="s">
        <v>57787</v>
      </c>
      <c r="C2808">
        <f>-890.012212630769 -21.475469923369 -49.7209317942944</f>
        <v>-961.20861434843243</v>
      </c>
      <c r="D2808">
        <f>-934.372365338525 -23.554347334486 -156.698003435741</f>
        <v>-1114.624716108752</v>
      </c>
      <c r="E2808">
        <f>-951.150599466887 -26.0430848934702 -253.852227462178</f>
        <v>-1231.0459118225353</v>
      </c>
      <c r="F2808">
        <f>-958.191048242266 -29.039480188198 -342.619871805283</f>
        <v>-1329.850400235747</v>
      </c>
      <c r="G2808">
        <f>-956.730720002089 -33.0569390093533 -431.614054369698</f>
        <v>-1421.4017133811403</v>
      </c>
      <c r="H2808">
        <f>-945.81772984402 -39.985031782245 -555.524167094278</f>
        <v>-1541.326928720543</v>
      </c>
      <c r="I2808">
        <f>-914.787517390127 -64.0689097834725 -628.750788778559</f>
        <v>-1607.6072159521586</v>
      </c>
      <c r="J2808">
        <f>-947.969716753829 -9.38531571667363 -502.304556642647</f>
        <v>-1459.6595891131497</v>
      </c>
      <c r="K2808" t="s">
        <v>57788</v>
      </c>
      <c r="L2808" t="s">
        <v>57789</v>
      </c>
      <c r="M2808" t="s">
        <v>57790</v>
      </c>
      <c r="N2808">
        <f>-953.270287964678 -64.4872994456093 -499.690433794768</f>
        <v>-1517.4480212050553</v>
      </c>
      <c r="O2808">
        <f>-969.126352911454 -196.80805409038 -465.945122893599</f>
        <v>-1631.8795298954328</v>
      </c>
      <c r="P2808">
        <f>-962.299813832972 -239.327621826822 -174.849460336295</f>
        <v>-1376.4768959960888</v>
      </c>
      <c r="Q2808">
        <f>-785.053991506134 -106.316553694406 -269.416018806427</f>
        <v>-1160.7865640069672</v>
      </c>
      <c r="R2808" t="s">
        <v>57791</v>
      </c>
      <c r="S2808" t="s">
        <v>57792</v>
      </c>
      <c r="T2808" t="s">
        <v>57793</v>
      </c>
      <c r="U2808" t="s">
        <v>57794</v>
      </c>
      <c r="V2808">
        <f>-884.301578219605 -118.378018292589 -51.6138509840893</f>
        <v>-1054.2934474962833</v>
      </c>
      <c r="W2808" t="s">
        <v>57795</v>
      </c>
      <c r="X2808" t="s">
        <v>57796</v>
      </c>
      <c r="Y2808" t="s">
        <v>57797</v>
      </c>
    </row>
    <row r="2809" spans="1:25" x14ac:dyDescent="0.3">
      <c r="A2809">
        <v>140400</v>
      </c>
      <c r="B2809" t="s">
        <v>57798</v>
      </c>
      <c r="C2809">
        <f>-890.43473773681 -21.7702016718822 -49.6417307959172</f>
        <v>-961.84667020460938</v>
      </c>
      <c r="D2809">
        <f>-934.790406017211 -23.8403750112625 -156.620821065586</f>
        <v>-1115.2516020940595</v>
      </c>
      <c r="E2809">
        <f>-951.535175592679 -26.2469838776401 -253.782862252848</f>
        <v>-1231.5650217231671</v>
      </c>
      <c r="F2809">
        <f>-958.531807903394 -29.1389356099289 -342.557519697151</f>
        <v>-1330.2282632104739</v>
      </c>
      <c r="G2809">
        <f>-957.01290101024 -33.0202246353306 -431.556828987346</f>
        <v>-1421.5899546329165</v>
      </c>
      <c r="H2809">
        <f>-946.001414216781 -39.7249945453698 -555.470459260685</f>
        <v>-1541.1968680228356</v>
      </c>
      <c r="I2809">
        <f>-914.828910417858 -63.7244578861491 -628.664160465972</f>
        <v>-1607.2175287699793</v>
      </c>
      <c r="J2809">
        <f>-948.267335445744 -9.21469310064094 -502.204120708983</f>
        <v>-1459.686149255368</v>
      </c>
      <c r="K2809" t="s">
        <v>57799</v>
      </c>
      <c r="L2809" t="s">
        <v>57800</v>
      </c>
      <c r="M2809" t="s">
        <v>57801</v>
      </c>
      <c r="N2809">
        <f>-953.426789687989 -64.3343618164195 -499.680268281582</f>
        <v>-1517.4414197859905</v>
      </c>
      <c r="O2809">
        <f>-968.989597215312 -196.736341370369 -466.119040329656</f>
        <v>-1631.8449789153369</v>
      </c>
      <c r="P2809">
        <f>-962.239161838461 -239.578404147419 -175.068926857661</f>
        <v>-1376.886492843541</v>
      </c>
      <c r="Q2809">
        <f>-785.251568583006 -106.137007801052 -269.51258700488</f>
        <v>-1160.9011633889381</v>
      </c>
      <c r="R2809" t="s">
        <v>57802</v>
      </c>
      <c r="S2809" t="s">
        <v>57803</v>
      </c>
      <c r="T2809" t="s">
        <v>57804</v>
      </c>
      <c r="U2809" t="s">
        <v>57805</v>
      </c>
      <c r="V2809">
        <f>-884.612769014271 -118.487571426837 -51.6152699653991</f>
        <v>-1054.715610406507</v>
      </c>
      <c r="W2809" t="s">
        <v>57806</v>
      </c>
      <c r="X2809" t="s">
        <v>57807</v>
      </c>
      <c r="Y2809" t="s">
        <v>57808</v>
      </c>
    </row>
    <row r="2810" spans="1:25" x14ac:dyDescent="0.3">
      <c r="A2810">
        <v>140450</v>
      </c>
      <c r="B2810" t="s">
        <v>57809</v>
      </c>
      <c r="C2810">
        <f>-890.748785342807 -22.1496670348124 -49.5148294569981</f>
        <v>-962.41328183461746</v>
      </c>
      <c r="D2810">
        <f>-935.055495207356 -24.2046374353276 -156.51457312839</f>
        <v>-1115.7747057710735</v>
      </c>
      <c r="E2810">
        <f>-951.740905857837 -26.5810913405244 -253.687488569081</f>
        <v>-1232.0094857674424</v>
      </c>
      <c r="F2810">
        <f>-958.677313535927 -29.4382942849147 -342.468031053543</f>
        <v>-1330.5836388743846</v>
      </c>
      <c r="G2810">
        <f>-957.091728096963 -33.2759983601054 -431.467924095338</f>
        <v>-1421.8356505524064</v>
      </c>
      <c r="H2810">
        <f>-945.978976764833 -39.9097637474756 -555.376440780886</f>
        <v>-1541.2651812931945</v>
      </c>
      <c r="I2810">
        <f>-914.707919042686 -63.8432973614335 -628.549781513265</f>
        <v>-1607.1009979173846</v>
      </c>
      <c r="J2810">
        <f>-948.335306318027 -9.42593209456027 -502.099088264058</f>
        <v>-1459.8603266766454</v>
      </c>
      <c r="K2810" t="s">
        <v>57810</v>
      </c>
      <c r="L2810" t="s">
        <v>57811</v>
      </c>
      <c r="M2810" t="s">
        <v>57812</v>
      </c>
      <c r="N2810">
        <f>-953.403069326384 -64.5552838718445 -499.6020286966</f>
        <v>-1517.5603818948284</v>
      </c>
      <c r="O2810">
        <f>-968.78400777452 -196.985971776064 -466.104735279479</f>
        <v>-1631.8747148300629</v>
      </c>
      <c r="P2810">
        <f>-962.009872436044 -240.007465176961 -175.081614935543</f>
        <v>-1377.0989525485481</v>
      </c>
      <c r="Q2810">
        <f>-785.218107273524 -106.24792564352 -269.441893940939</f>
        <v>-1160.9079268579831</v>
      </c>
      <c r="R2810" t="s">
        <v>57813</v>
      </c>
      <c r="S2810" t="s">
        <v>57814</v>
      </c>
      <c r="T2810" t="s">
        <v>57815</v>
      </c>
      <c r="U2810" t="s">
        <v>57816</v>
      </c>
      <c r="V2810">
        <f>-884.873643518014 -118.639501626061 -51.5850956884433</f>
        <v>-1055.0982408325183</v>
      </c>
      <c r="W2810" t="s">
        <v>57817</v>
      </c>
      <c r="X2810" t="s">
        <v>57818</v>
      </c>
      <c r="Y2810" t="s">
        <v>57819</v>
      </c>
    </row>
    <row r="2811" spans="1:25" x14ac:dyDescent="0.3">
      <c r="A2811">
        <v>140500</v>
      </c>
      <c r="B2811" t="s">
        <v>57820</v>
      </c>
      <c r="C2811">
        <f>-891.801350762051 -22.5367605010911 -49.3605311742664</f>
        <v>-963.69864243740847</v>
      </c>
      <c r="D2811">
        <f>-935.950008409259 -24.5582610072056 -156.426300151654</f>
        <v>-1116.9345695681186</v>
      </c>
      <c r="E2811">
        <f>-952.472403109281 -26.8930941984204 -253.628164797731</f>
        <v>-1232.9936621054323</v>
      </c>
      <c r="F2811">
        <f>-959.251148140441 -29.7058745623631 -342.422143003606</f>
        <v>-1331.37916570641</v>
      </c>
      <c r="G2811">
        <f>-957.498002524625 -33.4906601429939 -431.421363275946</f>
        <v>-1422.410025943565</v>
      </c>
      <c r="H2811">
        <f>-946.143016268175 -40.0396338864239 -555.312190352971</f>
        <v>-1541.4948405075697</v>
      </c>
      <c r="I2811">
        <f>-914.662636598804 -63.8358938865276 -628.440604036853</f>
        <v>-1606.9391345221848</v>
      </c>
      <c r="J2811">
        <f>-948.68880526401 -9.58496512262946 -502.026894817735</f>
        <v>-1460.3006652043746</v>
      </c>
      <c r="K2811" t="s">
        <v>57821</v>
      </c>
      <c r="L2811" t="s">
        <v>57822</v>
      </c>
      <c r="M2811" t="s">
        <v>57823</v>
      </c>
      <c r="N2811">
        <f>-953.590808746054 -64.7305845282474 -499.561132575732</f>
        <v>-1517.8825258500333</v>
      </c>
      <c r="O2811">
        <f>-968.625496537436 -197.212459309702 -466.091793791952</f>
        <v>-1631.92974963909</v>
      </c>
      <c r="P2811">
        <f>-961.9004073309 -240.471058005345 -175.102590804675</f>
        <v>-1377.4740561409199</v>
      </c>
      <c r="Q2811">
        <f>-785.487899395625 -106.092202369944 -269.293071966028</f>
        <v>-1160.873173731597</v>
      </c>
      <c r="R2811" t="s">
        <v>57824</v>
      </c>
      <c r="S2811" t="s">
        <v>57825</v>
      </c>
      <c r="T2811" t="s">
        <v>57826</v>
      </c>
      <c r="U2811" t="s">
        <v>57827</v>
      </c>
      <c r="V2811">
        <f>-885.66946541112 -118.406850149051 -51.6108011593789</f>
        <v>-1055.68711671955</v>
      </c>
      <c r="W2811" t="s">
        <v>57828</v>
      </c>
      <c r="X2811" t="s">
        <v>57829</v>
      </c>
      <c r="Y2811" t="s">
        <v>57830</v>
      </c>
    </row>
    <row r="2812" spans="1:25" x14ac:dyDescent="0.3">
      <c r="A2812">
        <v>140550</v>
      </c>
      <c r="B2812" t="s">
        <v>57831</v>
      </c>
      <c r="C2812">
        <f>-892.091127902081 -22.4333542080622 -49.3941661599125</f>
        <v>-963.91864827005566</v>
      </c>
      <c r="D2812">
        <f>-936.146479543179 -24.4173008278017 -156.498872793126</f>
        <v>-1117.0626531641067</v>
      </c>
      <c r="E2812">
        <f>-952.571844969814 -26.7286949996487 -253.717773464486</f>
        <v>-1233.0183134339488</v>
      </c>
      <c r="F2812">
        <f>-959.256288197687 -29.5213141133527 -342.519570967752</f>
        <v>-1331.2971732787917</v>
      </c>
      <c r="G2812">
        <f>-957.403261940259 -33.2846419557932 -431.517551357962</f>
        <v>-1422.2054552540142</v>
      </c>
      <c r="H2812">
        <f>-945.902998626924 -39.8008963040159 -555.396903803191</f>
        <v>-1541.1007987341309</v>
      </c>
      <c r="I2812">
        <f>-914.309323645541 -63.5447518517046 -628.493290360624</f>
        <v>-1606.3473658578696</v>
      </c>
      <c r="J2812">
        <f>-948.545072793808 -9.35727643664723 -502.109684633893</f>
        <v>-1460.0120338643483</v>
      </c>
      <c r="K2812" t="s">
        <v>57832</v>
      </c>
      <c r="L2812" t="s">
        <v>57833</v>
      </c>
      <c r="M2812" t="s">
        <v>57834</v>
      </c>
      <c r="N2812">
        <f>-953.38263137893 -64.5094028057192 -499.657744798152</f>
        <v>-1517.5497789828012</v>
      </c>
      <c r="O2812">
        <f>-968.269065476754 -197.011196452958 -466.188212855865</f>
        <v>-1631.468474785577</v>
      </c>
      <c r="P2812">
        <f>-961.640677605538 -240.256198618562 -175.194863175246</f>
        <v>-1377.0917393993459</v>
      </c>
      <c r="Q2812">
        <f>-785.382163906501 -105.642386656198 -269.338170727567</f>
        <v>-1160.3627212902661</v>
      </c>
      <c r="R2812" t="s">
        <v>57835</v>
      </c>
      <c r="S2812" t="s">
        <v>57836</v>
      </c>
      <c r="T2812" t="s">
        <v>57837</v>
      </c>
      <c r="U2812" t="s">
        <v>57838</v>
      </c>
      <c r="V2812">
        <f>-885.970276643598 -118.211422701423 -51.6619973046464</f>
        <v>-1055.8436966496674</v>
      </c>
      <c r="W2812" t="s">
        <v>57839</v>
      </c>
      <c r="X2812" t="s">
        <v>57840</v>
      </c>
      <c r="Y2812" t="s">
        <v>57841</v>
      </c>
    </row>
    <row r="2813" spans="1:25" x14ac:dyDescent="0.3">
      <c r="A2813">
        <v>140600</v>
      </c>
      <c r="B2813" t="s">
        <v>57842</v>
      </c>
      <c r="C2813">
        <f>-892.515903084892 -22.2430819003484 -49.4974136353776</f>
        <v>-964.25639862061803</v>
      </c>
      <c r="D2813">
        <f>-936.414681875103 -24.179152205319 -156.667223762745</f>
        <v>-1117.261057843167</v>
      </c>
      <c r="E2813">
        <f>-952.673358362571 -26.4340859636095 -253.915564252592</f>
        <v>-1233.0230085787725</v>
      </c>
      <c r="F2813">
        <f>-959.195175662222 -29.1668322758633 -342.731225899405</f>
        <v>-1331.0932338374903</v>
      </c>
      <c r="G2813">
        <f>-957.168166900035 -32.8595933313713 -431.728577860127</f>
        <v>-1421.7563380915333</v>
      </c>
      <c r="H2813">
        <f>-945.413456238198 -39.2647607083707 -555.589721001018</f>
        <v>-1540.2679379475867</v>
      </c>
      <c r="I2813">
        <f>-913.612167211529 -62.9539814413697 -628.613934117649</f>
        <v>-1605.1800827705479</v>
      </c>
      <c r="J2813">
        <f>-948.198117944427 -8.8661776454851 -502.284079725193</f>
        <v>-1459.3483753151052</v>
      </c>
      <c r="K2813" t="s">
        <v>57843</v>
      </c>
      <c r="L2813" t="s">
        <v>57844</v>
      </c>
      <c r="M2813" t="s">
        <v>57845</v>
      </c>
      <c r="N2813">
        <f>-952.974100179587 -64.0261041846509 -499.884928462408</f>
        <v>-1516.885132826646</v>
      </c>
      <c r="O2813">
        <f>-967.766933569032 -196.550847250194 -466.471133537804</f>
        <v>-1630.7889143570299</v>
      </c>
      <c r="P2813">
        <f>-961.222714758527 -239.953430347697 -175.499464093857</f>
        <v>-1376.675609200081</v>
      </c>
      <c r="Q2813">
        <f>-785.166111685188 -105.090293245837 -269.663795573628</f>
        <v>-1159.9202005046529</v>
      </c>
      <c r="R2813" t="s">
        <v>57846</v>
      </c>
      <c r="S2813" t="s">
        <v>57847</v>
      </c>
      <c r="T2813" t="s">
        <v>57848</v>
      </c>
      <c r="U2813" t="s">
        <v>57849</v>
      </c>
      <c r="V2813">
        <f>-886.484641644189 -117.806247422501 -51.7822055560032</f>
        <v>-1056.0730946226931</v>
      </c>
      <c r="W2813" t="s">
        <v>57850</v>
      </c>
      <c r="X2813" t="s">
        <v>57851</v>
      </c>
      <c r="Y2813" t="s">
        <v>57852</v>
      </c>
    </row>
    <row r="2814" spans="1:25" x14ac:dyDescent="0.3">
      <c r="A2814">
        <v>140650</v>
      </c>
      <c r="B2814" t="s">
        <v>57853</v>
      </c>
      <c r="C2814">
        <f>-892.561463415502 -22.238663311648 -49.5532324756017</f>
        <v>-964.35335920275168</v>
      </c>
      <c r="D2814">
        <f>-936.400540033289 -24.1835196597958 -156.747395591315</f>
        <v>-1117.3314552843999</v>
      </c>
      <c r="E2814">
        <f>-952.587382120415 -26.4106800270242 -254.008209930813</f>
        <v>-1233.0062720782521</v>
      </c>
      <c r="F2814">
        <f>-959.035538545001 -29.1041378799091 -342.830581299083</f>
        <v>-1330.9702577239932</v>
      </c>
      <c r="G2814">
        <f>-956.92684072814 -32.7432495459529 -431.828065399323</f>
        <v>-1421.498155673416</v>
      </c>
      <c r="H2814">
        <f>-945.048554242024 -39.0585824792727 -555.682279714911</f>
        <v>-1539.7894164362078</v>
      </c>
      <c r="I2814">
        <f>-913.132512114161 -62.7400212451221 -628.658887752722</f>
        <v>-1604.5314211120051</v>
      </c>
      <c r="J2814">
        <f>-947.900946736357 -8.69760068696633 -502.358814269773</f>
        <v>-1458.9573616930963</v>
      </c>
      <c r="K2814" t="s">
        <v>57854</v>
      </c>
      <c r="L2814" t="s">
        <v>57855</v>
      </c>
      <c r="M2814" t="s">
        <v>57856</v>
      </c>
      <c r="N2814">
        <f>-952.650202746849 -63.8614543869471 -500.001431705067</f>
        <v>-1516.513088838863</v>
      </c>
      <c r="O2814">
        <f>-967.471614460479 -196.401620646425 -466.656760197569</f>
        <v>-1630.529995304473</v>
      </c>
      <c r="P2814">
        <f>-960.994404593325 -239.889186694737 -175.696069500036</f>
        <v>-1376.579660788098</v>
      </c>
      <c r="Q2814">
        <f>-784.930184372185 -105.037654810983 -269.862338731406</f>
        <v>-1159.8301779145741</v>
      </c>
      <c r="R2814" t="s">
        <v>57857</v>
      </c>
      <c r="S2814" t="s">
        <v>57858</v>
      </c>
      <c r="T2814" t="s">
        <v>57859</v>
      </c>
      <c r="U2814" t="s">
        <v>57860</v>
      </c>
      <c r="V2814">
        <f>-886.588921168623 -117.759974845643 -51.8168955496141</f>
        <v>-1056.16579156388</v>
      </c>
      <c r="W2814" t="s">
        <v>57861</v>
      </c>
      <c r="X2814" t="s">
        <v>57862</v>
      </c>
      <c r="Y2814" t="s">
        <v>57863</v>
      </c>
    </row>
    <row r="2815" spans="1:25" x14ac:dyDescent="0.3">
      <c r="A2815">
        <v>140700</v>
      </c>
      <c r="B2815" t="s">
        <v>57864</v>
      </c>
      <c r="C2815">
        <f>-892.539979505497 -22.5899467446966 -49.5592751352563</f>
        <v>-964.68920138544979</v>
      </c>
      <c r="D2815">
        <f>-936.35968104954 -24.5274881633977 -156.761319254228</f>
        <v>-1117.6484884671656</v>
      </c>
      <c r="E2815">
        <f>-952.462120304871 -26.7231515688254 -254.036970233457</f>
        <v>-1233.2222421071533</v>
      </c>
      <c r="F2815">
        <f>-958.805900039234 -29.3788165928881 -342.868065547478</f>
        <v>-1331.0527821796002</v>
      </c>
      <c r="G2815">
        <f>-956.564118813757 -32.9712768439394 -431.864130087151</f>
        <v>-1421.3995257448473</v>
      </c>
      <c r="H2815">
        <f>-944.470738558691 -39.2128939822026 -555.701146565361</f>
        <v>-1539.3847791062544</v>
      </c>
      <c r="I2815">
        <f>-912.313771319414 -62.967533275611 -628.548031963733</f>
        <v>-1603.8293365587579</v>
      </c>
      <c r="J2815">
        <f>-947.42573331767 -8.8827968603814 -502.365766748219</f>
        <v>-1458.6742969262705</v>
      </c>
      <c r="K2815" t="s">
        <v>57865</v>
      </c>
      <c r="L2815" t="s">
        <v>57866</v>
      </c>
      <c r="M2815" t="s">
        <v>57867</v>
      </c>
      <c r="N2815">
        <f>-952.159140271594 -64.0497930322631 -500.047348339202</f>
        <v>-1516.2562816430591</v>
      </c>
      <c r="O2815">
        <f>-967.15598703716 -196.602625163208 -466.850063573692</f>
        <v>-1630.60867577406</v>
      </c>
      <c r="P2815">
        <f>-960.819434017389 -239.666069110566 -175.82333575489</f>
        <v>-1376.3088388828448</v>
      </c>
      <c r="Q2815">
        <f>-784.49274695037 -105.225658118088 -270.08636260679</f>
        <v>-1159.8047676752481</v>
      </c>
      <c r="R2815" t="s">
        <v>57868</v>
      </c>
      <c r="S2815" t="s">
        <v>57869</v>
      </c>
      <c r="T2815" t="s">
        <v>57870</v>
      </c>
      <c r="U2815" t="s">
        <v>57871</v>
      </c>
      <c r="V2815">
        <f>-886.587160844823 -118.048627254285 -51.7986697515125</f>
        <v>-1056.4344578506204</v>
      </c>
      <c r="W2815" t="s">
        <v>57872</v>
      </c>
      <c r="X2815" t="s">
        <v>57873</v>
      </c>
      <c r="Y2815" t="s">
        <v>57874</v>
      </c>
    </row>
    <row r="2816" spans="1:25" x14ac:dyDescent="0.3">
      <c r="A2816">
        <v>140750</v>
      </c>
      <c r="B2816" t="s">
        <v>57875</v>
      </c>
      <c r="C2816">
        <f>-892.640095359454 -22.8919216297918 -49.4776009851686</f>
        <v>-965.00961797441437</v>
      </c>
      <c r="D2816">
        <f>-936.491747293404 -24.8019070853788 -156.667166536022</f>
        <v>-1117.9608209148048</v>
      </c>
      <c r="E2816">
        <f>-952.594891858727 -26.9824134703467 -253.943040705094</f>
        <v>-1233.5203460341677</v>
      </c>
      <c r="F2816">
        <f>-958.928087047255 -29.6276169843422 -342.775127801361</f>
        <v>-1331.3308318329582</v>
      </c>
      <c r="G2816">
        <f>-956.664728876672 -33.2130008577928 -431.771019412486</f>
        <v>-1421.6487491469509</v>
      </c>
      <c r="H2816">
        <f>-944.530082083955 -39.4481628496853 -555.604381640254</f>
        <v>-1539.5826265738942</v>
      </c>
      <c r="I2816">
        <f>-912.272671989165 -63.2736702883692 -628.383647814883</f>
        <v>-1603.9299900924173</v>
      </c>
      <c r="J2816">
        <f>-947.502039506064 -9.12103090861956 -502.26821453789</f>
        <v>-1458.8912849525736</v>
      </c>
      <c r="K2816" t="s">
        <v>57876</v>
      </c>
      <c r="L2816" t="s">
        <v>57877</v>
      </c>
      <c r="M2816" t="s">
        <v>57878</v>
      </c>
      <c r="N2816">
        <f>-952.237802204075 -64.2879282847059 -499.954603471519</f>
        <v>-1516.4803339603</v>
      </c>
      <c r="O2816">
        <f>-967.314038608431 -196.830641100598 -466.746116807888</f>
        <v>-1630.8907965169171</v>
      </c>
      <c r="P2816">
        <f>-961.108198597392 -239.496723244842 -175.65805547983</f>
        <v>-1376.262977322064</v>
      </c>
      <c r="Q2816">
        <f>-784.592091023979 -105.421649015039 -270.087025933584</f>
        <v>-1160.1007659726019</v>
      </c>
      <c r="R2816" t="s">
        <v>57879</v>
      </c>
      <c r="S2816" t="s">
        <v>57880</v>
      </c>
      <c r="T2816" t="s">
        <v>57881</v>
      </c>
      <c r="U2816" t="s">
        <v>57882</v>
      </c>
      <c r="V2816">
        <f>-886.606972430374 -118.276698727888 -51.7614368344582</f>
        <v>-1056.6451079927201</v>
      </c>
      <c r="W2816" t="s">
        <v>57883</v>
      </c>
      <c r="X2816" t="s">
        <v>57884</v>
      </c>
      <c r="Y2816" t="s">
        <v>57885</v>
      </c>
    </row>
    <row r="2817" spans="1:25" x14ac:dyDescent="0.3">
      <c r="A2817">
        <v>140800</v>
      </c>
      <c r="B2817" t="s">
        <v>57886</v>
      </c>
      <c r="C2817">
        <f>-892.823225491724 -23.4361212373833 -49.2583950202478</f>
        <v>-965.51774174935508</v>
      </c>
      <c r="D2817">
        <f>-936.716250006384 -25.2564283513034 -156.432576243668</f>
        <v>-1118.4052546013554</v>
      </c>
      <c r="E2817">
        <f>-952.868807179614 -27.4106095192687 -253.700768687819</f>
        <v>-1233.9801853867018</v>
      </c>
      <c r="F2817">
        <f>-959.252661537601 -30.0504656689013 -342.529383450792</f>
        <v>-1331.8325106572943</v>
      </c>
      <c r="G2817">
        <f>-957.046271476567 -33.6480389986787 -431.526163593697</f>
        <v>-1422.2204740689426</v>
      </c>
      <c r="H2817">
        <f>-944.997702202767 -39.9170952200182 -555.366198206559</f>
        <v>-1540.280995629344</v>
      </c>
      <c r="I2817">
        <f>-912.594725293394 -63.9178901003047 -628.023235266389</f>
        <v>-1604.5358506600878</v>
      </c>
      <c r="J2817">
        <f>-947.912034095374 -9.57687860918259 -502.034319007105</f>
        <v>-1459.5232317116615</v>
      </c>
      <c r="K2817" t="s">
        <v>57887</v>
      </c>
      <c r="L2817" t="s">
        <v>57888</v>
      </c>
      <c r="M2817" t="s">
        <v>57889</v>
      </c>
      <c r="N2817">
        <f>-952.687185482457 -64.73972987711 -499.706356992789</f>
        <v>-1517.133272352356</v>
      </c>
      <c r="O2817">
        <f>-967.954711948012 -197.239286657594 -466.398038041021</f>
        <v>-1631.5920366466269</v>
      </c>
      <c r="P2817">
        <f>-961.750175749723 -239.372591764886 -175.232278996433</f>
        <v>-1376.355046511042</v>
      </c>
      <c r="Q2817">
        <f>-784.962821837882 -105.872295793176 -269.967646914354</f>
        <v>-1160.8027645454119</v>
      </c>
      <c r="R2817" t="s">
        <v>57890</v>
      </c>
      <c r="S2817" t="s">
        <v>57891</v>
      </c>
      <c r="T2817" t="s">
        <v>57892</v>
      </c>
      <c r="U2817" t="s">
        <v>57893</v>
      </c>
      <c r="V2817">
        <f>-886.720858465308 -118.449851036995 -51.6678257146832</f>
        <v>-1056.8385352169862</v>
      </c>
      <c r="W2817" t="s">
        <v>57894</v>
      </c>
      <c r="X2817" t="s">
        <v>57895</v>
      </c>
      <c r="Y2817" t="s">
        <v>57896</v>
      </c>
    </row>
    <row r="2818" spans="1:25" x14ac:dyDescent="0.3">
      <c r="A2818">
        <v>140850</v>
      </c>
      <c r="B2818" t="s">
        <v>57897</v>
      </c>
      <c r="C2818">
        <f>-892.903677680875 -23.5331742506801 -49.1777065872834</f>
        <v>-965.61455851883852</v>
      </c>
      <c r="D2818">
        <f>-936.78085832117 -25.2732916300165 -156.359652832931</f>
        <v>-1118.4138027841175</v>
      </c>
      <c r="E2818">
        <f>-952.962000812415 -27.4028153472359 -253.623782943222</f>
        <v>-1233.988599102873</v>
      </c>
      <c r="F2818">
        <f>-959.390419500437 -30.0351181818214 -342.449436556123</f>
        <v>-1331.8749742383814</v>
      </c>
      <c r="G2818">
        <f>-957.247281090462 -33.6388690115591 -431.447398976887</f>
        <v>-1422.3335490789082</v>
      </c>
      <c r="H2818">
        <f>-945.306963454479 -39.929399620815 -555.296933243205</f>
        <v>-1540.5332963184992</v>
      </c>
      <c r="I2818">
        <f>-912.875114643939 -64.027134109833 -627.908749613193</f>
        <v>-1604.8109983669651</v>
      </c>
      <c r="J2818">
        <f>-948.154288993942 -9.58170731119617 -501.965623011444</f>
        <v>-1459.7016193165823</v>
      </c>
      <c r="K2818" t="s">
        <v>57898</v>
      </c>
      <c r="L2818" t="s">
        <v>57899</v>
      </c>
      <c r="M2818" t="s">
        <v>57900</v>
      </c>
      <c r="N2818">
        <f>-952.968521650873 -64.7407984374199 -499.628078875297</f>
        <v>-1517.3373989635897</v>
      </c>
      <c r="O2818">
        <f>-968.344646571684 -197.215607027015 -466.270262723167</f>
        <v>-1631.8305163218661</v>
      </c>
      <c r="P2818">
        <f>-962.013561485426 -239.349219474242 -175.10720757111</f>
        <v>-1376.469988530778</v>
      </c>
      <c r="Q2818">
        <f>-785.136057875441 -106.037886309246 -269.940812369833</f>
        <v>-1161.11475655452</v>
      </c>
      <c r="R2818" t="s">
        <v>57901</v>
      </c>
      <c r="S2818" t="s">
        <v>57902</v>
      </c>
      <c r="T2818" t="s">
        <v>57903</v>
      </c>
      <c r="U2818" t="s">
        <v>57904</v>
      </c>
      <c r="V2818">
        <f>-886.817979580238 -118.364274899622 -51.6406187588145</f>
        <v>-1056.8228732386744</v>
      </c>
      <c r="W2818" t="s">
        <v>57905</v>
      </c>
      <c r="X2818" t="s">
        <v>57906</v>
      </c>
      <c r="Y2818" t="s">
        <v>57907</v>
      </c>
    </row>
    <row r="2819" spans="1:25" x14ac:dyDescent="0.3">
      <c r="A2819">
        <v>140900</v>
      </c>
      <c r="B2819" t="s">
        <v>57908</v>
      </c>
      <c r="C2819">
        <f>-892.786723042713 -23.402065364055 -49.1838942985195</f>
        <v>-965.3726827052875</v>
      </c>
      <c r="D2819">
        <f>-936.698760951545 -24.9512940476511 -156.35474300078</f>
        <v>-1118.0047979999761</v>
      </c>
      <c r="E2819">
        <f>-952.958137983666 -27.0100547227989 -253.60711494228</f>
        <v>-1233.5753076487449</v>
      </c>
      <c r="F2819">
        <f>-959.479367194598 -29.6099576975562 -342.427017586328</f>
        <v>-1331.5163424784823</v>
      </c>
      <c r="G2819">
        <f>-957.450209206951 -33.2111149899565 -431.427780526515</f>
        <v>-1422.0891047234225</v>
      </c>
      <c r="H2819">
        <f>-945.692134779453 -39.52691500481 -555.293422120868</f>
        <v>-1540.512471905131</v>
      </c>
      <c r="I2819">
        <f>-913.260088353119 -63.8433962770728 -627.832339124006</f>
        <v>-1604.9358237541978</v>
      </c>
      <c r="J2819">
        <f>-948.397856428851 -9.17358511142811 -501.95791173754</f>
        <v>-1459.5293532778192</v>
      </c>
      <c r="K2819" t="s">
        <v>57909</v>
      </c>
      <c r="L2819" t="s">
        <v>57910</v>
      </c>
      <c r="M2819" t="s">
        <v>57911</v>
      </c>
      <c r="N2819">
        <f>-953.334755965162 -64.3215015143921 -499.614643580189</f>
        <v>-1517.2709010597432</v>
      </c>
      <c r="O2819">
        <f>-968.984530792315 -196.741831084957 -466.187993520625</f>
        <v>-1631.914355397897</v>
      </c>
      <c r="P2819">
        <f>-962.269114432653 -239.054639384543 -175.0595291517</f>
        <v>-1376.3832829688961</v>
      </c>
      <c r="Q2819">
        <f>-785.254082271374 -106.030171970156 -270.038409172188</f>
        <v>-1161.3226634137181</v>
      </c>
      <c r="R2819" t="s">
        <v>57912</v>
      </c>
      <c r="S2819" t="s">
        <v>57913</v>
      </c>
      <c r="T2819" t="s">
        <v>57914</v>
      </c>
      <c r="U2819" t="s">
        <v>57915</v>
      </c>
      <c r="V2819">
        <f>-886.891950514318 -118.206180811581 -51.6371894817031</f>
        <v>-1056.735320807602</v>
      </c>
      <c r="W2819" t="s">
        <v>57916</v>
      </c>
      <c r="X2819" t="s">
        <v>57917</v>
      </c>
      <c r="Y2819" t="s">
        <v>57918</v>
      </c>
    </row>
    <row r="2820" spans="1:25" x14ac:dyDescent="0.3">
      <c r="A2820">
        <v>140950</v>
      </c>
      <c r="B2820" t="s">
        <v>57919</v>
      </c>
      <c r="C2820">
        <f>-892.548638900136 -23.3014389162122 -49.2291862389775</f>
        <v>-965.07926405532567</v>
      </c>
      <c r="D2820">
        <f>-936.490691577118 -24.7861482248372 -156.388526366899</f>
        <v>-1117.6653661688542</v>
      </c>
      <c r="E2820">
        <f>-952.790563893833 -26.8197520815552 -253.634721465247</f>
        <v>-1233.2450374406351</v>
      </c>
      <c r="F2820">
        <f>-959.354201861225 -29.4076567876491 -342.451846791419</f>
        <v>-1331.2137054402931</v>
      </c>
      <c r="G2820">
        <f>-957.374051628206 -33.0075621378878 -431.453738008593</f>
        <v>-1421.8353517746868</v>
      </c>
      <c r="H2820">
        <f>-945.690986547187 -39.3324547430989 -555.32594456965</f>
        <v>-1540.3493858599359</v>
      </c>
      <c r="I2820">
        <f>-913.28938231149 -63.7573297050928 -627.842091457558</f>
        <v>-1604.8888034741408</v>
      </c>
      <c r="J2820">
        <f>-948.323900310891 -8.97874066758732 -501.987122957293</f>
        <v>-1459.2897639357714</v>
      </c>
      <c r="K2820" t="s">
        <v>57920</v>
      </c>
      <c r="L2820" t="s">
        <v>57921</v>
      </c>
      <c r="M2820" t="s">
        <v>57922</v>
      </c>
      <c r="N2820">
        <f>-953.340636781978 -64.119531202896 -499.644782311434</f>
        <v>-1517.1049502963081</v>
      </c>
      <c r="O2820">
        <f>-969.173276745909 -196.517339542831 -466.203617421641</f>
        <v>-1631.8942337103808</v>
      </c>
      <c r="P2820">
        <f>-962.312638313582 -238.90995397291 -175.090252981661</f>
        <v>-1376.3128452681531</v>
      </c>
      <c r="Q2820">
        <f>-785.203494700937 -106.074589214046 -270.158341315484</f>
        <v>-1161.436425230467</v>
      </c>
      <c r="R2820" t="s">
        <v>57923</v>
      </c>
      <c r="S2820" t="s">
        <v>57924</v>
      </c>
      <c r="T2820" t="s">
        <v>57925</v>
      </c>
      <c r="U2820" t="s">
        <v>57926</v>
      </c>
      <c r="V2820">
        <f>-886.761420137053 -118.178206056169 -51.672123483464</f>
        <v>-1056.611749676686</v>
      </c>
      <c r="W2820" t="s">
        <v>57927</v>
      </c>
      <c r="X2820" t="s">
        <v>57928</v>
      </c>
      <c r="Y2820" t="s">
        <v>57929</v>
      </c>
    </row>
    <row r="2821" spans="1:25" x14ac:dyDescent="0.3">
      <c r="A2821">
        <v>141000</v>
      </c>
      <c r="B2821" t="s">
        <v>57930</v>
      </c>
      <c r="C2821">
        <f>-891.866823216241 -22.8572079091964 -49.3873803775452</f>
        <v>-964.11141150298261</v>
      </c>
      <c r="D2821">
        <f>-935.84574311318 -24.2732044602703 -156.532325783124</f>
        <v>-1116.6512733565744</v>
      </c>
      <c r="E2821">
        <f>-952.204766913114 -26.2826663822771 -253.769223745802</f>
        <v>-1232.256657041193</v>
      </c>
      <c r="F2821">
        <f>-958.833395944956 -28.8641388033334 -342.581547163962</f>
        <v>-1330.2790819122515</v>
      </c>
      <c r="G2821">
        <f>-956.930549297182 -32.4757081811458 -431.58472879833</f>
        <v>-1420.9909862766578</v>
      </c>
      <c r="H2821">
        <f>-945.36785788625 -38.837809655904 -555.466360412583</f>
        <v>-1539.6720279547371</v>
      </c>
      <c r="I2821">
        <f>-913.096051413904 -63.4428006590074 -627.979439511183</f>
        <v>-1604.5182915840944</v>
      </c>
      <c r="J2821">
        <f>-947.859477348695 -8.47602559349434 -502.125219928566</f>
        <v>-1458.4607228707555</v>
      </c>
      <c r="K2821" t="s">
        <v>57931</v>
      </c>
      <c r="L2821" t="s">
        <v>57932</v>
      </c>
      <c r="M2821" t="s">
        <v>57933</v>
      </c>
      <c r="N2821">
        <f>-953.052426533904 -63.6004045766815 -499.77907751471</f>
        <v>-1516.4319086252956</v>
      </c>
      <c r="O2821">
        <f>-969.272153656879 -195.940454303555 -466.302582435647</f>
        <v>-1631.5151903960812</v>
      </c>
      <c r="P2821">
        <f>-962.208718042527 -238.397063675557 -175.203416836216</f>
        <v>-1375.8091985543001</v>
      </c>
      <c r="Q2821">
        <f>-784.781709583852 -106.10945442789 -270.442493119041</f>
        <v>-1161.333657130783</v>
      </c>
      <c r="R2821" t="s">
        <v>57934</v>
      </c>
      <c r="S2821" t="s">
        <v>57935</v>
      </c>
      <c r="T2821" t="s">
        <v>57936</v>
      </c>
      <c r="U2821" t="s">
        <v>57937</v>
      </c>
      <c r="V2821">
        <f>-886.211078355 -117.767760753016 -51.7914822677773</f>
        <v>-1055.7703213757934</v>
      </c>
      <c r="W2821" t="s">
        <v>57938</v>
      </c>
      <c r="X2821" t="s">
        <v>57939</v>
      </c>
      <c r="Y2821" t="s">
        <v>57940</v>
      </c>
    </row>
    <row r="2822" spans="1:25" x14ac:dyDescent="0.3">
      <c r="A2822">
        <v>141050</v>
      </c>
      <c r="B2822" t="s">
        <v>57941</v>
      </c>
      <c r="C2822">
        <f>-891.552039854718 -22.6495038181588 -49.4707720211604</f>
        <v>-963.67231569403725</v>
      </c>
      <c r="D2822">
        <f>-935.508291224167 -24.0269114147604 -156.625759881484</f>
        <v>-1116.1609625204114</v>
      </c>
      <c r="E2822">
        <f>-951.864714919565 -26.0248670628957 -253.86327395408</f>
        <v>-1231.7528559365408</v>
      </c>
      <c r="F2822">
        <f>-958.498800059667 -28.6045623832256 -342.675205742931</f>
        <v>-1329.7785681858236</v>
      </c>
      <c r="G2822">
        <f>-956.609930504009 -32.2233425486102 -431.678456038814</f>
        <v>-1420.5117290914332</v>
      </c>
      <c r="H2822">
        <f>-945.075728583319 -38.6047615897089 -555.56167510431</f>
        <v>-1539.2421652773378</v>
      </c>
      <c r="I2822">
        <f>-912.869009273662 -63.2715256952451 -628.082701269892</f>
        <v>-1604.223236238799</v>
      </c>
      <c r="J2822">
        <f>-947.518520762126 -8.23800845970118 -502.221384623147</f>
        <v>-1457.9779138449742</v>
      </c>
      <c r="K2822" t="s">
        <v>57942</v>
      </c>
      <c r="L2822" t="s">
        <v>57943</v>
      </c>
      <c r="M2822" t="s">
        <v>57944</v>
      </c>
      <c r="N2822">
        <f>-952.784064800112 -63.3552582466232 -499.872390880081</f>
        <v>-1516.0117139268161</v>
      </c>
      <c r="O2822">
        <f>-969.178166842286 -195.66837460868 -466.360281465971</f>
        <v>-1631.206822916937</v>
      </c>
      <c r="P2822">
        <f>-962.066444672768 -238.097152264048 -175.258106580939</f>
        <v>-1375.4217035177551</v>
      </c>
      <c r="Q2822">
        <f>-784.417516988037 -106.112546656954 -270.504015885869</f>
        <v>-1161.03407953086</v>
      </c>
      <c r="R2822" t="s">
        <v>57945</v>
      </c>
      <c r="S2822" t="s">
        <v>57946</v>
      </c>
      <c r="T2822" t="s">
        <v>57947</v>
      </c>
      <c r="U2822" t="s">
        <v>57948</v>
      </c>
      <c r="V2822">
        <f>-886.004365398319 -117.604192337118 -51.8470501567682</f>
        <v>-1055.4556078922051</v>
      </c>
      <c r="W2822" t="s">
        <v>57949</v>
      </c>
      <c r="X2822" t="s">
        <v>57950</v>
      </c>
      <c r="Y2822" t="s">
        <v>57951</v>
      </c>
    </row>
    <row r="2823" spans="1:25" x14ac:dyDescent="0.3">
      <c r="A2823">
        <v>141100</v>
      </c>
      <c r="B2823" t="s">
        <v>57952</v>
      </c>
      <c r="C2823">
        <f>-891.206930340271 -22.4505607314995 -49.5760857101619</f>
        <v>-963.23357678193247</v>
      </c>
      <c r="D2823">
        <f>-935.10497403961 -23.7334187332826 -156.755880998796</f>
        <v>-1115.5942737716887</v>
      </c>
      <c r="E2823">
        <f>-951.397494782316 -25.6948155075729 -254.004950981505</f>
        <v>-1231.097261271394</v>
      </c>
      <c r="F2823">
        <f>-957.969793671428 -28.2563397440335 -342.822051135556</f>
        <v>-1329.0481845510176</v>
      </c>
      <c r="G2823">
        <f>-956.015213261283 -31.8713915183744 -431.824023114933</f>
        <v>-1419.7106278945903</v>
      </c>
      <c r="H2823">
        <f>-944.386092214621 -38.2615631534236 -555.698004922637</f>
        <v>-1538.3456602906817</v>
      </c>
      <c r="I2823">
        <f>-912.218521836152 -63.0174786803432 -628.20595661449</f>
        <v>-1603.4419571309852</v>
      </c>
      <c r="J2823">
        <f>-946.835461545216 -7.89417124631746 -502.358111119251</f>
        <v>-1457.0877439107844</v>
      </c>
      <c r="K2823" t="s">
        <v>57953</v>
      </c>
      <c r="L2823" t="s">
        <v>57954</v>
      </c>
      <c r="M2823" t="s">
        <v>57955</v>
      </c>
      <c r="N2823">
        <f>-952.171529530387 -63.0048965282135 -500.016220321573</f>
        <v>-1515.1926463801735</v>
      </c>
      <c r="O2823">
        <f>-968.776292375609 -195.281507063056 -466.473815758927</f>
        <v>-1630.5316151975921</v>
      </c>
      <c r="P2823">
        <f>-961.81476670837 -237.586487240397 -175.349988001125</f>
        <v>-1374.7512419498921</v>
      </c>
      <c r="Q2823">
        <f>-783.730767869299 -106.121454467091 -270.502503641944</f>
        <v>-1160.354725978334</v>
      </c>
      <c r="R2823" t="s">
        <v>57956</v>
      </c>
      <c r="S2823" t="s">
        <v>57957</v>
      </c>
      <c r="T2823" t="s">
        <v>57958</v>
      </c>
      <c r="U2823" t="s">
        <v>57959</v>
      </c>
      <c r="V2823">
        <f>-885.815860165059 -117.44486260989 -51.9211218796005</f>
        <v>-1055.1818446545496</v>
      </c>
      <c r="W2823" t="s">
        <v>57960</v>
      </c>
      <c r="X2823" t="s">
        <v>57961</v>
      </c>
      <c r="Y2823" t="s">
        <v>57962</v>
      </c>
    </row>
    <row r="2824" spans="1:25" x14ac:dyDescent="0.3">
      <c r="A2824">
        <v>141150</v>
      </c>
      <c r="B2824" t="s">
        <v>57963</v>
      </c>
      <c r="C2824">
        <f>-891.092343432996 -22.3663912342863 -49.6017544994928</f>
        <v>-963.06048916677514</v>
      </c>
      <c r="D2824">
        <f>-934.955892571487 -23.6037406931137 -156.796389646159</f>
        <v>-1115.3560229107597</v>
      </c>
      <c r="E2824">
        <f>-951.204734607706 -25.548066442971 -254.053022945709</f>
        <v>-1230.8058239963859</v>
      </c>
      <c r="F2824">
        <f>-957.732398846176 -28.101461374431 -342.873713916649</f>
        <v>-1328.707574137256</v>
      </c>
      <c r="G2824">
        <f>-955.729068344308 -31.7154094604275 -431.874606121793</f>
        <v>-1419.3190839265285</v>
      </c>
      <c r="H2824">
        <f>-944.027798529287 -38.110550808887 -555.741579715276</f>
        <v>-1537.8799290534498</v>
      </c>
      <c r="I2824">
        <f>-911.854749407174 -62.8941649622845 -628.237683815695</f>
        <v>-1602.9865981851535</v>
      </c>
      <c r="J2824">
        <f>-946.497243154037 -7.74208029502643 -502.403332204575</f>
        <v>-1456.6426556536385</v>
      </c>
      <c r="K2824" t="s">
        <v>57964</v>
      </c>
      <c r="L2824" t="s">
        <v>57965</v>
      </c>
      <c r="M2824" t="s">
        <v>57966</v>
      </c>
      <c r="N2824">
        <f>-951.856772648913 -62.8508136230187 -500.064335666388</f>
        <v>-1514.7719219383196</v>
      </c>
      <c r="O2824">
        <f>-968.546081521694 -195.121875572706 -466.534507135341</f>
        <v>-1630.2024642297411</v>
      </c>
      <c r="P2824">
        <f>-961.636332050321 -237.452861179747 -175.413366947822</f>
        <v>-1374.50256017789</v>
      </c>
      <c r="Q2824">
        <f>-783.446394148379 -106.084202770472 -270.500154194995</f>
        <v>-1160.030751113846</v>
      </c>
      <c r="R2824" t="s">
        <v>57967</v>
      </c>
      <c r="S2824" t="s">
        <v>57968</v>
      </c>
      <c r="T2824" t="s">
        <v>57969</v>
      </c>
      <c r="U2824" t="s">
        <v>57970</v>
      </c>
      <c r="V2824">
        <f>-885.746434353708 -117.379074115678 -51.9430533713536</f>
        <v>-1055.0685618407397</v>
      </c>
      <c r="W2824" t="s">
        <v>57971</v>
      </c>
      <c r="X2824" t="s">
        <v>57972</v>
      </c>
      <c r="Y2824" t="s">
        <v>57973</v>
      </c>
    </row>
    <row r="2825" spans="1:25" x14ac:dyDescent="0.3">
      <c r="A2825">
        <v>141200</v>
      </c>
      <c r="B2825" t="s">
        <v>57974</v>
      </c>
      <c r="C2825">
        <f>-890.731252253189 -22.1730652339506 -49.6361967957756</f>
        <v>-962.5405142829153</v>
      </c>
      <c r="D2825">
        <f>-934.484039238298 -23.3703584956929 -156.876610794739</f>
        <v>-1114.7310085287299</v>
      </c>
      <c r="E2825">
        <f>-950.638286253414 -25.2913465839074 -254.149337318289</f>
        <v>-1230.0789701556105</v>
      </c>
      <c r="F2825">
        <f>-957.08213589352 -27.8242499744383 -342.976756113873</f>
        <v>-1327.8831419818314</v>
      </c>
      <c r="G2825">
        <f>-954.996839871461 -31.4165754459809 -431.976763912434</f>
        <v>-1418.3901792298759</v>
      </c>
      <c r="H2825">
        <f>-943.18318868697 -37.7782652985441 -555.834552361963</f>
        <v>-1536.796006347477</v>
      </c>
      <c r="I2825">
        <f>-910.957246372899 -62.5774721130451 -628.301945284041</f>
        <v>-1601.8366637699851</v>
      </c>
      <c r="J2825">
        <f>-945.703926398835 -7.42383449984391 -502.490626549745</f>
        <v>-1455.6183874484241</v>
      </c>
      <c r="K2825" t="s">
        <v>57975</v>
      </c>
      <c r="L2825" t="s">
        <v>57976</v>
      </c>
      <c r="M2825" t="s">
        <v>57977</v>
      </c>
      <c r="N2825">
        <f>-951.059790390393 -62.5338353364357 -500.170909592595</f>
        <v>-1513.7645353194237</v>
      </c>
      <c r="O2825">
        <f>-967.790621684355 -194.801501995948 -466.675267769068</f>
        <v>-1629.2673914493707</v>
      </c>
      <c r="P2825">
        <f>-961.057615227199 -237.270084536079 -175.570006379472</f>
        <v>-1373.8977061427499</v>
      </c>
      <c r="Q2825">
        <f>-782.8209085743 -105.857485880127 -270.508240246173</f>
        <v>-1159.1866347006001</v>
      </c>
      <c r="R2825" t="s">
        <v>57978</v>
      </c>
      <c r="S2825" t="s">
        <v>57979</v>
      </c>
      <c r="T2825" t="s">
        <v>57980</v>
      </c>
      <c r="U2825" t="s">
        <v>57981</v>
      </c>
      <c r="V2825">
        <f>-885.444706196268 -117.217876332536 -51.9757977770055</f>
        <v>-1054.6383803058095</v>
      </c>
      <c r="W2825" t="s">
        <v>57982</v>
      </c>
      <c r="X2825" t="s">
        <v>57983</v>
      </c>
      <c r="Y2825" t="s">
        <v>57984</v>
      </c>
    </row>
    <row r="2826" spans="1:25" x14ac:dyDescent="0.3">
      <c r="A2826">
        <v>141250</v>
      </c>
      <c r="B2826" t="s">
        <v>57985</v>
      </c>
      <c r="C2826">
        <f>-890.476154354413 -22.0947614575512 -49.6560024311874</f>
        <v>-962.22691824315154</v>
      </c>
      <c r="D2826">
        <f>-934.169314780165 -23.2892976476601 -156.920743116367</f>
        <v>-1114.3793555441921</v>
      </c>
      <c r="E2826">
        <f>-950.279376858845 -25.2078647708113 -254.200937367762</f>
        <v>-1229.6881789974184</v>
      </c>
      <c r="F2826">
        <f>-956.686168155495 -27.7375107432135 -343.031074587164</f>
        <v>-1327.4547534858725</v>
      </c>
      <c r="G2826">
        <f>-954.567690245586 -31.3247481124749 -432.030288975167</f>
        <v>-1417.9227273332281</v>
      </c>
      <c r="H2826">
        <f>-942.711959494585 -37.6766370924061 -555.884777622367</f>
        <v>-1536.2733742093581</v>
      </c>
      <c r="I2826">
        <f>-910.439340907628 -62.4747350677178 -628.331835989636</f>
        <v>-1601.2459119649818</v>
      </c>
      <c r="J2826">
        <f>-945.257339444481 -7.32588411228653 -502.540023146815</f>
        <v>-1455.1232467035825</v>
      </c>
      <c r="K2826" t="s">
        <v>57986</v>
      </c>
      <c r="L2826" t="s">
        <v>57987</v>
      </c>
      <c r="M2826" t="s">
        <v>57988</v>
      </c>
      <c r="N2826">
        <f>-950.600961594119 -62.4371053975144 -500.225102677825</f>
        <v>-1513.2631696694584</v>
      </c>
      <c r="O2826">
        <f>-967.310803161379 -194.712948073936 -466.745878243404</f>
        <v>-1628.769629478719</v>
      </c>
      <c r="P2826">
        <f>-960.592533857567 -237.266309365741 -175.652694004037</f>
        <v>-1373.5115372273449</v>
      </c>
      <c r="Q2826">
        <f>-782.409848977814 -105.698704564062 -270.477851787314</f>
        <v>-1158.58640532919</v>
      </c>
      <c r="R2826" t="s">
        <v>57989</v>
      </c>
      <c r="S2826" t="s">
        <v>57990</v>
      </c>
      <c r="T2826" t="s">
        <v>57991</v>
      </c>
      <c r="U2826" t="s">
        <v>57992</v>
      </c>
      <c r="V2826">
        <f>-885.266784628537 -117.129086297933 -51.9854041693336</f>
        <v>-1054.3812750958036</v>
      </c>
      <c r="W2826" t="s">
        <v>57993</v>
      </c>
      <c r="X2826" t="s">
        <v>57994</v>
      </c>
      <c r="Y2826" t="s">
        <v>57995</v>
      </c>
    </row>
    <row r="2827" spans="1:25" x14ac:dyDescent="0.3">
      <c r="A2827">
        <v>141300</v>
      </c>
      <c r="B2827" t="s">
        <v>57996</v>
      </c>
      <c r="C2827">
        <f>-890.087548850967 -22.058676117475 -49.713469960669</f>
        <v>-961.85969492911101</v>
      </c>
      <c r="D2827">
        <f>-933.708245980443 -23.2431527124972 -157.007623762445</f>
        <v>-1113.9590224553854</v>
      </c>
      <c r="E2827">
        <f>-949.747810276692 -25.1499967217474 -254.299731154948</f>
        <v>-1229.1975381533873</v>
      </c>
      <c r="F2827">
        <f>-956.088374797495 -27.6662029537324 -343.134954218804</f>
        <v>-1326.8895319700314</v>
      </c>
      <c r="G2827">
        <f>-953.900585030235 -31.235600825315 -432.133360601479</f>
        <v>-1417.269546457029</v>
      </c>
      <c r="H2827">
        <f>-941.945311754639 -37.5568525548244 -555.979857317972</f>
        <v>-1535.4820216274354</v>
      </c>
      <c r="I2827">
        <f>-909.550709094538 -62.3308612042536 -628.380572278859</f>
        <v>-1600.2621425776506</v>
      </c>
      <c r="J2827">
        <f>-944.563570935077 -7.216498299254 -502.632546768117</f>
        <v>-1454.412616002448</v>
      </c>
      <c r="K2827" t="s">
        <v>57997</v>
      </c>
      <c r="L2827" t="s">
        <v>57998</v>
      </c>
      <c r="M2827" t="s">
        <v>57999</v>
      </c>
      <c r="N2827">
        <f>-949.849029817576 -62.3338012534812 -500.329651236993</f>
        <v>-1512.5124823080503</v>
      </c>
      <c r="O2827">
        <f>-966.471587865451 -194.628688023707 -466.86327501398</f>
        <v>-1627.9635509031382</v>
      </c>
      <c r="P2827">
        <f>-959.950078660973 -237.292767193982 -175.781894324727</f>
        <v>-1373.0247401796821</v>
      </c>
      <c r="Q2827">
        <f>-781.831835046866 -105.460084898213 -270.359211765623</f>
        <v>-1157.651131710702</v>
      </c>
      <c r="R2827" t="s">
        <v>58000</v>
      </c>
      <c r="S2827" t="s">
        <v>58001</v>
      </c>
      <c r="T2827" t="s">
        <v>58002</v>
      </c>
      <c r="U2827" t="s">
        <v>58003</v>
      </c>
      <c r="V2827">
        <f>-884.854275463275 -117.26099990433 -52.0155971296449</f>
        <v>-1054.13087249725</v>
      </c>
      <c r="W2827" t="s">
        <v>58004</v>
      </c>
      <c r="X2827" t="s">
        <v>58005</v>
      </c>
      <c r="Y2827" t="s">
        <v>58006</v>
      </c>
    </row>
    <row r="2828" spans="1:25" x14ac:dyDescent="0.3">
      <c r="A2828">
        <v>141350</v>
      </c>
      <c r="B2828" t="s">
        <v>58007</v>
      </c>
      <c r="C2828">
        <f>-889.910117797848 -22.039448985347 -49.7286918989545</f>
        <v>-961.67825868214948</v>
      </c>
      <c r="D2828">
        <f>-933.497787622096 -23.2478061510715 -157.036123619741</f>
        <v>-1113.7817173929084</v>
      </c>
      <c r="E2828">
        <f>-949.503713479065 -25.1378895389989 -254.334091926907</f>
        <v>-1228.9756949449709</v>
      </c>
      <c r="F2828">
        <f>-955.811306842687 -27.6227168120445 -343.172577106966</f>
        <v>-1326.6066007616976</v>
      </c>
      <c r="G2828">
        <f>-953.587311378303 -31.1438120033699 -432.171961607366</f>
        <v>-1416.9030849890389</v>
      </c>
      <c r="H2828">
        <f>-941.577750658246 -37.3788562904867 -556.017450347811</f>
        <v>-1534.9740572965438</v>
      </c>
      <c r="I2828">
        <f>-909.103391432509 -62.1053457048315 -628.398531286254</f>
        <v>-1599.6072684235946</v>
      </c>
      <c r="J2828">
        <f>-944.252145331842 -7.07262337376051 -502.653661017887</f>
        <v>-1453.9784297234896</v>
      </c>
      <c r="K2828" t="s">
        <v>58008</v>
      </c>
      <c r="L2828" t="s">
        <v>58009</v>
      </c>
      <c r="M2828" t="s">
        <v>58010</v>
      </c>
      <c r="N2828">
        <f>-949.473194037459 -62.1976043363204 -500.384717983257</f>
        <v>-1512.0555163570366</v>
      </c>
      <c r="O2828">
        <f>-966.016761110973 -194.514404089849 -466.935839601187</f>
        <v>-1627.4670048020089</v>
      </c>
      <c r="P2828">
        <f>-959.698599676305 -237.232479602473 -175.857764658693</f>
        <v>-1372.788843937471</v>
      </c>
      <c r="Q2828">
        <f>-781.557716370109 -105.341265889748 -270.310844567925</f>
        <v>-1157.2098268277821</v>
      </c>
      <c r="R2828" t="s">
        <v>58011</v>
      </c>
      <c r="S2828" t="s">
        <v>58012</v>
      </c>
      <c r="T2828" t="s">
        <v>58013</v>
      </c>
      <c r="U2828" t="s">
        <v>58014</v>
      </c>
      <c r="V2828">
        <f>-884.631577874788 -117.234203490905 -52.0434596987845</f>
        <v>-1053.9092410644776</v>
      </c>
      <c r="W2828" t="s">
        <v>58015</v>
      </c>
      <c r="X2828" t="s">
        <v>58016</v>
      </c>
      <c r="Y2828" t="s">
        <v>58017</v>
      </c>
    </row>
    <row r="2829" spans="1:25" x14ac:dyDescent="0.3">
      <c r="A2829">
        <v>141400</v>
      </c>
      <c r="B2829" t="s">
        <v>58018</v>
      </c>
      <c r="C2829">
        <f>-889.533743999627 -21.947176508218 -49.7684099569082</f>
        <v>-961.24933046475314</v>
      </c>
      <c r="D2829">
        <f>-932.996130361999 -23.1577910832734 -157.126593124228</f>
        <v>-1113.2805145695004</v>
      </c>
      <c r="E2829">
        <f>-948.932121576729 -24.9824895839447 -254.437153991365</f>
        <v>-1228.3517651520388</v>
      </c>
      <c r="F2829">
        <f>-955.19170547091 -27.3728325666975 -343.281700390697</f>
        <v>-1325.8462384283046</v>
      </c>
      <c r="G2829">
        <f>-952.933175114908 -30.7578200032103 -432.285614316061</f>
        <v>-1415.9766094341794</v>
      </c>
      <c r="H2829">
        <f>-940.888892698106 -36.7551536373066 -556.139463352354</f>
        <v>-1533.7835096877666</v>
      </c>
      <c r="I2829">
        <f>-908.247233049157 -61.3138510212748 -628.502629051059</f>
        <v>-1598.0637131214908</v>
      </c>
      <c r="J2829">
        <f>-943.66931870304 -6.54324846178133 -502.727513777165</f>
        <v>-1452.9400809419863</v>
      </c>
      <c r="K2829" t="s">
        <v>58019</v>
      </c>
      <c r="L2829" t="s">
        <v>58020</v>
      </c>
      <c r="M2829" t="s">
        <v>58021</v>
      </c>
      <c r="N2829">
        <f>-948.708980954448 -61.6887476547681 -500.54736894621</f>
        <v>-1510.9450975554259</v>
      </c>
      <c r="O2829">
        <f>-965.016610084193 -194.047154056226 -467.173774015837</f>
        <v>-1626.2375381562561</v>
      </c>
      <c r="P2829">
        <f>-959.058115708718 -236.998195435722 -176.122406871579</f>
        <v>-1372.178718016019</v>
      </c>
      <c r="Q2829">
        <f>-780.939943394548 -104.824336156427 -270.222991502345</f>
        <v>-1155.98727105332</v>
      </c>
      <c r="R2829" t="s">
        <v>58022</v>
      </c>
      <c r="S2829" t="s">
        <v>58023</v>
      </c>
      <c r="T2829" t="s">
        <v>58024</v>
      </c>
      <c r="U2829" t="s">
        <v>58025</v>
      </c>
      <c r="V2829">
        <f>-884.325239987887 -117.198116221983 -52.0490579963291</f>
        <v>-1053.572414206199</v>
      </c>
      <c r="W2829" t="s">
        <v>58026</v>
      </c>
      <c r="X2829" t="s">
        <v>58027</v>
      </c>
      <c r="Y2829" t="s">
        <v>58028</v>
      </c>
    </row>
    <row r="2830" spans="1:25" x14ac:dyDescent="0.3">
      <c r="A2830">
        <v>141450</v>
      </c>
      <c r="B2830" t="s">
        <v>58029</v>
      </c>
      <c r="C2830">
        <f>-889.417250488025 -21.9287635252067 -49.7602842803053</f>
        <v>-961.10629829353707</v>
      </c>
      <c r="D2830">
        <f>-932.79973752506 -23.1202001760716 -157.150989890924</f>
        <v>-1113.0709275920556</v>
      </c>
      <c r="E2830">
        <f>-948.70281617683 -24.905743908419 -254.467810818139</f>
        <v>-1228.0763709033879</v>
      </c>
      <c r="F2830">
        <f>-954.946956435318 -27.2438098708976 -343.314783959446</f>
        <v>-1325.5055502656617</v>
      </c>
      <c r="G2830">
        <f>-952.68777717716 -30.5549408943566 -432.321378825011</f>
        <v>-1415.5640968965276</v>
      </c>
      <c r="H2830">
        <f>-940.655590626302 -36.4225571700351 -556.182492591315</f>
        <v>-1533.2606403876521</v>
      </c>
      <c r="I2830">
        <f>-907.935503094445 -60.8793970870629 -628.544776261851</f>
        <v>-1597.3596764433589</v>
      </c>
      <c r="J2830">
        <f>-943.485693509587 -6.26195202171675 -502.744340416011</f>
        <v>-1452.4919859473148</v>
      </c>
      <c r="K2830" t="s">
        <v>58030</v>
      </c>
      <c r="L2830" t="s">
        <v>58031</v>
      </c>
      <c r="M2830" t="s">
        <v>58032</v>
      </c>
      <c r="N2830">
        <f>-948.415086642906 -61.4190166460623 -500.610285366807</f>
        <v>-1510.4443886557754</v>
      </c>
      <c r="O2830">
        <f>-964.514628256709 -193.809863717293 -467.275547588523</f>
        <v>-1625.6000395625251</v>
      </c>
      <c r="P2830">
        <f>-958.781506870038 -236.962185101642 -176.249390005636</f>
        <v>-1371.993081977316</v>
      </c>
      <c r="Q2830">
        <f>-780.738049359589 -104.527775540639 -270.124879212119</f>
        <v>-1155.3907041123471</v>
      </c>
      <c r="R2830" t="s">
        <v>58033</v>
      </c>
      <c r="S2830" t="s">
        <v>58034</v>
      </c>
      <c r="T2830" t="s">
        <v>58035</v>
      </c>
      <c r="U2830" t="s">
        <v>58036</v>
      </c>
      <c r="V2830">
        <f>-884.306321331072 -117.220061315507 -52.0340939598264</f>
        <v>-1053.5604766064055</v>
      </c>
      <c r="W2830" t="s">
        <v>58037</v>
      </c>
      <c r="X2830" t="s">
        <v>58038</v>
      </c>
      <c r="Y2830" t="s">
        <v>58039</v>
      </c>
    </row>
    <row r="2831" spans="1:25" x14ac:dyDescent="0.3">
      <c r="A2831">
        <v>141500</v>
      </c>
      <c r="B2831" t="s">
        <v>58040</v>
      </c>
      <c r="C2831">
        <f>-889.294949451254 -21.9554073858721 -49.7675727808635</f>
        <v>-961.01792961798958</v>
      </c>
      <c r="D2831">
        <f>-932.557997829161 -23.1223205770093 -157.20666921952</f>
        <v>-1112.8869876256904</v>
      </c>
      <c r="E2831">
        <f>-948.377178519295 -24.8518969446818 -254.53829561573</f>
        <v>-1227.7673710797067</v>
      </c>
      <c r="F2831">
        <f>-954.553151805783 -27.1122140765215 -343.391992323397</f>
        <v>-1325.0573582057016</v>
      </c>
      <c r="G2831">
        <f>-952.232394031126 -30.3096123155074 -432.4011939208</f>
        <v>-1414.9432002674334</v>
      </c>
      <c r="H2831">
        <f>-940.118615947344 -35.973901583417 -556.263891118698</f>
        <v>-1532.3564086494589</v>
      </c>
      <c r="I2831">
        <f>-907.205809395533 -60.2247168163442 -628.608126183036</f>
        <v>-1596.0386523949132</v>
      </c>
      <c r="J2831">
        <f>-943.098708030618 -5.89147529953925 -502.789876858477</f>
        <v>-1451.7800601886343</v>
      </c>
      <c r="K2831" t="s">
        <v>58041</v>
      </c>
      <c r="L2831" t="s">
        <v>58042</v>
      </c>
      <c r="M2831" t="s">
        <v>58043</v>
      </c>
      <c r="N2831">
        <f>-947.799447324458 -61.0712510270819 -500.726180409546</f>
        <v>-1509.5968787610859</v>
      </c>
      <c r="O2831">
        <f>-963.457080207273 -193.533666854105 -467.472580865553</f>
        <v>-1624.463327926931</v>
      </c>
      <c r="P2831">
        <f>-958.048569931737 -237.012802153299 -176.488803803617</f>
        <v>-1371.550175888653</v>
      </c>
      <c r="Q2831">
        <f>-780.239161081606 -103.966488560873 -269.941219379269</f>
        <v>-1154.146869021748</v>
      </c>
      <c r="R2831" t="s">
        <v>58044</v>
      </c>
      <c r="S2831" t="s">
        <v>58045</v>
      </c>
      <c r="T2831" t="s">
        <v>58046</v>
      </c>
      <c r="U2831" t="s">
        <v>58047</v>
      </c>
      <c r="V2831">
        <f>-884.272959398986 -117.238297664073 -52.0241847580768</f>
        <v>-1053.5354418211359</v>
      </c>
      <c r="W2831" t="s">
        <v>58048</v>
      </c>
      <c r="X2831" t="s">
        <v>58049</v>
      </c>
      <c r="Y2831" t="s">
        <v>58050</v>
      </c>
    </row>
    <row r="2832" spans="1:25" x14ac:dyDescent="0.3">
      <c r="A2832">
        <v>141550</v>
      </c>
      <c r="B2832" t="s">
        <v>58051</v>
      </c>
      <c r="C2832">
        <f>-889.324770971502 -21.9738627269517 -49.7825746639787</f>
        <v>-961.08120836243233</v>
      </c>
      <c r="D2832">
        <f>-932.537055842338 -23.146971075867 -157.241987385171</f>
        <v>-1112.926014303376</v>
      </c>
      <c r="E2832">
        <f>-948.311213784829 -24.8706503881535 -254.581073462292</f>
        <v>-1227.7629376352745</v>
      </c>
      <c r="F2832">
        <f>-954.446115498107 -27.1168318378982 -343.438016569525</f>
        <v>-1325.0009639055302</v>
      </c>
      <c r="G2832">
        <f>-952.082540645336 -30.2886358952178 -432.447017670063</f>
        <v>-1414.8181942106169</v>
      </c>
      <c r="H2832">
        <f>-939.908786598539 -35.9015698263565 -556.306222128737</f>
        <v>-1532.1165785536325</v>
      </c>
      <c r="I2832">
        <f>-906.904171041206 -60.0544406804977 -628.641272345083</f>
        <v>-1595.5998840667867</v>
      </c>
      <c r="J2832">
        <f>-942.967805536923 -5.83707712880096 -502.826446365991</f>
        <v>-1451.631329031715</v>
      </c>
      <c r="K2832" t="s">
        <v>58052</v>
      </c>
      <c r="L2832" t="s">
        <v>58053</v>
      </c>
      <c r="M2832" t="s">
        <v>58054</v>
      </c>
      <c r="N2832">
        <f>-947.563890897276 -61.026122245356 -500.777176802804</f>
        <v>-1509.3671899454359</v>
      </c>
      <c r="O2832">
        <f>-963.017536908378 -193.519336939531 -467.557688320216</f>
        <v>-1624.0945621681249</v>
      </c>
      <c r="P2832">
        <f>-957.722817038055 -237.122429153463 -176.590490041821</f>
        <v>-1371.435736233339</v>
      </c>
      <c r="Q2832">
        <f>-780.065261979288 -103.769086704003 -269.89420098976</f>
        <v>-1153.728549673051</v>
      </c>
      <c r="R2832" t="s">
        <v>58055</v>
      </c>
      <c r="S2832" t="s">
        <v>58056</v>
      </c>
      <c r="T2832" t="s">
        <v>58057</v>
      </c>
      <c r="U2832" t="s">
        <v>58058</v>
      </c>
      <c r="V2832">
        <f>-884.274787056012 -117.30472462366 -52.0276919659633</f>
        <v>-1053.6072036456353</v>
      </c>
      <c r="W2832" t="s">
        <v>58059</v>
      </c>
      <c r="X2832" t="s">
        <v>58060</v>
      </c>
      <c r="Y2832" t="s">
        <v>58061</v>
      </c>
    </row>
    <row r="2833" spans="1:25" x14ac:dyDescent="0.3">
      <c r="A2833">
        <v>141600</v>
      </c>
      <c r="B2833" t="s">
        <v>58062</v>
      </c>
      <c r="C2833">
        <f>-889.16265802616 -22.1403556384671 -49.7748890647962</f>
        <v>-961.07790272942327</v>
      </c>
      <c r="D2833">
        <f>-932.319716606695 -23.4001360872717 -157.25561955633</f>
        <v>-1112.9754722502967</v>
      </c>
      <c r="E2833">
        <f>-948.027546369758 -25.1371628421198 -254.605127963805</f>
        <v>-1227.7698371756828</v>
      </c>
      <c r="F2833">
        <f>-954.09370782802 -27.3668407937812 -343.4671973546</f>
        <v>-1324.9277459764012</v>
      </c>
      <c r="G2833">
        <f>-951.652250379763 -30.4888977185337 -432.475735781375</f>
        <v>-1414.6168838796718</v>
      </c>
      <c r="H2833">
        <f>-939.358423025194 -35.9954508243591 -556.327926418314</f>
        <v>-1531.6818002678669</v>
      </c>
      <c r="I2833">
        <f>-906.179726024078 -59.9643750519526 -628.644593079449</f>
        <v>-1594.7886941554798</v>
      </c>
      <c r="J2833">
        <f>-942.560304515508 -5.96972692191639 -502.834759201701</f>
        <v>-1451.3647906391254</v>
      </c>
      <c r="K2833" t="s">
        <v>58063</v>
      </c>
      <c r="L2833" t="s">
        <v>58064</v>
      </c>
      <c r="M2833" t="s">
        <v>58065</v>
      </c>
      <c r="N2833">
        <f>-946.976195524431 -61.1749221751195 -500.818638213493</f>
        <v>-1508.9697559130434</v>
      </c>
      <c r="O2833">
        <f>-962.089955410788 -193.722364161507 -467.639881132507</f>
        <v>-1623.452200704802</v>
      </c>
      <c r="P2833">
        <f>-957.108434343878 -237.432487565275 -176.683195733185</f>
        <v>-1371.2241176423379</v>
      </c>
      <c r="Q2833">
        <f>-779.707374820659 -103.576107966809 -269.754292519519</f>
        <v>-1153.037775306987</v>
      </c>
      <c r="R2833" t="s">
        <v>58066</v>
      </c>
      <c r="S2833" t="s">
        <v>58067</v>
      </c>
      <c r="T2833" t="s">
        <v>58068</v>
      </c>
      <c r="U2833" t="s">
        <v>58069</v>
      </c>
      <c r="V2833">
        <f>-883.981311761625 -117.598738089238 -52.013052934858</f>
        <v>-1053.5931027857209</v>
      </c>
      <c r="W2833" t="s">
        <v>58070</v>
      </c>
      <c r="X2833" t="s">
        <v>58071</v>
      </c>
      <c r="Y2833" t="s">
        <v>58072</v>
      </c>
    </row>
    <row r="2834" spans="1:25" x14ac:dyDescent="0.3">
      <c r="A2834">
        <v>141650</v>
      </c>
      <c r="B2834" t="s">
        <v>58073</v>
      </c>
      <c r="C2834">
        <f>-889.078336791252 -22.0854169053428 -49.7810704411406</f>
        <v>-960.9448241377354</v>
      </c>
      <c r="D2834">
        <f>-932.224962431874 -23.4143013110324 -157.265060298988</f>
        <v>-1112.9043240418944</v>
      </c>
      <c r="E2834">
        <f>-947.92406657397 -25.1718492362711 -254.6154722647</f>
        <v>-1227.7113880749412</v>
      </c>
      <c r="F2834">
        <f>-953.981607670449 -27.4035005607266 -343.478161241384</f>
        <v>-1324.8632694725595</v>
      </c>
      <c r="G2834">
        <f>-951.53054105082 -30.5103184310615 -432.487040911841</f>
        <v>-1414.5279003937226</v>
      </c>
      <c r="H2834">
        <f>-939.221406408055 -35.9765440702038 -556.33940691295</f>
        <v>-1531.5373573912088</v>
      </c>
      <c r="I2834">
        <f>-905.960923542609 -59.8566242995532 -628.64790468743</f>
        <v>-1594.4654525295923</v>
      </c>
      <c r="J2834">
        <f>-942.475590575747 -5.96478983958559 -502.841627457578</f>
        <v>-1451.2820078729105</v>
      </c>
      <c r="K2834" t="s">
        <v>58074</v>
      </c>
      <c r="L2834" t="s">
        <v>58075</v>
      </c>
      <c r="M2834" t="s">
        <v>58076</v>
      </c>
      <c r="N2834">
        <f>-946.800461310474 -61.1773911367509 -500.834615203291</f>
        <v>-1508.8124676505158</v>
      </c>
      <c r="O2834">
        <f>-961.710045773295 -193.747667228052 -467.663290354616</f>
        <v>-1623.121003355963</v>
      </c>
      <c r="P2834">
        <f>-956.901876783435 -237.461458511738 -176.70424567923</f>
        <v>-1371.067580974403</v>
      </c>
      <c r="Q2834">
        <f>-779.625955138849 -103.340744966832 -269.632882501402</f>
        <v>-1152.599582607083</v>
      </c>
      <c r="R2834" t="s">
        <v>58077</v>
      </c>
      <c r="S2834" t="s">
        <v>58078</v>
      </c>
      <c r="T2834" t="s">
        <v>58079</v>
      </c>
      <c r="U2834" t="s">
        <v>58080</v>
      </c>
      <c r="V2834">
        <f>-883.776172047657 -117.528082751558 -52.0132710148356</f>
        <v>-1053.3175258140507</v>
      </c>
      <c r="W2834" t="s">
        <v>58081</v>
      </c>
      <c r="X2834" t="s">
        <v>58082</v>
      </c>
      <c r="Y2834" t="s">
        <v>58083</v>
      </c>
    </row>
    <row r="2835" spans="1:25" x14ac:dyDescent="0.3">
      <c r="A2835">
        <v>141700</v>
      </c>
      <c r="B2835" t="s">
        <v>58084</v>
      </c>
      <c r="C2835">
        <f>-888.987581118016 -22.121270980394 -49.8167829391242</f>
        <v>-960.92563503753422</v>
      </c>
      <c r="D2835">
        <f>-932.123472030283 -23.5606356193648 -157.303765709364</f>
        <v>-1112.9878733590117</v>
      </c>
      <c r="E2835">
        <f>-947.823693671091 -25.3592752664517 -254.653135487396</f>
        <v>-1227.8361044249386</v>
      </c>
      <c r="F2835">
        <f>-953.88560792653 -27.6054478195774 -343.515194978716</f>
        <v>-1325.0062507248235</v>
      </c>
      <c r="G2835">
        <f>-951.44179832251 -30.7011357111423 -432.524703684181</f>
        <v>-1414.6676377178333</v>
      </c>
      <c r="H2835">
        <f>-939.144623123899 -36.1238075256886 -556.380158660728</f>
        <v>-1531.6485893103154</v>
      </c>
      <c r="I2835">
        <f>-905.74173595623 -59.8620768057933 -628.669725732514</f>
        <v>-1594.2735384945372</v>
      </c>
      <c r="J2835">
        <f>-942.482700678725 -6.12433093481877 -502.880614212268</f>
        <v>-1451.4876458258118</v>
      </c>
      <c r="K2835" t="s">
        <v>58085</v>
      </c>
      <c r="L2835" t="s">
        <v>58086</v>
      </c>
      <c r="M2835" t="s">
        <v>58087</v>
      </c>
      <c r="N2835">
        <f>-946.629272289556 -61.3506429029944 -500.874365854632</f>
        <v>-1508.8542810471824</v>
      </c>
      <c r="O2835">
        <f>-961.13389611751 -193.959151677055 -467.678870554916</f>
        <v>-1622.771918349481</v>
      </c>
      <c r="P2835">
        <f>-956.408265179233 -237.746662688846 -176.729559511259</f>
        <v>-1370.884487379338</v>
      </c>
      <c r="Q2835">
        <f>-779.44261389813 -102.968104728288 -269.296748492702</f>
        <v>-1151.7074671191201</v>
      </c>
      <c r="R2835" t="s">
        <v>58088</v>
      </c>
      <c r="S2835" t="s">
        <v>58089</v>
      </c>
      <c r="T2835" t="s">
        <v>58090</v>
      </c>
      <c r="U2835" t="s">
        <v>58091</v>
      </c>
      <c r="V2835">
        <f>-883.50588041683 -117.59143169097 -52.0071794439717</f>
        <v>-1053.1044915517716</v>
      </c>
      <c r="W2835" t="s">
        <v>58092</v>
      </c>
      <c r="X2835" t="s">
        <v>58093</v>
      </c>
      <c r="Y2835" t="s">
        <v>58094</v>
      </c>
    </row>
    <row r="2836" spans="1:25" x14ac:dyDescent="0.3">
      <c r="A2836">
        <v>141750</v>
      </c>
      <c r="B2836" t="s">
        <v>58095</v>
      </c>
      <c r="C2836">
        <f>-888.986165901436 -22.1770832359634 -49.8286043646993</f>
        <v>-960.99185350209882</v>
      </c>
      <c r="D2836">
        <f>-932.120243429761 -23.6375010275688 -157.316052903895</f>
        <v>-1113.0737973612247</v>
      </c>
      <c r="E2836">
        <f>-947.828914440365 -25.4376009352691 -254.664114342567</f>
        <v>-1227.9306297182011</v>
      </c>
      <c r="F2836">
        <f>-953.902316226334 -27.6761151867131 -343.525470662504</f>
        <v>-1325.1039020755511</v>
      </c>
      <c r="G2836">
        <f>-951.472926696019 -30.753595824136 -432.536019604514</f>
        <v>-1414.7625421246692</v>
      </c>
      <c r="H2836">
        <f>-939.19860793243 -36.1382900681203 -556.395512833902</f>
        <v>-1531.7324108344524</v>
      </c>
      <c r="I2836">
        <f>-905.750059661821 -59.8181800416055 -628.682846795448</f>
        <v>-1594.2510864988744</v>
      </c>
      <c r="J2836">
        <f>-942.570741202061 -6.15223173295499 -502.890541028128</f>
        <v>-1451.613513963144</v>
      </c>
      <c r="K2836" t="s">
        <v>58096</v>
      </c>
      <c r="L2836" t="s">
        <v>58097</v>
      </c>
      <c r="M2836" t="s">
        <v>58098</v>
      </c>
      <c r="N2836">
        <f>-946.629106330652 -61.385250271936 -500.891487441851</f>
        <v>-1508.9058440444389</v>
      </c>
      <c r="O2836">
        <f>-960.90979107616 -194.024753281813 -467.697195795118</f>
        <v>-1622.631740153091</v>
      </c>
      <c r="P2836">
        <f>-956.217753714088 -237.802749336125 -176.745721378195</f>
        <v>-1370.7662244284079</v>
      </c>
      <c r="Q2836">
        <f>-779.43857348585 -102.614351029755 -269.071915206387</f>
        <v>-1151.124839721992</v>
      </c>
      <c r="R2836" t="s">
        <v>58099</v>
      </c>
      <c r="S2836" t="s">
        <v>58100</v>
      </c>
      <c r="T2836" t="s">
        <v>58101</v>
      </c>
      <c r="U2836" t="s">
        <v>58102</v>
      </c>
      <c r="V2836">
        <f>-883.448216235034 -117.638867621207 -52.020987560544</f>
        <v>-1053.1080714167849</v>
      </c>
      <c r="W2836" t="s">
        <v>58103</v>
      </c>
      <c r="X2836" t="s">
        <v>58104</v>
      </c>
      <c r="Y2836" t="s">
        <v>58105</v>
      </c>
    </row>
    <row r="2837" spans="1:25" x14ac:dyDescent="0.3">
      <c r="A2837">
        <v>141800</v>
      </c>
      <c r="B2837" t="s">
        <v>58106</v>
      </c>
      <c r="C2837">
        <f>-889.080525102451 -22.2968514098748 -49.8417491290596</f>
        <v>-961.2191256413854</v>
      </c>
      <c r="D2837">
        <f>-932.211412328883 -23.7692693164836 -157.330176917057</f>
        <v>-1113.3108585624236</v>
      </c>
      <c r="E2837">
        <f>-947.898429663305 -25.5577494885206 -254.682088818825</f>
        <v>-1228.1382679706505</v>
      </c>
      <c r="F2837">
        <f>-953.943314623856 -27.77534437439 -343.545929724374</f>
        <v>-1325.2645887226199</v>
      </c>
      <c r="G2837">
        <f>-951.476920792739 -30.8189358725645 -432.556644098357</f>
        <v>-1414.8525007636604</v>
      </c>
      <c r="H2837">
        <f>-939.141326677689 -36.1417254599926 -556.412580981044</f>
        <v>-1531.6956331187257</v>
      </c>
      <c r="I2837">
        <f>-905.623457626748 -59.7494561416574 -628.691758452677</f>
        <v>-1594.0646722210824</v>
      </c>
      <c r="J2837">
        <f>-942.604330197742 -6.17792134472847 -502.901080502422</f>
        <v>-1451.6833320448925</v>
      </c>
      <c r="K2837" t="s">
        <v>58107</v>
      </c>
      <c r="L2837" t="s">
        <v>58108</v>
      </c>
      <c r="M2837" t="s">
        <v>58109</v>
      </c>
      <c r="N2837">
        <f>-946.534614110301 -61.4209815876732 -500.918353185691</f>
        <v>-1508.8739488836652</v>
      </c>
      <c r="O2837">
        <f>-960.470022245768 -194.100142249574 -467.764481706387</f>
        <v>-1622.3346462017289</v>
      </c>
      <c r="P2837">
        <f>-955.848278965243 -237.989560569083 -176.82884613638</f>
        <v>-1370.6666856707061</v>
      </c>
      <c r="Q2837">
        <f>-779.4397607787 -102.148693543012 -268.905590040027</f>
        <v>-1150.494044361739</v>
      </c>
      <c r="R2837" t="s">
        <v>58110</v>
      </c>
      <c r="S2837" t="s">
        <v>58111</v>
      </c>
      <c r="T2837" t="s">
        <v>58112</v>
      </c>
      <c r="U2837" t="s">
        <v>58113</v>
      </c>
      <c r="V2837">
        <f>-883.427655501966 -117.734215985525 -52.0626304700015</f>
        <v>-1053.2245019574925</v>
      </c>
      <c r="W2837" t="s">
        <v>58114</v>
      </c>
      <c r="X2837" t="s">
        <v>58115</v>
      </c>
      <c r="Y2837" t="s">
        <v>58116</v>
      </c>
    </row>
    <row r="2838" spans="1:25" x14ac:dyDescent="0.3">
      <c r="A2838">
        <v>141850</v>
      </c>
      <c r="B2838" t="s">
        <v>58117</v>
      </c>
      <c r="C2838">
        <f>-889.08956155269 -22.4301853936527 -49.8542452190601</f>
        <v>-961.3739921654028</v>
      </c>
      <c r="D2838">
        <f>-932.239211309391 -23.9085213725607 -157.335336232584</f>
        <v>-1113.4830689145356</v>
      </c>
      <c r="E2838">
        <f>-947.934818296444 -25.7098488575466 -254.685534728955</f>
        <v>-1228.3302018829456</v>
      </c>
      <c r="F2838">
        <f>-953.9847497347 -27.9438564897669 -343.548554264439</f>
        <v>-1325.4771604889058</v>
      </c>
      <c r="G2838">
        <f>-951.520304401148 -31.0096913051002 -432.558535363531</f>
        <v>-1415.0885310697793</v>
      </c>
      <c r="H2838">
        <f>-939.184980663397 -36.3702030697007 -556.412808830118</f>
        <v>-1531.9679925632158</v>
      </c>
      <c r="I2838">
        <f>-905.666261027902 -59.9685215891716 -628.694689418086</f>
        <v>-1594.3294720351596</v>
      </c>
      <c r="J2838">
        <f>-942.654984930026 -6.38966352977832 -502.911246769389</f>
        <v>-1451.9558952291932</v>
      </c>
      <c r="K2838" t="s">
        <v>58118</v>
      </c>
      <c r="L2838" t="s">
        <v>58119</v>
      </c>
      <c r="M2838" t="s">
        <v>58120</v>
      </c>
      <c r="N2838">
        <f>-946.571198075789 -61.6329896444327 -500.910188731113</f>
        <v>-1509.1143764513347</v>
      </c>
      <c r="O2838">
        <f>-960.412011781512 -194.328591373593 -467.78634547008</f>
        <v>-1622.526948625185</v>
      </c>
      <c r="P2838">
        <f>-955.781497665952 -238.244394168603 -176.85489297445</f>
        <v>-1370.880784809005</v>
      </c>
      <c r="Q2838">
        <f>-779.539772199169 -102.184341979235 -268.927738447853</f>
        <v>-1150.6518526262571</v>
      </c>
      <c r="R2838" t="s">
        <v>58121</v>
      </c>
      <c r="S2838" t="s">
        <v>58122</v>
      </c>
      <c r="T2838" t="s">
        <v>58123</v>
      </c>
      <c r="U2838" t="s">
        <v>58124</v>
      </c>
      <c r="V2838">
        <f>-883.402499317286 -117.848593362815 -52.0706750499626</f>
        <v>-1053.3217677300636</v>
      </c>
      <c r="W2838" t="s">
        <v>58125</v>
      </c>
      <c r="X2838" t="s">
        <v>58126</v>
      </c>
      <c r="Y2838" t="s">
        <v>58127</v>
      </c>
    </row>
    <row r="2839" spans="1:25" x14ac:dyDescent="0.3">
      <c r="A2839">
        <v>141900</v>
      </c>
      <c r="B2839" t="s">
        <v>58128</v>
      </c>
      <c r="C2839">
        <f>-889.087995370978 -22.8399230220284 -49.8179673069109</f>
        <v>-961.74588569991727</v>
      </c>
      <c r="D2839">
        <f>-932.317639601522 -24.3458853959355 -157.266204125457</f>
        <v>-1113.9297291229145</v>
      </c>
      <c r="E2839">
        <f>-948.094750070796 -26.1787842912845 -254.602765105529</f>
        <v>-1228.8762994676094</v>
      </c>
      <c r="F2839">
        <f>-954.2226834078 -28.4536266179161 -343.459496392227</f>
        <v>-1326.1358064179431</v>
      </c>
      <c r="G2839">
        <f>-951.841856939738 -31.5775918953004 -432.469657251206</f>
        <v>-1415.8891060862445</v>
      </c>
      <c r="H2839">
        <f>-939.628827952789 -37.041950063111 -556.331539693431</f>
        <v>-1533.002317709331</v>
      </c>
      <c r="I2839">
        <f>-906.179062467843 -60.6807271906864 -628.632015777385</f>
        <v>-1595.4918054359146</v>
      </c>
      <c r="J2839">
        <f>-943.008534921697 -7.0190456572509 -502.847851353506</f>
        <v>-1452.8754319324539</v>
      </c>
      <c r="K2839" t="s">
        <v>58129</v>
      </c>
      <c r="L2839" t="s">
        <v>58130</v>
      </c>
      <c r="M2839" t="s">
        <v>58131</v>
      </c>
      <c r="N2839">
        <f>-946.997315927057 -62.2556110896048 -500.804225056339</f>
        <v>-1510.0571520730009</v>
      </c>
      <c r="O2839">
        <f>-960.837059158235 -194.96861842951 -467.737541616868</f>
        <v>-1623.5432192046128</v>
      </c>
      <c r="P2839">
        <f>-956.073459209816 -238.913949211168 -176.812584430982</f>
        <v>-1371.799992851966</v>
      </c>
      <c r="Q2839">
        <f>-779.893063820395 -102.774702257704 -268.885464560644</f>
        <v>-1151.5532306387431</v>
      </c>
      <c r="R2839" t="s">
        <v>58132</v>
      </c>
      <c r="S2839" t="s">
        <v>58133</v>
      </c>
      <c r="T2839" t="s">
        <v>58134</v>
      </c>
      <c r="U2839" t="s">
        <v>58135</v>
      </c>
      <c r="V2839">
        <f>-883.294956840453 -118.255646154454 -52.0599140011349</f>
        <v>-1053.610516996042</v>
      </c>
      <c r="W2839" t="s">
        <v>58136</v>
      </c>
      <c r="X2839" t="s">
        <v>58137</v>
      </c>
      <c r="Y2839" t="s">
        <v>58138</v>
      </c>
    </row>
    <row r="2840" spans="1:25" x14ac:dyDescent="0.3">
      <c r="A2840">
        <v>141950</v>
      </c>
      <c r="B2840" t="s">
        <v>58139</v>
      </c>
      <c r="C2840">
        <f>-889.037947261809 -23.0657448986371 -49.7605657732698</f>
        <v>-961.86425793371598</v>
      </c>
      <c r="D2840">
        <f>-932.330069472346 -24.5762460082874 -157.183660779177</f>
        <v>-1114.0899762598106</v>
      </c>
      <c r="E2840">
        <f>-948.173266457458 -26.4156873583474 -254.509322316986</f>
        <v>-1229.0982761327914</v>
      </c>
      <c r="F2840">
        <f>-954.366490708817 -28.7018622304672 -343.361296264138</f>
        <v>-1326.4296492034223</v>
      </c>
      <c r="G2840">
        <f>-952.055387661174 -31.8452303457107 -432.37257912631</f>
        <v>-1416.2731971331946</v>
      </c>
      <c r="H2840">
        <f>-939.94511497149 -37.3476547333028 -556.243015112659</f>
        <v>-1533.5357848174517</v>
      </c>
      <c r="I2840">
        <f>-906.548329831146 -61.0129231195981 -628.559076033646</f>
        <v>-1596.1203289843902</v>
      </c>
      <c r="J2840">
        <f>-943.256947461398 -7.30996590940367 -502.763159025815</f>
        <v>-1453.3300723966167</v>
      </c>
      <c r="K2840" t="s">
        <v>58140</v>
      </c>
      <c r="L2840" t="s">
        <v>58141</v>
      </c>
      <c r="M2840" t="s">
        <v>58142</v>
      </c>
      <c r="N2840">
        <f>-947.291974222871 -62.542639521514 -500.704205324333</f>
        <v>-1510.5388190687181</v>
      </c>
      <c r="O2840">
        <f>-961.155751337497 -195.269817618781 -467.676411562148</f>
        <v>-1624.101980518426</v>
      </c>
      <c r="P2840">
        <f>-956.333293059383 -239.203641328148 -176.750737416117</f>
        <v>-1372.287671803648</v>
      </c>
      <c r="Q2840">
        <f>-780.091148232255 -103.164211068967 -268.853150681334</f>
        <v>-1152.1085099825559</v>
      </c>
      <c r="R2840" t="s">
        <v>58143</v>
      </c>
      <c r="S2840" t="s">
        <v>58144</v>
      </c>
      <c r="T2840" t="s">
        <v>58145</v>
      </c>
      <c r="U2840" t="s">
        <v>58146</v>
      </c>
      <c r="V2840">
        <f>-883.228377865085 -118.518469786445 -52.0299219255714</f>
        <v>-1053.7767695771015</v>
      </c>
      <c r="W2840" t="s">
        <v>58147</v>
      </c>
      <c r="X2840" t="s">
        <v>58148</v>
      </c>
      <c r="Y2840" t="s">
        <v>58149</v>
      </c>
    </row>
    <row r="2841" spans="1:25" x14ac:dyDescent="0.3">
      <c r="A2841">
        <v>142000</v>
      </c>
      <c r="B2841" t="s">
        <v>58150</v>
      </c>
      <c r="C2841">
        <f>-889.029086863415 -23.6319871820974 -49.6164404963708</f>
        <v>-962.27751454188331</v>
      </c>
      <c r="D2841">
        <f>-932.451093045084 -25.1277137691086 -156.987462698975</f>
        <v>-1114.5662695131675</v>
      </c>
      <c r="E2841">
        <f>-948.454713109782 -26.9473862946065 -254.286986098271</f>
        <v>-1229.6890855026595</v>
      </c>
      <c r="F2841">
        <f>-954.812075673242 -29.2191168029394 -343.127712569365</f>
        <v>-1327.1589050455464</v>
      </c>
      <c r="G2841">
        <f>-952.683794569769 -32.3553571892962 -432.143899669003</f>
        <v>-1417.1830514280682</v>
      </c>
      <c r="H2841">
        <f>-940.847223090587 -37.858960659777 -556.040664333825</f>
        <v>-1534.746848084189</v>
      </c>
      <c r="I2841">
        <f>-907.558172279891 -61.5470380929989 -628.399077134079</f>
        <v>-1597.5042875069689</v>
      </c>
      <c r="J2841">
        <f>-943.996205607894 -7.82392177778638 -502.549695118699</f>
        <v>-1454.3698225043795</v>
      </c>
      <c r="K2841" t="s">
        <v>58151</v>
      </c>
      <c r="L2841" t="s">
        <v>58152</v>
      </c>
      <c r="M2841" t="s">
        <v>58153</v>
      </c>
      <c r="N2841">
        <f>-948.116006320051 -63.05028535308 -500.490010327008</f>
        <v>-1511.656302000139</v>
      </c>
      <c r="O2841">
        <f>-962.022615255288 -195.790374382066 -467.562181636003</f>
        <v>-1625.375171273357</v>
      </c>
      <c r="P2841">
        <f>-957.051465786629 -239.785107813081 -176.648157963234</f>
        <v>-1373.484731562944</v>
      </c>
      <c r="Q2841">
        <f>-780.712158696468 -103.893355249402 -268.782372644163</f>
        <v>-1153.3878865900331</v>
      </c>
      <c r="R2841" t="s">
        <v>58154</v>
      </c>
      <c r="S2841" t="s">
        <v>58155</v>
      </c>
      <c r="T2841" t="s">
        <v>58156</v>
      </c>
      <c r="U2841" t="s">
        <v>58157</v>
      </c>
      <c r="V2841">
        <f>-883.195087947857 -119.180378283926 -51.9207248387758</f>
        <v>-1054.2961910705587</v>
      </c>
      <c r="W2841" t="s">
        <v>58158</v>
      </c>
      <c r="X2841" t="s">
        <v>58159</v>
      </c>
      <c r="Y2841" t="s">
        <v>58160</v>
      </c>
    </row>
    <row r="2842" spans="1:25" x14ac:dyDescent="0.3">
      <c r="A2842">
        <v>142050</v>
      </c>
      <c r="B2842" t="s">
        <v>58161</v>
      </c>
      <c r="C2842">
        <f>-889.020498525714 -23.9599281599244 -49.5395192055017</f>
        <v>-962.51994589114008</v>
      </c>
      <c r="D2842">
        <f>-932.507211467263 -25.4607973355396 -156.884146253988</f>
        <v>-1114.8521550567907</v>
      </c>
      <c r="E2842">
        <f>-948.590459426175 -27.2683205070243 -254.170920632587</f>
        <v>-1230.0297005657862</v>
      </c>
      <c r="F2842">
        <f>-955.028364875503 -29.5248262243263 -343.006272058643</f>
        <v>-1327.5594631584722</v>
      </c>
      <c r="G2842">
        <f>-952.988927737423 -32.6427895237885 -432.025054703879</f>
        <v>-1417.6567719650905</v>
      </c>
      <c r="H2842">
        <f>-941.285362501645 -38.1192805384364 -555.935672125118</f>
        <v>-1535.3403151651994</v>
      </c>
      <c r="I2842">
        <f>-908.045201006972 -61.8106101167398 -628.31551163974</f>
        <v>-1598.1713227634518</v>
      </c>
      <c r="J2842">
        <f>-944.359152288342 -8.09711458201582 -502.433087421643</f>
        <v>-1454.8893542920009</v>
      </c>
      <c r="K2842" t="s">
        <v>58162</v>
      </c>
      <c r="L2842" t="s">
        <v>58163</v>
      </c>
      <c r="M2842" t="s">
        <v>58164</v>
      </c>
      <c r="N2842">
        <f>-948.512011549223 -63.3215032364719 -500.384513810439</f>
        <v>-1512.218028596134</v>
      </c>
      <c r="O2842">
        <f>-962.446313974208 -196.080677216083 -467.517563925646</f>
        <v>-1626.0445551159371</v>
      </c>
      <c r="P2842">
        <f>-957.395851119509 -240.159228686606 -176.617583222265</f>
        <v>-1374.1726630283799</v>
      </c>
      <c r="Q2842">
        <f>-781.014651867493 -104.315656547248 -268.742555398339</f>
        <v>-1154.0728638130799</v>
      </c>
      <c r="R2842" t="s">
        <v>58165</v>
      </c>
      <c r="S2842" t="s">
        <v>58166</v>
      </c>
      <c r="T2842" t="s">
        <v>58167</v>
      </c>
      <c r="U2842" t="s">
        <v>58168</v>
      </c>
      <c r="V2842">
        <f>-883.183456460364 -119.540739270835 -51.8470893268801</f>
        <v>-1054.5712850580792</v>
      </c>
      <c r="W2842" t="s">
        <v>58169</v>
      </c>
      <c r="X2842" t="s">
        <v>58170</v>
      </c>
      <c r="Y2842" t="s">
        <v>58171</v>
      </c>
    </row>
    <row r="2843" spans="1:25" x14ac:dyDescent="0.3">
      <c r="A2843">
        <v>142100</v>
      </c>
      <c r="B2843" t="s">
        <v>58172</v>
      </c>
      <c r="C2843">
        <f>-889.254155759311 -24.4266579592418 -49.3527558238254</f>
        <v>-963.03356954237813</v>
      </c>
      <c r="D2843">
        <f>-932.812137129024 -25.9377211766187 -156.668558040443</f>
        <v>-1115.4184163460857</v>
      </c>
      <c r="E2843">
        <f>-949.021728411888 -27.7191789168251 -253.934692985057</f>
        <v>-1230.67560031377</v>
      </c>
      <c r="F2843">
        <f>-955.600556105105 -29.9395335164527 -342.760626796329</f>
        <v>-1328.3007164178866</v>
      </c>
      <c r="G2843">
        <f>-953.726926223686 -33.0100926338318 -431.784669639769</f>
        <v>-1418.5216884972867</v>
      </c>
      <c r="H2843">
        <f>-942.279990111649 -38.4097190501241 -555.722773506017</f>
        <v>-1536.4124826677901</v>
      </c>
      <c r="I2843">
        <f>-909.156917584408 -62.0621243344408 -628.168992949336</f>
        <v>-1599.3880348681848</v>
      </c>
      <c r="J2843">
        <f>-945.209395802706 -8.42336938674725 -502.192103759858</f>
        <v>-1455.8248689493112</v>
      </c>
      <c r="K2843" t="s">
        <v>58173</v>
      </c>
      <c r="L2843" t="s">
        <v>58174</v>
      </c>
      <c r="M2843" t="s">
        <v>58175</v>
      </c>
      <c r="N2843">
        <f>-949.425018698929 -63.6439208241968 -500.175519250038</f>
        <v>-1513.2444587731638</v>
      </c>
      <c r="O2843">
        <f>-963.410332186491 -196.433896281232 -467.454240726187</f>
        <v>-1627.29846919391</v>
      </c>
      <c r="P2843">
        <f>-958.150913488475 -240.689053318727 -176.584863068292</f>
        <v>-1375.424829875494</v>
      </c>
      <c r="Q2843">
        <f>-781.824885491797 -104.781833494306 -268.721923682544</f>
        <v>-1155.328642668647</v>
      </c>
      <c r="R2843" t="s">
        <v>58176</v>
      </c>
      <c r="S2843" t="s">
        <v>58177</v>
      </c>
      <c r="T2843" t="s">
        <v>58178</v>
      </c>
      <c r="U2843" t="s">
        <v>58179</v>
      </c>
      <c r="V2843">
        <f>-883.398449379314 -120.09653509648 -51.6814073389639</f>
        <v>-1055.1763918147578</v>
      </c>
      <c r="W2843" t="s">
        <v>58180</v>
      </c>
      <c r="X2843" t="s">
        <v>58181</v>
      </c>
      <c r="Y2843" t="s">
        <v>58182</v>
      </c>
    </row>
    <row r="2844" spans="1:25" x14ac:dyDescent="0.3">
      <c r="A2844">
        <v>142150</v>
      </c>
      <c r="B2844" t="s">
        <v>58183</v>
      </c>
      <c r="C2844">
        <f>-889.416941246339 -24.6006954422005 -49.2881429884978</f>
        <v>-963.30577967703732</v>
      </c>
      <c r="D2844">
        <f>-932.979884711061 -26.1303412009393 -156.601424368467</f>
        <v>-1115.7116502804672</v>
      </c>
      <c r="E2844">
        <f>-949.23759593464 -27.9119779259759 -253.859642274641</f>
        <v>-1231.0092161352568</v>
      </c>
      <c r="F2844">
        <f>-955.877430292126 -30.1252006619702 -342.681174843286</f>
        <v>-1328.6838057973821</v>
      </c>
      <c r="G2844">
        <f>-954.081984605052 -33.1814716170561 -431.707477426893</f>
        <v>-1418.9709336490009</v>
      </c>
      <c r="H2844">
        <f>-942.761332038813 -38.5533921692345 -555.658339450921</f>
        <v>-1536.9730636589684</v>
      </c>
      <c r="I2844">
        <f>-909.702572970517 -62.1647988497562 -628.147175525028</f>
        <v>-1600.0145473453013</v>
      </c>
      <c r="J2844">
        <f>-945.625614771222 -8.57968119709312 -502.116929883403</f>
        <v>-1456.322225851718</v>
      </c>
      <c r="K2844" t="s">
        <v>58184</v>
      </c>
      <c r="L2844" t="s">
        <v>58185</v>
      </c>
      <c r="M2844" t="s">
        <v>58186</v>
      </c>
      <c r="N2844">
        <f>-949.860126160396 -63.7992618558817 -500.110461003686</f>
        <v>-1513.7698490199637</v>
      </c>
      <c r="O2844">
        <f>-963.823271517795 -196.597349465904 -467.429956654964</f>
        <v>-1627.8505776386628</v>
      </c>
      <c r="P2844">
        <f>-958.516411667073 -240.933763202007 -176.573692980813</f>
        <v>-1376.0238678498931</v>
      </c>
      <c r="Q2844">
        <f>-782.280377167893 -104.914783677783 -268.718279075301</f>
        <v>-1155.913439920977</v>
      </c>
      <c r="R2844" t="s">
        <v>58187</v>
      </c>
      <c r="S2844" t="s">
        <v>58188</v>
      </c>
      <c r="T2844" t="s">
        <v>58189</v>
      </c>
      <c r="U2844" t="s">
        <v>58190</v>
      </c>
      <c r="V2844">
        <f>-883.543069334528 -120.285743799806 -51.6080174836223</f>
        <v>-1055.4368306179563</v>
      </c>
      <c r="W2844" t="s">
        <v>58191</v>
      </c>
      <c r="X2844" t="s">
        <v>58192</v>
      </c>
      <c r="Y2844" t="s">
        <v>58193</v>
      </c>
    </row>
    <row r="2845" spans="1:25" x14ac:dyDescent="0.3">
      <c r="A2845">
        <v>142200</v>
      </c>
      <c r="B2845" t="s">
        <v>58194</v>
      </c>
      <c r="C2845">
        <f>-889.63294502868 -24.8976462217379 -49.2300939279726</f>
        <v>-963.76068517839042</v>
      </c>
      <c r="D2845">
        <f>-933.2329995781 -26.5241610931294 -156.527006925629</f>
        <v>-1116.2841675968584</v>
      </c>
      <c r="E2845">
        <f>-949.606413060075 -28.3476734877677 -253.7650091672</f>
        <v>-1231.7190957150428</v>
      </c>
      <c r="F2845">
        <f>-956.384205731895 -30.5816881496467 -342.575593220574</f>
        <v>-1329.5414871021158</v>
      </c>
      <c r="G2845">
        <f>-954.759851806862 -33.6417601965527 -431.605110409277</f>
        <v>-1420.0067224126917</v>
      </c>
      <c r="H2845">
        <f>-943.710286482772 -39.0014542742003 -555.580764810969</f>
        <v>-1538.2925055679411</v>
      </c>
      <c r="I2845">
        <f>-910.776338900563 -62.521706374474 -628.156168468211</f>
        <v>-1601.4542137432481</v>
      </c>
      <c r="J2845">
        <f>-946.445247038387 -9.03397871814195 -502.029182302471</f>
        <v>-1457.508408059</v>
      </c>
      <c r="K2845" t="s">
        <v>58195</v>
      </c>
      <c r="L2845" t="s">
        <v>58196</v>
      </c>
      <c r="M2845" t="s">
        <v>58197</v>
      </c>
      <c r="N2845">
        <f>-950.699933998596 -64.2520178313962 -500.021312983899</f>
        <v>-1514.9732648138911</v>
      </c>
      <c r="O2845">
        <f>-964.599973232948 -197.064605374736 -467.386400598989</f>
        <v>-1629.050979206673</v>
      </c>
      <c r="P2845">
        <f>-959.115787278866 -241.446062763365 -176.540242950788</f>
        <v>-1377.1020929930191</v>
      </c>
      <c r="Q2845">
        <f>-783.045526655162 -105.161835925077 -268.609637267365</f>
        <v>-1156.8169998476039</v>
      </c>
      <c r="R2845" t="s">
        <v>58198</v>
      </c>
      <c r="S2845" t="s">
        <v>58199</v>
      </c>
      <c r="T2845" t="s">
        <v>58200</v>
      </c>
      <c r="U2845" t="s">
        <v>58201</v>
      </c>
      <c r="V2845">
        <f>-883.698279201966 -120.560968779004 -51.5059498850327</f>
        <v>-1055.7651978660028</v>
      </c>
      <c r="W2845" t="s">
        <v>58202</v>
      </c>
      <c r="X2845" t="s">
        <v>58203</v>
      </c>
      <c r="Y2845" t="s">
        <v>58204</v>
      </c>
    </row>
    <row r="2846" spans="1:25" x14ac:dyDescent="0.3">
      <c r="A2846">
        <v>142250</v>
      </c>
      <c r="B2846" t="s">
        <v>58205</v>
      </c>
      <c r="C2846">
        <f>-889.759977978699 -24.8863717348409 -49.2230590598864</f>
        <v>-963.86940877342624</v>
      </c>
      <c r="D2846">
        <f>-933.381981480544 -26.5886032002632 -156.509842556546</f>
        <v>-1116.4804272373531</v>
      </c>
      <c r="E2846">
        <f>-949.8110207284 -28.4562817489332 -253.737736395685</f>
        <v>-1232.0050388730181</v>
      </c>
      <c r="F2846">
        <f>-956.653933062692 -30.7224724470161 -342.542327170973</f>
        <v>-1329.9187326806812</v>
      </c>
      <c r="G2846">
        <f>-955.108177680985 -33.8074356946831 -431.572400079896</f>
        <v>-1420.4880134555642</v>
      </c>
      <c r="H2846">
        <f>-944.183385060805 -39.1941033637479 -555.558064411983</f>
        <v>-1538.9355528365359</v>
      </c>
      <c r="I2846">
        <f>-911.306588408658 -62.676881410116 -628.171483869282</f>
        <v>-1602.1549536880561</v>
      </c>
      <c r="J2846">
        <f>-946.865015020405 -9.21494412239099 -502.010218986184</f>
        <v>-1458.0901781289799</v>
      </c>
      <c r="K2846" t="s">
        <v>58206</v>
      </c>
      <c r="L2846" t="s">
        <v>58207</v>
      </c>
      <c r="M2846" t="s">
        <v>58208</v>
      </c>
      <c r="N2846">
        <f>-951.116917392159 -64.4325563234515 -499.985962933442</f>
        <v>-1515.5354366490526</v>
      </c>
      <c r="O2846">
        <f>-964.943372998439 -197.24996730907 -467.338109165878</f>
        <v>-1629.5314494733871</v>
      </c>
      <c r="P2846">
        <f>-959.338425956537 -241.544024589873 -176.481077295079</f>
        <v>-1377.363527841489</v>
      </c>
      <c r="Q2846">
        <f>-783.37431643989 -105.121370301217 -268.547820306216</f>
        <v>-1157.0435070473229</v>
      </c>
      <c r="R2846" t="s">
        <v>58209</v>
      </c>
      <c r="S2846" t="s">
        <v>58210</v>
      </c>
      <c r="T2846" t="s">
        <v>58211</v>
      </c>
      <c r="U2846" t="s">
        <v>58212</v>
      </c>
      <c r="V2846">
        <f>-883.719014060476 -120.566697744962 -51.4768005627385</f>
        <v>-1055.7625123681764</v>
      </c>
      <c r="W2846" t="s">
        <v>58213</v>
      </c>
      <c r="X2846" t="s">
        <v>58214</v>
      </c>
      <c r="Y2846" t="s">
        <v>58215</v>
      </c>
    </row>
    <row r="2847" spans="1:25" x14ac:dyDescent="0.3">
      <c r="A2847">
        <v>142300</v>
      </c>
      <c r="B2847" t="s">
        <v>58216</v>
      </c>
      <c r="C2847">
        <f>-889.941152870027 -24.8835363214262 -49.2396454558326</f>
        <v>-964.06433464728582</v>
      </c>
      <c r="D2847">
        <f>-933.618566858921 -26.7435301691162 -156.5010924599</f>
        <v>-1116.8631894879372</v>
      </c>
      <c r="E2847">
        <f>-950.140581988379 -28.7396845386643 -253.710627359886</f>
        <v>-1232.5908938869293</v>
      </c>
      <c r="F2847">
        <f>-957.085119306468 -31.120091267705 -342.504602500881</f>
        <v>-1330.7098130750539</v>
      </c>
      <c r="G2847">
        <f>-955.658702531714 -34.3168977386135 -431.532540148871</f>
        <v>-1421.5081404191985</v>
      </c>
      <c r="H2847">
        <f>-944.917453579616 -39.8573629079851 -555.527463278846</f>
        <v>-1540.3022797664471</v>
      </c>
      <c r="I2847">
        <f>-912.136856403721 -63.2909381332825 -628.20030174158</f>
        <v>-1603.6280962785836</v>
      </c>
      <c r="J2847">
        <f>-947.547274452832 -9.80971631307102 -502.015600306392</f>
        <v>-1459.3725910722951</v>
      </c>
      <c r="K2847" t="s">
        <v>58217</v>
      </c>
      <c r="L2847" t="s">
        <v>58218</v>
      </c>
      <c r="M2847" t="s">
        <v>58219</v>
      </c>
      <c r="N2847">
        <f>-951.740995700764 -65.0287620141839 -499.911358693692</f>
        <v>-1516.6811164086398</v>
      </c>
      <c r="O2847">
        <f>-965.329404736257 -197.842780581943 -467.147647440711</f>
        <v>-1630.3198327589112</v>
      </c>
      <c r="P2847">
        <f>-959.368799746122 -241.830103495014 -176.251028977207</f>
        <v>-1377.4499322183431</v>
      </c>
      <c r="Q2847">
        <f>-783.658298239844 -105.171768577912 -268.452484127192</f>
        <v>-1157.2825509449481</v>
      </c>
      <c r="R2847" t="s">
        <v>58220</v>
      </c>
      <c r="S2847" t="s">
        <v>58221</v>
      </c>
      <c r="T2847" t="s">
        <v>58222</v>
      </c>
      <c r="U2847" t="s">
        <v>58223</v>
      </c>
      <c r="V2847">
        <f>-883.747198729563 -120.572106679667 -51.4361580716572</f>
        <v>-1055.7554634808873</v>
      </c>
      <c r="W2847" t="s">
        <v>58224</v>
      </c>
      <c r="X2847" t="s">
        <v>58225</v>
      </c>
      <c r="Y2847" t="s">
        <v>58226</v>
      </c>
    </row>
    <row r="2848" spans="1:25" x14ac:dyDescent="0.3">
      <c r="A2848">
        <v>142350</v>
      </c>
      <c r="B2848" t="s">
        <v>58227</v>
      </c>
      <c r="C2848">
        <f>-889.967674757318 -24.9715396628294 -49.2418852402664</f>
        <v>-964.18109966041379</v>
      </c>
      <c r="D2848">
        <f>-933.66772103696 -26.8968743804321 -156.493187797783</f>
        <v>-1117.057783215175</v>
      </c>
      <c r="E2848">
        <f>-950.226361543884 -28.9674811796631 -253.694860303242</f>
        <v>-1232.888703026789</v>
      </c>
      <c r="F2848">
        <f>-957.211769742835 -31.4222371373662 -342.483515206168</f>
        <v>-1331.1175220863693</v>
      </c>
      <c r="G2848">
        <f>-955.833822216856 -34.6996044834036 -431.509380905079</f>
        <v>-1422.0428076053386</v>
      </c>
      <c r="H2848">
        <f>-945.167793692324 -40.3589379975147 -555.50537159127</f>
        <v>-1541.0321032811087</v>
      </c>
      <c r="I2848">
        <f>-912.428560586403 -63.7788810127436 -628.201167171547</f>
        <v>-1604.4086087706937</v>
      </c>
      <c r="J2848">
        <f>-947.786419556539 -10.2584774496472 -502.022557684766</f>
        <v>-1460.0674546909522</v>
      </c>
      <c r="K2848" t="s">
        <v>58228</v>
      </c>
      <c r="L2848" t="s">
        <v>58229</v>
      </c>
      <c r="M2848" t="s">
        <v>58230</v>
      </c>
      <c r="N2848">
        <f>-951.936103681192 -65.4786288929829 -499.85910380864</f>
        <v>-1517.2738363828148</v>
      </c>
      <c r="O2848">
        <f>-965.36445292339 -198.281369897109 -466.986288280933</f>
        <v>-1630.632111101432</v>
      </c>
      <c r="P2848">
        <f>-959.175999652653 -242.046206591542 -176.060910279903</f>
        <v>-1377.283116524098</v>
      </c>
      <c r="Q2848">
        <f>-783.644459302769 -105.261459070814 -268.416200883324</f>
        <v>-1157.3221192569069</v>
      </c>
      <c r="R2848" t="s">
        <v>58231</v>
      </c>
      <c r="S2848" t="s">
        <v>58232</v>
      </c>
      <c r="T2848" t="s">
        <v>58233</v>
      </c>
      <c r="U2848" t="s">
        <v>58234</v>
      </c>
      <c r="V2848">
        <f>-883.739266424742 -120.653761631598 -51.4098834557276</f>
        <v>-1055.8029115120676</v>
      </c>
      <c r="W2848" t="s">
        <v>58235</v>
      </c>
      <c r="X2848" t="s">
        <v>58236</v>
      </c>
      <c r="Y2848" t="s">
        <v>58237</v>
      </c>
    </row>
    <row r="2849" spans="1:25" x14ac:dyDescent="0.3">
      <c r="A2849">
        <v>142400</v>
      </c>
      <c r="B2849" t="s">
        <v>58238</v>
      </c>
      <c r="C2849">
        <f>-890.134365642709 -25.029277561101 -49.2538946710114</f>
        <v>-964.41753787482139</v>
      </c>
      <c r="D2849">
        <f>-933.898056704548 -27.1124411104743 -156.476211405218</f>
        <v>-1117.4867092202403</v>
      </c>
      <c r="E2849">
        <f>-950.583055678717 -29.3457094870723 -253.652758886426</f>
        <v>-1233.5815240522152</v>
      </c>
      <c r="F2849">
        <f>-957.71174772156 -31.9575388522285 -342.425486081618</f>
        <v>-1332.0947726554064</v>
      </c>
      <c r="G2849">
        <f>-956.50600577089 -35.399890161701 -431.447538108076</f>
        <v>-1423.353434040667</v>
      </c>
      <c r="H2849">
        <f>-946.110053148715 -41.297072864957 -555.45553164873</f>
        <v>-1542.8626576624019</v>
      </c>
      <c r="I2849">
        <f>-913.464691443852 -64.7385402509387 -628.186497462102</f>
        <v>-1606.3897291568928</v>
      </c>
      <c r="J2849">
        <f>-948.653703062507 -11.0912067859854 -502.028493768795</f>
        <v>-1461.7734036172874</v>
      </c>
      <c r="K2849" t="s">
        <v>58239</v>
      </c>
      <c r="L2849" t="s">
        <v>58240</v>
      </c>
      <c r="M2849" t="s">
        <v>58241</v>
      </c>
      <c r="N2849">
        <f>-952.71561498496 -66.3128277917024 -499.743079669983</f>
        <v>-1518.7715224466453</v>
      </c>
      <c r="O2849">
        <f>-965.842287076229 -199.089680067431 -466.633043193997</f>
        <v>-1631.5650103376572</v>
      </c>
      <c r="P2849">
        <f>-959.143655578944 -242.317419348433 -175.638659627642</f>
        <v>-1377.099734555019</v>
      </c>
      <c r="Q2849">
        <f>-784.051506043389 -105.213248517316 -268.353915580803</f>
        <v>-1157.6186701415081</v>
      </c>
      <c r="R2849" t="s">
        <v>58242</v>
      </c>
      <c r="S2849" t="s">
        <v>58243</v>
      </c>
      <c r="T2849" t="s">
        <v>58244</v>
      </c>
      <c r="U2849" t="s">
        <v>58245</v>
      </c>
      <c r="V2849">
        <f>-883.742552201689 -120.699807605645 -51.3697298597015</f>
        <v>-1055.8120896670355</v>
      </c>
      <c r="W2849" t="s">
        <v>58246</v>
      </c>
      <c r="X2849" t="s">
        <v>58247</v>
      </c>
      <c r="Y2849" t="s">
        <v>58248</v>
      </c>
    </row>
    <row r="2850" spans="1:25" x14ac:dyDescent="0.3">
      <c r="A2850">
        <v>142450</v>
      </c>
      <c r="B2850" t="s">
        <v>58249</v>
      </c>
      <c r="C2850">
        <f>-890.226326471114 -25.0076864853404 -49.2719181240735</f>
        <v>-964.50593108052794</v>
      </c>
      <c r="D2850">
        <f>-934.018974799337 -27.168974536206 -156.480869339292</f>
        <v>-1117.6688186748349</v>
      </c>
      <c r="E2850">
        <f>-950.762840802624 -29.4795362272303 -253.645409004025</f>
        <v>-1233.8877860338794</v>
      </c>
      <c r="F2850">
        <f>-957.958991000828 -32.1647432567279 -342.4105666612</f>
        <v>-1332.5343009187559</v>
      </c>
      <c r="G2850">
        <f>-956.834189346531 -35.6833482166594 -431.430739080183</f>
        <v>-1423.9482766433734</v>
      </c>
      <c r="H2850">
        <f>-946.565823371635 -41.688945641617 -555.444090263237</f>
        <v>-1543.698859276489</v>
      </c>
      <c r="I2850">
        <f>-913.956298427884 -65.1712550007271 -628.178060598654</f>
        <v>-1607.3056140272652</v>
      </c>
      <c r="J2850">
        <f>-949.070894873381 -11.4350739542933 -502.042298026851</f>
        <v>-1462.5482668545253</v>
      </c>
      <c r="K2850" t="s">
        <v>58250</v>
      </c>
      <c r="L2850" t="s">
        <v>58251</v>
      </c>
      <c r="M2850" t="s">
        <v>58252</v>
      </c>
      <c r="N2850">
        <f>-953.097922495481 -66.6572490335686 -499.701519469161</f>
        <v>-1519.4566909982107</v>
      </c>
      <c r="O2850">
        <f>-966.094597249393 -199.420048047038 -466.471743711143</f>
        <v>-1631.986389007574</v>
      </c>
      <c r="P2850">
        <f>-959.106097865719 -242.437071221417 -175.452924014707</f>
        <v>-1376.9960931018429</v>
      </c>
      <c r="Q2850">
        <f>-784.251439250489 -105.147123989973 -268.341212795253</f>
        <v>-1157.7397760357151</v>
      </c>
      <c r="R2850" t="s">
        <v>58253</v>
      </c>
      <c r="S2850" t="s">
        <v>58254</v>
      </c>
      <c r="T2850" t="s">
        <v>58255</v>
      </c>
      <c r="U2850" t="s">
        <v>58256</v>
      </c>
      <c r="V2850">
        <f>-883.742955485545 -120.690592825874 -51.3575393334194</f>
        <v>-1055.7910876448384</v>
      </c>
      <c r="W2850" t="s">
        <v>58257</v>
      </c>
      <c r="X2850" t="s">
        <v>58258</v>
      </c>
      <c r="Y2850" t="s">
        <v>58259</v>
      </c>
    </row>
    <row r="2851" spans="1:25" x14ac:dyDescent="0.3">
      <c r="A2851">
        <v>142500</v>
      </c>
      <c r="B2851" t="s">
        <v>58260</v>
      </c>
      <c r="C2851">
        <f>-890.438060798585 -24.8508198084214 -49.3342047082326</f>
        <v>-964.623085315239</v>
      </c>
      <c r="D2851">
        <f>-934.285584378157 -27.1249053745855 -156.518447100201</f>
        <v>-1117.9289368529435</v>
      </c>
      <c r="E2851">
        <f>-951.091392899245 -29.5465308201856 -253.669558347748</f>
        <v>-1234.3074820671786</v>
      </c>
      <c r="F2851">
        <f>-958.34907531145 -32.3345206450522 -342.426513508751</f>
        <v>-1333.1101094652531</v>
      </c>
      <c r="G2851">
        <f>-957.291119839717 -35.9558893384719 -431.443429822357</f>
        <v>-1424.6904390005459</v>
      </c>
      <c r="H2851">
        <f>-947.120876644831 -42.1032478305224 -555.457833427639</f>
        <v>-1544.6819579029925</v>
      </c>
      <c r="I2851">
        <f>-914.534915124263 -65.6752408905149 -628.173396195836</f>
        <v>-1608.3835522106137</v>
      </c>
      <c r="J2851">
        <f>-949.620049947978 -11.7859203965936 -502.091884926908</f>
        <v>-1463.4978552714797</v>
      </c>
      <c r="K2851" t="s">
        <v>58261</v>
      </c>
      <c r="L2851" t="s">
        <v>58262</v>
      </c>
      <c r="M2851" t="s">
        <v>58263</v>
      </c>
      <c r="N2851">
        <f>-953.572265555903 -67.0101548342238 -499.678650981241</f>
        <v>-1520.2610713713677</v>
      </c>
      <c r="O2851">
        <f>-966.390497906098 -199.738176728825 -466.22393740813</f>
        <v>-1632.3526120430529</v>
      </c>
      <c r="P2851">
        <f>-958.819757346179 -242.304610643198 -175.153501530708</f>
        <v>-1376.277869520085</v>
      </c>
      <c r="Q2851">
        <f>-784.331703514282 -104.823993274118 -268.448562126119</f>
        <v>-1157.6042589145191</v>
      </c>
      <c r="R2851" t="s">
        <v>58264</v>
      </c>
      <c r="S2851" t="s">
        <v>58265</v>
      </c>
      <c r="T2851" t="s">
        <v>58266</v>
      </c>
      <c r="U2851" t="s">
        <v>58267</v>
      </c>
      <c r="V2851">
        <f>-883.84970258409 -120.477757265093 -51.3597992881012</f>
        <v>-1055.6872591372842</v>
      </c>
      <c r="W2851" t="s">
        <v>58268</v>
      </c>
      <c r="X2851" t="s">
        <v>58269</v>
      </c>
      <c r="Y2851" t="s">
        <v>58270</v>
      </c>
    </row>
    <row r="2852" spans="1:25" x14ac:dyDescent="0.3">
      <c r="A2852">
        <v>142550</v>
      </c>
      <c r="B2852" t="s">
        <v>58271</v>
      </c>
      <c r="C2852">
        <f>-890.554557012748 -24.7728013245078 -49.3738856920504</f>
        <v>-964.70124402930617</v>
      </c>
      <c r="D2852">
        <f>-934.386291329978 -27.0613761500094 -156.564129690245</f>
        <v>-1118.0117971702325</v>
      </c>
      <c r="E2852">
        <f>-951.055564453672 -29.4697929379718 -253.739150173691</f>
        <v>-1234.2645075653347</v>
      </c>
      <c r="F2852">
        <f>-958.137440679481 -32.2327459090238 -342.511167961906</f>
        <v>-1332.8813545504108</v>
      </c>
      <c r="G2852">
        <f>-956.851514347493 -35.8135247072769 -431.526655632344</f>
        <v>-1424.1916946871138</v>
      </c>
      <c r="H2852">
        <f>-946.308869245729 -41.8859844393435 -555.513747826671</f>
        <v>-1543.7086015117434</v>
      </c>
      <c r="I2852">
        <f>-913.544368973967 -65.4368779192846 -628.15579124691</f>
        <v>-1607.1370381401616</v>
      </c>
      <c r="J2852">
        <f>-949.020842568957 -11.5974069500189 -502.141738796325</f>
        <v>-1462.7599883153009</v>
      </c>
      <c r="K2852" t="s">
        <v>58272</v>
      </c>
      <c r="L2852" t="s">
        <v>58273</v>
      </c>
      <c r="M2852" t="s">
        <v>58274</v>
      </c>
      <c r="N2852">
        <f>-952.875403851802 -66.8300826896061 -499.764455614466</f>
        <v>-1519.4699421558742</v>
      </c>
      <c r="O2852">
        <f>-965.648262262225 -199.554610227916 -466.208414107164</f>
        <v>-1631.4112865973052</v>
      </c>
      <c r="P2852">
        <f>-957.756184296281 -241.913881283586 -175.116265516238</f>
        <v>-1374.786331096105</v>
      </c>
      <c r="Q2852">
        <f>-783.403391621102 -104.377655496724 -268.581943246161</f>
        <v>-1156.3629903639869</v>
      </c>
      <c r="R2852" t="s">
        <v>58275</v>
      </c>
      <c r="S2852" t="s">
        <v>58276</v>
      </c>
      <c r="T2852" t="s">
        <v>58277</v>
      </c>
      <c r="U2852" t="s">
        <v>58278</v>
      </c>
      <c r="V2852">
        <f>-883.927615273702 -120.378393463618 -51.3730035332172</f>
        <v>-1055.6790122705372</v>
      </c>
      <c r="W2852" t="s">
        <v>58279</v>
      </c>
      <c r="X2852" t="s">
        <v>58280</v>
      </c>
      <c r="Y2852" t="s">
        <v>58281</v>
      </c>
    </row>
    <row r="2853" spans="1:25" x14ac:dyDescent="0.3">
      <c r="A2853">
        <v>142600</v>
      </c>
      <c r="B2853" t="s">
        <v>58282</v>
      </c>
      <c r="C2853">
        <f>-890.641323686515 -24.6438010689576 -49.5087077578539</f>
        <v>-964.79383251332649</v>
      </c>
      <c r="D2853">
        <f>-934.469487428044 -26.9900418989687 -156.699196031014</f>
        <v>-1118.1587253580267</v>
      </c>
      <c r="E2853">
        <f>-950.859834030329 -29.3276240059836 -253.923446106813</f>
        <v>-1234.1109041431255</v>
      </c>
      <c r="F2853">
        <f>-957.572836768267 -31.9701120166542 -342.727666338889</f>
        <v>-1332.2706151238103</v>
      </c>
      <c r="G2853">
        <f>-955.79952242377 -35.3679481203744 -431.742047073743</f>
        <v>-1422.9095176178873</v>
      </c>
      <c r="H2853">
        <f>-944.452800029786 -41.1149521714926 -555.673667122839</f>
        <v>-1541.2414193241175</v>
      </c>
      <c r="I2853">
        <f>-911.217740272787 -64.4193635436552 -628.181411801699</f>
        <v>-1603.8185156181412</v>
      </c>
      <c r="J2853">
        <f>-947.639083712351 -10.9583049959933 -502.253273412739</f>
        <v>-1460.8506621210834</v>
      </c>
      <c r="K2853" t="s">
        <v>58283</v>
      </c>
      <c r="L2853" t="s">
        <v>58284</v>
      </c>
      <c r="M2853" t="s">
        <v>58285</v>
      </c>
      <c r="N2853">
        <f>-951.25269902171 -66.2135694102155 -500.021678387935</f>
        <v>-1517.4879468198606</v>
      </c>
      <c r="O2853">
        <f>-963.747891152044 -198.869788337211 -466.266488655166</f>
        <v>-1628.884168144421</v>
      </c>
      <c r="P2853">
        <f>-954.878775942886 -240.693356477045 -175.125034739034</f>
        <v>-1370.6971671589649</v>
      </c>
      <c r="Q2853">
        <f>-780.760649727738 -103.060922231248 -268.885426953094</f>
        <v>-1152.7069989120801</v>
      </c>
      <c r="R2853" t="s">
        <v>58286</v>
      </c>
      <c r="S2853" t="s">
        <v>58287</v>
      </c>
      <c r="T2853" t="s">
        <v>58288</v>
      </c>
      <c r="U2853" t="s">
        <v>58289</v>
      </c>
      <c r="V2853">
        <f>-884.087753198445 -120.163540092948 -51.4305057405909</f>
        <v>-1055.6817990319839</v>
      </c>
      <c r="W2853" t="s">
        <v>58290</v>
      </c>
      <c r="X2853" t="s">
        <v>58291</v>
      </c>
      <c r="Y2853" t="s">
        <v>58292</v>
      </c>
    </row>
    <row r="2854" spans="1:25" x14ac:dyDescent="0.3">
      <c r="A2854">
        <v>142650</v>
      </c>
      <c r="B2854" t="s">
        <v>58293</v>
      </c>
      <c r="C2854">
        <f>-890.634062547498 -24.5302642151723 -49.5656150559865</f>
        <v>-964.72994181865693</v>
      </c>
      <c r="D2854">
        <f>-934.503243652936 -26.9194472431236 -156.738349122281</f>
        <v>-1118.1610400183406</v>
      </c>
      <c r="E2854">
        <f>-950.906286353597 -29.2694502106024 -253.960141808148</f>
        <v>-1234.1358783723474</v>
      </c>
      <c r="F2854">
        <f>-957.620092360711 -31.9101413320245 -342.764377838036</f>
        <v>-1332.2946115307716</v>
      </c>
      <c r="G2854">
        <f>-955.836272450772 -35.291110960422 -431.779170867732</f>
        <v>-1422.9065542789258</v>
      </c>
      <c r="H2854">
        <f>-944.462620161299 -40.9971955805158 -555.710165043251</f>
        <v>-1541.1699807850659</v>
      </c>
      <c r="I2854">
        <f>-911.140281958997 -64.1359757126695 -628.230989747622</f>
        <v>-1603.5072474192884</v>
      </c>
      <c r="J2854">
        <f>-947.692752260246 -10.8564136484383 -502.283575514747</f>
        <v>-1460.8327414234313</v>
      </c>
      <c r="K2854" t="s">
        <v>58294</v>
      </c>
      <c r="L2854" t="s">
        <v>58295</v>
      </c>
      <c r="M2854" t="s">
        <v>58296</v>
      </c>
      <c r="N2854">
        <f>-951.242429306557 -66.1161486412038 -500.064979637694</f>
        <v>-1517.423557585455</v>
      </c>
      <c r="O2854">
        <f>-963.575454439535 -198.769760723384 -466.222540198378</f>
        <v>-1628.567755361297</v>
      </c>
      <c r="P2854">
        <f>-953.847832200905 -240.355973932383 -175.074604320397</f>
        <v>-1369.278410453685</v>
      </c>
      <c r="Q2854">
        <f>-780.001743732561 -102.532596739475 -269.059608416445</f>
        <v>-1151.593948888481</v>
      </c>
      <c r="R2854" t="s">
        <v>58297</v>
      </c>
      <c r="S2854" t="s">
        <v>58298</v>
      </c>
      <c r="T2854" t="s">
        <v>58299</v>
      </c>
      <c r="U2854" t="s">
        <v>58300</v>
      </c>
      <c r="V2854">
        <f>-884.090025566324 -119.970193154397 -51.4666691023848</f>
        <v>-1055.5268878231059</v>
      </c>
      <c r="W2854" t="s">
        <v>58301</v>
      </c>
      <c r="X2854" t="s">
        <v>58302</v>
      </c>
      <c r="Y2854" t="s">
        <v>58303</v>
      </c>
    </row>
    <row r="2855" spans="1:25" x14ac:dyDescent="0.3">
      <c r="A2855">
        <v>142700</v>
      </c>
      <c r="B2855" t="s">
        <v>58304</v>
      </c>
      <c r="C2855">
        <f>-890.512987087408 -24.2346935560122 -49.6398623794472</f>
        <v>-964.38754302286736</v>
      </c>
      <c r="D2855">
        <f>-934.580018559709 -26.732319142578 -156.728993959659</f>
        <v>-1118.0413316619461</v>
      </c>
      <c r="E2855">
        <f>-951.434742385822 -29.1548890596086 -253.871652964917</f>
        <v>-1234.4612844103476</v>
      </c>
      <c r="F2855">
        <f>-958.671568898929 -31.8454283271772 -342.633304220668</f>
        <v>-1333.1503014467742</v>
      </c>
      <c r="G2855">
        <f>-957.521951481209 -35.2566461500805 -431.657454045251</f>
        <v>-1424.4360516765405</v>
      </c>
      <c r="H2855">
        <f>-947.145084173967 -40.9801709993778 -555.675129126673</f>
        <v>-1543.8003843000179</v>
      </c>
      <c r="I2855">
        <f>-913.951080070053 -63.6744661653365 -628.394755702855</f>
        <v>-1606.0203019382445</v>
      </c>
      <c r="J2855">
        <f>-949.953992270983 -10.8311354136158 -502.229126792369</f>
        <v>-1463.0142544769678</v>
      </c>
      <c r="K2855" t="s">
        <v>58305</v>
      </c>
      <c r="L2855" t="s">
        <v>58306</v>
      </c>
      <c r="M2855" t="s">
        <v>58307</v>
      </c>
      <c r="N2855">
        <f>-953.468650522113 -66.0916859536833 -499.972881040915</f>
        <v>-1519.5332175167114</v>
      </c>
      <c r="O2855">
        <f>-965.521916010097 -198.736607835949 -465.940785229795</f>
        <v>-1630.199309075841</v>
      </c>
      <c r="P2855">
        <f>-953.505665725697 -240.055980785029 -174.840358053782</f>
        <v>-1368.4020045645079</v>
      </c>
      <c r="Q2855">
        <f>-780.47465928274 -101.674187371632 -269.506335035856</f>
        <v>-1151.6551816902281</v>
      </c>
      <c r="R2855" t="s">
        <v>58308</v>
      </c>
      <c r="S2855" t="s">
        <v>58309</v>
      </c>
      <c r="T2855" t="s">
        <v>58310</v>
      </c>
      <c r="U2855" t="s">
        <v>58311</v>
      </c>
      <c r="V2855">
        <f>-883.926088366988 -119.53665530456 -51.5064398712442</f>
        <v>-1054.9691835427921</v>
      </c>
      <c r="W2855" t="s">
        <v>58312</v>
      </c>
      <c r="X2855" t="s">
        <v>58313</v>
      </c>
      <c r="Y2855" t="s">
        <v>58314</v>
      </c>
    </row>
    <row r="2856" spans="1:25" x14ac:dyDescent="0.3">
      <c r="A2856">
        <v>142750</v>
      </c>
      <c r="B2856" t="s">
        <v>58315</v>
      </c>
      <c r="C2856">
        <f>-890.338820833068 -24.1222985455329 -49.6788096454021</f>
        <v>-964.13992902400298</v>
      </c>
      <c r="D2856">
        <f>-934.539377591499 -26.6800140428059 -156.71153104731</f>
        <v>-1117.9309226816149</v>
      </c>
      <c r="E2856">
        <f>-951.680330070217 -29.1190373118311 -253.803711431754</f>
        <v>-1234.6030788138021</v>
      </c>
      <c r="F2856">
        <f>-959.244165683101 -31.8064505229436 -342.538128942841</f>
        <v>-1333.5887451488857</v>
      </c>
      <c r="G2856">
        <f>-958.488807537854 -35.1940707836034 -431.567283433072</f>
        <v>-1425.2501617545295</v>
      </c>
      <c r="H2856">
        <f>-948.72938198623 -40.8616197038432 -555.637692217871</f>
        <v>-1545.228693907944</v>
      </c>
      <c r="I2856">
        <f>-915.569682004518 -63.2920286490337 -628.454931123519</f>
        <v>-1607.3166417770708</v>
      </c>
      <c r="J2856">
        <f>-951.273729257979 -10.7367497623495 -502.164911821374</f>
        <v>-1464.1753908417024</v>
      </c>
      <c r="K2856" t="s">
        <v>58316</v>
      </c>
      <c r="L2856" t="s">
        <v>58317</v>
      </c>
      <c r="M2856" t="s">
        <v>58318</v>
      </c>
      <c r="N2856">
        <f>-954.774248171807 -65.9984067014243 -499.915853087489</f>
        <v>-1520.6885079607202</v>
      </c>
      <c r="O2856">
        <f>-966.705858238383 -198.635102039106 -465.791319387186</f>
        <v>-1631.132279664675</v>
      </c>
      <c r="P2856">
        <f>-953.469044416518 -239.881140130631 -174.733377091428</f>
        <v>-1368.0835616385771</v>
      </c>
      <c r="Q2856">
        <f>-780.817579800171 -101.298445296366 -269.797493104239</f>
        <v>-1151.913518200776</v>
      </c>
      <c r="R2856" t="s">
        <v>58319</v>
      </c>
      <c r="S2856" t="s">
        <v>58320</v>
      </c>
      <c r="T2856" t="s">
        <v>58321</v>
      </c>
      <c r="U2856" t="s">
        <v>58322</v>
      </c>
      <c r="V2856">
        <f>-883.740640783523 -119.346271980914 -51.5206220747091</f>
        <v>-1054.6075348391462</v>
      </c>
      <c r="W2856" t="s">
        <v>58323</v>
      </c>
      <c r="X2856" t="s">
        <v>58324</v>
      </c>
      <c r="Y2856" t="s">
        <v>58325</v>
      </c>
    </row>
    <row r="2857" spans="1:25" x14ac:dyDescent="0.3">
      <c r="A2857">
        <v>142800</v>
      </c>
      <c r="B2857" t="s">
        <v>58326</v>
      </c>
      <c r="C2857">
        <f>-889.792317656278 -23.9317394676168 -49.7100108378856</f>
        <v>-963.43406796178044</v>
      </c>
      <c r="D2857">
        <f>-934.285387961871 -26.5556639117181 -156.619709930958</f>
        <v>-1117.460761804547</v>
      </c>
      <c r="E2857">
        <f>-951.989218991537 -28.9955312926777 -253.61095086729</f>
        <v>-1234.5957011515047</v>
      </c>
      <c r="F2857">
        <f>-960.187261145075 -31.6530998040198 -342.289969843672</f>
        <v>-1334.1303307927669</v>
      </c>
      <c r="G2857">
        <f>-960.18741262902 -34.9765417959206 -431.324836978834</f>
        <v>-1426.4887914037745</v>
      </c>
      <c r="H2857">
        <f>-951.605084661591 -40.5156473876614 -555.487862302088</f>
        <v>-1547.6085943513403</v>
      </c>
      <c r="I2857">
        <f>-918.561635388501 -62.5949428839617 -628.465025007409</f>
        <v>-1609.6216032798718</v>
      </c>
      <c r="J2857">
        <f>-953.623816755439 -10.4473397009842 -501.961080139178</f>
        <v>-1466.0322365956013</v>
      </c>
      <c r="K2857" t="s">
        <v>58327</v>
      </c>
      <c r="L2857" t="s">
        <v>58328</v>
      </c>
      <c r="M2857" t="s">
        <v>58329</v>
      </c>
      <c r="N2857">
        <f>-957.139448645163 -65.709103459898 -499.738614930055</f>
        <v>-1522.587167035116</v>
      </c>
      <c r="O2857">
        <f>-968.905075107349 -198.32293824054 -465.486650815586</f>
        <v>-1632.7146641634749</v>
      </c>
      <c r="P2857">
        <f>-953.861620656038 -239.464817301771 -174.501710639439</f>
        <v>-1367.8281485972479</v>
      </c>
      <c r="Q2857">
        <f>-781.662973484148 -100.892631572456 -270.399150955574</f>
        <v>-1152.954756012178</v>
      </c>
      <c r="R2857" t="s">
        <v>58330</v>
      </c>
      <c r="S2857" t="s">
        <v>58331</v>
      </c>
      <c r="T2857" t="s">
        <v>58332</v>
      </c>
      <c r="U2857" t="s">
        <v>58333</v>
      </c>
      <c r="V2857">
        <f>-883.248785904492 -119.063194301583 -51.5080038143496</f>
        <v>-1053.8199840204247</v>
      </c>
      <c r="W2857" t="s">
        <v>58334</v>
      </c>
      <c r="X2857" t="s">
        <v>58335</v>
      </c>
      <c r="Y2857" t="s">
        <v>58336</v>
      </c>
    </row>
    <row r="2858" spans="1:25" x14ac:dyDescent="0.3">
      <c r="A2858">
        <v>142850</v>
      </c>
      <c r="B2858" t="s">
        <v>58337</v>
      </c>
      <c r="C2858">
        <f>-889.430896827468 -23.9572781394854 -49.6973357274895</f>
        <v>-963.08551069444297</v>
      </c>
      <c r="D2858">
        <f>-934.033351977969 -26.5728148460771 -156.561753631107</f>
        <v>-1117.1679204551531</v>
      </c>
      <c r="E2858">
        <f>-951.87520300232 -28.981916888149 -253.528396421993</f>
        <v>-1234.385516312462</v>
      </c>
      <c r="F2858">
        <f>-960.215210824713 -31.5998478316651 -342.195480631334</f>
        <v>-1334.0105392877122</v>
      </c>
      <c r="G2858">
        <f>-960.372937964358 -34.8708305818127 -431.231987024131</f>
        <v>-1426.4757555703018</v>
      </c>
      <c r="H2858">
        <f>-952.025503913416 -40.3218793336393 -555.414978820534</f>
        <v>-1547.7623620675893</v>
      </c>
      <c r="I2858">
        <f>-919.026787509729 -62.3562222691578 -628.42600874535</f>
        <v>-1609.8090185242368</v>
      </c>
      <c r="J2858">
        <f>-953.934795980917 -10.2918954032707 -501.862616985826</f>
        <v>-1466.0893083700137</v>
      </c>
      <c r="K2858" t="s">
        <v>58338</v>
      </c>
      <c r="L2858" t="s">
        <v>58339</v>
      </c>
      <c r="M2858" t="s">
        <v>58340</v>
      </c>
      <c r="N2858">
        <f>-957.462643497747 -65.5543748246109 -499.673918186037</f>
        <v>-1522.6909365083948</v>
      </c>
      <c r="O2858">
        <f>-969.172618992438 -198.175270764307 -465.425192449667</f>
        <v>-1632.773082206412</v>
      </c>
      <c r="P2858">
        <f>-953.699414646331 -239.322709363664 -174.463563578699</f>
        <v>-1367.485687588694</v>
      </c>
      <c r="Q2858">
        <f>-781.523822981359 -100.898786728283 -270.615480725149</f>
        <v>-1153.038090434791</v>
      </c>
      <c r="R2858" t="s">
        <v>58341</v>
      </c>
      <c r="S2858" t="s">
        <v>58342</v>
      </c>
      <c r="T2858" t="s">
        <v>58343</v>
      </c>
      <c r="U2858" t="s">
        <v>58344</v>
      </c>
      <c r="V2858">
        <f>-882.91431435541 -119.100191479777 -51.4736419578509</f>
        <v>-1053.488147793038</v>
      </c>
      <c r="W2858" t="s">
        <v>58345</v>
      </c>
      <c r="X2858" t="s">
        <v>58346</v>
      </c>
      <c r="Y2858" t="s">
        <v>58347</v>
      </c>
    </row>
    <row r="2859" spans="1:25" x14ac:dyDescent="0.3">
      <c r="A2859">
        <v>142900</v>
      </c>
      <c r="B2859" t="s">
        <v>58348</v>
      </c>
      <c r="C2859">
        <f>-888.835892445056 -24.1691917070057 -49.7055003264222</f>
        <v>-962.71058447848384</v>
      </c>
      <c r="D2859">
        <f>-933.588038598364 -26.7377922876426 -156.508408325222</f>
        <v>-1116.8342392112286</v>
      </c>
      <c r="E2859">
        <f>-951.578853220298 -29.0661806982757 -253.449457204605</f>
        <v>-1234.0944911231788</v>
      </c>
      <c r="F2859">
        <f>-960.059353590745 -31.5923778514116 -342.105807723861</f>
        <v>-1333.7575391660175</v>
      </c>
      <c r="G2859">
        <f>-960.361987412522 -34.7520834309435 -431.14607629722</f>
        <v>-1426.2601471406856</v>
      </c>
      <c r="H2859">
        <f>-952.220243972077 -40.0260874082255 -555.350394676869</f>
        <v>-1547.5967260571715</v>
      </c>
      <c r="I2859">
        <f>-919.334643194543 -62.1561374347677 -628.383481669344</f>
        <v>-1609.8742622986547</v>
      </c>
      <c r="J2859">
        <f>-954.028921211235 -10.0732148568441 -501.751282375814</f>
        <v>-1465.8534184438931</v>
      </c>
      <c r="K2859" t="s">
        <v>58349</v>
      </c>
      <c r="L2859" t="s">
        <v>58350</v>
      </c>
      <c r="M2859" t="s">
        <v>58351</v>
      </c>
      <c r="N2859">
        <f>-957.577267147579 -65.3372211465894 -499.637215811307</f>
        <v>-1522.5517041054754</v>
      </c>
      <c r="O2859">
        <f>-969.208129682021 -197.979961451344 -465.4779585561</f>
        <v>-1632.6660496894649</v>
      </c>
      <c r="P2859">
        <f>-953.095541397962 -239.190435011072 -174.559858216881</f>
        <v>-1366.8458346259149</v>
      </c>
      <c r="Q2859">
        <f>-780.607058824187 -101.164797553452 -270.723981831899</f>
        <v>-1152.4958382095379</v>
      </c>
      <c r="R2859" t="s">
        <v>58352</v>
      </c>
      <c r="S2859" t="s">
        <v>58353</v>
      </c>
      <c r="T2859" t="s">
        <v>58354</v>
      </c>
      <c r="U2859" t="s">
        <v>58355</v>
      </c>
      <c r="V2859">
        <f>-882.421089384501 -119.287374437646 -51.4263770529778</f>
        <v>-1053.1348408751248</v>
      </c>
      <c r="W2859" t="s">
        <v>58356</v>
      </c>
      <c r="X2859" t="s">
        <v>58357</v>
      </c>
      <c r="Y2859" t="s">
        <v>58358</v>
      </c>
    </row>
    <row r="2860" spans="1:25" x14ac:dyDescent="0.3">
      <c r="A2860">
        <v>142950</v>
      </c>
      <c r="B2860" t="s">
        <v>58359</v>
      </c>
      <c r="C2860">
        <f>-888.65185723246 -24.2642343505918 -49.7334360981606</f>
        <v>-962.64952768121236</v>
      </c>
      <c r="D2860">
        <f>-933.461112525904 -26.8174572518847 -156.512853537749</f>
        <v>-1116.7914233155377</v>
      </c>
      <c r="E2860">
        <f>-951.513131073564 -29.1082143905628 -253.443396694585</f>
        <v>-1234.0647421587119</v>
      </c>
      <c r="F2860">
        <f>-960.053101759906 -31.589755324339 -342.095216076838</f>
        <v>-1333.7380731610829</v>
      </c>
      <c r="G2860">
        <f>-960.418212135337 -34.6935158671204 -431.137233110661</f>
        <v>-1426.2489611131182</v>
      </c>
      <c r="H2860">
        <f>-952.366518243211 -39.8777798891799 -555.351225446987</f>
        <v>-1547.5955235793779</v>
      </c>
      <c r="I2860">
        <f>-919.507424382713 -62.1046084538596 -628.36672844909</f>
        <v>-1609.9787612856626</v>
      </c>
      <c r="J2860">
        <f>-954.133166929616 -9.96399668585309 -501.728802144528</f>
        <v>-1465.825965759997</v>
      </c>
      <c r="K2860" t="s">
        <v>58360</v>
      </c>
      <c r="L2860" t="s">
        <v>58361</v>
      </c>
      <c r="M2860" t="s">
        <v>58362</v>
      </c>
      <c r="N2860">
        <f>-957.686273533434 -65.228954276258 -499.652544347588</f>
        <v>-1522.5677721572802</v>
      </c>
      <c r="O2860">
        <f>-969.274043225128 -197.900334668677 -465.54479887633</f>
        <v>-1632.7191767701352</v>
      </c>
      <c r="P2860">
        <f>-952.744726493553 -239.170296150543 -174.658623728453</f>
        <v>-1366.5736463725491</v>
      </c>
      <c r="Q2860">
        <f>-779.993317668876 -101.438965580011 -270.772822965553</f>
        <v>-1152.2051062144401</v>
      </c>
      <c r="R2860" t="s">
        <v>58363</v>
      </c>
      <c r="S2860" t="s">
        <v>58364</v>
      </c>
      <c r="T2860" t="s">
        <v>58365</v>
      </c>
      <c r="U2860" t="s">
        <v>58366</v>
      </c>
      <c r="V2860">
        <f>-882.291342238095 -119.372159029353 -51.4416088919894</f>
        <v>-1053.1051101594373</v>
      </c>
      <c r="W2860" t="s">
        <v>58367</v>
      </c>
      <c r="X2860" t="s">
        <v>58368</v>
      </c>
      <c r="Y2860" t="s">
        <v>58369</v>
      </c>
    </row>
    <row r="2861" spans="1:25" x14ac:dyDescent="0.3">
      <c r="A2861">
        <v>143000</v>
      </c>
      <c r="B2861" t="s">
        <v>58370</v>
      </c>
      <c r="C2861">
        <f>-888.500239655017 -24.2140371861601 -49.7768581252922</f>
        <v>-962.4911349664693</v>
      </c>
      <c r="D2861">
        <f>-933.307529207655 -26.6702287709486 -156.559323906844</f>
        <v>-1116.5370818854476</v>
      </c>
      <c r="E2861">
        <f>-951.611049876882 -28.7297927875434 -253.447869281771</f>
        <v>-1233.7887119461964</v>
      </c>
      <c r="F2861">
        <f>-960.481448642782 -30.9340376875825 -342.074630023498</f>
        <v>-1333.4901163538625</v>
      </c>
      <c r="G2861">
        <f>-961.277276461345 -33.6893166831678 -431.125254389403</f>
        <v>-1426.0918475339158</v>
      </c>
      <c r="H2861">
        <f>-953.927694516652 -38.3084468197067 -555.404994764512</f>
        <v>-1547.6411361008707</v>
      </c>
      <c r="I2861">
        <f>-920.720838026447 -60.8230564656396 -628.174663983321</f>
        <v>-1609.7185584754077</v>
      </c>
      <c r="J2861">
        <f>-955.368452077722 -8.64024284523157 -501.636703500146</f>
        <v>-1465.6453984230996</v>
      </c>
      <c r="K2861" t="s">
        <v>58371</v>
      </c>
      <c r="L2861" t="s">
        <v>58372</v>
      </c>
      <c r="M2861" t="s">
        <v>58373</v>
      </c>
      <c r="N2861">
        <f>-958.955565615333 -63.9114314750796 -499.794548396549</f>
        <v>-1522.6615454869616</v>
      </c>
      <c r="O2861">
        <f>-970.234476816946 -196.695664212993 -465.950931940565</f>
        <v>-1632.881072970504</v>
      </c>
      <c r="P2861">
        <f>-952.782391123669 -238.351024593087 -175.173607725131</f>
        <v>-1366.3070234418869</v>
      </c>
      <c r="Q2861">
        <f>-779.468428106614 -101.213212740309 -271.123753993861</f>
        <v>-1151.8053948407842</v>
      </c>
      <c r="R2861" t="s">
        <v>58374</v>
      </c>
      <c r="S2861" t="s">
        <v>58375</v>
      </c>
      <c r="T2861" t="s">
        <v>58376</v>
      </c>
      <c r="U2861" t="s">
        <v>58377</v>
      </c>
      <c r="V2861">
        <f>-882.291872355408 -119.248366180368 -51.5280010656576</f>
        <v>-1053.0682396014336</v>
      </c>
      <c r="W2861" t="s">
        <v>58378</v>
      </c>
      <c r="X2861" t="s">
        <v>58379</v>
      </c>
      <c r="Y2861" t="s">
        <v>58380</v>
      </c>
    </row>
    <row r="2862" spans="1:25" x14ac:dyDescent="0.3">
      <c r="A2862">
        <v>143050</v>
      </c>
      <c r="B2862" t="s">
        <v>58381</v>
      </c>
      <c r="C2862">
        <f>-888.402832030484 -24.1593740681751 -49.847818424306</f>
        <v>-962.41002452296505</v>
      </c>
      <c r="D2862">
        <f>-933.134309902228 -26.5311046320458 -156.664074249287</f>
        <v>-1116.3294887835607</v>
      </c>
      <c r="E2862">
        <f>-951.814259641026 -28.3551442727594 -253.48546934258</f>
        <v>-1233.6548732563654</v>
      </c>
      <c r="F2862">
        <f>-961.206972022773 -30.2687793714481 -342.065152317924</f>
        <v>-1333.5409037121451</v>
      </c>
      <c r="G2862">
        <f>-962.704453779025 -32.6499693016599 -431.117619039359</f>
        <v>-1426.4720421200439</v>
      </c>
      <c r="H2862">
        <f>-956.516596881191 -36.6542920040106 -555.481859892638</f>
        <v>-1548.6527487778396</v>
      </c>
      <c r="I2862">
        <f>-922.87996508927 -59.364547126944 -627.9930940192</f>
        <v>-1610.237606235414</v>
      </c>
      <c r="J2862">
        <f>-957.445408416372 -7.2529132545892 -501.555966955797</f>
        <v>-1466.2542886267581</v>
      </c>
      <c r="K2862" t="s">
        <v>58382</v>
      </c>
      <c r="L2862" t="s">
        <v>58383</v>
      </c>
      <c r="M2862" t="s">
        <v>58384</v>
      </c>
      <c r="N2862">
        <f>-961.033474936066 -62.5314551965887 -499.95466246865</f>
        <v>-1523.5195926013048</v>
      </c>
      <c r="O2862">
        <f>-972.023516688677 -195.412479115654 -466.472980120374</f>
        <v>-1633.9089759247049</v>
      </c>
      <c r="P2862">
        <f>-954.096155754884 -237.688712575627 -175.814278050055</f>
        <v>-1367.599146380566</v>
      </c>
      <c r="Q2862">
        <f>-780.646260095674 -100.554035678654 -271.522658213264</f>
        <v>-1152.7229539875921</v>
      </c>
      <c r="R2862" t="s">
        <v>58385</v>
      </c>
      <c r="S2862" t="s">
        <v>58386</v>
      </c>
      <c r="T2862" t="s">
        <v>58387</v>
      </c>
      <c r="U2862" t="s">
        <v>58388</v>
      </c>
      <c r="V2862">
        <f>-882.409978038965 -119.107177590729 -51.5919547182907</f>
        <v>-1053.1091103479846</v>
      </c>
      <c r="W2862" t="s">
        <v>58389</v>
      </c>
      <c r="X2862" t="s">
        <v>58390</v>
      </c>
      <c r="Y2862" t="s">
        <v>58391</v>
      </c>
    </row>
    <row r="2863" spans="1:25" x14ac:dyDescent="0.3">
      <c r="A2863">
        <v>143100</v>
      </c>
      <c r="B2863" t="s">
        <v>58392</v>
      </c>
      <c r="C2863">
        <f>-888.856151170684 -23.4875881538264 -50.0481443004891</f>
        <v>-962.39188362499954</v>
      </c>
      <c r="D2863">
        <f>-933.281194168525 -25.5588160868483 -156.998393570409</f>
        <v>-1115.8384038257823</v>
      </c>
      <c r="E2863">
        <f>-952.593333893062 -26.9243455149322 -253.703204922181</f>
        <v>-1233.2208843301751</v>
      </c>
      <c r="F2863">
        <f>-962.929888683184 -28.3198162044505 -342.187415828572</f>
        <v>-1333.4371207162064</v>
      </c>
      <c r="G2863">
        <f>-965.74196510383 -30.067032291 -431.222619620364</f>
        <v>-1427.0316170151941</v>
      </c>
      <c r="H2863">
        <f>-961.770814990232 -33.0528822618712 -555.706053121709</f>
        <v>-1550.5297503738122</v>
      </c>
      <c r="I2863">
        <f>-927.341317805141 -56.264702510465 -627.684276396291</f>
        <v>-1611.2902967118971</v>
      </c>
      <c r="J2863">
        <f>-961.75176190084 -4.09304952217281 -501.533825442816</f>
        <v>-1467.3786368658289</v>
      </c>
      <c r="K2863" t="s">
        <v>58393</v>
      </c>
      <c r="L2863" t="s">
        <v>58394</v>
      </c>
      <c r="M2863" t="s">
        <v>58395</v>
      </c>
      <c r="N2863">
        <f>-965.284805954366 -59.3851341513453 -500.320327613446</f>
        <v>-1524.9902677191571</v>
      </c>
      <c r="O2863">
        <f>-976.506989114038 -192.449124651957 -467.785189149418</f>
        <v>-1636.7413029154131</v>
      </c>
      <c r="P2863">
        <f>-957.383815900396 -237.332113484232 -177.593726256756</f>
        <v>-1372.3096556413841</v>
      </c>
      <c r="Q2863">
        <f>-783.855730134865 -99.683939079792 -272.418976120396</f>
        <v>-1155.958645335053</v>
      </c>
      <c r="R2863" t="s">
        <v>58396</v>
      </c>
      <c r="S2863" t="s">
        <v>58397</v>
      </c>
      <c r="T2863" t="s">
        <v>58398</v>
      </c>
      <c r="U2863" t="s">
        <v>58399</v>
      </c>
      <c r="V2863">
        <f>-883.217426343093 -117.678998019029 -51.9646602380732</f>
        <v>-1052.8610846001952</v>
      </c>
      <c r="W2863" t="s">
        <v>58400</v>
      </c>
      <c r="X2863" t="s">
        <v>58401</v>
      </c>
      <c r="Y2863" t="s">
        <v>58402</v>
      </c>
    </row>
    <row r="2864" spans="1:25" x14ac:dyDescent="0.3">
      <c r="A2864">
        <v>143150</v>
      </c>
      <c r="B2864" t="s">
        <v>58403</v>
      </c>
      <c r="C2864">
        <f>-889.576112771456 -22.9624735313973 -50.0191896266462</f>
        <v>-962.55777592949948</v>
      </c>
      <c r="D2864">
        <f>-933.748141589446 -24.8069786882893 -157.078138496122</f>
        <v>-1115.6332587738573</v>
      </c>
      <c r="E2864">
        <f>-953.057822583435 -26.0164906581222 -253.785622680496</f>
        <v>-1232.8599359220532</v>
      </c>
      <c r="F2864">
        <f>-963.484893362361 -27.2811699619483 -342.261188777771</f>
        <v>-1333.0272521020804</v>
      </c>
      <c r="G2864">
        <f>-966.48134014225 -28.9041679124311 -431.292738288724</f>
        <v>-1426.6782463434051</v>
      </c>
      <c r="H2864">
        <f>-962.866139366799 -31.7202790099927 -555.790969977605</f>
        <v>-1550.3773883543968</v>
      </c>
      <c r="I2864">
        <f>-928.485735285055 -55.0308288858014 -627.760791269168</f>
        <v>-1611.2773554400242</v>
      </c>
      <c r="J2864">
        <f>-962.723398574789 -2.8323435241 -501.580500575885</f>
        <v>-1467.1362426747742</v>
      </c>
      <c r="K2864" t="s">
        <v>58404</v>
      </c>
      <c r="L2864" t="s">
        <v>58405</v>
      </c>
      <c r="M2864" t="s">
        <v>58406</v>
      </c>
      <c r="N2864">
        <f>-966.191043626183 -58.1298329463154 -500.430368767349</f>
        <v>-1524.7512453398476</v>
      </c>
      <c r="O2864">
        <f>-977.41376140943 -191.277017031255 -468.11713874779</f>
        <v>-1636.8079171884749</v>
      </c>
      <c r="P2864">
        <f>-958.273459678658 -237.00352527468 -178.058653010773</f>
        <v>-1373.3356379641109</v>
      </c>
      <c r="Q2864">
        <f>-784.70752867493 -99.1866310263931 -272.569473829995</f>
        <v>-1156.463633531318</v>
      </c>
      <c r="R2864" t="s">
        <v>58407</v>
      </c>
      <c r="S2864" t="s">
        <v>58408</v>
      </c>
      <c r="T2864" t="s">
        <v>58409</v>
      </c>
      <c r="U2864" t="s">
        <v>58410</v>
      </c>
      <c r="V2864">
        <f>-884.042603039506 -116.747176593067 -52.1532089215132</f>
        <v>-1052.9429885540862</v>
      </c>
      <c r="W2864" t="s">
        <v>58411</v>
      </c>
      <c r="X2864" t="s">
        <v>58412</v>
      </c>
      <c r="Y2864" t="s">
        <v>58413</v>
      </c>
    </row>
    <row r="2865" spans="1:25" x14ac:dyDescent="0.3">
      <c r="A2865">
        <v>143200</v>
      </c>
      <c r="B2865" t="s">
        <v>58414</v>
      </c>
      <c r="C2865">
        <f>-891.102801792573 -22.335632859842 -50.1159728020881</f>
        <v>-963.55440745450312</v>
      </c>
      <c r="D2865">
        <f>-934.717024226826 -23.8322786598837 -157.408841165308</f>
        <v>-1115.9581440520178</v>
      </c>
      <c r="E2865">
        <f>-953.614580605219 -24.9413601264118 -254.198911198025</f>
        <v>-1232.7548519296558</v>
      </c>
      <c r="F2865">
        <f>-963.705367427133 -26.1885719999109 -342.713656344317</f>
        <v>-1332.6075957713608</v>
      </c>
      <c r="G2865">
        <f>-966.406296854573 -27.8633398634815 -431.753779421219</f>
        <v>-1426.0234161392736</v>
      </c>
      <c r="H2865">
        <f>-962.423731424036 -30.8207541624633 -556.23757289249</f>
        <v>-1549.4820584789893</v>
      </c>
      <c r="I2865">
        <f>-928.762066005012 -54.0488737808789 -628.572705883402</f>
        <v>-1611.3836456692929</v>
      </c>
      <c r="J2865">
        <f>-962.447474556431 -1.87089979653911 -502.059940778738</f>
        <v>-1466.378315131708</v>
      </c>
      <c r="K2865" t="s">
        <v>58415</v>
      </c>
      <c r="L2865" t="s">
        <v>58416</v>
      </c>
      <c r="M2865" t="s">
        <v>58417</v>
      </c>
      <c r="N2865">
        <f>-965.904758985802 -57.1679354795604 -500.856788906322</f>
        <v>-1523.9294833716845</v>
      </c>
      <c r="O2865">
        <f>-976.958991607688 -190.289106496635 -468.386602821311</f>
        <v>-1635.634700925634</v>
      </c>
      <c r="P2865">
        <f>-958.446836566424 -235.297070242628 -178.174892686529</f>
        <v>-1371.918799495581</v>
      </c>
      <c r="Q2865">
        <f>-784.451106810488 -97.7222038625102 -272.246540632893</f>
        <v>-1154.4198513058914</v>
      </c>
      <c r="R2865" t="s">
        <v>58418</v>
      </c>
      <c r="S2865" t="s">
        <v>58419</v>
      </c>
      <c r="T2865" t="s">
        <v>58420</v>
      </c>
      <c r="U2865" t="s">
        <v>58421</v>
      </c>
      <c r="V2865">
        <f>-885.862047713025 -115.972949634855 -52.3364625565526</f>
        <v>-1054.1714599044326</v>
      </c>
      <c r="W2865" t="s">
        <v>58422</v>
      </c>
      <c r="X2865" t="s">
        <v>58423</v>
      </c>
      <c r="Y2865" t="s">
        <v>58424</v>
      </c>
    </row>
    <row r="2866" spans="1:25" x14ac:dyDescent="0.3">
      <c r="A2866">
        <v>143250</v>
      </c>
      <c r="B2866" t="s">
        <v>58425</v>
      </c>
      <c r="C2866">
        <f>-891.549670050119 -22.440192337313 -50.2210863803357</f>
        <v>-964.2109487677676</v>
      </c>
      <c r="D2866">
        <f>-934.951296120029 -23.799668501556 -157.602072673882</f>
        <v>-1116.3530372954669</v>
      </c>
      <c r="E2866">
        <f>-953.648871202067 -24.9043126286078 -254.431005974996</f>
        <v>-1232.9841898056709</v>
      </c>
      <c r="F2866">
        <f>-963.555774783119 -26.1890327640431 -342.966044718072</f>
        <v>-1332.7108522652341</v>
      </c>
      <c r="G2866">
        <f>-966.071156241158 -27.9416361984504 -432.010140256972</f>
        <v>-1426.0229326965805</v>
      </c>
      <c r="H2866">
        <f>-961.830062857725 -31.0479436594765 -556.481616256952</f>
        <v>-1549.3596227741534</v>
      </c>
      <c r="I2866">
        <f>-928.505329715063 -54.1466617695658 -629.013888047246</f>
        <v>-1611.6658795318749</v>
      </c>
      <c r="J2866">
        <f>-961.938701570762 -2.03493455147736 -502.337869782722</f>
        <v>-1466.3115059049615</v>
      </c>
      <c r="K2866" t="s">
        <v>58426</v>
      </c>
      <c r="L2866" t="s">
        <v>58427</v>
      </c>
      <c r="M2866" t="s">
        <v>58428</v>
      </c>
      <c r="N2866">
        <f>-965.45402727166 -57.3269820578837 -501.077830055383</f>
        <v>-1523.8588393849268</v>
      </c>
      <c r="O2866">
        <f>-976.531639654343 -190.411589868738 -468.457314605439</f>
        <v>-1635.4005441285201</v>
      </c>
      <c r="P2866">
        <f>-958.632845914953 -235.053208538384 -178.150643116053</f>
        <v>-1371.83669756939</v>
      </c>
      <c r="Q2866">
        <f>-784.458360204564 -97.5328024819232 -271.970749489106</f>
        <v>-1153.9619121755932</v>
      </c>
      <c r="R2866" t="s">
        <v>58429</v>
      </c>
      <c r="S2866" t="s">
        <v>58430</v>
      </c>
      <c r="T2866" t="s">
        <v>58431</v>
      </c>
      <c r="U2866" t="s">
        <v>58432</v>
      </c>
      <c r="V2866">
        <f>-886.560281695271 -116.141658362755 -52.38058267878</f>
        <v>-1055.0825227368059</v>
      </c>
      <c r="W2866" t="s">
        <v>58433</v>
      </c>
      <c r="X2866" t="s">
        <v>58434</v>
      </c>
      <c r="Y2866" t="s">
        <v>58435</v>
      </c>
    </row>
    <row r="2867" spans="1:25" x14ac:dyDescent="0.3">
      <c r="A2867">
        <v>143300</v>
      </c>
      <c r="B2867" t="s">
        <v>58436</v>
      </c>
      <c r="C2867">
        <f>-891.775539765252 -22.8634666030553 -50.3056152298526</f>
        <v>-964.94462159815987</v>
      </c>
      <c r="D2867">
        <f>-934.996575442019 -24.1233256088481 -157.760588412334</f>
        <v>-1116.880489463201</v>
      </c>
      <c r="E2867">
        <f>-953.361677808742 -25.277911097885 -254.65245785325</f>
        <v>-1233.2920467598769</v>
      </c>
      <c r="F2867">
        <f>-962.898423000225 -26.6609131697601 -343.226621959805</f>
        <v>-1332.7859581297901</v>
      </c>
      <c r="G2867">
        <f>-964.975551695105 -28.5652730672264 -432.278783172401</f>
        <v>-1425.8196079347324</v>
      </c>
      <c r="H2867">
        <f>-960.053326089001 -31.9387465698783 -556.71842068151</f>
        <v>-1548.7104933403893</v>
      </c>
      <c r="I2867">
        <f>-927.209919944089 -54.7540667812855 -629.559318362983</f>
        <v>-1611.5233050883576</v>
      </c>
      <c r="J2867">
        <f>-960.429256619074 -2.81137428220427 -502.637402943535</f>
        <v>-1465.8780338448132</v>
      </c>
      <c r="K2867" t="s">
        <v>58437</v>
      </c>
      <c r="L2867" t="s">
        <v>58438</v>
      </c>
      <c r="M2867" t="s">
        <v>58439</v>
      </c>
      <c r="N2867">
        <f>-964.009517296858 -58.096998221509 -501.28019409905</f>
        <v>-1523.386709617417</v>
      </c>
      <c r="O2867">
        <f>-975.457950517341 -191.124146123495 -468.568584039098</f>
        <v>-1635.1506806799339</v>
      </c>
      <c r="P2867">
        <f>-959.046621009595 -236.117545533833 -178.228228976755</f>
        <v>-1373.3923955201831</v>
      </c>
      <c r="Q2867">
        <f>-784.62227444375 -98.5518999980247 -271.516174881403</f>
        <v>-1154.6903493231778</v>
      </c>
      <c r="R2867" t="s">
        <v>58440</v>
      </c>
      <c r="S2867" t="s">
        <v>58441</v>
      </c>
      <c r="T2867" t="s">
        <v>58442</v>
      </c>
      <c r="U2867" t="s">
        <v>58443</v>
      </c>
      <c r="V2867">
        <f>-887.022370097066 -116.677515552376 -52.4239303186962</f>
        <v>-1056.1238159681382</v>
      </c>
      <c r="W2867" t="s">
        <v>58444</v>
      </c>
      <c r="X2867" t="s">
        <v>58445</v>
      </c>
      <c r="Y2867" t="s">
        <v>58446</v>
      </c>
    </row>
    <row r="2868" spans="1:25" x14ac:dyDescent="0.3">
      <c r="A2868">
        <v>143350</v>
      </c>
      <c r="B2868" t="s">
        <v>58447</v>
      </c>
      <c r="C2868">
        <f>-891.785929409788 -23.2568450571607 -50.2795210417943</f>
        <v>-965.32229550874297</v>
      </c>
      <c r="D2868">
        <f>-935.010322851695 -24.5509300673639 -157.732808276481</f>
        <v>-1117.2940611955398</v>
      </c>
      <c r="E2868">
        <f>-953.211325895308 -25.7732510140422 -254.654904950396</f>
        <v>-1233.6394818597462</v>
      </c>
      <c r="F2868">
        <f>-962.530231751565 -27.2367934078925 -343.25084264909</f>
        <v>-1333.0178678085474</v>
      </c>
      <c r="G2868">
        <f>-964.321381199266 -29.2432718514056 -432.307082673687</f>
        <v>-1425.8717357243586</v>
      </c>
      <c r="H2868">
        <f>-958.93044627697 -32.7837445938685 -556.722611242365</f>
        <v>-1548.4368021132036</v>
      </c>
      <c r="I2868">
        <f>-926.309380526343 -55.5127703965118 -629.690290812742</f>
        <v>-1611.5124417355969</v>
      </c>
      <c r="J2868">
        <f>-959.501317198821 -3.58437053659782 -502.682113098427</f>
        <v>-1465.7678008338457</v>
      </c>
      <c r="K2868" t="s">
        <v>58448</v>
      </c>
      <c r="L2868" t="s">
        <v>58449</v>
      </c>
      <c r="M2868" t="s">
        <v>58450</v>
      </c>
      <c r="N2868">
        <f>-963.104365782077 -58.8669340910519 -501.2650470179</f>
        <v>-1523.2363468910289</v>
      </c>
      <c r="O2868">
        <f>-974.757646175001 -191.864352334352 -468.512305407711</f>
        <v>-1635.134303917064</v>
      </c>
      <c r="P2868">
        <f>-959.210558537522 -237.01456518201 -178.14879755522</f>
        <v>-1374.3739212747521</v>
      </c>
      <c r="Q2868">
        <f>-784.693419587258 -99.4888736441392 -271.321716577895</f>
        <v>-1155.5040098092923</v>
      </c>
      <c r="R2868" t="s">
        <v>58451</v>
      </c>
      <c r="S2868" t="s">
        <v>58452</v>
      </c>
      <c r="T2868" t="s">
        <v>58453</v>
      </c>
      <c r="U2868" t="s">
        <v>58454</v>
      </c>
      <c r="V2868">
        <f>-886.969179312846 -117.257612193279 -52.3688030025672</f>
        <v>-1056.5955945086921</v>
      </c>
      <c r="W2868" t="s">
        <v>58455</v>
      </c>
      <c r="X2868" t="s">
        <v>58456</v>
      </c>
      <c r="Y2868" t="s">
        <v>58457</v>
      </c>
    </row>
    <row r="2869" spans="1:25" x14ac:dyDescent="0.3">
      <c r="A2869">
        <v>143400</v>
      </c>
      <c r="B2869" t="s">
        <v>58458</v>
      </c>
      <c r="C2869">
        <f>-891.913555386496 -24.2077514916623 -50.1335763901116</f>
        <v>-966.25488326826985</v>
      </c>
      <c r="D2869">
        <f>-935.235817259595 -25.5980372706877 -157.546151575127</f>
        <v>-1118.3800061054096</v>
      </c>
      <c r="E2869">
        <f>-953.064614363483 -27.0270969315684 -254.534609692764</f>
        <v>-1234.6263209878155</v>
      </c>
      <c r="F2869">
        <f>-961.858595763024 -28.7420537191761 -343.179772863814</f>
        <v>-1333.7804223460141</v>
      </c>
      <c r="G2869">
        <f>-962.938837805429 -31.0723906586109 -432.239507726806</f>
        <v>-1426.2507361908458</v>
      </c>
      <c r="H2869">
        <f>-956.364203713647 -35.1489165573121 -556.581656713071</f>
        <v>-1548.09477698403</v>
      </c>
      <c r="I2869">
        <f>-924.037342320718 -57.6866706896315 -629.739459634142</f>
        <v>-1611.4634726444915</v>
      </c>
      <c r="J2869">
        <f>-957.399829690387 -5.72015501639635 -502.672737599431</f>
        <v>-1465.7927223062143</v>
      </c>
      <c r="K2869" t="s">
        <v>58459</v>
      </c>
      <c r="L2869" t="s">
        <v>58460</v>
      </c>
      <c r="M2869" t="s">
        <v>58461</v>
      </c>
      <c r="N2869">
        <f>-961.114692474205 -60.9899380619509 -501.056953143366</f>
        <v>-1523.1615836795218</v>
      </c>
      <c r="O2869">
        <f>-973.208111764129 -193.900176781666 -468.08813951043</f>
        <v>-1635.1964280562249</v>
      </c>
      <c r="P2869">
        <f>-959.454679508875 -238.451967452007 -177.541922063364</f>
        <v>-1375.4485690242459</v>
      </c>
      <c r="Q2869">
        <f>-784.430930418768 -101.463615165943 -270.556191635287</f>
        <v>-1156.450737219998</v>
      </c>
      <c r="R2869" t="s">
        <v>58462</v>
      </c>
      <c r="S2869" t="s">
        <v>58463</v>
      </c>
      <c r="T2869" t="s">
        <v>58464</v>
      </c>
      <c r="U2869" t="s">
        <v>58465</v>
      </c>
      <c r="V2869">
        <f>-886.790034756977 -118.339430189713 -52.2088779493903</f>
        <v>-1057.3383428960803</v>
      </c>
      <c r="W2869" t="s">
        <v>58466</v>
      </c>
      <c r="X2869" t="s">
        <v>58467</v>
      </c>
      <c r="Y2869" t="s">
        <v>58468</v>
      </c>
    </row>
    <row r="2870" spans="1:25" x14ac:dyDescent="0.3">
      <c r="A2870">
        <v>143450</v>
      </c>
      <c r="B2870" t="s">
        <v>58469</v>
      </c>
      <c r="C2870">
        <f>-891.849466649525 -24.4292252410287 -50.0729229116478</f>
        <v>-966.35161480220142</v>
      </c>
      <c r="D2870">
        <f>-935.193730032624 -25.8709419494035 -157.475959625782</f>
        <v>-1118.5406316078095</v>
      </c>
      <c r="E2870">
        <f>-952.795035099716 -27.3860580409932 -254.504598957167</f>
        <v>-1234.6856920978762</v>
      </c>
      <c r="F2870">
        <f>-961.281992731778 -29.2034221104914 -343.177661478241</f>
        <v>-1333.6630763205103</v>
      </c>
      <c r="G2870">
        <f>-961.954218203295 -31.6662425054869 -432.237911658015</f>
        <v>-1425.8583723667969</v>
      </c>
      <c r="H2870">
        <f>-954.707630387836 -35.9633883558738 -556.535353436774</f>
        <v>-1547.2063721804839</v>
      </c>
      <c r="I2870">
        <f>-922.359828235885 -58.3478012104285 -629.730742572495</f>
        <v>-1610.4383720188084</v>
      </c>
      <c r="J2870">
        <f>-955.994791421723 -6.44163940549879 -502.682594027357</f>
        <v>-1465.1190248545788</v>
      </c>
      <c r="K2870" t="s">
        <v>58470</v>
      </c>
      <c r="L2870" t="s">
        <v>58471</v>
      </c>
      <c r="M2870" t="s">
        <v>58472</v>
      </c>
      <c r="N2870">
        <f>-959.798525400883 -61.7033063260189 -500.993770338875</f>
        <v>-1522.4956020657769</v>
      </c>
      <c r="O2870">
        <f>-972.155554790268 -194.557818651424 -467.862546754193</f>
        <v>-1634.5759201958849</v>
      </c>
      <c r="P2870">
        <f>-959.153814383411 -238.72670215099 -177.223169896927</f>
        <v>-1375.103686431328</v>
      </c>
      <c r="Q2870">
        <f>-783.894103170351 -101.960515163424 -270.120645670662</f>
        <v>-1155.9752640044369</v>
      </c>
      <c r="R2870" t="s">
        <v>58473</v>
      </c>
      <c r="S2870" t="s">
        <v>58474</v>
      </c>
      <c r="T2870" t="s">
        <v>58475</v>
      </c>
      <c r="U2870" t="s">
        <v>58476</v>
      </c>
      <c r="V2870">
        <f>-886.635628722137 -118.573613724533 -52.147587944118</f>
        <v>-1057.356830390788</v>
      </c>
      <c r="W2870" t="s">
        <v>58477</v>
      </c>
      <c r="X2870" t="s">
        <v>58478</v>
      </c>
      <c r="Y2870" t="s">
        <v>58479</v>
      </c>
    </row>
    <row r="2871" spans="1:25" x14ac:dyDescent="0.3">
      <c r="A2871">
        <v>143500</v>
      </c>
      <c r="B2871" t="s">
        <v>58480</v>
      </c>
      <c r="C2871">
        <f>-891.162077389017 -24.6657274093864 -49.9049032790197</f>
        <v>-965.73270807742301</v>
      </c>
      <c r="D2871">
        <f>-934.424929125833 -26.070397411359 -157.341195859372</f>
        <v>-1117.8365223965641</v>
      </c>
      <c r="E2871">
        <f>-951.706136101425 -27.6607975189395 -254.426099927195</f>
        <v>-1233.7930335475596</v>
      </c>
      <c r="F2871">
        <f>-959.80205734195 -29.595179004602 -343.13330617666</f>
        <v>-1332.530542523212</v>
      </c>
      <c r="G2871">
        <f>-959.984605381821 -32.2292652547571 -432.190968914583</f>
        <v>-1424.4048395511611</v>
      </c>
      <c r="H2871">
        <f>-951.955097794243 -36.8254561642921 -556.429416290548</f>
        <v>-1545.2099702490832</v>
      </c>
      <c r="I2871">
        <f>-919.493839809219 -58.8504162157735 -629.683851548578</f>
        <v>-1608.0281075735707</v>
      </c>
      <c r="J2871">
        <f>-953.484766739638 -7.18081913573405 -502.650722957347</f>
        <v>-1463.316308832719</v>
      </c>
      <c r="K2871" t="s">
        <v>58481</v>
      </c>
      <c r="L2871" t="s">
        <v>58482</v>
      </c>
      <c r="M2871" t="s">
        <v>58483</v>
      </c>
      <c r="N2871">
        <f>-957.491815469312 -62.4251227842574 -500.865904396449</f>
        <v>-1520.7828426500184</v>
      </c>
      <c r="O2871">
        <f>-970.323878872013 -195.194444713041 -467.581608197844</f>
        <v>-1633.099931782898</v>
      </c>
      <c r="P2871">
        <f>-959.058195625247 -238.909806918472 -176.801126969698</f>
        <v>-1374.7691295134171</v>
      </c>
      <c r="Q2871">
        <f>-783.115465310983 -102.755793275921 -269.305670790197</f>
        <v>-1155.176929377101</v>
      </c>
      <c r="R2871" t="s">
        <v>58484</v>
      </c>
      <c r="S2871" t="s">
        <v>58485</v>
      </c>
      <c r="T2871" t="s">
        <v>58486</v>
      </c>
      <c r="U2871" t="s">
        <v>58487</v>
      </c>
      <c r="V2871">
        <f>-886.154464741334 -119.056631203144 -51.9792955101508</f>
        <v>-1057.1903914546288</v>
      </c>
      <c r="W2871" t="s">
        <v>58488</v>
      </c>
      <c r="X2871" t="s">
        <v>58489</v>
      </c>
      <c r="Y2871" t="s">
        <v>58490</v>
      </c>
    </row>
    <row r="2872" spans="1:25" x14ac:dyDescent="0.3">
      <c r="A2872">
        <v>143550</v>
      </c>
      <c r="B2872" t="s">
        <v>58491</v>
      </c>
      <c r="C2872">
        <f>-890.909711113226 -24.6982973667673 -49.8574562311907</f>
        <v>-965.46546471118393</v>
      </c>
      <c r="D2872">
        <f>-934.12720273088 -26.0554576269974 -157.312743718117</f>
        <v>-1117.4954040759944</v>
      </c>
      <c r="E2872">
        <f>-951.340037431498 -27.6232642280174 -254.410118570275</f>
        <v>-1233.3734202297903</v>
      </c>
      <c r="F2872">
        <f>-959.362901803891 -29.5465253793604 -343.124181057789</f>
        <v>-1332.0336082410404</v>
      </c>
      <c r="G2872">
        <f>-959.462223725321 -32.1804928746537 -432.18194465485</f>
        <v>-1423.8246612548246</v>
      </c>
      <c r="H2872">
        <f>-951.305351533589 -36.7897614666201 -556.411694188819</f>
        <v>-1544.5068071890282</v>
      </c>
      <c r="I2872">
        <f>-918.758832855727 -58.6583486411507 -629.675125334113</f>
        <v>-1607.0923068309908</v>
      </c>
      <c r="J2872">
        <f>-952.838047383597 -7.14313645666107 -502.634043249511</f>
        <v>-1462.6152270897692</v>
      </c>
      <c r="K2872" t="s">
        <v>58492</v>
      </c>
      <c r="L2872" t="s">
        <v>58493</v>
      </c>
      <c r="M2872" t="s">
        <v>58494</v>
      </c>
      <c r="N2872">
        <f>-956.95129734764 -62.3798006859536 -500.854741655252</f>
        <v>-1520.1858396888456</v>
      </c>
      <c r="O2872">
        <f>-970.054529965868 -195.122288828707 -467.582151639148</f>
        <v>-1632.7589704337229</v>
      </c>
      <c r="P2872">
        <f>-959.595923760874 -238.966100428905 -176.79098202307</f>
        <v>-1375.3530062128491</v>
      </c>
      <c r="Q2872">
        <f>-783.328372647917 -103.084625130895 -269.07724201007</f>
        <v>-1155.490239788882</v>
      </c>
      <c r="R2872" t="s">
        <v>58495</v>
      </c>
      <c r="S2872" t="s">
        <v>58496</v>
      </c>
      <c r="T2872" t="s">
        <v>58497</v>
      </c>
      <c r="U2872" t="s">
        <v>58498</v>
      </c>
      <c r="V2872">
        <f>-886.01275236246 -119.165019573405 -51.9316291986504</f>
        <v>-1057.1094011345153</v>
      </c>
      <c r="W2872" t="s">
        <v>58499</v>
      </c>
      <c r="X2872" t="s">
        <v>58500</v>
      </c>
      <c r="Y2872" t="s">
        <v>58501</v>
      </c>
    </row>
    <row r="2873" spans="1:25" x14ac:dyDescent="0.3">
      <c r="A2873">
        <v>143600</v>
      </c>
      <c r="B2873" t="s">
        <v>58502</v>
      </c>
      <c r="C2873">
        <f>-890.746572593902 -24.5661170686071 -49.90364876105</f>
        <v>-965.21633842355914</v>
      </c>
      <c r="D2873">
        <f>-933.787497744969 -25.790697787199 -157.431265773361</f>
        <v>-1117.0094613055289</v>
      </c>
      <c r="E2873">
        <f>-950.813897089284 -27.2376366924964 -254.563519466591</f>
        <v>-1232.6150532483714</v>
      </c>
      <c r="F2873">
        <f>-958.655700951879 -29.0525376733221 -343.295961916646</f>
        <v>-1331.0042005418472</v>
      </c>
      <c r="G2873">
        <f>-958.562345053497 -31.582304840028 -432.356892855742</f>
        <v>-1422.5015427492669</v>
      </c>
      <c r="H2873">
        <f>-950.126558631251 -36.0527218195152 -556.573020343901</f>
        <v>-1542.7523007946672</v>
      </c>
      <c r="I2873">
        <f>-917.425087998558 -57.8120301791762 -629.799937508045</f>
        <v>-1605.0370556857793</v>
      </c>
      <c r="J2873">
        <f>-951.720071339778 -6.47068495692429 -502.761488827616</f>
        <v>-1460.9522451243183</v>
      </c>
      <c r="K2873" t="s">
        <v>58503</v>
      </c>
      <c r="L2873" t="s">
        <v>58504</v>
      </c>
      <c r="M2873" t="s">
        <v>58505</v>
      </c>
      <c r="N2873">
        <f>-955.957455057604 -61.7003650024992 -501.061592104551</f>
        <v>-1518.7194121646542</v>
      </c>
      <c r="O2873">
        <f>-969.447569375488 -194.437521533727 -467.956563936334</f>
        <v>-1631.8416548455491</v>
      </c>
      <c r="P2873">
        <f>-960.387074074014 -238.803672251719 -177.197624543062</f>
        <v>-1376.3883708687949</v>
      </c>
      <c r="Q2873">
        <f>-783.481478015916 -103.332700518894 -268.865336780441</f>
        <v>-1155.6795153152511</v>
      </c>
      <c r="R2873" t="s">
        <v>58506</v>
      </c>
      <c r="S2873" t="s">
        <v>58507</v>
      </c>
      <c r="T2873" t="s">
        <v>58508</v>
      </c>
      <c r="U2873" t="s">
        <v>58509</v>
      </c>
      <c r="V2873">
        <f>-885.842470790845 -119.106841193123 -51.9615419448656</f>
        <v>-1056.9108539288336</v>
      </c>
      <c r="W2873" t="s">
        <v>58510</v>
      </c>
      <c r="X2873" t="s">
        <v>58511</v>
      </c>
      <c r="Y2873" t="s">
        <v>58512</v>
      </c>
    </row>
    <row r="2874" spans="1:25" x14ac:dyDescent="0.3">
      <c r="A2874">
        <v>143650</v>
      </c>
      <c r="B2874" t="s">
        <v>58513</v>
      </c>
      <c r="C2874">
        <f>-890.7915281779 -24.5134707858674 -49.9000031315286</f>
        <v>-965.20500209529598</v>
      </c>
      <c r="D2874">
        <f>-933.694867363097 -25.6571177357109 -157.483459245283</f>
        <v>-1116.835444344091</v>
      </c>
      <c r="E2874">
        <f>-950.607783126916 -27.0473703755983 -254.636334817463</f>
        <v>-1232.2914883199774</v>
      </c>
      <c r="F2874">
        <f>-958.350263705214 -28.8157823798906 -343.378392194996</f>
        <v>-1330.5444382801006</v>
      </c>
      <c r="G2874">
        <f>-958.162205192256 -31.303886784855 -432.440350466578</f>
        <v>-1421.906442443689</v>
      </c>
      <c r="H2874">
        <f>-949.598889262084 -35.7210661279987 -556.649771321468</f>
        <v>-1541.9697267115507</v>
      </c>
      <c r="I2874">
        <f>-916.907212870917 -57.4840338482115 -629.879800171105</f>
        <v>-1604.2710468902335</v>
      </c>
      <c r="J2874">
        <f>-951.243690942232 -6.16223945249476 -502.826961805046</f>
        <v>-1460.2328921997728</v>
      </c>
      <c r="K2874" t="s">
        <v>58514</v>
      </c>
      <c r="L2874" t="s">
        <v>58515</v>
      </c>
      <c r="M2874" t="s">
        <v>58516</v>
      </c>
      <c r="N2874">
        <f>-955.490618961133 -61.3921420733648 -501.155683081573</f>
        <v>-1518.0384441160709</v>
      </c>
      <c r="O2874">
        <f>-969.036122680926 -194.144827279865 -468.143763866385</f>
        <v>-1631.3247138271761</v>
      </c>
      <c r="P2874">
        <f>-960.375607966067 -238.768936073532 -177.412079306278</f>
        <v>-1376.5566233458769</v>
      </c>
      <c r="Q2874">
        <f>-783.250146124046 -103.3590471917 -268.743997967875</f>
        <v>-1155.3531912836211</v>
      </c>
      <c r="R2874" t="s">
        <v>58517</v>
      </c>
      <c r="S2874" t="s">
        <v>58518</v>
      </c>
      <c r="T2874" t="s">
        <v>58519</v>
      </c>
      <c r="U2874" t="s">
        <v>58520</v>
      </c>
      <c r="V2874">
        <f>-885.908349222187 -119.097524303921 -51.9928839820652</f>
        <v>-1056.9987575081732</v>
      </c>
      <c r="W2874" t="s">
        <v>58521</v>
      </c>
      <c r="X2874" t="s">
        <v>58522</v>
      </c>
      <c r="Y2874" t="s">
        <v>58523</v>
      </c>
    </row>
    <row r="2875" spans="1:25" x14ac:dyDescent="0.3">
      <c r="A2875">
        <v>143700</v>
      </c>
      <c r="B2875" t="s">
        <v>58524</v>
      </c>
      <c r="C2875">
        <f>-890.503436868921 -24.5932314231241 -49.8472764053403</f>
        <v>-964.94394469738529</v>
      </c>
      <c r="D2875">
        <f>-933.27133501392 -25.5814878204014 -157.486420517772</f>
        <v>-1116.3392433520935</v>
      </c>
      <c r="E2875">
        <f>-950.121136591348 -26.9035772340249 -254.651229427045</f>
        <v>-1231.6759432524177</v>
      </c>
      <c r="F2875">
        <f>-957.831309571526 -28.6373591815486 -343.396727282008</f>
        <v>-1329.8653960350825</v>
      </c>
      <c r="G2875">
        <f>-957.636926071572 -31.1186070948988 -432.458829584057</f>
        <v>-1421.2143627505279</v>
      </c>
      <c r="H2875">
        <f>-949.09402032252 -35.5556302892383 -556.6688855419</f>
        <v>-1541.3185361536582</v>
      </c>
      <c r="I2875">
        <f>-916.588809419045 -57.3093159216992 -629.984750015583</f>
        <v>-1603.8828753563271</v>
      </c>
      <c r="J2875">
        <f>-950.699982081647 -5.99052528620223 -502.848563905608</f>
        <v>-1459.5390712734572</v>
      </c>
      <c r="K2875" t="s">
        <v>58525</v>
      </c>
      <c r="L2875" t="s">
        <v>58526</v>
      </c>
      <c r="M2875" t="s">
        <v>58527</v>
      </c>
      <c r="N2875">
        <f>-955.006646037146 -61.2156062397285 -501.172016676784</f>
        <v>-1517.3942689536584</v>
      </c>
      <c r="O2875">
        <f>-968.526591330538 -194.001653084877 -468.275881662688</f>
        <v>-1630.8041260781029</v>
      </c>
      <c r="P2875">
        <f>-960.120678248311 -239.212067041427 -177.627407478943</f>
        <v>-1376.9601527686812</v>
      </c>
      <c r="Q2875">
        <f>-782.968345927214 -103.339061850607 -268.216613370551</f>
        <v>-1154.524021148372</v>
      </c>
      <c r="R2875" t="s">
        <v>58528</v>
      </c>
      <c r="S2875" t="s">
        <v>58529</v>
      </c>
      <c r="T2875" t="s">
        <v>58530</v>
      </c>
      <c r="U2875" t="s">
        <v>58531</v>
      </c>
      <c r="V2875">
        <f>-885.651720923829 -119.315947398487 -52.0296301153396</f>
        <v>-1056.9972984376554</v>
      </c>
      <c r="W2875" t="s">
        <v>58532</v>
      </c>
      <c r="X2875" t="s">
        <v>58533</v>
      </c>
      <c r="Y2875" t="s">
        <v>58534</v>
      </c>
    </row>
    <row r="2876" spans="1:25" x14ac:dyDescent="0.3">
      <c r="A2876">
        <v>143750</v>
      </c>
      <c r="B2876" t="s">
        <v>58535</v>
      </c>
      <c r="C2876">
        <f>-890.189609173401 -24.6794514988237 -49.7985901744058</f>
        <v>-964.66765084663052</v>
      </c>
      <c r="D2876">
        <f>-932.999689942473 -25.658038745175 -157.420857178413</f>
        <v>-1116.0785858660608</v>
      </c>
      <c r="E2876">
        <f>-949.943578515192 -26.9762691526462 -254.569399277863</f>
        <v>-1231.4892469457013</v>
      </c>
      <c r="F2876">
        <f>-957.763067790451 -28.7114996925638 -343.305299472901</f>
        <v>-1329.7798669559158</v>
      </c>
      <c r="G2876">
        <f>-957.702090952836 -31.2012839402819 -432.367296890186</f>
        <v>-1421.2706717833039</v>
      </c>
      <c r="H2876">
        <f>-949.36917607447 -35.6595393909524 -556.591000804663</f>
        <v>-1541.6197162700855</v>
      </c>
      <c r="I2876">
        <f>-917.014058771721 -57.3495970006672 -629.991999638989</f>
        <v>-1604.3556554113773</v>
      </c>
      <c r="J2876">
        <f>-950.845871540762 -6.08817625018264 -502.77033940025</f>
        <v>-1459.7043871911947</v>
      </c>
      <c r="K2876" t="s">
        <v>58536</v>
      </c>
      <c r="L2876" t="s">
        <v>58537</v>
      </c>
      <c r="M2876" t="s">
        <v>58538</v>
      </c>
      <c r="N2876">
        <f>-955.226178058401 -61.307134301223 -501.082326985681</f>
        <v>-1517.615639345305</v>
      </c>
      <c r="O2876">
        <f>-968.726296554878 -194.122293193395 -468.279887028638</f>
        <v>-1631.1284767769112</v>
      </c>
      <c r="P2876">
        <f>-960.29945300163 -239.734863380115 -177.69478011461</f>
        <v>-1377.7290964963549</v>
      </c>
      <c r="Q2876">
        <f>-783.253142464173 -103.456195595217 -267.88124412166</f>
        <v>-1154.59058218105</v>
      </c>
      <c r="R2876" t="s">
        <v>58539</v>
      </c>
      <c r="S2876" t="s">
        <v>58540</v>
      </c>
      <c r="T2876" t="s">
        <v>58541</v>
      </c>
      <c r="U2876" t="s">
        <v>58542</v>
      </c>
      <c r="V2876">
        <f>-885.351161860535 -119.470480932285 -52.0134509219937</f>
        <v>-1056.8350937148136</v>
      </c>
      <c r="W2876" t="s">
        <v>58543</v>
      </c>
      <c r="X2876" t="s">
        <v>58544</v>
      </c>
      <c r="Y2876" t="s">
        <v>58545</v>
      </c>
    </row>
    <row r="2877" spans="1:25" x14ac:dyDescent="0.3">
      <c r="A2877">
        <v>143800</v>
      </c>
      <c r="B2877" t="s">
        <v>58546</v>
      </c>
      <c r="C2877">
        <f>-889.624740058226 -24.9031425882777 -49.693313043872</f>
        <v>-964.22119569037568</v>
      </c>
      <c r="D2877">
        <f>-932.64346350192 -25.9088514173422 -157.231936230458</f>
        <v>-1115.7842511497201</v>
      </c>
      <c r="E2877">
        <f>-949.875924398038 -27.2104166704166 -254.329993224221</f>
        <v>-1231.4163342926756</v>
      </c>
      <c r="F2877">
        <f>-957.998798447502 -28.9220473680671 -343.039251890334</f>
        <v>-1329.9600977059031</v>
      </c>
      <c r="G2877">
        <f>-958.283253790348 -31.3850739218701 -432.101561657161</f>
        <v>-1421.7698893693791</v>
      </c>
      <c r="H2877">
        <f>-950.475961848888 -35.8077193857698 -556.360550583206</f>
        <v>-1542.6442318178638</v>
      </c>
      <c r="I2877">
        <f>-918.440142555391 -57.2831560366733 -629.964561506647</f>
        <v>-1605.6878600987113</v>
      </c>
      <c r="J2877">
        <f>-951.647334875245 -6.2580048518339 -502.520461570441</f>
        <v>-1460.4258012975199</v>
      </c>
      <c r="K2877" t="s">
        <v>58547</v>
      </c>
      <c r="L2877" t="s">
        <v>58548</v>
      </c>
      <c r="M2877" t="s">
        <v>58549</v>
      </c>
      <c r="N2877">
        <f>-956.175729366753 -61.4652457461161 -500.840145296251</f>
        <v>-1518.4811204091202</v>
      </c>
      <c r="O2877">
        <f>-969.636379014662 -194.376033686317 -468.387898613442</f>
        <v>-1632.4003113144211</v>
      </c>
      <c r="P2877">
        <f>-960.976888833942 -240.911781597427 -177.956138876881</f>
        <v>-1379.84480930825</v>
      </c>
      <c r="Q2877">
        <f>-784.21523788887 -103.853629887807 -267.51744269747</f>
        <v>-1155.586310474147</v>
      </c>
      <c r="R2877" t="s">
        <v>58550</v>
      </c>
      <c r="S2877" t="s">
        <v>58551</v>
      </c>
      <c r="T2877" t="s">
        <v>58552</v>
      </c>
      <c r="U2877" t="s">
        <v>58553</v>
      </c>
      <c r="V2877">
        <f>-884.684698365796 -120.016730250264 -51.8940138100784</f>
        <v>-1056.5954424261383</v>
      </c>
      <c r="W2877" t="s">
        <v>58554</v>
      </c>
      <c r="X2877" t="s">
        <v>58555</v>
      </c>
      <c r="Y2877" t="s">
        <v>58556</v>
      </c>
    </row>
    <row r="2878" spans="1:25" x14ac:dyDescent="0.3">
      <c r="A2878">
        <v>143850</v>
      </c>
      <c r="B2878" t="s">
        <v>58557</v>
      </c>
      <c r="C2878">
        <f>-889.277929580717 -25.0737730840287 -49.6019938028494</f>
        <v>-963.95369646759514</v>
      </c>
      <c r="D2878">
        <f>-932.415139051739 -26.0941827659767 -157.093049055412</f>
        <v>-1115.6023708731277</v>
      </c>
      <c r="E2878">
        <f>-949.788157989715 -27.3782221458978 -254.166218194691</f>
        <v>-1231.3325983303039</v>
      </c>
      <c r="F2878">
        <f>-958.052919795387 -29.0644377325871 -342.862831071225</f>
        <v>-1329.980188599199</v>
      </c>
      <c r="G2878">
        <f>-958.493170193017 -31.4945306534469 -431.925388201872</f>
        <v>-1421.9130890483359</v>
      </c>
      <c r="H2878">
        <f>-950.917278567242 -35.864212428095 -556.200676627156</f>
        <v>-1542.9821676224929</v>
      </c>
      <c r="I2878">
        <f>-919.028487585418 -57.205031357071 -629.907545585727</f>
        <v>-1606.141064528216</v>
      </c>
      <c r="J2878">
        <f>-951.963206557019 -6.33944629240932 -502.344324219233</f>
        <v>-1460.6469770686613</v>
      </c>
      <c r="K2878" t="s">
        <v>58558</v>
      </c>
      <c r="L2878" t="s">
        <v>58559</v>
      </c>
      <c r="M2878" t="s">
        <v>58560</v>
      </c>
      <c r="N2878">
        <f>-956.53898274329 -61.5432498279863 -500.682229572515</f>
        <v>-1518.7644621437912</v>
      </c>
      <c r="O2878">
        <f>-969.984985328638 -194.49892945625 -468.419512672584</f>
        <v>-1632.9034274574719</v>
      </c>
      <c r="P2878">
        <f>-961.066436449152 -241.536779329222 -178.076427904503</f>
        <v>-1380.6796436828768</v>
      </c>
      <c r="Q2878">
        <f>-784.405800667363 -104.183167205667 -267.384834411302</f>
        <v>-1155.9738022843321</v>
      </c>
      <c r="R2878" t="s">
        <v>58561</v>
      </c>
      <c r="S2878" t="s">
        <v>58562</v>
      </c>
      <c r="T2878" t="s">
        <v>58563</v>
      </c>
      <c r="U2878" t="s">
        <v>58564</v>
      </c>
      <c r="V2878">
        <f>-884.301018463252 -120.354185102328 -51.810601179238</f>
        <v>-1056.4658047448179</v>
      </c>
      <c r="W2878" t="s">
        <v>58565</v>
      </c>
      <c r="X2878" t="s">
        <v>58566</v>
      </c>
      <c r="Y2878" t="s">
        <v>58567</v>
      </c>
    </row>
    <row r="2879" spans="1:25" x14ac:dyDescent="0.3">
      <c r="A2879">
        <v>143900</v>
      </c>
      <c r="B2879" t="s">
        <v>58568</v>
      </c>
      <c r="C2879">
        <f>-888.47712672226 -25.4591828099474 -49.4302699823011</f>
        <v>-963.36657951450843</v>
      </c>
      <c r="D2879">
        <f>-931.876445591838 -26.4837695498532 -156.815969030558</f>
        <v>-1115.1761841722491</v>
      </c>
      <c r="E2879">
        <f>-949.513705387598 -27.7054176561956 -253.842085715093</f>
        <v>-1231.0612087588866</v>
      </c>
      <c r="F2879">
        <f>-958.030757277838 -29.3120929755091 -342.51642987839</f>
        <v>-1329.8592801317373</v>
      </c>
      <c r="G2879">
        <f>-958.733730429108 -31.6415242359053 -431.5799616113</f>
        <v>-1421.9552162763134</v>
      </c>
      <c r="H2879">
        <f>-951.534559657043 -35.8510657367842 -555.88301674506</f>
        <v>-1543.2686421388871</v>
      </c>
      <c r="I2879">
        <f>-919.903834713156 -56.9434746496534 -629.772403472348</f>
        <v>-1606.6197128351573</v>
      </c>
      <c r="J2879">
        <f>-952.373753363716 -6.3991401878684 -501.983237482209</f>
        <v>-1460.7561310337933</v>
      </c>
      <c r="K2879" t="s">
        <v>58569</v>
      </c>
      <c r="L2879" t="s">
        <v>58570</v>
      </c>
      <c r="M2879" t="s">
        <v>58571</v>
      </c>
      <c r="N2879">
        <f>-957.03134775409 -61.5980741959295 -500.383647519547</f>
        <v>-1519.0130694695665</v>
      </c>
      <c r="O2879">
        <f>-970.492225890188 -194.623578907722 -468.424770049936</f>
        <v>-1633.5405748478461</v>
      </c>
      <c r="P2879">
        <f>-960.835874372552 -242.496653108444 -178.24175761386</f>
        <v>-1381.5742850948561</v>
      </c>
      <c r="Q2879">
        <f>-784.51239169743 -104.558691312532 -267.314517340802</f>
        <v>-1156.385600350764</v>
      </c>
      <c r="R2879" t="s">
        <v>58572</v>
      </c>
      <c r="S2879" t="s">
        <v>58573</v>
      </c>
      <c r="T2879" t="s">
        <v>58574</v>
      </c>
      <c r="U2879" t="s">
        <v>58575</v>
      </c>
      <c r="V2879">
        <f>-883.492527967326 -120.914705271924 -51.6732971263514</f>
        <v>-1056.0805303656016</v>
      </c>
      <c r="W2879" t="s">
        <v>58576</v>
      </c>
      <c r="X2879" t="s">
        <v>58577</v>
      </c>
      <c r="Y2879" t="s">
        <v>58578</v>
      </c>
    </row>
    <row r="2880" spans="1:25" x14ac:dyDescent="0.3">
      <c r="A2880">
        <v>143950</v>
      </c>
      <c r="B2880" t="s">
        <v>58579</v>
      </c>
      <c r="C2880">
        <f>-888.149538888542 -25.5062850181121 -49.3425775544456</f>
        <v>-962.99840146109966</v>
      </c>
      <c r="D2880">
        <f>-931.643600510279 -26.5383559564384 -156.689839539035</f>
        <v>-1114.8717960057525</v>
      </c>
      <c r="E2880">
        <f>-949.397256859455 -27.7302535038016 -253.695143410681</f>
        <v>-1230.8226537739374</v>
      </c>
      <c r="F2880">
        <f>-958.032012012235 -29.2948154577211 -342.358827578664</f>
        <v>-1329.68565504862</v>
      </c>
      <c r="G2880">
        <f>-958.865070730851 -31.5673479391912 -431.422623896697</f>
        <v>-1421.8550425667393</v>
      </c>
      <c r="H2880">
        <f>-951.858646741926 -35.6815524211474 -555.740087265682</f>
        <v>-1543.2802864287555</v>
      </c>
      <c r="I2880">
        <f>-920.342149121539 -56.6759631155521 -629.705948720429</f>
        <v>-1606.7240609575201</v>
      </c>
      <c r="J2880">
        <f>-952.605515253973 -6.27181347122314 -501.815868713299</f>
        <v>-1460.6931974384952</v>
      </c>
      <c r="K2880" t="s">
        <v>58580</v>
      </c>
      <c r="L2880" t="s">
        <v>58581</v>
      </c>
      <c r="M2880" t="s">
        <v>58582</v>
      </c>
      <c r="N2880">
        <f>-957.277993157172 -61.4704033779517 -500.252299250624</f>
        <v>-1519.0006957857477</v>
      </c>
      <c r="O2880">
        <f>-970.702684475966 -194.533070762951 -468.433065536451</f>
        <v>-1633.668820775368</v>
      </c>
      <c r="P2880">
        <f>-960.734116265544 -242.63677647589 -178.298828993963</f>
        <v>-1381.6697217353972</v>
      </c>
      <c r="Q2880">
        <f>-784.596920015678 -104.422409599188 -267.312202663514</f>
        <v>-1156.3315322783801</v>
      </c>
      <c r="R2880" t="s">
        <v>58583</v>
      </c>
      <c r="S2880" t="s">
        <v>58584</v>
      </c>
      <c r="T2880" t="s">
        <v>58585</v>
      </c>
      <c r="U2880" t="s">
        <v>58586</v>
      </c>
      <c r="V2880">
        <f>-883.128878021462 -121.010377938586 -51.6110316765427</f>
        <v>-1055.7502876365907</v>
      </c>
      <c r="W2880" t="s">
        <v>58587</v>
      </c>
      <c r="X2880" t="s">
        <v>58588</v>
      </c>
      <c r="Y2880" t="s">
        <v>58589</v>
      </c>
    </row>
    <row r="2881" spans="1:25" x14ac:dyDescent="0.3">
      <c r="A2881">
        <v>144000</v>
      </c>
      <c r="B2881" t="s">
        <v>58590</v>
      </c>
      <c r="C2881">
        <f>-887.683516985137 -25.3489246739032 -49.2783980272675</f>
        <v>-962.31083968630765</v>
      </c>
      <c r="D2881">
        <f>-931.292181065509 -26.4156105194306 -156.578780173233</f>
        <v>-1114.2865717581726</v>
      </c>
      <c r="E2881">
        <f>-949.30248394974 -27.5698035505966 -253.537305202213</f>
        <v>-1230.4095927025496</v>
      </c>
      <c r="F2881">
        <f>-958.232881393099 -29.0730732981338 -342.172606188703</f>
        <v>-1329.4785608799357</v>
      </c>
      <c r="G2881">
        <f>-959.423780407657 -31.2568247935119 -431.234740882291</f>
        <v>-1421.91534608346</v>
      </c>
      <c r="H2881">
        <f>-952.979934058237 -35.2186236247653 -555.587338677378</f>
        <v>-1543.7858963603803</v>
      </c>
      <c r="I2881">
        <f>-921.696500743004 -56.075556172226 -629.691120026242</f>
        <v>-1607.4631769414718</v>
      </c>
      <c r="J2881">
        <f>-953.467362355529 -5.87624354821537 -501.623623665118</f>
        <v>-1460.9672295688624</v>
      </c>
      <c r="K2881" t="s">
        <v>58591</v>
      </c>
      <c r="L2881" t="s">
        <v>58592</v>
      </c>
      <c r="M2881" t="s">
        <v>58593</v>
      </c>
      <c r="N2881">
        <f>-958.163685024695 -61.0741915383007 -500.108353503746</f>
        <v>-1519.3462300667418</v>
      </c>
      <c r="O2881">
        <f>-971.416223810909 -194.202103790847 -468.509680924584</f>
        <v>-1634.12800852634</v>
      </c>
      <c r="P2881">
        <f>-960.516888881626 -242.732991088496 -178.480133696058</f>
        <v>-1381.73001366618</v>
      </c>
      <c r="Q2881">
        <f>-784.905734275576 -103.776083360599 -267.376570219735</f>
        <v>-1156.05838785591</v>
      </c>
      <c r="R2881" t="s">
        <v>58594</v>
      </c>
      <c r="S2881" t="s">
        <v>58595</v>
      </c>
      <c r="T2881" t="s">
        <v>58596</v>
      </c>
      <c r="U2881" t="s">
        <v>58597</v>
      </c>
      <c r="V2881">
        <f>-882.646382562734 -120.769804073481 -51.5671754697039</f>
        <v>-1054.9833621059188</v>
      </c>
      <c r="W2881" t="s">
        <v>58598</v>
      </c>
      <c r="X2881" t="s">
        <v>58599</v>
      </c>
      <c r="Y2881" t="s">
        <v>58600</v>
      </c>
    </row>
    <row r="2882" spans="1:25" x14ac:dyDescent="0.3">
      <c r="A2882">
        <v>144050</v>
      </c>
      <c r="B2882" t="s">
        <v>58601</v>
      </c>
      <c r="C2882">
        <f>-887.606200624556 -25.1429795489589 -49.2760472812561</f>
        <v>-962.02522745477097</v>
      </c>
      <c r="D2882">
        <f>-931.252469998478 -26.2299395893365 -156.560997268112</f>
        <v>-1114.0434068559264</v>
      </c>
      <c r="E2882">
        <f>-949.374306924697 -27.3572036321348 -253.499054873956</f>
        <v>-1230.2305654307877</v>
      </c>
      <c r="F2882">
        <f>-958.437749442081 -28.8177705288253 -342.12170800097</f>
        <v>-1329.3772279718764</v>
      </c>
      <c r="G2882">
        <f>-959.792348244213 -30.9399193571567 -431.182925366685</f>
        <v>-1421.9151929680547</v>
      </c>
      <c r="H2882">
        <f>-953.609000438125 -34.7958208123218 -555.552098124836</f>
        <v>-1543.9569193752827</v>
      </c>
      <c r="I2882">
        <f>-922.415318959778 -55.6056686543207 -629.706797205469</f>
        <v>-1607.7277848195677</v>
      </c>
      <c r="J2882">
        <f>-953.99161829439 -5.49879342933991 -501.562836623224</f>
        <v>-1461.053248346954</v>
      </c>
      <c r="K2882" t="s">
        <v>58602</v>
      </c>
      <c r="L2882" t="s">
        <v>58603</v>
      </c>
      <c r="M2882" t="s">
        <v>58604</v>
      </c>
      <c r="N2882">
        <f>-958.668514842494 -60.6993073022738 -500.083981699349</f>
        <v>-1519.451803844117</v>
      </c>
      <c r="O2882">
        <f>-971.789735980263 -193.872373124446 -468.596436986941</f>
        <v>-1634.25854609165</v>
      </c>
      <c r="P2882">
        <f>-960.400904525187 -242.67047286674 -178.630497357686</f>
        <v>-1381.7018747496129</v>
      </c>
      <c r="Q2882">
        <f>-785.049978729483 -103.301203849665 -267.395340932732</f>
        <v>-1155.7465235118798</v>
      </c>
      <c r="R2882" t="s">
        <v>58605</v>
      </c>
      <c r="S2882" t="s">
        <v>58606</v>
      </c>
      <c r="T2882" t="s">
        <v>58607</v>
      </c>
      <c r="U2882" t="s">
        <v>58608</v>
      </c>
      <c r="V2882">
        <f>-882.520638779961 -120.504290429217 -51.5717587125629</f>
        <v>-1054.596687921741</v>
      </c>
      <c r="W2882" t="s">
        <v>58609</v>
      </c>
      <c r="X2882" t="s">
        <v>58610</v>
      </c>
      <c r="Y2882" t="s">
        <v>58611</v>
      </c>
    </row>
    <row r="2883" spans="1:25" x14ac:dyDescent="0.3">
      <c r="A2883">
        <v>144100</v>
      </c>
      <c r="B2883" t="s">
        <v>58612</v>
      </c>
      <c r="C2883">
        <f>-887.505042558264 -25.0130845098852 -49.2585000588329</f>
        <v>-961.77662712698202</v>
      </c>
      <c r="D2883">
        <f>-931.22899683381 -26.0819189758899 -156.511915640465</f>
        <v>-1113.822831450165</v>
      </c>
      <c r="E2883">
        <f>-949.530333308689 -27.1416902368801 -253.417002706171</f>
        <v>-1230.0890262517401</v>
      </c>
      <c r="F2883">
        <f>-958.800919903716 -28.5172989476141 -342.019585621224</f>
        <v>-1329.3378044725541</v>
      </c>
      <c r="G2883">
        <f>-960.407055446143 -30.5284051380418 -431.079122987465</f>
        <v>-1422.0145835716498</v>
      </c>
      <c r="H2883">
        <f>-954.618076981709 -34.2002518753802 -555.473097228689</f>
        <v>-1544.2914260857783</v>
      </c>
      <c r="I2883">
        <f>-923.532805530127 -54.9169532539638 -629.699224256829</f>
        <v>-1608.1489830409198</v>
      </c>
      <c r="J2883">
        <f>-954.866557520316 -4.98008109949114 -501.441195186897</f>
        <v>-1461.2878338067042</v>
      </c>
      <c r="K2883" t="s">
        <v>58613</v>
      </c>
      <c r="L2883" t="s">
        <v>58614</v>
      </c>
      <c r="M2883" t="s">
        <v>58615</v>
      </c>
      <c r="N2883">
        <f>-959.464341876709 -60.1888249986482 -500.025627761863</f>
        <v>-1519.6787946372201</v>
      </c>
      <c r="O2883">
        <f>-972.24074726422 -193.439065535729 -468.741904897857</f>
        <v>-1634.4217176978059</v>
      </c>
      <c r="P2883">
        <f>-960.02207069345 -242.920808446092 -178.925604498418</f>
        <v>-1381.8684836379603</v>
      </c>
      <c r="Q2883">
        <f>-785.273807762221 -102.640335262348 -267.442384478224</f>
        <v>-1155.3565275027931</v>
      </c>
      <c r="R2883" t="s">
        <v>58616</v>
      </c>
      <c r="S2883" t="s">
        <v>58617</v>
      </c>
      <c r="T2883" t="s">
        <v>58618</v>
      </c>
      <c r="U2883" t="s">
        <v>58619</v>
      </c>
      <c r="V2883">
        <f>-882.339160924431 -120.455685546653 -51.5752545724226</f>
        <v>-1054.3701010435066</v>
      </c>
      <c r="W2883" t="s">
        <v>58620</v>
      </c>
      <c r="X2883" t="s">
        <v>58621</v>
      </c>
      <c r="Y2883" t="s">
        <v>58622</v>
      </c>
    </row>
    <row r="2884" spans="1:25" x14ac:dyDescent="0.3">
      <c r="A2884">
        <v>144150</v>
      </c>
      <c r="B2884" t="s">
        <v>58623</v>
      </c>
      <c r="C2884">
        <f>-887.428084931863 -25.0655204951158 -49.2600312520975</f>
        <v>-961.75363667907641</v>
      </c>
      <c r="D2884">
        <f>-931.190962247255 -26.1458916646625 -156.497387753191</f>
        <v>-1113.8342416651085</v>
      </c>
      <c r="E2884">
        <f>-949.55270395308 -27.1971742213118 -253.391285570412</f>
        <v>-1230.1411637448039</v>
      </c>
      <c r="F2884">
        <f>-958.887874682839 -28.5579912493849 -341.987085607047</f>
        <v>-1329.432951539271</v>
      </c>
      <c r="G2884">
        <f>-960.567840195933 -30.5465675760784 -431.045937167623</f>
        <v>-1422.1603449396343</v>
      </c>
      <c r="H2884">
        <f>-954.892671692988 -34.1785075549042 -555.446194586908</f>
        <v>-1544.5173738348001</v>
      </c>
      <c r="I2884">
        <f>-923.824936949643 -54.836832550784 -629.69610399308</f>
        <v>-1608.357873493507</v>
      </c>
      <c r="J2884">
        <f>-955.109551693886 -4.97410498881709 -501.40572604134</f>
        <v>-1461.489382724043</v>
      </c>
      <c r="K2884" t="s">
        <v>58624</v>
      </c>
      <c r="L2884" t="s">
        <v>58625</v>
      </c>
      <c r="M2884" t="s">
        <v>58626</v>
      </c>
      <c r="N2884">
        <f>-959.670500510784 -60.1863203237829 -500.001746394405</f>
        <v>-1519.8585672289719</v>
      </c>
      <c r="O2884">
        <f>-972.305185440824 -193.461140230264 -468.776135267559</f>
        <v>-1634.5424609386471</v>
      </c>
      <c r="P2884">
        <f>-959.816932448369 -243.211760293727 -179.017427811244</f>
        <v>-1382.04612055334</v>
      </c>
      <c r="Q2884">
        <f>-785.300615878063 -102.586076572965 -267.444238484368</f>
        <v>-1155.3309309353961</v>
      </c>
      <c r="R2884" t="s">
        <v>58627</v>
      </c>
      <c r="S2884" t="s">
        <v>58628</v>
      </c>
      <c r="T2884" t="s">
        <v>58629</v>
      </c>
      <c r="U2884" t="s">
        <v>58630</v>
      </c>
      <c r="V2884">
        <f>-882.212755618877 -120.532726494797 -51.588664870682</f>
        <v>-1054.334146984356</v>
      </c>
      <c r="W2884" t="s">
        <v>58631</v>
      </c>
      <c r="X2884" t="s">
        <v>58632</v>
      </c>
      <c r="Y2884" t="s">
        <v>58633</v>
      </c>
    </row>
    <row r="2885" spans="1:25" x14ac:dyDescent="0.3">
      <c r="A2885">
        <v>144200</v>
      </c>
      <c r="B2885" t="s">
        <v>58634</v>
      </c>
      <c r="C2885">
        <f>-887.326435078023 -25.0760644100142 -49.2647919234756</f>
        <v>-961.66729141151279</v>
      </c>
      <c r="D2885">
        <f>-931.074562374835 -26.2159671844515 -156.507686130479</f>
        <v>-1113.7982156897656</v>
      </c>
      <c r="E2885">
        <f>-949.457070640834 -27.2577228010086 -253.397547632648</f>
        <v>-1230.1123410744906</v>
      </c>
      <c r="F2885">
        <f>-958.825212442697 -28.5857535204468 -341.99055234124</f>
        <v>-1329.4015183043839</v>
      </c>
      <c r="G2885">
        <f>-960.551049909347 -30.5172847429471 -431.049682343507</f>
        <v>-1422.1180169958011</v>
      </c>
      <c r="H2885">
        <f>-954.951989935264 -34.0438363888102 -555.456328705208</f>
        <v>-1544.452155029282</v>
      </c>
      <c r="I2885">
        <f>-923.815815822881 -54.507277958023 -629.73159207915</f>
        <v>-1608.054685860054</v>
      </c>
      <c r="J2885">
        <f>-955.172887888534 -4.88232517830465 -501.392802262452</f>
        <v>-1461.4480153292907</v>
      </c>
      <c r="K2885" t="s">
        <v>58635</v>
      </c>
      <c r="L2885" t="s">
        <v>58636</v>
      </c>
      <c r="M2885" t="s">
        <v>58637</v>
      </c>
      <c r="N2885">
        <f>-959.659035113124 -60.1017113336227 -500.029381834486</f>
        <v>-1519.7901282812327</v>
      </c>
      <c r="O2885">
        <f>-972.058101244897 -193.424966304447 -468.88303047031</f>
        <v>-1634.3660980196541</v>
      </c>
      <c r="P2885">
        <f>-959.465574887314 -243.370527357896 -179.162427796405</f>
        <v>-1381.9985300416149</v>
      </c>
      <c r="Q2885">
        <f>-785.194424555219 -102.311641134755 -267.382928305898</f>
        <v>-1154.8889939958722</v>
      </c>
      <c r="R2885" t="s">
        <v>58638</v>
      </c>
      <c r="S2885" t="s">
        <v>58639</v>
      </c>
      <c r="T2885" t="s">
        <v>58640</v>
      </c>
      <c r="U2885" t="s">
        <v>58641</v>
      </c>
      <c r="V2885">
        <f>-882.002773034572 -120.541701336969 -51.6109946409007</f>
        <v>-1054.1554690124417</v>
      </c>
      <c r="W2885" t="s">
        <v>58642</v>
      </c>
      <c r="X2885" t="s">
        <v>58643</v>
      </c>
      <c r="Y2885" t="s">
        <v>58644</v>
      </c>
    </row>
    <row r="2886" spans="1:25" x14ac:dyDescent="0.3">
      <c r="A2886">
        <v>144250</v>
      </c>
      <c r="B2886" t="s">
        <v>58645</v>
      </c>
      <c r="C2886">
        <f>-887.252281864474 -25.0897926013236 -49.2523250553703</f>
        <v>-961.59439952116782</v>
      </c>
      <c r="D2886">
        <f>-930.946442690859 -26.2525653992357 -156.5168898398</f>
        <v>-1113.7158979298947</v>
      </c>
      <c r="E2886">
        <f>-949.295054054202 -27.3068057477317 -253.413129156035</f>
        <v>-1230.0149889579686</v>
      </c>
      <c r="F2886">
        <f>-958.63779511141 -28.64269315411 -342.008662347899</f>
        <v>-1329.289150613419</v>
      </c>
      <c r="G2886">
        <f>-960.34336780611 -30.5777062507004 -431.068048907794</f>
        <v>-1421.9891229646043</v>
      </c>
      <c r="H2886">
        <f>-954.722446203713 -34.1044279687585 -555.473744480877</f>
        <v>-1544.3006186533485</v>
      </c>
      <c r="I2886">
        <f>-923.51857715824 -54.4380587844771 -629.75625278631</f>
        <v>-1607.7128887290271</v>
      </c>
      <c r="J2886">
        <f>-954.969011007942 -4.94151228204964 -501.411188178516</f>
        <v>-1461.3217114685076</v>
      </c>
      <c r="K2886" t="s">
        <v>58646</v>
      </c>
      <c r="L2886" t="s">
        <v>58647</v>
      </c>
      <c r="M2886" t="s">
        <v>58648</v>
      </c>
      <c r="N2886">
        <f>-959.422979266624 -60.1634393285046 -500.046875236029</f>
        <v>-1519.6332938311575</v>
      </c>
      <c r="O2886">
        <f>-971.709926994236 -193.495918040287 -468.904460757076</f>
        <v>-1634.1103057915989</v>
      </c>
      <c r="P2886">
        <f>-959.248168538972 -243.421556564048 -179.174765654106</f>
        <v>-1381.8444907571261</v>
      </c>
      <c r="Q2886">
        <f>-785.019517308655 -102.286618205028 -267.357639399562</f>
        <v>-1154.6637749132451</v>
      </c>
      <c r="R2886" t="s">
        <v>58649</v>
      </c>
      <c r="S2886" t="s">
        <v>58650</v>
      </c>
      <c r="T2886" t="s">
        <v>58651</v>
      </c>
      <c r="U2886" t="s">
        <v>58652</v>
      </c>
      <c r="V2886">
        <f>-881.916678999219 -120.561576132478 -51.6050262016341</f>
        <v>-1054.0832813333311</v>
      </c>
      <c r="W2886" t="s">
        <v>58653</v>
      </c>
      <c r="X2886" t="s">
        <v>58654</v>
      </c>
      <c r="Y2886" t="s">
        <v>58655</v>
      </c>
    </row>
    <row r="2887" spans="1:25" x14ac:dyDescent="0.3">
      <c r="A2887">
        <v>144300</v>
      </c>
      <c r="B2887" t="s">
        <v>58656</v>
      </c>
      <c r="C2887">
        <f>-887.193797101045 -24.9770904153656 -49.2940797672255</f>
        <v>-961.46496728363616</v>
      </c>
      <c r="D2887">
        <f>-930.792124682152 -26.2077014849697 -156.596808196815</f>
        <v>-1113.5966343639366</v>
      </c>
      <c r="E2887">
        <f>-949.069797629272 -27.3020764830303 -253.506031530701</f>
        <v>-1229.8779056430033</v>
      </c>
      <c r="F2887">
        <f>-958.352951633554 -28.6662267595912 -342.107477585709</f>
        <v>-1329.1266559788542</v>
      </c>
      <c r="G2887">
        <f>-960.004744577353 -30.6205578972044 -431.167416479236</f>
        <v>-1421.7927189537934</v>
      </c>
      <c r="H2887">
        <f>-954.313674518176 -34.1638050506381 -555.569539457538</f>
        <v>-1544.047019026352</v>
      </c>
      <c r="I2887">
        <f>-922.862996533303 -54.0502181229087 -629.868901464045</f>
        <v>-1606.7821161202569</v>
      </c>
      <c r="J2887">
        <f>-954.625944858936 -4.99087014609631 -501.512507064028</f>
        <v>-1461.1293220690604</v>
      </c>
      <c r="K2887" t="s">
        <v>58657</v>
      </c>
      <c r="L2887" t="s">
        <v>58658</v>
      </c>
      <c r="M2887" t="s">
        <v>58659</v>
      </c>
      <c r="N2887">
        <f>-959.010230332895 -60.2182295828545 -500.140110995509</f>
        <v>-1519.3685709112585</v>
      </c>
      <c r="O2887">
        <f>-971.065969345816 -193.557195660131 -468.925955035229</f>
        <v>-1633.5491200411759</v>
      </c>
      <c r="P2887">
        <f>-958.838042598953 -243.153798933636 -179.129777379612</f>
        <v>-1381.121618912201</v>
      </c>
      <c r="Q2887">
        <f>-784.629114248032 -101.988529776907 -267.302561364246</f>
        <v>-1153.920205389185</v>
      </c>
      <c r="R2887" t="s">
        <v>58660</v>
      </c>
      <c r="S2887" t="s">
        <v>58661</v>
      </c>
      <c r="T2887" t="s">
        <v>58662</v>
      </c>
      <c r="U2887" t="s">
        <v>58663</v>
      </c>
      <c r="V2887">
        <f>-881.766287890302 -120.446503566306 -51.6057595449435</f>
        <v>-1053.8185510015514</v>
      </c>
      <c r="W2887" t="s">
        <v>58664</v>
      </c>
      <c r="X2887" t="s">
        <v>58665</v>
      </c>
      <c r="Y2887" t="s">
        <v>58666</v>
      </c>
    </row>
    <row r="2888" spans="1:25" x14ac:dyDescent="0.3">
      <c r="A2888">
        <v>144350</v>
      </c>
      <c r="B2888" t="s">
        <v>58667</v>
      </c>
      <c r="C2888">
        <f>-887.278564533874 -24.9542542194135 -49.3211820149181</f>
        <v>-961.5540007682057</v>
      </c>
      <c r="D2888">
        <f>-930.83624789237 -26.2200120884222 -156.640172922396</f>
        <v>-1113.6964329031882</v>
      </c>
      <c r="E2888">
        <f>-949.093928153581 -27.3541226798748 -253.552545889277</f>
        <v>-1230.0005967227328</v>
      </c>
      <c r="F2888">
        <f>-958.366355221861 -28.7582463316576 -342.15449056223</f>
        <v>-1329.2790921157487</v>
      </c>
      <c r="G2888">
        <f>-960.014593709849 -30.7559778460391 -431.213616339543</f>
        <v>-1421.9841878954312</v>
      </c>
      <c r="H2888">
        <f>-954.325945203326 -34.3634826928665 -555.613963849704</f>
        <v>-1544.3033917458965</v>
      </c>
      <c r="I2888">
        <f>-922.61411208417 -53.7698372751527 -629.929405484177</f>
        <v>-1606.3133548434996</v>
      </c>
      <c r="J2888">
        <f>-954.64277038969 -5.16230077241016 -501.572245790757</f>
        <v>-1461.3773169528572</v>
      </c>
      <c r="K2888" t="s">
        <v>58668</v>
      </c>
      <c r="L2888" t="s">
        <v>58669</v>
      </c>
      <c r="M2888" t="s">
        <v>58670</v>
      </c>
      <c r="N2888">
        <f>-959.015814586764 -60.3898350800212 -500.170670410854</f>
        <v>-1519.5763200776391</v>
      </c>
      <c r="O2888">
        <f>-971.057887861517 -193.704138862091 -468.868523961445</f>
        <v>-1633.6305506850531</v>
      </c>
      <c r="P2888">
        <f>-958.739342545104 -243.049684231162 -179.03325788101</f>
        <v>-1380.822284657276</v>
      </c>
      <c r="Q2888">
        <f>-784.574108319179 -101.927370659149 -267.361202320356</f>
        <v>-1153.862681298684</v>
      </c>
      <c r="R2888" t="s">
        <v>58671</v>
      </c>
      <c r="S2888" t="s">
        <v>58672</v>
      </c>
      <c r="T2888" t="s">
        <v>58673</v>
      </c>
      <c r="U2888" t="s">
        <v>58674</v>
      </c>
      <c r="V2888">
        <f>-881.819985510495 -120.454890574082 -51.6083213557799</f>
        <v>-1053.883197440357</v>
      </c>
      <c r="W2888" t="s">
        <v>58675</v>
      </c>
      <c r="X2888" t="s">
        <v>58676</v>
      </c>
      <c r="Y2888" t="s">
        <v>58677</v>
      </c>
    </row>
    <row r="2889" spans="1:25" x14ac:dyDescent="0.3">
      <c r="A2889">
        <v>144400</v>
      </c>
      <c r="B2889" t="s">
        <v>58678</v>
      </c>
      <c r="C2889">
        <f>-887.193878982112 -25.0473533460545 -49.3453882560578</f>
        <v>-961.58662058422431</v>
      </c>
      <c r="D2889">
        <f>-930.68704996449 -26.4064436702597 -156.689218800634</f>
        <v>-1113.7827124353837</v>
      </c>
      <c r="E2889">
        <f>-948.937889549859 -27.7283365033818 -253.600545510528</f>
        <v>-1230.2667715637688</v>
      </c>
      <c r="F2889">
        <f>-958.227081804889 -29.3441755832023 -342.197224650695</f>
        <v>-1329.7684820387863</v>
      </c>
      <c r="G2889">
        <f>-959.915801883128 -31.5950429791465 -431.249489383086</f>
        <v>-1422.7603342453604</v>
      </c>
      <c r="H2889">
        <f>-954.310903167919 -35.5996033426559 -555.641493808289</f>
        <v>-1545.552000318864</v>
      </c>
      <c r="I2889">
        <f>-921.794566836918 -53.0554032278706 -630.092777247538</f>
        <v>-1604.9427473123264</v>
      </c>
      <c r="J2889">
        <f>-954.563188234501 -6.22832322793556 -501.691710224098</f>
        <v>-1462.4832216865345</v>
      </c>
      <c r="K2889" t="s">
        <v>58679</v>
      </c>
      <c r="L2889" t="s">
        <v>58680</v>
      </c>
      <c r="M2889" t="s">
        <v>58681</v>
      </c>
      <c r="N2889">
        <f>-958.991677051983 -61.4465678132076 -500.113705197158</f>
        <v>-1520.5519500623486</v>
      </c>
      <c r="O2889">
        <f>-971.277672500714 -194.615388173447 -468.273510677419</f>
        <v>-1634.1665713515799</v>
      </c>
      <c r="P2889">
        <f>-958.328342286334 -242.994221412578 -178.302690699013</f>
        <v>-1379.6252543979251</v>
      </c>
      <c r="Q2889">
        <f>-784.288547666828 -102.252075245788 -267.48079203707</f>
        <v>-1154.021414949686</v>
      </c>
      <c r="R2889" t="s">
        <v>58682</v>
      </c>
      <c r="S2889" t="s">
        <v>58683</v>
      </c>
      <c r="T2889" t="s">
        <v>58684</v>
      </c>
      <c r="U2889" t="s">
        <v>58685</v>
      </c>
      <c r="V2889">
        <f>-881.803122862 -120.481420874433 -51.567026774238</f>
        <v>-1053.8515705106711</v>
      </c>
      <c r="W2889" t="s">
        <v>58686</v>
      </c>
      <c r="X2889" t="s">
        <v>58687</v>
      </c>
      <c r="Y2889" t="s">
        <v>58688</v>
      </c>
    </row>
    <row r="2890" spans="1:25" x14ac:dyDescent="0.3">
      <c r="A2890">
        <v>144450</v>
      </c>
      <c r="B2890" t="s">
        <v>58689</v>
      </c>
      <c r="C2890">
        <f>-887.168758314646 -25.0421948087142 -49.3662464039944</f>
        <v>-961.57719952735454</v>
      </c>
      <c r="D2890">
        <f>-930.609845363606 -26.4681068758759 -156.730364424821</f>
        <v>-1113.808316664303</v>
      </c>
      <c r="E2890">
        <f>-948.850549229178 -27.937026571542 -253.641632762204</f>
        <v>-1230.429208562924</v>
      </c>
      <c r="F2890">
        <f>-958.14644615627 -29.7199562097153 -342.234120756844</f>
        <v>-1330.1005231228294</v>
      </c>
      <c r="G2890">
        <f>-959.859894769056 -32.1714340393787 -431.280746251265</f>
        <v>-1423.3120750596997</v>
      </c>
      <c r="H2890">
        <f>-954.308392406176 -36.4901548332496 -555.664559519815</f>
        <v>-1546.4631067592406</v>
      </c>
      <c r="I2890">
        <f>-921.306461508908 -52.5037330893963 -630.22642123894</f>
        <v>-1604.0366158372444</v>
      </c>
      <c r="J2890">
        <f>-954.50552347196 -6.98511348864895 -501.787656921535</f>
        <v>-1463.278293882144</v>
      </c>
      <c r="K2890" t="s">
        <v>58690</v>
      </c>
      <c r="L2890" t="s">
        <v>58691</v>
      </c>
      <c r="M2890" t="s">
        <v>58692</v>
      </c>
      <c r="N2890">
        <f>-958.997334627356 -62.1942251512971 -500.071185855513</f>
        <v>-1521.2627456341661</v>
      </c>
      <c r="O2890">
        <f>-971.373219771226 -195.229261768955 -467.698773013779</f>
        <v>-1634.30125455396</v>
      </c>
      <c r="P2890">
        <f>-958.328996527955 -242.661605995562 -177.5759902239</f>
        <v>-1378.566592747417</v>
      </c>
      <c r="Q2890">
        <f>-784.216192675289 -102.46091165331 -267.461361142729</f>
        <v>-1154.1384654713279</v>
      </c>
      <c r="R2890" t="s">
        <v>58693</v>
      </c>
      <c r="S2890" t="s">
        <v>58694</v>
      </c>
      <c r="T2890" t="s">
        <v>58695</v>
      </c>
      <c r="U2890" t="s">
        <v>58696</v>
      </c>
      <c r="V2890">
        <f>-881.847610638243 -120.432275180147 -51.5156002914372</f>
        <v>-1053.7954861098274</v>
      </c>
      <c r="W2890" t="s">
        <v>58697</v>
      </c>
      <c r="X2890" t="s">
        <v>58698</v>
      </c>
      <c r="Y2890" t="s">
        <v>58699</v>
      </c>
    </row>
    <row r="2891" spans="1:25" x14ac:dyDescent="0.3">
      <c r="A2891">
        <v>144500</v>
      </c>
      <c r="B2891" t="s">
        <v>58700</v>
      </c>
      <c r="C2891">
        <f>-887.171946091868 -25.0654495596582 -49.4458403368474</f>
        <v>-961.68323598837355</v>
      </c>
      <c r="D2891">
        <f>-930.484154689333 -26.6597335131378 -156.859834730483</f>
        <v>-1114.0037229329537</v>
      </c>
      <c r="E2891">
        <f>-948.621920688581 -28.4507738849461 -253.784919107673</f>
        <v>-1230.8576136812001</v>
      </c>
      <c r="F2891">
        <f>-957.832316728983 -30.5895801012475 -342.378549128265</f>
        <v>-1330.8004459584954</v>
      </c>
      <c r="G2891">
        <f>-959.470244752935 -33.4591717296353 -431.414063166062</f>
        <v>-1424.3434796486322</v>
      </c>
      <c r="H2891">
        <f>-953.824863538262 -38.423742555002 -555.76950662069</f>
        <v>-1548.018112713954</v>
      </c>
      <c r="I2891">
        <f>-919.948748133682 -51.0748323020657 -630.585241687771</f>
        <v>-1601.6088221235186</v>
      </c>
      <c r="J2891">
        <f>-954.011992695707 -8.6433947500891 -502.044214662408</f>
        <v>-1464.6996021082041</v>
      </c>
      <c r="K2891" t="s">
        <v>58701</v>
      </c>
      <c r="L2891" t="s">
        <v>58702</v>
      </c>
      <c r="M2891" t="s">
        <v>58703</v>
      </c>
      <c r="N2891">
        <f>-958.606153759633 -63.8347622602653 -500.049448441039</f>
        <v>-1522.4903644609371</v>
      </c>
      <c r="O2891">
        <f>-970.933623269476 -196.577521399916 -466.480056641525</f>
        <v>-1633.9912013109169</v>
      </c>
      <c r="P2891">
        <f>-958.56921150532 -241.613824744958 -175.945928782834</f>
        <v>-1376.1289650331121</v>
      </c>
      <c r="Q2891">
        <f>-783.879153599901 -103.058726895597 -267.25144707068</f>
        <v>-1154.189327566178</v>
      </c>
      <c r="R2891" t="s">
        <v>58704</v>
      </c>
      <c r="S2891" t="s">
        <v>58705</v>
      </c>
      <c r="T2891" t="s">
        <v>58706</v>
      </c>
      <c r="U2891" t="s">
        <v>58707</v>
      </c>
      <c r="V2891">
        <f>-882.023280464015 -120.336363307684 -51.391577112435</f>
        <v>-1053.751220884134</v>
      </c>
      <c r="W2891" t="s">
        <v>58708</v>
      </c>
      <c r="X2891" t="s">
        <v>58709</v>
      </c>
      <c r="Y2891" t="s">
        <v>58710</v>
      </c>
    </row>
    <row r="2892" spans="1:25" x14ac:dyDescent="0.3">
      <c r="A2892">
        <v>144550</v>
      </c>
      <c r="B2892" t="s">
        <v>58711</v>
      </c>
      <c r="C2892">
        <f>-887.217909138324 -25.0575168419987 -49.487069153745</f>
        <v>-961.76249513406765</v>
      </c>
      <c r="D2892">
        <f>-930.452790334524 -26.7504592881901 -156.930680565185</f>
        <v>-1114.1339301878991</v>
      </c>
      <c r="E2892">
        <f>-948.501528166183 -28.6607653265987 -253.870015102534</f>
        <v>-1231.0323085953157</v>
      </c>
      <c r="F2892">
        <f>-957.623119508926 -30.9162638446101 -342.470008520871</f>
        <v>-1331.0093918744071</v>
      </c>
      <c r="G2892">
        <f>-959.163778499778 -33.9091521588352 -431.503101269083</f>
        <v>-1424.5760319276962</v>
      </c>
      <c r="H2892">
        <f>-953.375217259822 -39.0498383587581 -555.844953228356</f>
        <v>-1548.270008846936</v>
      </c>
      <c r="I2892">
        <f>-919.244571248425 -49.9426454928662 -630.821491373322</f>
        <v>-1600.0087081146132</v>
      </c>
      <c r="J2892">
        <f>-953.644386242613 -9.19179242246355 -502.16316531987</f>
        <v>-1464.9993439849466</v>
      </c>
      <c r="K2892" t="s">
        <v>58712</v>
      </c>
      <c r="L2892" t="s">
        <v>58713</v>
      </c>
      <c r="M2892" t="s">
        <v>58714</v>
      </c>
      <c r="N2892">
        <f>-958.200799348279 -64.383571003325 -500.093344846192</f>
        <v>-1522.677715197796</v>
      </c>
      <c r="O2892">
        <f>-970.33075484724 -197.041602195015 -466.129847428123</f>
        <v>-1633.5022044703778</v>
      </c>
      <c r="P2892">
        <f>-958.451629296741 -241.120184245416 -175.42876749043</f>
        <v>-1375.000581032587</v>
      </c>
      <c r="Q2892">
        <f>-783.452713478491 -103.249629164538 -267.178115686908</f>
        <v>-1153.880458329937</v>
      </c>
      <c r="R2892" t="s">
        <v>58715</v>
      </c>
      <c r="S2892" t="s">
        <v>58716</v>
      </c>
      <c r="T2892" t="s">
        <v>58717</v>
      </c>
      <c r="U2892" t="s">
        <v>58718</v>
      </c>
      <c r="V2892">
        <f>-882.089009956095 -120.263099699889 -51.3426240578156</f>
        <v>-1053.6947337137997</v>
      </c>
      <c r="W2892" t="s">
        <v>58719</v>
      </c>
      <c r="X2892" t="s">
        <v>58720</v>
      </c>
      <c r="Y2892" t="s">
        <v>58721</v>
      </c>
    </row>
    <row r="2893" spans="1:25" x14ac:dyDescent="0.3">
      <c r="A2893">
        <v>144600</v>
      </c>
      <c r="B2893" t="s">
        <v>58722</v>
      </c>
      <c r="C2893">
        <f>-887.346159957056 -24.9698307895792 -49.6310403001022</f>
        <v>-961.94703104673738</v>
      </c>
      <c r="D2893">
        <f>-930.470649743163 -26.8916364876131 -157.115013413648</f>
        <v>-1114.4772996444242</v>
      </c>
      <c r="E2893">
        <f>-948.319469372793 -28.9151881429402 -254.089114302766</f>
        <v>-1231.3237718184992</v>
      </c>
      <c r="F2893">
        <f>-957.215428869109 -31.2348019520368 -342.710332762505</f>
        <v>-1331.1605635836509</v>
      </c>
      <c r="G2893">
        <f>-958.484293854676 -34.2481444337682 -431.747169545334</f>
        <v>-1424.4796078337781</v>
      </c>
      <c r="H2893">
        <f>-952.268091782995 -39.3680683258406 -556.069160833283</f>
        <v>-1547.7053209421188</v>
      </c>
      <c r="I2893">
        <f>-918.07344084498 -47.248099199988 -631.392848332286</f>
        <v>-1596.7143883772542</v>
      </c>
      <c r="J2893">
        <f>-952.866096990491 -9.50770434792912 -502.391211805965</f>
        <v>-1464.7650131443852</v>
      </c>
      <c r="K2893" t="s">
        <v>58723</v>
      </c>
      <c r="L2893" t="s">
        <v>58724</v>
      </c>
      <c r="M2893" t="s">
        <v>58725</v>
      </c>
      <c r="N2893">
        <f>-957.141076929036 -64.7222809740438 -500.331035297182</f>
        <v>-1522.1943932002619</v>
      </c>
      <c r="O2893">
        <f>-968.572306745728 -197.357386467659 -466.05749201421</f>
        <v>-1631.9871852275971</v>
      </c>
      <c r="P2893">
        <f>-957.157032933258 -240.781292150281 -175.23925867196</f>
        <v>-1373.177583755499</v>
      </c>
      <c r="Q2893">
        <f>-782.044050405288 -103.236714399118 -267.259908967725</f>
        <v>-1152.540673772131</v>
      </c>
      <c r="R2893" t="s">
        <v>58726</v>
      </c>
      <c r="S2893" t="s">
        <v>58727</v>
      </c>
      <c r="T2893" t="s">
        <v>58728</v>
      </c>
      <c r="U2893" t="s">
        <v>58729</v>
      </c>
      <c r="V2893">
        <f>-881.984773158868 -120.045441578046 -51.348525335252</f>
        <v>-1053.378740072166</v>
      </c>
      <c r="W2893" t="s">
        <v>58730</v>
      </c>
      <c r="X2893" t="s">
        <v>58731</v>
      </c>
      <c r="Y2893" t="s">
        <v>58732</v>
      </c>
    </row>
    <row r="2894" spans="1:25" x14ac:dyDescent="0.3">
      <c r="A2894">
        <v>144650</v>
      </c>
      <c r="B2894" t="s">
        <v>58733</v>
      </c>
      <c r="C2894">
        <f>-887.440306265144 -24.9038835541796 -49.7164145880165</f>
        <v>-962.06060440734018</v>
      </c>
      <c r="D2894">
        <f>-930.526546673814 -26.9573272653652 -157.213355666299</f>
        <v>-1114.6972296054782</v>
      </c>
      <c r="E2894">
        <f>-948.285396996617 -29.0039581159704 -254.203476819299</f>
        <v>-1231.4928319318865</v>
      </c>
      <c r="F2894">
        <f>-957.074433465488 -31.3086782636083 -342.835881528784</f>
        <v>-1331.2189932578804</v>
      </c>
      <c r="G2894">
        <f>-958.211202222918 -34.268904282229 -431.876187147787</f>
        <v>-1424.356293652934</v>
      </c>
      <c r="H2894">
        <f>-951.782318844996 -39.2741929335389 -556.191914089833</f>
        <v>-1547.2484258683678</v>
      </c>
      <c r="I2894">
        <f>-917.597200071665 -46.0615302736717 -631.626248568775</f>
        <v>-1595.2849789141119</v>
      </c>
      <c r="J2894">
        <f>-952.575059638896 -9.45573730823116 -502.493308421826</f>
        <v>-1464.5241053689533</v>
      </c>
      <c r="K2894" t="s">
        <v>58734</v>
      </c>
      <c r="L2894" t="s">
        <v>58735</v>
      </c>
      <c r="M2894" t="s">
        <v>58736</v>
      </c>
      <c r="N2894">
        <f>-956.647799077334 -64.6873128676184 -500.48022567923</f>
        <v>-1521.8153376241823</v>
      </c>
      <c r="O2894">
        <f>-967.562394590986 -197.351967818626 -466.179539569246</f>
        <v>-1631.093901978858</v>
      </c>
      <c r="P2894">
        <f>-956.225741494454 -240.812715284168 -175.3636465121</f>
        <v>-1372.4021032907222</v>
      </c>
      <c r="Q2894">
        <f>-781.274327125876 -103.033900827036 -267.341361682543</f>
        <v>-1151.649589635455</v>
      </c>
      <c r="R2894" t="s">
        <v>58737</v>
      </c>
      <c r="S2894" t="s">
        <v>58738</v>
      </c>
      <c r="T2894" t="s">
        <v>58739</v>
      </c>
      <c r="U2894" t="s">
        <v>58740</v>
      </c>
      <c r="V2894">
        <f>-881.838354405208 -119.967463274115 -51.3954373398484</f>
        <v>-1053.2012550191712</v>
      </c>
      <c r="W2894" t="s">
        <v>58741</v>
      </c>
      <c r="X2894" t="s">
        <v>58742</v>
      </c>
      <c r="Y2894" t="s">
        <v>58743</v>
      </c>
    </row>
    <row r="2895" spans="1:25" x14ac:dyDescent="0.3">
      <c r="A2895">
        <v>144700</v>
      </c>
      <c r="B2895" t="s">
        <v>58744</v>
      </c>
      <c r="C2895">
        <f>-887.558696281321 -24.7715023454571 -49.8904728842923</f>
        <v>-962.22067151107035</v>
      </c>
      <c r="D2895">
        <f>-930.553314025035 -27.104823394513 -157.418238149516</f>
        <v>-1115.0763755690639</v>
      </c>
      <c r="E2895">
        <f>-948.147593441314 -29.1976064925916 -254.437419371319</f>
        <v>-1231.7826193052247</v>
      </c>
      <c r="F2895">
        <f>-956.749789518616 -31.4686783656803 -343.089025747846</f>
        <v>-1331.3074936321423</v>
      </c>
      <c r="G2895">
        <f>-957.659145867659 -34.3175462973895 -432.135597694328</f>
        <v>-1424.1122898593767</v>
      </c>
      <c r="H2895">
        <f>-950.870011187319 -39.0858595889715 -556.441596133534</f>
        <v>-1546.3974669098245</v>
      </c>
      <c r="I2895">
        <f>-916.740819227354 -44.3148652713735 -632.025280636116</f>
        <v>-1593.0809651348436</v>
      </c>
      <c r="J2895">
        <f>-952.023448394449 -9.35599393107668 -502.700489039966</f>
        <v>-1464.0799313654916</v>
      </c>
      <c r="K2895" t="s">
        <v>58745</v>
      </c>
      <c r="L2895" t="s">
        <v>58746</v>
      </c>
      <c r="M2895" t="s">
        <v>58747</v>
      </c>
      <c r="N2895">
        <f>-955.691449046523 -64.619239304915 -500.780804402203</f>
        <v>-1521.091492753641</v>
      </c>
      <c r="O2895">
        <f>-965.617556831376 -197.382169392722 -466.550502091932</f>
        <v>-1629.5502283160299</v>
      </c>
      <c r="P2895">
        <f>-954.207091559249 -240.908483669369 -175.747316975904</f>
        <v>-1370.8628922045218</v>
      </c>
      <c r="Q2895">
        <f>-779.92368207791 -102.140538387251 -267.505911178623</f>
        <v>-1149.570131643784</v>
      </c>
      <c r="R2895" t="s">
        <v>58748</v>
      </c>
      <c r="S2895" t="s">
        <v>58749</v>
      </c>
      <c r="T2895" t="s">
        <v>58750</v>
      </c>
      <c r="U2895" t="s">
        <v>58751</v>
      </c>
      <c r="V2895">
        <f>-881.417459926088 -119.834954083713 -51.5331779032315</f>
        <v>-1052.7855919130325</v>
      </c>
      <c r="W2895" t="s">
        <v>58752</v>
      </c>
      <c r="X2895" t="s">
        <v>58753</v>
      </c>
      <c r="Y2895" t="s">
        <v>58754</v>
      </c>
    </row>
    <row r="2896" spans="1:25" x14ac:dyDescent="0.3">
      <c r="A2896">
        <v>144750</v>
      </c>
      <c r="B2896" t="s">
        <v>58755</v>
      </c>
      <c r="C2896">
        <f>-887.560450044534 -24.7113244495254 -50.0006219099923</f>
        <v>-962.27239640405173</v>
      </c>
      <c r="D2896">
        <f>-930.500675022822 -27.167495073963 -157.547448655466</f>
        <v>-1115.215618752251</v>
      </c>
      <c r="E2896">
        <f>-948.022826422461 -29.3060258958917 -254.578663166876</f>
        <v>-1231.9075154852287</v>
      </c>
      <c r="F2896">
        <f>-956.54866905307 -31.5969768369164 -343.236972932968</f>
        <v>-1331.3826188229543</v>
      </c>
      <c r="G2896">
        <f>-957.370222073728 -34.4438694650335 -432.284461905883</f>
        <v>-1424.0985534446445</v>
      </c>
      <c r="H2896">
        <f>-950.446291760589 -39.1869135231884 -556.584057924812</f>
        <v>-1546.2172632085894</v>
      </c>
      <c r="I2896">
        <f>-916.432132234607 -43.8995280025415 -632.25342546802</f>
        <v>-1592.5850857051687</v>
      </c>
      <c r="J2896">
        <f>-951.732647819581 -9.46328928923822 -502.842430290973</f>
        <v>-1464.0383673997922</v>
      </c>
      <c r="K2896" t="s">
        <v>58756</v>
      </c>
      <c r="L2896" t="s">
        <v>58757</v>
      </c>
      <c r="M2896" t="s">
        <v>58758</v>
      </c>
      <c r="N2896">
        <f>-955.253563834908 -64.7362233011838 -500.929481351111</f>
        <v>-1520.9192684872028</v>
      </c>
      <c r="O2896">
        <f>-964.818101503566 -197.521325276684 -466.662032924593</f>
        <v>-1629.001459704843</v>
      </c>
      <c r="P2896">
        <f>-953.307526493302 -240.962308751574 -175.850133808149</f>
        <v>-1370.119969053025</v>
      </c>
      <c r="Q2896">
        <f>-779.431770601815 -101.682190915167 -267.606253758748</f>
        <v>-1148.72021527573</v>
      </c>
      <c r="R2896" t="s">
        <v>58759</v>
      </c>
      <c r="S2896" t="s">
        <v>58760</v>
      </c>
      <c r="T2896" t="s">
        <v>58761</v>
      </c>
      <c r="U2896" t="s">
        <v>58762</v>
      </c>
      <c r="V2896">
        <f>-881.229040778139 -119.734536351221 -51.6255407035486</f>
        <v>-1052.5891178329086</v>
      </c>
      <c r="W2896" t="s">
        <v>58763</v>
      </c>
      <c r="X2896" t="s">
        <v>58764</v>
      </c>
      <c r="Y2896" t="s">
        <v>58765</v>
      </c>
    </row>
    <row r="2897" spans="1:25" x14ac:dyDescent="0.3">
      <c r="A2897">
        <v>144800</v>
      </c>
      <c r="B2897" t="s">
        <v>58766</v>
      </c>
      <c r="C2897">
        <f>-887.681118337801 -24.4227785934681 -50.2329057177706</f>
        <v>-962.33680264903967</v>
      </c>
      <c r="D2897">
        <f>-930.534811878666 -27.0598926925099 -157.809983777106</f>
        <v>-1115.404688348282</v>
      </c>
      <c r="E2897">
        <f>-947.90329318417 -29.2761728212263 -254.867029022366</f>
        <v>-1232.0464950277624</v>
      </c>
      <c r="F2897">
        <f>-956.256625446001 -31.6095070098145 -343.540717458055</f>
        <v>-1331.4068499138705</v>
      </c>
      <c r="G2897">
        <f>-956.871735297595 -34.4708181758429 -432.589447745044</f>
        <v>-1423.9320012184819</v>
      </c>
      <c r="H2897">
        <f>-949.624364724526 -39.2060436688644 -556.870846414591</f>
        <v>-1545.7012548079815</v>
      </c>
      <c r="I2897">
        <f>-915.915821475124 -43.2183532862007 -632.717073670122</f>
        <v>-1591.8512484314465</v>
      </c>
      <c r="J2897">
        <f>-951.128780902284 -9.48105699641292 -503.135683313481</f>
        <v>-1463.7455212121779</v>
      </c>
      <c r="K2897" t="s">
        <v>58767</v>
      </c>
      <c r="L2897" t="s">
        <v>58768</v>
      </c>
      <c r="M2897" t="s">
        <v>58769</v>
      </c>
      <c r="N2897">
        <f>-954.498563496304 -64.7636133871517 -501.225947728849</f>
        <v>-1520.4881246123048</v>
      </c>
      <c r="O2897">
        <f>-963.655038185095 -197.564140672443 -466.871093287038</f>
        <v>-1628.0902721445759</v>
      </c>
      <c r="P2897">
        <f>-952.464134162172 -240.66438586044 -175.995984754628</f>
        <v>-1369.12450477724</v>
      </c>
      <c r="Q2897">
        <f>-778.990269232003 -100.884656859238 -267.752824053708</f>
        <v>-1147.627750144949</v>
      </c>
      <c r="R2897" t="s">
        <v>58770</v>
      </c>
      <c r="S2897" t="s">
        <v>58771</v>
      </c>
      <c r="T2897" t="s">
        <v>58772</v>
      </c>
      <c r="U2897" t="s">
        <v>58773</v>
      </c>
      <c r="V2897">
        <f>-881.097960487731 -119.455396136189 -51.7871571364161</f>
        <v>-1052.3405137603361</v>
      </c>
      <c r="W2897" t="s">
        <v>58774</v>
      </c>
      <c r="X2897" t="s">
        <v>58775</v>
      </c>
      <c r="Y2897" t="s">
        <v>58776</v>
      </c>
    </row>
    <row r="2898" spans="1:25" x14ac:dyDescent="0.3">
      <c r="A2898">
        <v>144850</v>
      </c>
      <c r="B2898" t="s">
        <v>58777</v>
      </c>
      <c r="C2898">
        <f>-887.684225680857 -24.3881753225378 -50.3364573268613</f>
        <v>-962.40885833025607</v>
      </c>
      <c r="D2898">
        <f>-930.520162522556 -27.0693000481706 -157.919495963687</f>
        <v>-1115.5089585344135</v>
      </c>
      <c r="E2898">
        <f>-947.810593147597 -29.2860724191773 -254.990497142951</f>
        <v>-1232.0871627097254</v>
      </c>
      <c r="F2898">
        <f>-956.067114635033 -31.6055519423585 -343.673649124285</f>
        <v>-1331.3463157016765</v>
      </c>
      <c r="G2898">
        <f>-956.558712153113 -34.4388641773257 -432.724079862474</f>
        <v>-1423.7216561929126</v>
      </c>
      <c r="H2898">
        <f>-949.111255518596 -39.1204495967152 -556.995696695523</f>
        <v>-1545.2274018108342</v>
      </c>
      <c r="I2898">
        <f>-915.590341176213 -42.8681780686163 -632.938594219125</f>
        <v>-1591.3971134639542</v>
      </c>
      <c r="J2898">
        <f>-950.714564607592 -9.41794263344673 -503.250908918578</f>
        <v>-1463.3834161596167</v>
      </c>
      <c r="K2898" t="s">
        <v>58778</v>
      </c>
      <c r="L2898" t="s">
        <v>58779</v>
      </c>
      <c r="M2898" t="s">
        <v>58780</v>
      </c>
      <c r="N2898">
        <f>-954.062635782358 -64.7026799229363 -501.368880780291</f>
        <v>-1520.1341964855853</v>
      </c>
      <c r="O2898">
        <f>-963.219269486176 -197.50864794527 -467.02488426602</f>
        <v>-1627.7528016974661</v>
      </c>
      <c r="P2898">
        <f>-952.315430183815 -240.582696267106 -176.135008533483</f>
        <v>-1369.0331349844039</v>
      </c>
      <c r="Q2898">
        <f>-778.883873588366 -100.712117271208 -267.833329461098</f>
        <v>-1147.4293203206719</v>
      </c>
      <c r="R2898" t="s">
        <v>58781</v>
      </c>
      <c r="S2898" t="s">
        <v>58782</v>
      </c>
      <c r="T2898" t="s">
        <v>58783</v>
      </c>
      <c r="U2898" t="s">
        <v>58784</v>
      </c>
      <c r="V2898">
        <f>-881.108125415783 -119.507684917736 -51.8413011632872</f>
        <v>-1052.4571114968062</v>
      </c>
      <c r="W2898" t="s">
        <v>58785</v>
      </c>
      <c r="X2898" t="s">
        <v>58786</v>
      </c>
      <c r="Y2898" t="s">
        <v>58787</v>
      </c>
    </row>
    <row r="2899" spans="1:25" x14ac:dyDescent="0.3">
      <c r="A2899">
        <v>144900</v>
      </c>
      <c r="B2899" t="s">
        <v>58788</v>
      </c>
      <c r="C2899">
        <f>-887.646851698378 -24.1150038538658 -50.4324024184955</f>
        <v>-962.19425797073927</v>
      </c>
      <c r="D2899">
        <f>-930.437531221771 -26.8240318616977 -158.032835733954</f>
        <v>-1115.2943988174227</v>
      </c>
      <c r="E2899">
        <f>-947.585237111908 -29.0389221932282 -255.129152086092</f>
        <v>-1231.7533113912282</v>
      </c>
      <c r="F2899">
        <f>-955.669409736171 -31.3480216352427 -343.82835425698</f>
        <v>-1330.8457856283937</v>
      </c>
      <c r="G2899">
        <f>-955.946001083126 -34.1639632280881 -432.880246297588</f>
        <v>-1422.990210608802</v>
      </c>
      <c r="H2899">
        <f>-948.153671014314 -38.815379012126 -557.131905819374</f>
        <v>-1544.100955845814</v>
      </c>
      <c r="I2899">
        <f>-914.958138734386 -42.1545713925593 -633.236640982589</f>
        <v>-1590.3493511095344</v>
      </c>
      <c r="J2899">
        <f>-949.886654799579 -9.12707066774328 -503.383217717032</f>
        <v>-1462.3969431843543</v>
      </c>
      <c r="K2899" t="s">
        <v>58789</v>
      </c>
      <c r="L2899" t="s">
        <v>58790</v>
      </c>
      <c r="M2899" t="s">
        <v>58791</v>
      </c>
      <c r="N2899">
        <f>-953.27882068337 -64.4099993178952 -501.526572808227</f>
        <v>-1519.2153928094922</v>
      </c>
      <c r="O2899">
        <f>-962.660325822434 -197.188402195124 -467.184433060726</f>
        <v>-1627.0331610782839</v>
      </c>
      <c r="P2899">
        <f>-952.559723721515 -240.353963057725 -176.279040128184</f>
        <v>-1369.192726907424</v>
      </c>
      <c r="Q2899">
        <f>-778.808316350279 -100.76838981191 -267.805761127885</f>
        <v>-1147.3824672900739</v>
      </c>
      <c r="R2899" t="s">
        <v>58792</v>
      </c>
      <c r="S2899" t="s">
        <v>58793</v>
      </c>
      <c r="T2899" t="s">
        <v>58794</v>
      </c>
      <c r="U2899" t="s">
        <v>58795</v>
      </c>
      <c r="V2899">
        <f>-881.138951449746 -119.231485182947 -51.9074463433112</f>
        <v>-1052.2778829760041</v>
      </c>
      <c r="W2899" t="s">
        <v>58796</v>
      </c>
      <c r="X2899" t="s">
        <v>58797</v>
      </c>
      <c r="Y2899" t="s">
        <v>58798</v>
      </c>
    </row>
    <row r="2900" spans="1:25" x14ac:dyDescent="0.3">
      <c r="A2900">
        <v>144950</v>
      </c>
      <c r="B2900" t="s">
        <v>58799</v>
      </c>
      <c r="C2900">
        <f>-887.684599118062 -23.9184140312132 -50.4295292007911</f>
        <v>-962.03254235006625</v>
      </c>
      <c r="D2900">
        <f>-930.46680630994 -26.6349937790633 -158.033128734851</f>
        <v>-1115.1349288238544</v>
      </c>
      <c r="E2900">
        <f>-947.581987739458 -28.8814642468687 -255.134575696667</f>
        <v>-1231.5980276829937</v>
      </c>
      <c r="F2900">
        <f>-955.626652348771 -31.2317205616914 -343.836352906333</f>
        <v>-1330.6947258167954</v>
      </c>
      <c r="G2900">
        <f>-955.854648298612 -34.1024820083016 -432.886527637316</f>
        <v>-1422.8436579442296</v>
      </c>
      <c r="H2900">
        <f>-947.98510752636 -38.8464519930369 -557.129706415675</f>
        <v>-1543.9612659350719</v>
      </c>
      <c r="I2900">
        <f>-914.924462729561 -42.0351011599221 -633.299625555934</f>
        <v>-1590.2591894454172</v>
      </c>
      <c r="J2900">
        <f>-949.71792118623 -9.119974802049 -503.402238115996</f>
        <v>-1462.2401341042751</v>
      </c>
      <c r="K2900" t="s">
        <v>58800</v>
      </c>
      <c r="L2900" t="s">
        <v>58801</v>
      </c>
      <c r="M2900" t="s">
        <v>58802</v>
      </c>
      <c r="N2900">
        <f>-953.178146949702 -64.3976615829779 -501.510720622563</f>
        <v>-1519.0865291552427</v>
      </c>
      <c r="O2900">
        <f>-962.754929077995 -197.135095707914 -467.086516507745</f>
        <v>-1626.976541293654</v>
      </c>
      <c r="P2900">
        <f>-952.947579450439 -240.133767824829 -176.146360338368</f>
        <v>-1369.2277076136359</v>
      </c>
      <c r="Q2900">
        <f>-778.76196823774 -101.00956972205 -267.550777174398</f>
        <v>-1147.3223151341881</v>
      </c>
      <c r="R2900" t="s">
        <v>58803</v>
      </c>
      <c r="S2900" t="s">
        <v>58804</v>
      </c>
      <c r="T2900" t="s">
        <v>58805</v>
      </c>
      <c r="U2900" t="s">
        <v>58806</v>
      </c>
      <c r="V2900">
        <f>-881.211324753063 -118.96973686455 -51.9084971275811</f>
        <v>-1052.0895587451942</v>
      </c>
      <c r="W2900" t="s">
        <v>58807</v>
      </c>
      <c r="X2900" t="s">
        <v>58808</v>
      </c>
      <c r="Y2900" t="s">
        <v>58809</v>
      </c>
    </row>
    <row r="2901" spans="1:25" x14ac:dyDescent="0.3">
      <c r="A2901">
        <v>145000</v>
      </c>
      <c r="B2901" t="s">
        <v>58810</v>
      </c>
      <c r="C2901">
        <f>-887.718997197264 -23.650216113685 -50.4299873026839</f>
        <v>-961.79920061363293</v>
      </c>
      <c r="D2901">
        <f>-930.473663935515 -26.3726412724318 -158.044425324078</f>
        <v>-1114.8907305320247</v>
      </c>
      <c r="E2901">
        <f>-947.566650893469 -28.7805848126968 -255.145882612212</f>
        <v>-1231.4931183183778</v>
      </c>
      <c r="F2901">
        <f>-955.595387522474 -31.3443345460464 -343.843126721185</f>
        <v>-1330.7828487897054</v>
      </c>
      <c r="G2901">
        <f>-955.813600296075 -34.5017139760926 -432.883713976013</f>
        <v>-1423.1990282481806</v>
      </c>
      <c r="H2901">
        <f>-947.939683664234 -39.7251343326191 -557.107521623175</f>
        <v>-1544.7723396200281</v>
      </c>
      <c r="I2901">
        <f>-914.973153370145 -42.7690810174338 -633.323991335371</f>
        <v>-1591.0662257229499</v>
      </c>
      <c r="J2901">
        <f>-949.528306498439 -9.80084953959931 -503.48546629396</f>
        <v>-1462.8146223319982</v>
      </c>
      <c r="K2901" t="s">
        <v>58811</v>
      </c>
      <c r="L2901" t="s">
        <v>58812</v>
      </c>
      <c r="M2901" t="s">
        <v>58813</v>
      </c>
      <c r="N2901">
        <f>-953.28082008376 -65.0523527148675 -501.400003370757</f>
        <v>-1519.7331761693845</v>
      </c>
      <c r="O2901">
        <f>-963.556124348874 -197.642810241251 -466.600042918334</f>
        <v>-1627.7989775084588</v>
      </c>
      <c r="P2901">
        <f>-954.015577946386 -239.842584729827 -175.534201386759</f>
        <v>-1369.3923640629719</v>
      </c>
      <c r="Q2901">
        <f>-778.752438156044 -102.116635811177 -266.995895105544</f>
        <v>-1147.864969072765</v>
      </c>
      <c r="R2901" t="s">
        <v>58814</v>
      </c>
      <c r="S2901" t="s">
        <v>58815</v>
      </c>
      <c r="T2901" t="s">
        <v>58816</v>
      </c>
      <c r="U2901" t="s">
        <v>58817</v>
      </c>
      <c r="V2901">
        <f>-881.479306934664 -118.647823010365 -51.8663665577901</f>
        <v>-1051.993496502819</v>
      </c>
      <c r="W2901" t="s">
        <v>58818</v>
      </c>
      <c r="X2901" t="s">
        <v>58819</v>
      </c>
      <c r="Y2901" t="s">
        <v>58820</v>
      </c>
    </row>
    <row r="2902" spans="1:25" x14ac:dyDescent="0.3">
      <c r="A2902">
        <v>145050</v>
      </c>
      <c r="B2902" t="s">
        <v>58821</v>
      </c>
      <c r="C2902">
        <f>-887.676249003568 -23.4831776041924 -50.5108224025652</f>
        <v>-961.67024901032562</v>
      </c>
      <c r="D2902">
        <f>-930.406254949605 -26.203769324959 -158.134963934828</f>
        <v>-1114.744988209392</v>
      </c>
      <c r="E2902">
        <f>-947.538193825823 -28.7198809775869 -255.226921372253</f>
        <v>-1231.4849961756629</v>
      </c>
      <c r="F2902">
        <f>-955.628925008371 -31.4260785979873 -343.914245430493</f>
        <v>-1330.9692490368511</v>
      </c>
      <c r="G2902">
        <f>-955.938235929966 -34.7731725605749 -432.947629046263</f>
        <v>-1423.6590375368039</v>
      </c>
      <c r="H2902">
        <f>-948.222561341053 -40.3120511129771 -557.167614243817</f>
        <v>-1545.702226697847</v>
      </c>
      <c r="I2902">
        <f>-915.223948458828 -43.3363507955298 -633.37114506983</f>
        <v>-1591.9314443241879</v>
      </c>
      <c r="J2902">
        <f>-949.619916428298 -10.2599058772707 -503.611811334107</f>
        <v>-1463.4916336396757</v>
      </c>
      <c r="K2902" t="s">
        <v>58822</v>
      </c>
      <c r="L2902" t="s">
        <v>58823</v>
      </c>
      <c r="M2902" t="s">
        <v>58824</v>
      </c>
      <c r="N2902">
        <f>-953.615934025735 -65.4893959093188 -501.397173457267</f>
        <v>-1520.5025033923207</v>
      </c>
      <c r="O2902">
        <f>-964.411753888276 -197.978737840955 -466.328944899628</f>
        <v>-1628.7194366288591</v>
      </c>
      <c r="P2902">
        <f>-954.86871157888 -239.474891767885 -175.16209614824</f>
        <v>-1369.505699495005</v>
      </c>
      <c r="Q2902">
        <f>-778.978300645024 -102.739715699276 -266.905348157515</f>
        <v>-1148.6233645018149</v>
      </c>
      <c r="R2902" t="s">
        <v>58825</v>
      </c>
      <c r="S2902" t="s">
        <v>58826</v>
      </c>
      <c r="T2902" t="s">
        <v>58827</v>
      </c>
      <c r="U2902" t="s">
        <v>58828</v>
      </c>
      <c r="V2902">
        <f>-881.606800040457 -118.405920413528 -51.8634795773377</f>
        <v>-1051.8762000313227</v>
      </c>
      <c r="W2902" t="s">
        <v>58829</v>
      </c>
      <c r="X2902" t="s">
        <v>58830</v>
      </c>
      <c r="Y2902" t="s">
        <v>58831</v>
      </c>
    </row>
    <row r="2903" spans="1:25" x14ac:dyDescent="0.3">
      <c r="A2903">
        <v>145100</v>
      </c>
      <c r="B2903" t="s">
        <v>58832</v>
      </c>
      <c r="C2903">
        <f>-887.481094717844 -23.3228061358104 -50.7309140135569</f>
        <v>-961.53481486721137</v>
      </c>
      <c r="D2903">
        <f>-930.240418150152 -25.9961568088156 -158.34461570809</f>
        <v>-1114.5811906670576</v>
      </c>
      <c r="E2903">
        <f>-947.547272699484 -28.7126408993649 -255.400033763545</f>
        <v>-1231.659947362394</v>
      </c>
      <c r="F2903">
        <f>-955.862631712749 -31.6920480494705 -344.0578108396</f>
        <v>-1331.6124906018194</v>
      </c>
      <c r="G2903">
        <f>-956.465175105928 -35.4075578294633 -433.075253235602</f>
        <v>-1424.9479861709933</v>
      </c>
      <c r="H2903">
        <f>-949.232995591041 -41.5609420151627 -557.295231763128</f>
        <v>-1548.0891693693316</v>
      </c>
      <c r="I2903">
        <f>-916.003404182122 -44.548736029747 -633.399838771477</f>
        <v>-1593.9519789833462</v>
      </c>
      <c r="J2903">
        <f>-950.133752790809 -11.2657707069411 -503.865834913907</f>
        <v>-1465.2653584116572</v>
      </c>
      <c r="K2903" t="s">
        <v>58833</v>
      </c>
      <c r="L2903" t="s">
        <v>58834</v>
      </c>
      <c r="M2903" t="s">
        <v>58835</v>
      </c>
      <c r="N2903">
        <f>-954.697141523216 -66.4405031510698 -501.398364974859</f>
        <v>-1522.5360096491449</v>
      </c>
      <c r="O2903">
        <f>-966.814823138968 -198.659674574557 -465.760398702418</f>
        <v>-1631.2348964159428</v>
      </c>
      <c r="P2903">
        <f>-956.894885216105 -238.545140948821 -174.381151298268</f>
        <v>-1369.8211774631939</v>
      </c>
      <c r="Q2903">
        <f>-779.946153316105 -104.001600258886 -267.321873008118</f>
        <v>-1151.2696265831091</v>
      </c>
      <c r="R2903" t="s">
        <v>58836</v>
      </c>
      <c r="S2903" t="s">
        <v>58837</v>
      </c>
      <c r="T2903" t="s">
        <v>58838</v>
      </c>
      <c r="U2903" t="s">
        <v>58839</v>
      </c>
      <c r="V2903">
        <f>-881.825185500383 -118.160107752341 -51.8443775716008</f>
        <v>-1051.8296708243247</v>
      </c>
      <c r="W2903" t="s">
        <v>58840</v>
      </c>
      <c r="X2903" t="s">
        <v>58841</v>
      </c>
      <c r="Y2903" t="s">
        <v>58842</v>
      </c>
    </row>
    <row r="2904" spans="1:25" x14ac:dyDescent="0.3">
      <c r="A2904">
        <v>145150</v>
      </c>
      <c r="B2904" t="s">
        <v>58843</v>
      </c>
      <c r="C2904">
        <f>-887.392916170818 -23.2877518979553 -50.8292969774682</f>
        <v>-961.50996504624152</v>
      </c>
      <c r="D2904">
        <f>-930.219552630787 -25.8835671000461 -158.418103168051</f>
        <v>-1114.5212228988842</v>
      </c>
      <c r="E2904">
        <f>-947.664027747388 -28.67676176963 -255.446802035618</f>
        <v>-1231.7875915526361</v>
      </c>
      <c r="F2904">
        <f>-956.139261726009 -31.7788668538337 -344.085245415369</f>
        <v>-1332.0033739952116</v>
      </c>
      <c r="G2904">
        <f>-956.938113308036 -35.6714311006112 -433.093460925744</f>
        <v>-1425.7030053343913</v>
      </c>
      <c r="H2904">
        <f>-950.018757304481 -42.1276330017902 -557.316009155194</f>
        <v>-1549.4623994614653</v>
      </c>
      <c r="I2904">
        <f>-916.450447992625 -45.0353717418895 -633.274837538213</f>
        <v>-1594.7606572727275</v>
      </c>
      <c r="J2904">
        <f>-950.632445853945 -11.7149505805601 -503.949361813804</f>
        <v>-1466.2967582483091</v>
      </c>
      <c r="K2904" t="s">
        <v>58844</v>
      </c>
      <c r="L2904" t="s">
        <v>58845</v>
      </c>
      <c r="M2904" t="s">
        <v>58846</v>
      </c>
      <c r="N2904">
        <f>-955.494664482189 -66.8583144492109 -501.354066613398</f>
        <v>-1523.7070455447979</v>
      </c>
      <c r="O2904">
        <f>-968.330636956436 -198.928409484272 -465.418755705574</f>
        <v>-1632.6778021462819</v>
      </c>
      <c r="P2904">
        <f>-957.996063151343 -238.101918939248 -173.95713776031</f>
        <v>-1370.0551198509011</v>
      </c>
      <c r="Q2904">
        <f>-780.570953309094 -104.709087453915 -267.645525487713</f>
        <v>-1152.9255662507219</v>
      </c>
      <c r="R2904" t="s">
        <v>58847</v>
      </c>
      <c r="S2904" t="s">
        <v>58848</v>
      </c>
      <c r="T2904" t="s">
        <v>58849</v>
      </c>
      <c r="U2904" t="s">
        <v>58850</v>
      </c>
      <c r="V2904">
        <f>-881.988016337078 -118.183478544389 -51.8204010582496</f>
        <v>-1051.9918959397166</v>
      </c>
      <c r="W2904" t="s">
        <v>58851</v>
      </c>
      <c r="X2904" t="s">
        <v>58852</v>
      </c>
      <c r="Y2904" t="s">
        <v>58853</v>
      </c>
    </row>
    <row r="2905" spans="1:25" x14ac:dyDescent="0.3">
      <c r="A2905">
        <v>145200</v>
      </c>
      <c r="B2905" t="s">
        <v>58854</v>
      </c>
      <c r="C2905">
        <f>-886.915424969157 -23.2299752197428 -50.9601653685348</f>
        <v>-961.1055655574346</v>
      </c>
      <c r="D2905">
        <f>-929.934947772392 -25.6123138855883 -158.476944536616</f>
        <v>-1114.0242061945962</v>
      </c>
      <c r="E2905">
        <f>-947.800493441087 -28.5458447718202 -255.42482530521</f>
        <v>-1231.7711635181172</v>
      </c>
      <c r="F2905">
        <f>-956.767035190594 -31.8941614094492 -344.00600206443</f>
        <v>-1332.6671986644733</v>
      </c>
      <c r="G2905">
        <f>-958.169372168586 -36.1526022876069 -432.989940959685</f>
        <v>-1427.311915415878</v>
      </c>
      <c r="H2905">
        <f>-952.211687451744 -43.242756627857 -557.227799306696</f>
        <v>-1552.6822433862972</v>
      </c>
      <c r="I2905">
        <f>-917.25460224539 -45.6496281428426 -632.575263677142</f>
        <v>-1595.4794940653746</v>
      </c>
      <c r="J2905">
        <f>-952.100248205951 -12.5864597737441 -503.997268326229</f>
        <v>-1468.683976305924</v>
      </c>
      <c r="K2905" t="s">
        <v>58855</v>
      </c>
      <c r="L2905" t="s">
        <v>58856</v>
      </c>
      <c r="M2905" t="s">
        <v>58857</v>
      </c>
      <c r="N2905">
        <f>-957.566204557919 -67.659025003594 -501.116372639856</f>
        <v>-1526.3416022013691</v>
      </c>
      <c r="O2905">
        <f>-971.793729417228 -199.414955284577 -464.556691865159</f>
        <v>-1635.7653765669638</v>
      </c>
      <c r="P2905">
        <f>-960.203543676426 -237.457513054649 -172.992571164225</f>
        <v>-1370.6536278952999</v>
      </c>
      <c r="Q2905">
        <f>-781.809611748486 -106.361628478638 -268.073351855998</f>
        <v>-1156.2445920831219</v>
      </c>
      <c r="R2905" t="s">
        <v>58858</v>
      </c>
      <c r="S2905" t="s">
        <v>58859</v>
      </c>
      <c r="T2905" t="s">
        <v>58860</v>
      </c>
      <c r="U2905" t="s">
        <v>58861</v>
      </c>
      <c r="V2905">
        <f>-882.210428551887 -118.083020973993 -51.7738456741481</f>
        <v>-1052.0672952000282</v>
      </c>
      <c r="W2905" t="s">
        <v>58862</v>
      </c>
      <c r="X2905" t="s">
        <v>58863</v>
      </c>
      <c r="Y2905" t="s">
        <v>58864</v>
      </c>
    </row>
    <row r="2906" spans="1:25" x14ac:dyDescent="0.3">
      <c r="A2906">
        <v>145250</v>
      </c>
      <c r="B2906" t="s">
        <v>58865</v>
      </c>
      <c r="C2906">
        <f>-886.582641403783 -23.1007215783902 -51.0119088174647</f>
        <v>-960.69527179963791</v>
      </c>
      <c r="D2906">
        <f>-929.738896835246 -25.3845170887262 -158.476038317576</f>
        <v>-1113.5994522415481</v>
      </c>
      <c r="E2906">
        <f>-947.896999627469 -28.3727402852551 -255.367765132766</f>
        <v>-1231.6375050454901</v>
      </c>
      <c r="F2906">
        <f>-957.201568225176 -31.8198472825184 -343.910282474413</f>
        <v>-1332.9316979821074</v>
      </c>
      <c r="G2906">
        <f>-959.017101567638 -36.2264004777946 -432.879588589539</f>
        <v>-1428.1230906349715</v>
      </c>
      <c r="H2906">
        <f>-953.71336610638 -43.5726330242735 -557.132207932342</f>
        <v>-1554.4182070629954</v>
      </c>
      <c r="I2906">
        <f>-918.200856556085 -45.7379762253854 -632.226647763619</f>
        <v>-1596.1654805450894</v>
      </c>
      <c r="J2906">
        <f>-953.166752941601 -12.8220130220452 -503.958772337957</f>
        <v>-1469.9475383016031</v>
      </c>
      <c r="K2906" t="s">
        <v>58866</v>
      </c>
      <c r="L2906" t="s">
        <v>58867</v>
      </c>
      <c r="M2906" t="s">
        <v>58868</v>
      </c>
      <c r="N2906">
        <f>-958.927333951859 -67.857753011245 -500.950698084344</f>
        <v>-1527.7357850474482</v>
      </c>
      <c r="O2906">
        <f>-973.752849543383 -199.442581845254 -464.017285649355</f>
        <v>-1637.212717037992</v>
      </c>
      <c r="P2906">
        <f>-961.402788877473 -236.829323690591 -172.399570200702</f>
        <v>-1370.631682768766</v>
      </c>
      <c r="Q2906">
        <f>-782.51164675096 -106.921649825458 -268.174436179783</f>
        <v>-1157.6077327562011</v>
      </c>
      <c r="R2906" t="s">
        <v>58869</v>
      </c>
      <c r="S2906" t="s">
        <v>58870</v>
      </c>
      <c r="T2906" t="s">
        <v>58871</v>
      </c>
      <c r="U2906" t="s">
        <v>58872</v>
      </c>
      <c r="V2906">
        <f>-882.225076528093 -117.845861357544 -51.7436297999034</f>
        <v>-1051.8145676855404</v>
      </c>
      <c r="W2906" t="s">
        <v>58873</v>
      </c>
      <c r="X2906" t="s">
        <v>58874</v>
      </c>
      <c r="Y2906" t="s">
        <v>58875</v>
      </c>
    </row>
    <row r="2907" spans="1:25" x14ac:dyDescent="0.3">
      <c r="A2907">
        <v>145300</v>
      </c>
      <c r="B2907" t="s">
        <v>58876</v>
      </c>
      <c r="C2907">
        <f>-885.924618591238 -22.9167033510043 -51.0057331456925</f>
        <v>-959.84705508793479</v>
      </c>
      <c r="D2907">
        <f>-929.286663351506 -25.0326635097595 -158.390466954057</f>
        <v>-1112.7097938153224</v>
      </c>
      <c r="E2907">
        <f>-947.717880051281 -28.0243683598997 -255.230535179318</f>
        <v>-1230.9727835904987</v>
      </c>
      <c r="F2907">
        <f>-957.309887811163 -31.5263399545734 -343.740165434936</f>
        <v>-1332.5763932006723</v>
      </c>
      <c r="G2907">
        <f>-959.45427547508 -36.0395699897556 -432.696720341459</f>
        <v>-1428.1905658062947</v>
      </c>
      <c r="H2907">
        <f>-954.652532693906 -43.5872635666133 -556.957792541997</f>
        <v>-1555.1975888025163</v>
      </c>
      <c r="I2907">
        <f>-918.395853021533 -45.3173248878268 -631.707167770281</f>
        <v>-1595.4203456796408</v>
      </c>
      <c r="J2907">
        <f>-953.703804327873 -12.7703527578519 -503.828494363502</f>
        <v>-1470.3026514492269</v>
      </c>
      <c r="K2907" t="s">
        <v>58877</v>
      </c>
      <c r="L2907" t="s">
        <v>58878</v>
      </c>
      <c r="M2907" t="s">
        <v>58879</v>
      </c>
      <c r="N2907">
        <f>-959.827256591534 -67.7614432000819 -500.724892027158</f>
        <v>-1528.3135918187738</v>
      </c>
      <c r="O2907">
        <f>-975.488134823291 -199.168255978433 -463.491605927931</f>
        <v>-1638.147996729655</v>
      </c>
      <c r="P2907">
        <f>-963.270868850142 -235.447651869009 -171.728406147034</f>
        <v>-1370.4469268661851</v>
      </c>
      <c r="Q2907">
        <f>-783.329808789677 -107.739387087236 -268.489862474995</f>
        <v>-1159.5590583519079</v>
      </c>
      <c r="R2907" t="s">
        <v>58880</v>
      </c>
      <c r="S2907" t="s">
        <v>58881</v>
      </c>
      <c r="T2907" t="s">
        <v>58882</v>
      </c>
      <c r="U2907" t="s">
        <v>58883</v>
      </c>
      <c r="V2907">
        <f>-882.097323343336 -117.688895013455 -51.6555247726751</f>
        <v>-1051.441743129466</v>
      </c>
      <c r="W2907" t="s">
        <v>58884</v>
      </c>
      <c r="X2907" t="s">
        <v>58885</v>
      </c>
      <c r="Y2907" t="s">
        <v>58886</v>
      </c>
    </row>
    <row r="2908" spans="1:25" x14ac:dyDescent="0.3">
      <c r="A2908">
        <v>145350</v>
      </c>
      <c r="B2908" t="s">
        <v>58887</v>
      </c>
      <c r="C2908">
        <f>-885.83474593259 -22.763505283117 -51.1123132472025</f>
        <v>-959.71056446290936</v>
      </c>
      <c r="D2908">
        <f>-929.278219758507 -24.8151972339906 -158.465469723521</f>
        <v>-1112.5588867160186</v>
      </c>
      <c r="E2908">
        <f>-947.723762868562 -27.7739003027436 -255.303765915046</f>
        <v>-1230.8014290863516</v>
      </c>
      <c r="F2908">
        <f>-957.305720692653 -31.255689852193 -343.815339658955</f>
        <v>-1332.3767502038011</v>
      </c>
      <c r="G2908">
        <f>-959.416101115991 -35.759799148118 -432.773183338888</f>
        <v>-1427.9490836029968</v>
      </c>
      <c r="H2908">
        <f>-954.543235427293 -43.3065896645426 -557.031509005844</f>
        <v>-1554.8813340976794</v>
      </c>
      <c r="I2908">
        <f>-918.083062344278 -44.8857312079576 -631.685259292955</f>
        <v>-1594.6540528451906</v>
      </c>
      <c r="J2908">
        <f>-953.586772535434 -12.494176674189 -503.899683303682</f>
        <v>-1469.980632513305</v>
      </c>
      <c r="K2908" t="s">
        <v>58888</v>
      </c>
      <c r="L2908" t="s">
        <v>58889</v>
      </c>
      <c r="M2908" t="s">
        <v>58890</v>
      </c>
      <c r="N2908">
        <f>-959.78845169819 -67.4771297830787 -500.803442849836</f>
        <v>-1528.0690243311049</v>
      </c>
      <c r="O2908">
        <f>-975.690278037696 -198.865668846149 -463.645388897806</f>
        <v>-1638.2013357816511</v>
      </c>
      <c r="P2908">
        <f>-963.868120541999 -234.992889835296 -171.847050835236</f>
        <v>-1370.708061212531</v>
      </c>
      <c r="Q2908">
        <f>-783.537054867113 -107.843475903484 -268.618022274697</f>
        <v>-1159.9985530452941</v>
      </c>
      <c r="R2908" t="s">
        <v>58891</v>
      </c>
      <c r="S2908" t="s">
        <v>58892</v>
      </c>
      <c r="T2908" t="s">
        <v>58893</v>
      </c>
      <c r="U2908" t="s">
        <v>58894</v>
      </c>
      <c r="V2908">
        <f>-882.082701863093 -117.747498969187 -51.6678616874184</f>
        <v>-1051.4980625196986</v>
      </c>
      <c r="W2908" t="s">
        <v>58895</v>
      </c>
      <c r="X2908" t="s">
        <v>58896</v>
      </c>
      <c r="Y2908" t="s">
        <v>58897</v>
      </c>
    </row>
    <row r="2909" spans="1:25" x14ac:dyDescent="0.3">
      <c r="A2909">
        <v>145400</v>
      </c>
      <c r="B2909" t="s">
        <v>58898</v>
      </c>
      <c r="C2909">
        <f>-885.931061445607 -22.7250913568259 -51.202621012848</f>
        <v>-959.85877381528098</v>
      </c>
      <c r="D2909">
        <f>-929.361731900354 -24.6409475783589 -158.563450717322</f>
        <v>-1112.5661301960349</v>
      </c>
      <c r="E2909">
        <f>-947.788856849458 -27.4964897851251 -255.408329941494</f>
        <v>-1230.693676576077</v>
      </c>
      <c r="F2909">
        <f>-957.351172897322 -30.8927559243607 -343.92536581817</f>
        <v>-1332.1692946398528</v>
      </c>
      <c r="G2909">
        <f>-959.439656750366 -35.3211044268114 -432.887534642694</f>
        <v>-1427.6482958198715</v>
      </c>
      <c r="H2909">
        <f>-954.534705789971 -42.7736317049669 -557.150260071214</f>
        <v>-1554.4585975661519</v>
      </c>
      <c r="I2909">
        <f>-918.025208937141 -44.1650394395863 -631.78380353761</f>
        <v>-1593.9740519143372</v>
      </c>
      <c r="J2909">
        <f>-953.556296577157 -12.0053875509866 -503.99319801279</f>
        <v>-1469.5548821409336</v>
      </c>
      <c r="K2909" t="s">
        <v>58899</v>
      </c>
      <c r="L2909" t="s">
        <v>58900</v>
      </c>
      <c r="M2909" t="s">
        <v>58901</v>
      </c>
      <c r="N2909">
        <f>-959.829637626531 -66.9828050104122 -500.943583297257</f>
        <v>-1527.7560259342001</v>
      </c>
      <c r="O2909">
        <f>-975.863390391841 -198.412731273785 -464.016696242347</f>
        <v>-1638.2928179079731</v>
      </c>
      <c r="P2909">
        <f>-963.996870147342 -235.237927610496 -172.307334098248</f>
        <v>-1371.5421318560859</v>
      </c>
      <c r="Q2909">
        <f>-783.653601636205 -107.650097621374 -268.476940487668</f>
        <v>-1159.7806397452471</v>
      </c>
      <c r="R2909" t="s">
        <v>58902</v>
      </c>
      <c r="S2909" t="s">
        <v>58903</v>
      </c>
      <c r="T2909" t="s">
        <v>58904</v>
      </c>
      <c r="U2909" t="s">
        <v>58905</v>
      </c>
      <c r="V2909">
        <f>-882.370134572482 -118.083149066952 -51.7325851247664</f>
        <v>-1052.1858687642004</v>
      </c>
      <c r="W2909" t="s">
        <v>58906</v>
      </c>
      <c r="X2909" t="s">
        <v>58907</v>
      </c>
      <c r="Y2909" t="s">
        <v>58908</v>
      </c>
    </row>
    <row r="2910" spans="1:25" x14ac:dyDescent="0.3">
      <c r="A2910">
        <v>145450</v>
      </c>
      <c r="B2910" t="s">
        <v>58909</v>
      </c>
      <c r="C2910">
        <f>-885.738299553265 -22.6546505669294 -51.1223115938183</f>
        <v>-959.51526171401269</v>
      </c>
      <c r="D2910">
        <f>-929.148920386361 -24.6082807521034 -158.490556058452</f>
        <v>-1112.2477571969164</v>
      </c>
      <c r="E2910">
        <f>-947.61249601733 -27.4474047450658 -255.32906425815</f>
        <v>-1230.3889650205458</v>
      </c>
      <c r="F2910">
        <f>-957.230801667454 -30.8134605809378 -343.841215784768</f>
        <v>-1331.8854780331599</v>
      </c>
      <c r="G2910">
        <f>-959.396924617001 -35.1980696051864 -432.80369438257</f>
        <v>-1427.3986886047574</v>
      </c>
      <c r="H2910">
        <f>-954.623950883523 -42.5776901306838 -557.075806130309</f>
        <v>-1554.2774471445159</v>
      </c>
      <c r="I2910">
        <f>-918.167442306861 -43.9231282566013 -631.735988854162</f>
        <v>-1593.8265594176241</v>
      </c>
      <c r="J2910">
        <f>-953.584578128733 -11.8412532143661 -503.901648449266</f>
        <v>-1469.3274797923652</v>
      </c>
      <c r="K2910" t="s">
        <v>58910</v>
      </c>
      <c r="L2910" t="s">
        <v>58911</v>
      </c>
      <c r="M2910" t="s">
        <v>58912</v>
      </c>
      <c r="N2910">
        <f>-959.86397813424 -66.8192851399867 -500.877953786333</f>
        <v>-1527.5612170605596</v>
      </c>
      <c r="O2910">
        <f>-975.791834658315 -198.304821193989 -464.08719781985</f>
        <v>-1638.1838536721539</v>
      </c>
      <c r="P2910">
        <f>-963.609705032441 -235.69872827406 -172.463317344368</f>
        <v>-1371.7717506508691</v>
      </c>
      <c r="Q2910">
        <f>-783.630474107578 -107.322499802298 -268.264353745697</f>
        <v>-1159.2173276555732</v>
      </c>
      <c r="R2910" t="s">
        <v>58913</v>
      </c>
      <c r="S2910" t="s">
        <v>58914</v>
      </c>
      <c r="T2910" t="s">
        <v>58915</v>
      </c>
      <c r="U2910" t="s">
        <v>58916</v>
      </c>
      <c r="V2910">
        <f>-882.283141213795 -117.881895438521 -51.7277700017708</f>
        <v>-1051.8928066540868</v>
      </c>
      <c r="W2910" t="s">
        <v>58917</v>
      </c>
      <c r="X2910" t="s">
        <v>58918</v>
      </c>
      <c r="Y2910" t="s">
        <v>58919</v>
      </c>
    </row>
    <row r="2911" spans="1:25" x14ac:dyDescent="0.3">
      <c r="A2911">
        <v>145500</v>
      </c>
      <c r="B2911" t="s">
        <v>58920</v>
      </c>
      <c r="C2911">
        <f>-883.557679164333 -22.4294131261704 -50.8306818828064</f>
        <v>-956.81777417330977</v>
      </c>
      <c r="D2911">
        <f>-927.001163315273 -24.4440634646339 -158.184497903433</f>
        <v>-1109.6297246833399</v>
      </c>
      <c r="E2911">
        <f>-945.617619142037 -27.1903995932144 -254.996348283036</f>
        <v>-1227.8043670182874</v>
      </c>
      <c r="F2911">
        <f>-955.423720802335 -30.4287350572517 -343.492593209489</f>
        <v>-1329.3450490690757</v>
      </c>
      <c r="G2911">
        <f>-957.827948795967 -34.6476505296482 -432.457028011211</f>
        <v>-1424.9326273368263</v>
      </c>
      <c r="H2911">
        <f>-953.438123864104 -41.7635910287015 -556.758720767959</f>
        <v>-1551.9604356607645</v>
      </c>
      <c r="I2911">
        <f>-917.043925705909 -43.021911199279 -631.450742235249</f>
        <v>-1591.516579140437</v>
      </c>
      <c r="J2911">
        <f>-952.255349581908 -11.1376734036048 -503.523708212807</f>
        <v>-1466.9167311983199</v>
      </c>
      <c r="K2911" t="s">
        <v>58921</v>
      </c>
      <c r="L2911" t="s">
        <v>58922</v>
      </c>
      <c r="M2911" t="s">
        <v>58923</v>
      </c>
      <c r="N2911">
        <f>-958.484455587937 -66.1266540646295 -500.595705337559</f>
        <v>-1525.2068149901256</v>
      </c>
      <c r="O2911">
        <f>-974.078387716434 -197.749348111734 -464.099417461837</f>
        <v>-1635.927153290005</v>
      </c>
      <c r="P2911">
        <f>-961.198361104143 -236.279357371949 -172.653383135946</f>
        <v>-1370.131101612038</v>
      </c>
      <c r="Q2911">
        <f>-782.05635458543 -106.257943498599 -267.803472106892</f>
        <v>-1156.117770190921</v>
      </c>
      <c r="R2911" t="s">
        <v>58924</v>
      </c>
      <c r="S2911" t="s">
        <v>58925</v>
      </c>
      <c r="T2911" t="s">
        <v>58926</v>
      </c>
      <c r="U2911" t="s">
        <v>58927</v>
      </c>
      <c r="V2911">
        <f>-880.976608715037 -117.329138194153 -51.6684628726614</f>
        <v>-1049.9742097818514</v>
      </c>
      <c r="W2911" t="s">
        <v>58928</v>
      </c>
      <c r="X2911" t="s">
        <v>58929</v>
      </c>
      <c r="Y2911" t="s">
        <v>58930</v>
      </c>
    </row>
    <row r="2912" spans="1:25" x14ac:dyDescent="0.3">
      <c r="A2912">
        <v>145550</v>
      </c>
      <c r="B2912" t="s">
        <v>58931</v>
      </c>
      <c r="C2912">
        <f>-881.636299344126 -22.040713101952 -50.7312456272566</f>
        <v>-954.40825807333454</v>
      </c>
      <c r="D2912">
        <f>-925.114900848025 -23.9586512434607 -158.072511228691</f>
        <v>-1107.1460633201766</v>
      </c>
      <c r="E2912">
        <f>-943.837117951443 -26.6193090381908 -254.866507550171</f>
        <v>-1225.3229345398047</v>
      </c>
      <c r="F2912">
        <f>-953.770302958447 -29.7818200702573 -343.351365867787</f>
        <v>-1326.9034888964914</v>
      </c>
      <c r="G2912">
        <f>-956.333172713783 -33.927847858256 -432.314724667941</f>
        <v>-1422.5757452399801</v>
      </c>
      <c r="H2912">
        <f>-952.197487480832 -40.9463051763544 -556.6305655493</f>
        <v>-1549.7743582064863</v>
      </c>
      <c r="I2912">
        <f>-915.858689416542 -42.1850664536439 -631.34996342929</f>
        <v>-1589.3937192994758</v>
      </c>
      <c r="J2912">
        <f>-950.916698239486 -10.3610226058295 -503.374527105833</f>
        <v>-1464.6522479511484</v>
      </c>
      <c r="K2912" t="s">
        <v>58932</v>
      </c>
      <c r="L2912" t="s">
        <v>58933</v>
      </c>
      <c r="M2912" t="s">
        <v>58934</v>
      </c>
      <c r="N2912">
        <f>-957.118019417929 -65.3546767840278 -500.476093582775</f>
        <v>-1522.9487897847316</v>
      </c>
      <c r="O2912">
        <f>-972.507252003199 -197.02850623309 -464.080644848733</f>
        <v>-1633.6164030850221</v>
      </c>
      <c r="P2912">
        <f>-959.319828069981 -235.862815541587 -172.688750473829</f>
        <v>-1367.871394085397</v>
      </c>
      <c r="Q2912">
        <f>-780.495931755351 -105.201017152336 -267.559285889391</f>
        <v>-1153.2562347970779</v>
      </c>
      <c r="R2912" t="s">
        <v>58935</v>
      </c>
      <c r="S2912" t="s">
        <v>58936</v>
      </c>
      <c r="T2912" t="s">
        <v>58937</v>
      </c>
      <c r="U2912" t="s">
        <v>58938</v>
      </c>
      <c r="V2912">
        <f>-879.96406263107 -116.784687529332 -51.7165851664764</f>
        <v>-1048.4653353268784</v>
      </c>
      <c r="W2912" t="s">
        <v>58939</v>
      </c>
      <c r="X2912" t="s">
        <v>58940</v>
      </c>
      <c r="Y2912" t="s">
        <v>58941</v>
      </c>
    </row>
    <row r="2913" spans="1:25" x14ac:dyDescent="0.3">
      <c r="A2913">
        <v>145600</v>
      </c>
      <c r="B2913" t="s">
        <v>58942</v>
      </c>
      <c r="C2913">
        <f>-877.502336705433 -19.1049077866905 -50.9433340222008</f>
        <v>-947.55057851432434</v>
      </c>
      <c r="D2913">
        <f>-920.873356360359 -20.9138689183328 -158.329994958633</f>
        <v>-1100.1172202373248</v>
      </c>
      <c r="E2913">
        <f>-939.762197729142 -23.440562016513 -255.095170439925</f>
        <v>-1218.2979301855801</v>
      </c>
      <c r="F2913">
        <f>-949.95471435508 -26.4619117397569 -343.555597228651</f>
        <v>-1319.9722233234879</v>
      </c>
      <c r="G2913">
        <f>-952.884688711398 -30.4454107124147 -432.514983417738</f>
        <v>-1415.8450828415507</v>
      </c>
      <c r="H2913">
        <f>-949.373637229069 -37.2131197779756 -556.863991829786</f>
        <v>-1543.4507488368306</v>
      </c>
      <c r="I2913">
        <f>-913.231388830764 -38.3975900221797 -631.679501865618</f>
        <v>-1583.3084807185617</v>
      </c>
      <c r="J2913">
        <f>-947.775553453852 -6.74081938929203 -503.551770647245</f>
        <v>-1458.068143490389</v>
      </c>
      <c r="K2913" t="s">
        <v>58943</v>
      </c>
      <c r="L2913" t="s">
        <v>58944</v>
      </c>
      <c r="M2913" t="s">
        <v>58945</v>
      </c>
      <c r="N2913">
        <f>-954.061773407693 -61.7291394907147 -500.736516303141</f>
        <v>-1516.5274292015488</v>
      </c>
      <c r="O2913">
        <f>-969.353332835997 -193.45010972754 -464.431422316182</f>
        <v>-1627.234864879719</v>
      </c>
      <c r="P2913">
        <f>-955.320397044136 -232.929324664528 -173.165857499363</f>
        <v>-1361.4155792080271</v>
      </c>
      <c r="Q2913">
        <f>-776.79393752988 -101.371090895162 -267.3549943477</f>
        <v>-1145.5200227727421</v>
      </c>
      <c r="R2913" t="s">
        <v>58946</v>
      </c>
      <c r="S2913" t="s">
        <v>58947</v>
      </c>
      <c r="T2913" t="s">
        <v>58948</v>
      </c>
      <c r="U2913" t="s">
        <v>58949</v>
      </c>
      <c r="V2913">
        <f>-877.657341205478 -113.948793774788 -52.0493233391771</f>
        <v>-1043.6554583194431</v>
      </c>
      <c r="W2913" t="s">
        <v>58950</v>
      </c>
      <c r="X2913" t="s">
        <v>58951</v>
      </c>
      <c r="Y2913" t="s">
        <v>58952</v>
      </c>
    </row>
    <row r="2914" spans="1:25" x14ac:dyDescent="0.3">
      <c r="A2914">
        <v>145650</v>
      </c>
      <c r="B2914" t="s">
        <v>58953</v>
      </c>
      <c r="C2914">
        <f>-876.485165079088 -13.3368328624765 -51.4584962951363</f>
        <v>-941.28049423670086</v>
      </c>
      <c r="D2914">
        <f>-919.774583423706 -14.9731136653013 -158.880814482118</f>
        <v>-1093.6285115711253</v>
      </c>
      <c r="E2914">
        <f>-938.762172216183 -17.2040397372325 -255.633876258225</f>
        <v>-1211.6000882116405</v>
      </c>
      <c r="F2914">
        <f>-949.111841903765 -19.8959962077811 -344.086589727726</f>
        <v>-1313.0944278392722</v>
      </c>
      <c r="G2914">
        <f>-952.26547533005 -23.4902528911925 -433.055116027875</f>
        <v>-1408.8108442491175</v>
      </c>
      <c r="H2914">
        <f>-949.135230389117 -29.6517451119157 -557.445692625685</f>
        <v>-1536.2326681267177</v>
      </c>
      <c r="I2914">
        <f>-913.304981026989 -30.7721689006366 -632.41216583805</f>
        <v>-1576.4893157656757</v>
      </c>
      <c r="J2914" t="s">
        <v>58954</v>
      </c>
      <c r="K2914" t="s">
        <v>58955</v>
      </c>
      <c r="L2914" t="s">
        <v>58956</v>
      </c>
      <c r="M2914" t="s">
        <v>58957</v>
      </c>
      <c r="N2914">
        <f>-953.792456970797 -54.4249629370429 -501.428601760413</f>
        <v>-1509.6460216682531</v>
      </c>
      <c r="O2914">
        <f>-969.663722171698 -186.17326222325 -465.451411464256</f>
        <v>-1621.2883958592042</v>
      </c>
      <c r="P2914">
        <f>-955.11306232082 -226.770815566616 -174.365039449915</f>
        <v>-1356.248917337351</v>
      </c>
      <c r="Q2914">
        <f>-776.281510293367 -95.0338637501152 -267.721629188358</f>
        <v>-1139.0370032318401</v>
      </c>
      <c r="R2914" t="s">
        <v>58958</v>
      </c>
      <c r="S2914" t="s">
        <v>58959</v>
      </c>
      <c r="T2914" t="s">
        <v>58960</v>
      </c>
      <c r="U2914" t="s">
        <v>58961</v>
      </c>
      <c r="V2914">
        <f>-876.950654339083 -108.775564695952 -52.6415028184558</f>
        <v>-1038.3677218534908</v>
      </c>
      <c r="W2914" t="s">
        <v>58962</v>
      </c>
      <c r="X2914" t="s">
        <v>58963</v>
      </c>
      <c r="Y2914" t="s">
        <v>58964</v>
      </c>
    </row>
    <row r="2915" spans="1:25" x14ac:dyDescent="0.3">
      <c r="A2915">
        <v>145700</v>
      </c>
      <c r="B2915" t="s">
        <v>58965</v>
      </c>
      <c r="C2915">
        <f>-876.590722892107 -9.24538068674656 -51.8197612341318</f>
        <v>-937.65586481298533</v>
      </c>
      <c r="D2915">
        <f>-919.792140665361 -10.6981482782862 -159.280240721356</f>
        <v>-1089.7705296650033</v>
      </c>
      <c r="E2915">
        <f>-938.765209688612 -12.6897275152219 -256.041363374209</f>
        <v>-1207.4963005780428</v>
      </c>
      <c r="F2915">
        <f>-949.125922820473 -15.1310408758236 -344.500054071523</f>
        <v>-1308.7570177678194</v>
      </c>
      <c r="G2915">
        <f>-952.31526153011 -18.4426214831465 -433.47814328382</f>
        <v>-1404.2360262970765</v>
      </c>
      <c r="H2915">
        <f>-949.259439297042 -24.1762374128225 -557.891104329195</f>
        <v>-1531.3267810390594</v>
      </c>
      <c r="I2915">
        <f>-913.61867591675 -25.2965303943756 -632.947849284326</f>
        <v>-1571.8630555954517</v>
      </c>
      <c r="J2915" t="s">
        <v>58966</v>
      </c>
      <c r="K2915" t="s">
        <v>58967</v>
      </c>
      <c r="L2915" t="s">
        <v>58968</v>
      </c>
      <c r="M2915" t="s">
        <v>58969</v>
      </c>
      <c r="N2915">
        <f>-953.97923360731 -49.1304672465546 -501.959777246532</f>
        <v>-1505.0694781003967</v>
      </c>
      <c r="O2915">
        <f>-970.377910271282 -180.884379519683 -466.301363041895</f>
        <v>-1617.56365283286</v>
      </c>
      <c r="P2915">
        <f>-955.893133702724 -222.378329714703 -175.338034175964</f>
        <v>-1353.6094975933909</v>
      </c>
      <c r="Q2915">
        <f>-776.625405195462 -90.8810018596027 -268.195008543826</f>
        <v>-1135.7014155988909</v>
      </c>
      <c r="R2915" t="s">
        <v>58970</v>
      </c>
      <c r="S2915" t="s">
        <v>58971</v>
      </c>
      <c r="T2915" t="s">
        <v>58972</v>
      </c>
      <c r="U2915" t="s">
        <v>58973</v>
      </c>
      <c r="V2915">
        <f>-876.928111228686 -105.218913076593 -53.0778212638903</f>
        <v>-1035.2248455691692</v>
      </c>
      <c r="W2915" t="s">
        <v>58974</v>
      </c>
      <c r="X2915" t="s">
        <v>58975</v>
      </c>
      <c r="Y2915" t="s">
        <v>58976</v>
      </c>
    </row>
    <row r="2916" spans="1:25" x14ac:dyDescent="0.3">
      <c r="A2916">
        <v>145750</v>
      </c>
      <c r="B2916" t="s">
        <v>58977</v>
      </c>
      <c r="C2916">
        <f>-877.027208973774 -4.35463317904214 -52.3300945191796</f>
        <v>-933.71193667199577</v>
      </c>
      <c r="D2916">
        <f>-920.15510064506 -5.52205961758409 -159.823628870125</f>
        <v>-1085.5007891327691</v>
      </c>
      <c r="E2916">
        <f>-939.120468917448 -7.24964514111207 -256.59122091242</f>
        <v>-1202.96133497098</v>
      </c>
      <c r="F2916">
        <f>-949.497804883958 -9.44254892086565 -345.054539724028</f>
        <v>-1303.9948935288517</v>
      </c>
      <c r="G2916">
        <f>-952.727579558361 -12.4973196595306 -434.040417646337</f>
        <v>-1399.2653168642287</v>
      </c>
      <c r="H2916">
        <f>-949.752093621904 -17.8637158305291 -558.471632121002</f>
        <v>-1526.0874415734352</v>
      </c>
      <c r="I2916">
        <f>-914.28534535855 -19.0358483487107 -633.610101104423</f>
        <v>-1566.9312948116838</v>
      </c>
      <c r="J2916" t="s">
        <v>58978</v>
      </c>
      <c r="K2916" t="s">
        <v>58979</v>
      </c>
      <c r="L2916" t="s">
        <v>58980</v>
      </c>
      <c r="M2916" t="s">
        <v>58981</v>
      </c>
      <c r="N2916">
        <f>-954.542682071203 -42.9695926877409 -502.614280117915</f>
        <v>-1500.1265548768588</v>
      </c>
      <c r="O2916">
        <f>-971.527107215331 -174.712449840538 -467.240021557251</f>
        <v>-1613.4795786131199</v>
      </c>
      <c r="P2916">
        <f>-957.209260331233 -217.142495078602 -176.403544226602</f>
        <v>-1350.7552996364379</v>
      </c>
      <c r="Q2916">
        <f>-777.366159966873 -86.017176334228 -268.67175464076</f>
        <v>-1132.0550909418612</v>
      </c>
      <c r="R2916" t="s">
        <v>58982</v>
      </c>
      <c r="S2916" t="s">
        <v>58983</v>
      </c>
      <c r="T2916" t="s">
        <v>58984</v>
      </c>
      <c r="U2916" t="s">
        <v>58985</v>
      </c>
      <c r="V2916">
        <f>-877.205270556288 -101.048041188661 -53.6150627688304</f>
        <v>-1031.8683745137796</v>
      </c>
      <c r="W2916" t="s">
        <v>58986</v>
      </c>
      <c r="X2916" t="s">
        <v>58987</v>
      </c>
      <c r="Y2916" t="s">
        <v>58988</v>
      </c>
    </row>
    <row r="2917" spans="1:25" x14ac:dyDescent="0.3">
      <c r="A2917">
        <v>145800</v>
      </c>
      <c r="B2917" t="s">
        <v>58989</v>
      </c>
      <c r="C2917" t="s">
        <v>58990</v>
      </c>
      <c r="D2917" t="s">
        <v>58991</v>
      </c>
      <c r="E2917" t="s">
        <v>58992</v>
      </c>
      <c r="F2917" t="s">
        <v>58993</v>
      </c>
      <c r="G2917">
        <f>-955.784800623013 -1.7148159997455 -435.396878794287</f>
        <v>-1392.8964954170456</v>
      </c>
      <c r="H2917">
        <f>-952.969383027137 -6.60845402394943 -559.851390877654</f>
        <v>-1519.4292279287406</v>
      </c>
      <c r="I2917">
        <f>-917.693893601824 -8.02876154297019 -635.075351956503</f>
        <v>-1560.7980071012971</v>
      </c>
      <c r="J2917" t="s">
        <v>58994</v>
      </c>
      <c r="K2917" t="s">
        <v>58995</v>
      </c>
      <c r="L2917" t="s">
        <v>58996</v>
      </c>
      <c r="M2917" t="s">
        <v>58997</v>
      </c>
      <c r="N2917">
        <f>-958.01155952555 -31.8837749477821 -504.092662659897</f>
        <v>-1493.9879971332289</v>
      </c>
      <c r="O2917">
        <f>-976.58587162544 -163.534517067003 -469.134273892216</f>
        <v>-1609.2546625846589</v>
      </c>
      <c r="P2917">
        <f>-962.500937232446 -207.409564264948 -178.500821736797</f>
        <v>-1348.4113232341908</v>
      </c>
      <c r="Q2917">
        <f>-780.970920082373 -77.5668530924379 -269.267202176415</f>
        <v>-1127.8049753512259</v>
      </c>
      <c r="R2917" t="s">
        <v>58998</v>
      </c>
      <c r="S2917" t="s">
        <v>58999</v>
      </c>
      <c r="T2917" t="s">
        <v>59000</v>
      </c>
      <c r="U2917" t="s">
        <v>59001</v>
      </c>
      <c r="V2917">
        <f>-879.02109307756 -92.7945503212359 -54.962081904559</f>
        <v>-1026.7777253033548</v>
      </c>
      <c r="W2917" t="s">
        <v>59002</v>
      </c>
      <c r="X2917" t="s">
        <v>59003</v>
      </c>
      <c r="Y2917" t="s">
        <v>59004</v>
      </c>
    </row>
    <row r="2918" spans="1:25" x14ac:dyDescent="0.3">
      <c r="A2918">
        <v>145850</v>
      </c>
      <c r="B2918" t="s">
        <v>59005</v>
      </c>
      <c r="C2918" t="s">
        <v>59006</v>
      </c>
      <c r="D2918" t="s">
        <v>59007</v>
      </c>
      <c r="E2918" t="s">
        <v>59008</v>
      </c>
      <c r="F2918" t="s">
        <v>59009</v>
      </c>
      <c r="G2918" t="s">
        <v>59010</v>
      </c>
      <c r="H2918">
        <f>-953.297035122868 -1.07901388406799 -560.588765866326</f>
        <v>-1514.964814873262</v>
      </c>
      <c r="I2918">
        <f>-918.056460229159 -2.61847819642571 -635.826558695346</f>
        <v>-1556.5014971209307</v>
      </c>
      <c r="J2918" t="s">
        <v>59011</v>
      </c>
      <c r="K2918" t="s">
        <v>59012</v>
      </c>
      <c r="L2918" t="s">
        <v>59013</v>
      </c>
      <c r="M2918" t="s">
        <v>59014</v>
      </c>
      <c r="N2918">
        <f>-958.577779126258 -26.454992694305 -504.897684532174</f>
        <v>-1489.9304563527371</v>
      </c>
      <c r="O2918">
        <f>-978.303694309525 -157.989847700664 -470.145514191061</f>
        <v>-1606.43905620125</v>
      </c>
      <c r="P2918">
        <f>-964.560185398162 -202.596713643225 -179.607257800541</f>
        <v>-1346.7641568419281</v>
      </c>
      <c r="Q2918">
        <f>-781.824145831941 -73.8736196431464 -269.545397330963</f>
        <v>-1125.2431628060503</v>
      </c>
      <c r="R2918" t="s">
        <v>59015</v>
      </c>
      <c r="S2918" t="s">
        <v>59016</v>
      </c>
      <c r="T2918" t="s">
        <v>59017</v>
      </c>
      <c r="U2918" t="s">
        <v>59018</v>
      </c>
      <c r="V2918">
        <f>-879.404956882601 -88.4655798138815 -55.6646433534114</f>
        <v>-1023.5351800498939</v>
      </c>
      <c r="W2918" t="s">
        <v>59019</v>
      </c>
      <c r="X2918" t="s">
        <v>59020</v>
      </c>
      <c r="Y2918" t="s">
        <v>59021</v>
      </c>
    </row>
    <row r="2919" spans="1:25" x14ac:dyDescent="0.3">
      <c r="A2919">
        <v>145900</v>
      </c>
      <c r="B2919" t="s">
        <v>59022</v>
      </c>
      <c r="C2919" t="s">
        <v>59023</v>
      </c>
      <c r="D2919" t="s">
        <v>59024</v>
      </c>
      <c r="E2919" t="s">
        <v>59025</v>
      </c>
      <c r="F2919" t="s">
        <v>59026</v>
      </c>
      <c r="G2919" t="s">
        <v>59027</v>
      </c>
      <c r="H2919" t="s">
        <v>59028</v>
      </c>
      <c r="I2919" t="s">
        <v>59029</v>
      </c>
      <c r="J2919" t="s">
        <v>59030</v>
      </c>
      <c r="K2919" t="s">
        <v>59031</v>
      </c>
      <c r="L2919" t="s">
        <v>59032</v>
      </c>
      <c r="M2919" t="s">
        <v>59033</v>
      </c>
      <c r="N2919">
        <f>-957.179536781539 -16.4310824407376 -506.653145894028</f>
        <v>-1480.2637651163045</v>
      </c>
      <c r="O2919">
        <f>-979.379049527721 -147.713056820364 -472.477194667504</f>
        <v>-1599.5693010155892</v>
      </c>
      <c r="P2919">
        <f>-967.724034067797 -193.400006594083 -182.015290422145</f>
        <v>-1343.1393310840249</v>
      </c>
      <c r="Q2919">
        <f>-782.055877244082 -67.5907921826411 -270.050623422804</f>
        <v>-1119.697292849527</v>
      </c>
      <c r="R2919" t="s">
        <v>59034</v>
      </c>
      <c r="S2919" t="s">
        <v>59035</v>
      </c>
      <c r="T2919" t="s">
        <v>59036</v>
      </c>
      <c r="U2919" t="s">
        <v>59037</v>
      </c>
      <c r="V2919">
        <f>-879.102537813421 -79.4792118577791 -56.9110738263765</f>
        <v>-1015.4928234975766</v>
      </c>
      <c r="W2919" t="s">
        <v>59038</v>
      </c>
      <c r="X2919" t="s">
        <v>59039</v>
      </c>
      <c r="Y2919" t="s">
        <v>59040</v>
      </c>
    </row>
    <row r="2920" spans="1:25" x14ac:dyDescent="0.3">
      <c r="A2920">
        <v>145950</v>
      </c>
      <c r="B2920" t="s">
        <v>59041</v>
      </c>
      <c r="C2920" t="s">
        <v>59042</v>
      </c>
      <c r="D2920" t="s">
        <v>59043</v>
      </c>
      <c r="E2920" t="s">
        <v>59044</v>
      </c>
      <c r="F2920" t="s">
        <v>59045</v>
      </c>
      <c r="G2920" t="s">
        <v>59046</v>
      </c>
      <c r="H2920" t="s">
        <v>59047</v>
      </c>
      <c r="I2920" t="s">
        <v>59048</v>
      </c>
      <c r="J2920" t="s">
        <v>59049</v>
      </c>
      <c r="K2920" t="s">
        <v>59050</v>
      </c>
      <c r="L2920" t="s">
        <v>59051</v>
      </c>
      <c r="M2920" t="s">
        <v>59052</v>
      </c>
      <c r="N2920">
        <f>-956.715731211371 -10.789174915697 -507.598573355805</f>
        <v>-1475.1034794828729</v>
      </c>
      <c r="O2920">
        <f>-980.21285527171 -141.937910137175 -473.748420506912</f>
        <v>-1595.899185915797</v>
      </c>
      <c r="P2920">
        <f>-969.771162886764 -188.277456630425 -183.34389398107</f>
        <v>-1341.3925134982592</v>
      </c>
      <c r="Q2920">
        <f>-782.695573620386 -63.8629054010473 -270.375857214161</f>
        <v>-1116.9343362355944</v>
      </c>
      <c r="R2920" t="s">
        <v>59053</v>
      </c>
      <c r="S2920" t="s">
        <v>59054</v>
      </c>
      <c r="T2920" t="s">
        <v>59055</v>
      </c>
      <c r="U2920" t="s">
        <v>59056</v>
      </c>
      <c r="V2920">
        <f>-879.015689782532 -74.4731987981284 -57.5417186888346</f>
        <v>-1011.030607269495</v>
      </c>
      <c r="W2920" t="s">
        <v>59057</v>
      </c>
      <c r="X2920" t="s">
        <v>59058</v>
      </c>
      <c r="Y2920" t="s">
        <v>59059</v>
      </c>
    </row>
    <row r="2921" spans="1:25" x14ac:dyDescent="0.3">
      <c r="A2921">
        <v>146000</v>
      </c>
      <c r="B2921" t="s">
        <v>59060</v>
      </c>
      <c r="C2921" t="s">
        <v>59061</v>
      </c>
      <c r="D2921" t="s">
        <v>59062</v>
      </c>
      <c r="E2921" t="s">
        <v>59063</v>
      </c>
      <c r="F2921" t="s">
        <v>59064</v>
      </c>
      <c r="G2921" t="s">
        <v>59065</v>
      </c>
      <c r="H2921" t="s">
        <v>59066</v>
      </c>
      <c r="I2921" t="s">
        <v>59067</v>
      </c>
      <c r="J2921" t="s">
        <v>59068</v>
      </c>
      <c r="K2921" t="s">
        <v>59069</v>
      </c>
      <c r="L2921" t="s">
        <v>59070</v>
      </c>
      <c r="M2921" t="s">
        <v>59071</v>
      </c>
      <c r="N2921" t="s">
        <v>59072</v>
      </c>
      <c r="O2921">
        <f>-982.596026094078 -129.216884439478 -475.848854240356</f>
        <v>-1587.6617647739122</v>
      </c>
      <c r="P2921">
        <f>-974.372451288661 -177.469467867272 -185.684708321986</f>
        <v>-1337.5266274779187</v>
      </c>
      <c r="Q2921">
        <f>-784.637068265935 -55.7852383091192 -270.798078479036</f>
        <v>-1111.2203850540902</v>
      </c>
      <c r="R2921" t="s">
        <v>59073</v>
      </c>
      <c r="S2921" t="s">
        <v>59074</v>
      </c>
      <c r="T2921" t="s">
        <v>59075</v>
      </c>
      <c r="U2921" t="s">
        <v>59076</v>
      </c>
      <c r="V2921">
        <f>-879.647885784751 -63.8636926042225 -58.6263835979024</f>
        <v>-1002.1379619868759</v>
      </c>
      <c r="W2921" t="s">
        <v>59077</v>
      </c>
      <c r="X2921" t="s">
        <v>59078</v>
      </c>
      <c r="Y2921" t="s">
        <v>59079</v>
      </c>
    </row>
    <row r="2922" spans="1:25" x14ac:dyDescent="0.3">
      <c r="A2922">
        <v>146050</v>
      </c>
      <c r="B2922" t="s">
        <v>59080</v>
      </c>
      <c r="C2922" t="s">
        <v>59081</v>
      </c>
      <c r="D2922" t="s">
        <v>59082</v>
      </c>
      <c r="E2922" t="s">
        <v>59083</v>
      </c>
      <c r="F2922" t="s">
        <v>59084</v>
      </c>
      <c r="G2922" t="s">
        <v>59085</v>
      </c>
      <c r="H2922" t="s">
        <v>59086</v>
      </c>
      <c r="I2922" t="s">
        <v>59087</v>
      </c>
      <c r="J2922" t="s">
        <v>59088</v>
      </c>
      <c r="K2922" t="s">
        <v>59089</v>
      </c>
      <c r="L2922" t="s">
        <v>59090</v>
      </c>
      <c r="M2922" t="s">
        <v>59091</v>
      </c>
      <c r="N2922" t="s">
        <v>59092</v>
      </c>
      <c r="O2922">
        <f>-983.946574151675 -123.280314462398 -476.950916631123</f>
        <v>-1584.1778052451959</v>
      </c>
      <c r="P2922">
        <f>-977.099153850226 -172.314279310278 -186.881987983112</f>
        <v>-1336.2954211436158</v>
      </c>
      <c r="Q2922">
        <f>-785.777458107309 -52.3670637145931 -270.903254913717</f>
        <v>-1109.0477767356192</v>
      </c>
      <c r="R2922" t="s">
        <v>59093</v>
      </c>
      <c r="S2922" t="s">
        <v>59094</v>
      </c>
      <c r="T2922" t="s">
        <v>59095</v>
      </c>
      <c r="U2922" t="s">
        <v>59096</v>
      </c>
      <c r="V2922">
        <f>-880.001333472313 -58.5938129159015 -59.1874831485703</f>
        <v>-997.78262953678484</v>
      </c>
      <c r="W2922" t="s">
        <v>59097</v>
      </c>
      <c r="X2922" t="s">
        <v>59098</v>
      </c>
      <c r="Y2922" t="s">
        <v>59099</v>
      </c>
    </row>
    <row r="2923" spans="1:25" x14ac:dyDescent="0.3">
      <c r="A2923">
        <v>146100</v>
      </c>
      <c r="B2923" t="s">
        <v>59100</v>
      </c>
      <c r="C2923" t="s">
        <v>59101</v>
      </c>
      <c r="D2923" t="s">
        <v>59102</v>
      </c>
      <c r="E2923" t="s">
        <v>59103</v>
      </c>
      <c r="F2923" t="s">
        <v>59104</v>
      </c>
      <c r="G2923" t="s">
        <v>59105</v>
      </c>
      <c r="H2923" t="s">
        <v>59106</v>
      </c>
      <c r="I2923" t="s">
        <v>59107</v>
      </c>
      <c r="J2923" t="s">
        <v>59108</v>
      </c>
      <c r="K2923" t="s">
        <v>59109</v>
      </c>
      <c r="L2923" t="s">
        <v>59110</v>
      </c>
      <c r="M2923" t="s">
        <v>59111</v>
      </c>
      <c r="N2923" t="s">
        <v>59112</v>
      </c>
      <c r="O2923">
        <f>-986.508474052264 -111.181171645596 -479.772418498765</f>
        <v>-1577.4620641966249</v>
      </c>
      <c r="P2923">
        <f>-983.525933881128 -160.130845404075 -189.62377008246</f>
        <v>-1333.2805493676628</v>
      </c>
      <c r="Q2923">
        <f>-788.27549365662 -45.3974281896542 -271.869970033698</f>
        <v>-1105.5428918799721</v>
      </c>
      <c r="R2923" t="s">
        <v>59113</v>
      </c>
      <c r="S2923" t="s">
        <v>59114</v>
      </c>
      <c r="T2923" t="s">
        <v>59115</v>
      </c>
      <c r="U2923" t="s">
        <v>59116</v>
      </c>
      <c r="V2923">
        <f>-880.249271945372 -47.347576801197 -60.5310638894663</f>
        <v>-988.12791263603526</v>
      </c>
      <c r="W2923" t="s">
        <v>59117</v>
      </c>
      <c r="X2923" t="s">
        <v>59118</v>
      </c>
      <c r="Y2923" t="s">
        <v>59119</v>
      </c>
    </row>
    <row r="2924" spans="1:25" x14ac:dyDescent="0.3">
      <c r="A2924">
        <v>146150</v>
      </c>
      <c r="B2924" t="s">
        <v>59120</v>
      </c>
      <c r="C2924" t="s">
        <v>59121</v>
      </c>
      <c r="D2924" t="s">
        <v>59122</v>
      </c>
      <c r="E2924" t="s">
        <v>59123</v>
      </c>
      <c r="F2924" t="s">
        <v>59124</v>
      </c>
      <c r="G2924" t="s">
        <v>59125</v>
      </c>
      <c r="H2924" t="s">
        <v>59126</v>
      </c>
      <c r="I2924" t="s">
        <v>59127</v>
      </c>
      <c r="J2924" t="s">
        <v>59128</v>
      </c>
      <c r="K2924" t="s">
        <v>59129</v>
      </c>
      <c r="L2924" t="s">
        <v>59130</v>
      </c>
      <c r="M2924" t="s">
        <v>59131</v>
      </c>
      <c r="N2924" t="s">
        <v>59132</v>
      </c>
      <c r="O2924">
        <f>-987.025107980153 -105.027638430646 -480.942760646687</f>
        <v>-1572.9955070574861</v>
      </c>
      <c r="P2924">
        <f>-986.113231972662 -152.999002964419 -190.616984019823</f>
        <v>-1329.7292189569039</v>
      </c>
      <c r="Q2924">
        <f>-788.172660501686 -42.860148716908 -272.713186940114</f>
        <v>-1103.7459961587081</v>
      </c>
      <c r="R2924" t="s">
        <v>59133</v>
      </c>
      <c r="S2924" t="s">
        <v>59134</v>
      </c>
      <c r="T2924" t="s">
        <v>59135</v>
      </c>
      <c r="U2924" t="s">
        <v>59136</v>
      </c>
      <c r="V2924">
        <f>-880.142257294451 -41.4042608953519 -61.0979355234641</f>
        <v>-982.64445371326701</v>
      </c>
      <c r="W2924" t="s">
        <v>59137</v>
      </c>
      <c r="X2924" t="s">
        <v>59138</v>
      </c>
      <c r="Y2924" t="s">
        <v>59139</v>
      </c>
    </row>
    <row r="2925" spans="1:25" x14ac:dyDescent="0.3">
      <c r="A2925">
        <v>146200</v>
      </c>
      <c r="B2925" t="s">
        <v>59140</v>
      </c>
      <c r="C2925" t="s">
        <v>59141</v>
      </c>
      <c r="D2925" t="s">
        <v>59142</v>
      </c>
      <c r="E2925" t="s">
        <v>59143</v>
      </c>
      <c r="F2925" t="s">
        <v>59144</v>
      </c>
      <c r="G2925" t="s">
        <v>59145</v>
      </c>
      <c r="H2925" t="s">
        <v>59146</v>
      </c>
      <c r="I2925" t="s">
        <v>59147</v>
      </c>
      <c r="J2925" t="s">
        <v>59148</v>
      </c>
      <c r="K2925" t="s">
        <v>59149</v>
      </c>
      <c r="L2925" t="s">
        <v>59150</v>
      </c>
      <c r="M2925" t="s">
        <v>59151</v>
      </c>
      <c r="N2925" t="s">
        <v>59152</v>
      </c>
      <c r="O2925">
        <f>-986.477115759684 -93.5739755117113 -481.757000320206</f>
        <v>-1561.8080915916012</v>
      </c>
      <c r="P2925">
        <f>-988.76486707131 -140.963913496826 -191.343267004701</f>
        <v>-1321.0720475728369</v>
      </c>
      <c r="Q2925">
        <f>-784.140542190313 -44.7361552510308 -274.529569853564</f>
        <v>-1103.4062672949078</v>
      </c>
      <c r="R2925" t="s">
        <v>59153</v>
      </c>
      <c r="S2925" t="s">
        <v>59154</v>
      </c>
      <c r="T2925" t="s">
        <v>59155</v>
      </c>
      <c r="U2925" t="s">
        <v>59156</v>
      </c>
      <c r="V2925">
        <f>-879.439107853711 -29.3041943586413 -61.953658984098</f>
        <v>-970.69696119645027</v>
      </c>
      <c r="W2925" t="s">
        <v>59157</v>
      </c>
      <c r="X2925" t="s">
        <v>59158</v>
      </c>
      <c r="Y2925" t="s">
        <v>59159</v>
      </c>
    </row>
    <row r="2926" spans="1:25" x14ac:dyDescent="0.3">
      <c r="A2926">
        <v>146250</v>
      </c>
      <c r="B2926" t="s">
        <v>59160</v>
      </c>
      <c r="C2926" t="s">
        <v>59161</v>
      </c>
      <c r="D2926" t="s">
        <v>59162</v>
      </c>
      <c r="E2926" t="s">
        <v>59163</v>
      </c>
      <c r="F2926" t="s">
        <v>59164</v>
      </c>
      <c r="G2926" t="s">
        <v>59165</v>
      </c>
      <c r="H2926" t="s">
        <v>59166</v>
      </c>
      <c r="I2926" t="s">
        <v>59167</v>
      </c>
      <c r="J2926" t="s">
        <v>59168</v>
      </c>
      <c r="K2926" t="s">
        <v>59169</v>
      </c>
      <c r="L2926" t="s">
        <v>59170</v>
      </c>
      <c r="M2926" t="s">
        <v>59171</v>
      </c>
      <c r="N2926" t="s">
        <v>59172</v>
      </c>
      <c r="O2926">
        <f>-985.664589424673 -87.732374016327 -481.966485436798</f>
        <v>-1555.363448877798</v>
      </c>
      <c r="P2926">
        <f>-989.258079688696 -137.842519915967 -192.022913319142</f>
        <v>-1319.1235129238048</v>
      </c>
      <c r="Q2926">
        <f>-781.497167004325 -48.7801617712992 -275.41476873364</f>
        <v>-1105.6920975092642</v>
      </c>
      <c r="R2926" t="s">
        <v>59173</v>
      </c>
      <c r="S2926" t="s">
        <v>59174</v>
      </c>
      <c r="T2926" t="s">
        <v>59175</v>
      </c>
      <c r="U2926" t="s">
        <v>59176</v>
      </c>
      <c r="V2926">
        <f>-879.145663355792 -22.9347233784492 -62.2610745419491</f>
        <v>-964.34146127619033</v>
      </c>
      <c r="W2926" t="s">
        <v>59177</v>
      </c>
      <c r="X2926" t="s">
        <v>59178</v>
      </c>
      <c r="Y2926" t="s">
        <v>59179</v>
      </c>
    </row>
    <row r="2927" spans="1:25" x14ac:dyDescent="0.3">
      <c r="A2927">
        <v>146300</v>
      </c>
      <c r="B2927" t="s">
        <v>59180</v>
      </c>
      <c r="C2927" t="s">
        <v>59181</v>
      </c>
      <c r="D2927" t="s">
        <v>59182</v>
      </c>
      <c r="E2927" t="s">
        <v>59183</v>
      </c>
      <c r="F2927" t="s">
        <v>59184</v>
      </c>
      <c r="G2927" t="s">
        <v>59185</v>
      </c>
      <c r="H2927" t="s">
        <v>59186</v>
      </c>
      <c r="I2927" t="s">
        <v>59187</v>
      </c>
      <c r="J2927" t="s">
        <v>59188</v>
      </c>
      <c r="K2927" t="s">
        <v>59189</v>
      </c>
      <c r="L2927" t="s">
        <v>59190</v>
      </c>
      <c r="M2927" t="s">
        <v>59191</v>
      </c>
      <c r="N2927" t="s">
        <v>59192</v>
      </c>
      <c r="O2927">
        <f>-983.761665534616 -74.0913501439941 -483.520108999004</f>
        <v>-1541.373124677614</v>
      </c>
      <c r="P2927">
        <f>-990.042062340044 -131.012884299083 -194.882486805319</f>
        <v>-1315.937433444446</v>
      </c>
      <c r="Q2927">
        <f>-776.624650300447 -56.900237431222 -278.615556896595</f>
        <v>-1112.140444628264</v>
      </c>
      <c r="R2927" t="s">
        <v>59193</v>
      </c>
      <c r="S2927" t="s">
        <v>59194</v>
      </c>
      <c r="T2927" t="s">
        <v>59195</v>
      </c>
      <c r="U2927" t="s">
        <v>59196</v>
      </c>
      <c r="V2927">
        <f>-878.840689803387 -10.0810362788734 -62.6949311358088</f>
        <v>-951.61665721806924</v>
      </c>
      <c r="W2927" t="s">
        <v>59197</v>
      </c>
      <c r="X2927" t="s">
        <v>59198</v>
      </c>
      <c r="Y2927" t="s">
        <v>59199</v>
      </c>
    </row>
    <row r="2928" spans="1:25" x14ac:dyDescent="0.3">
      <c r="A2928">
        <v>146350</v>
      </c>
      <c r="B2928" t="s">
        <v>59200</v>
      </c>
      <c r="C2928" t="s">
        <v>59201</v>
      </c>
      <c r="D2928" t="s">
        <v>59202</v>
      </c>
      <c r="E2928" t="s">
        <v>59203</v>
      </c>
      <c r="F2928" t="s">
        <v>59204</v>
      </c>
      <c r="G2928" t="s">
        <v>59205</v>
      </c>
      <c r="H2928" t="s">
        <v>59206</v>
      </c>
      <c r="I2928" t="s">
        <v>59207</v>
      </c>
      <c r="J2928" t="s">
        <v>59208</v>
      </c>
      <c r="K2928" t="s">
        <v>59209</v>
      </c>
      <c r="L2928" t="s">
        <v>59210</v>
      </c>
      <c r="M2928" t="s">
        <v>59211</v>
      </c>
      <c r="N2928" t="s">
        <v>59212</v>
      </c>
      <c r="O2928">
        <f>-981.653877899874 -59.5942043133873 -485.920893321429</f>
        <v>-1527.1689755346904</v>
      </c>
      <c r="P2928">
        <f>-993.396483203934 -120.947536379243 -198.36388772402</f>
        <v>-1312.707907307197</v>
      </c>
      <c r="Q2928">
        <f>-774.426632717046 -64.8210406220087 -281.747916007113</f>
        <v>-1120.9955893461677</v>
      </c>
      <c r="R2928" t="s">
        <v>59213</v>
      </c>
      <c r="S2928" t="s">
        <v>59214</v>
      </c>
      <c r="T2928" t="s">
        <v>59215</v>
      </c>
      <c r="U2928" t="s">
        <v>59216</v>
      </c>
      <c r="V2928" t="s">
        <v>59217</v>
      </c>
      <c r="W2928" t="s">
        <v>59218</v>
      </c>
      <c r="X2928" t="s">
        <v>59219</v>
      </c>
      <c r="Y2928" t="s">
        <v>59220</v>
      </c>
    </row>
    <row r="2929" spans="1:25" x14ac:dyDescent="0.3">
      <c r="A2929">
        <v>146400</v>
      </c>
      <c r="B2929" t="s">
        <v>59221</v>
      </c>
      <c r="C2929" t="s">
        <v>59222</v>
      </c>
      <c r="D2929" t="s">
        <v>59223</v>
      </c>
      <c r="E2929" t="s">
        <v>59224</v>
      </c>
      <c r="F2929" t="s">
        <v>59225</v>
      </c>
      <c r="G2929" t="s">
        <v>59226</v>
      </c>
      <c r="H2929" t="s">
        <v>59227</v>
      </c>
      <c r="I2929" t="s">
        <v>59228</v>
      </c>
      <c r="J2929" t="s">
        <v>59229</v>
      </c>
      <c r="K2929" t="s">
        <v>59230</v>
      </c>
      <c r="L2929" t="s">
        <v>59231</v>
      </c>
      <c r="M2929" t="s">
        <v>59232</v>
      </c>
      <c r="N2929" t="s">
        <v>59233</v>
      </c>
      <c r="O2929">
        <f>-980.119588641548 -53.3895701777833 -487.083629907895</f>
        <v>-1520.5927887272264</v>
      </c>
      <c r="P2929">
        <f>-996.11440725858 -115.862981270721 -199.973088670399</f>
        <v>-1311.9504771996999</v>
      </c>
      <c r="Q2929">
        <f>-775.11727118263 -68.3133730530028 -283.340755762029</f>
        <v>-1126.7713999976618</v>
      </c>
      <c r="R2929" t="s">
        <v>59234</v>
      </c>
      <c r="S2929" t="s">
        <v>59235</v>
      </c>
      <c r="T2929" t="s">
        <v>59236</v>
      </c>
      <c r="U2929" t="s">
        <v>59237</v>
      </c>
      <c r="V2929" t="s">
        <v>59238</v>
      </c>
      <c r="W2929" t="s">
        <v>59239</v>
      </c>
      <c r="X2929" t="s">
        <v>59240</v>
      </c>
      <c r="Y2929" t="s">
        <v>59241</v>
      </c>
    </row>
    <row r="2930" spans="1:25" x14ac:dyDescent="0.3">
      <c r="A2930">
        <v>146450</v>
      </c>
      <c r="B2930" t="s">
        <v>59242</v>
      </c>
      <c r="C2930" t="s">
        <v>59243</v>
      </c>
      <c r="D2930" t="s">
        <v>59244</v>
      </c>
      <c r="E2930" t="s">
        <v>59245</v>
      </c>
      <c r="F2930" t="s">
        <v>59246</v>
      </c>
      <c r="G2930" t="s">
        <v>59247</v>
      </c>
      <c r="H2930" t="s">
        <v>59248</v>
      </c>
      <c r="I2930" t="s">
        <v>59249</v>
      </c>
      <c r="J2930" t="s">
        <v>59250</v>
      </c>
      <c r="K2930" t="s">
        <v>59251</v>
      </c>
      <c r="L2930" t="s">
        <v>59252</v>
      </c>
      <c r="M2930" t="s">
        <v>59253</v>
      </c>
      <c r="N2930" t="s">
        <v>59254</v>
      </c>
      <c r="O2930">
        <f>-978.367362211713 -47.9738890057045 -488.078329794646</f>
        <v>-1514.4195810120634</v>
      </c>
      <c r="P2930">
        <f>-999.318897838944 -110.959130478451 -201.398864169756</f>
        <v>-1311.676892487151</v>
      </c>
      <c r="Q2930">
        <f>-776.898081174147 -70.7407950860195 -284.839393294861</f>
        <v>-1132.4782695550275</v>
      </c>
      <c r="R2930" t="s">
        <v>59255</v>
      </c>
      <c r="S2930" t="s">
        <v>59256</v>
      </c>
      <c r="T2930" t="s">
        <v>59257</v>
      </c>
      <c r="U2930" t="s">
        <v>59258</v>
      </c>
      <c r="V2930" t="s">
        <v>59259</v>
      </c>
      <c r="W2930" t="s">
        <v>59260</v>
      </c>
      <c r="X2930" t="s">
        <v>59261</v>
      </c>
      <c r="Y2930" t="s">
        <v>59262</v>
      </c>
    </row>
    <row r="2931" spans="1:25" x14ac:dyDescent="0.3">
      <c r="A2931">
        <v>146500</v>
      </c>
      <c r="B2931" t="s">
        <v>59263</v>
      </c>
      <c r="C2931" t="s">
        <v>59264</v>
      </c>
      <c r="D2931" t="s">
        <v>59265</v>
      </c>
      <c r="E2931" t="s">
        <v>59266</v>
      </c>
      <c r="F2931" t="s">
        <v>59267</v>
      </c>
      <c r="G2931" t="s">
        <v>59268</v>
      </c>
      <c r="H2931" t="s">
        <v>59269</v>
      </c>
      <c r="I2931" t="s">
        <v>59270</v>
      </c>
      <c r="J2931" t="s">
        <v>59271</v>
      </c>
      <c r="K2931" t="s">
        <v>59272</v>
      </c>
      <c r="L2931" t="s">
        <v>59273</v>
      </c>
      <c r="M2931" t="s">
        <v>59274</v>
      </c>
      <c r="N2931" t="s">
        <v>59275</v>
      </c>
      <c r="O2931">
        <f>-974.333732608758 -38.2753910821909 -489.525366019136</f>
        <v>-1502.1344897100851</v>
      </c>
      <c r="P2931">
        <f>-1005.99220331694 -100.155361601881 -203.588489418665</f>
        <v>-1309.7360543374859</v>
      </c>
      <c r="Q2931">
        <f>-781.942560545349 -70.2765033211251 -287.014718994165</f>
        <v>-1139.2337828606392</v>
      </c>
      <c r="R2931" t="s">
        <v>59276</v>
      </c>
      <c r="S2931" t="s">
        <v>59277</v>
      </c>
      <c r="T2931" t="s">
        <v>59278</v>
      </c>
      <c r="U2931" t="s">
        <v>59279</v>
      </c>
      <c r="V2931" t="s">
        <v>59280</v>
      </c>
      <c r="W2931" t="s">
        <v>59281</v>
      </c>
      <c r="X2931" t="s">
        <v>59282</v>
      </c>
      <c r="Y2931" t="s">
        <v>59283</v>
      </c>
    </row>
    <row r="2932" spans="1:25" x14ac:dyDescent="0.3">
      <c r="A2932">
        <v>146550</v>
      </c>
      <c r="B2932" t="s">
        <v>59284</v>
      </c>
      <c r="C2932" t="s">
        <v>59285</v>
      </c>
      <c r="D2932" t="s">
        <v>59286</v>
      </c>
      <c r="E2932" t="s">
        <v>59287</v>
      </c>
      <c r="F2932" t="s">
        <v>59288</v>
      </c>
      <c r="G2932" t="s">
        <v>59289</v>
      </c>
      <c r="H2932" t="s">
        <v>59290</v>
      </c>
      <c r="I2932" t="s">
        <v>59291</v>
      </c>
      <c r="J2932" t="s">
        <v>59292</v>
      </c>
      <c r="K2932" t="s">
        <v>59293</v>
      </c>
      <c r="L2932" t="s">
        <v>59294</v>
      </c>
      <c r="M2932" t="s">
        <v>59295</v>
      </c>
      <c r="N2932" t="s">
        <v>59296</v>
      </c>
      <c r="O2932">
        <f>-972.216837598874 -33.5466745152121 -490.02499193137</f>
        <v>-1495.7885040454562</v>
      </c>
      <c r="P2932">
        <f>-1009.77653325793 -94.0525376329028 -204.508768612356</f>
        <v>-1308.3378395031887</v>
      </c>
      <c r="Q2932">
        <f>-785.030943381052 -67.6233305798646 -287.223632773819</f>
        <v>-1139.8779067347357</v>
      </c>
      <c r="R2932" t="s">
        <v>59297</v>
      </c>
      <c r="S2932" t="s">
        <v>59298</v>
      </c>
      <c r="T2932" t="s">
        <v>59299</v>
      </c>
      <c r="U2932" t="s">
        <v>59300</v>
      </c>
      <c r="V2932" t="s">
        <v>59301</v>
      </c>
      <c r="W2932" t="s">
        <v>59302</v>
      </c>
      <c r="X2932" t="s">
        <v>59303</v>
      </c>
      <c r="Y2932" t="s">
        <v>59304</v>
      </c>
    </row>
    <row r="2933" spans="1:25" x14ac:dyDescent="0.3">
      <c r="A2933">
        <v>146600</v>
      </c>
      <c r="B2933" t="s">
        <v>59305</v>
      </c>
      <c r="C2933" t="s">
        <v>59306</v>
      </c>
      <c r="D2933" t="s">
        <v>59307</v>
      </c>
      <c r="E2933" t="s">
        <v>59308</v>
      </c>
      <c r="F2933" t="s">
        <v>59309</v>
      </c>
      <c r="G2933" t="s">
        <v>59310</v>
      </c>
      <c r="H2933" t="s">
        <v>59311</v>
      </c>
      <c r="I2933" t="s">
        <v>59312</v>
      </c>
      <c r="J2933" t="s">
        <v>59313</v>
      </c>
      <c r="K2933" t="s">
        <v>59314</v>
      </c>
      <c r="L2933" t="s">
        <v>59315</v>
      </c>
      <c r="M2933" t="s">
        <v>59316</v>
      </c>
      <c r="N2933" t="s">
        <v>59317</v>
      </c>
      <c r="O2933">
        <f>-969.378472981374 -24.5443923048438 -490.960951826125</f>
        <v>-1484.8838171123427</v>
      </c>
      <c r="P2933">
        <f>-1019.49889357185 -81.0679930781153 -206.559318700628</f>
        <v>-1307.1262053505932</v>
      </c>
      <c r="Q2933">
        <f>-793.051908199952 -58.8630946138119 -285.8028389184</f>
        <v>-1137.7178417321638</v>
      </c>
      <c r="R2933" t="s">
        <v>59318</v>
      </c>
      <c r="S2933" t="s">
        <v>59319</v>
      </c>
      <c r="T2933" t="s">
        <v>59320</v>
      </c>
      <c r="U2933" t="s">
        <v>59321</v>
      </c>
      <c r="V2933" t="s">
        <v>59322</v>
      </c>
      <c r="W2933" t="s">
        <v>59323</v>
      </c>
      <c r="X2933" t="s">
        <v>59324</v>
      </c>
      <c r="Y2933" t="s">
        <v>59325</v>
      </c>
    </row>
    <row r="2934" spans="1:25" x14ac:dyDescent="0.3">
      <c r="A2934">
        <v>146650</v>
      </c>
      <c r="B2934" t="s">
        <v>59326</v>
      </c>
      <c r="C2934" t="s">
        <v>59327</v>
      </c>
      <c r="D2934" t="s">
        <v>59328</v>
      </c>
      <c r="E2934" t="s">
        <v>59329</v>
      </c>
      <c r="F2934" t="s">
        <v>59330</v>
      </c>
      <c r="G2934" t="s">
        <v>59331</v>
      </c>
      <c r="H2934" t="s">
        <v>59332</v>
      </c>
      <c r="I2934" t="s">
        <v>59333</v>
      </c>
      <c r="J2934" t="s">
        <v>59334</v>
      </c>
      <c r="K2934" t="s">
        <v>59335</v>
      </c>
      <c r="L2934" t="s">
        <v>59336</v>
      </c>
      <c r="M2934" t="s">
        <v>59337</v>
      </c>
      <c r="N2934" t="s">
        <v>59338</v>
      </c>
      <c r="O2934">
        <f>-968.476864211895 -20.4235661769071 -491.413413717551</f>
        <v>-1480.3138441063531</v>
      </c>
      <c r="P2934">
        <f>-1024.47119890209 -74.6184295795615 -207.655115006162</f>
        <v>-1306.7447434878136</v>
      </c>
      <c r="Q2934">
        <f>-796.944533709555 -53.7493254639051 -284.121198513331</f>
        <v>-1134.8150576867911</v>
      </c>
      <c r="R2934" t="s">
        <v>59339</v>
      </c>
      <c r="S2934" t="s">
        <v>59340</v>
      </c>
      <c r="T2934" t="s">
        <v>59341</v>
      </c>
      <c r="U2934" t="s">
        <v>59342</v>
      </c>
      <c r="V2934" t="s">
        <v>59343</v>
      </c>
      <c r="W2934" t="s">
        <v>59344</v>
      </c>
      <c r="X2934" t="s">
        <v>59345</v>
      </c>
      <c r="Y2934" t="s">
        <v>59346</v>
      </c>
    </row>
    <row r="2935" spans="1:25" x14ac:dyDescent="0.3">
      <c r="A2935">
        <v>146700</v>
      </c>
      <c r="B2935" t="s">
        <v>59347</v>
      </c>
      <c r="C2935" t="s">
        <v>59348</v>
      </c>
      <c r="D2935" t="s">
        <v>59349</v>
      </c>
      <c r="E2935" t="s">
        <v>59350</v>
      </c>
      <c r="F2935" t="s">
        <v>59351</v>
      </c>
      <c r="G2935" t="s">
        <v>59352</v>
      </c>
      <c r="H2935" t="s">
        <v>59353</v>
      </c>
      <c r="I2935" t="s">
        <v>59354</v>
      </c>
      <c r="J2935" t="s">
        <v>59355</v>
      </c>
      <c r="K2935" t="s">
        <v>59356</v>
      </c>
      <c r="L2935" t="s">
        <v>59357</v>
      </c>
      <c r="M2935" t="s">
        <v>59358</v>
      </c>
      <c r="N2935" t="s">
        <v>59359</v>
      </c>
      <c r="O2935">
        <f>-967.279840361989 -13.18944228494 -491.889399488804</f>
        <v>-1472.358682135733</v>
      </c>
      <c r="P2935">
        <f>-1032.505809813 -62.1504401816621 -209.153463491478</f>
        <v>-1303.8097134861403</v>
      </c>
      <c r="Q2935">
        <f>-803.329595335796 -44.3759936236161 -281.355599289148</f>
        <v>-1129.06118824856</v>
      </c>
      <c r="R2935" t="s">
        <v>59360</v>
      </c>
      <c r="S2935" t="s">
        <v>59361</v>
      </c>
      <c r="T2935" t="s">
        <v>59362</v>
      </c>
      <c r="U2935" t="s">
        <v>59363</v>
      </c>
      <c r="V2935" t="s">
        <v>59364</v>
      </c>
      <c r="W2935" t="s">
        <v>59365</v>
      </c>
      <c r="X2935" t="s">
        <v>59366</v>
      </c>
      <c r="Y2935" t="s">
        <v>59367</v>
      </c>
    </row>
    <row r="2936" spans="1:25" x14ac:dyDescent="0.3">
      <c r="A2936">
        <v>146750</v>
      </c>
      <c r="B2936" t="s">
        <v>59368</v>
      </c>
      <c r="C2936" t="s">
        <v>59369</v>
      </c>
      <c r="D2936" t="s">
        <v>59370</v>
      </c>
      <c r="E2936" t="s">
        <v>59371</v>
      </c>
      <c r="F2936" t="s">
        <v>59372</v>
      </c>
      <c r="G2936" t="s">
        <v>59373</v>
      </c>
      <c r="H2936" t="s">
        <v>59374</v>
      </c>
      <c r="I2936" t="s">
        <v>59375</v>
      </c>
      <c r="J2936" t="s">
        <v>59376</v>
      </c>
      <c r="K2936" t="s">
        <v>59377</v>
      </c>
      <c r="L2936" t="s">
        <v>59378</v>
      </c>
      <c r="M2936" t="s">
        <v>59379</v>
      </c>
      <c r="N2936" t="s">
        <v>59380</v>
      </c>
      <c r="O2936">
        <f>-966.820790948495 -10.2545746568776 -491.716107444843</f>
        <v>-1468.7914730502155</v>
      </c>
      <c r="P2936">
        <f>-1035.23570107734 -56.4423697292114 -209.267552895819</f>
        <v>-1300.9456237023705</v>
      </c>
      <c r="Q2936">
        <f>-805.629895334359 -40.4398347485755 -280.512866601229</f>
        <v>-1126.5825966841635</v>
      </c>
      <c r="R2936" t="s">
        <v>59381</v>
      </c>
      <c r="S2936" t="s">
        <v>59382</v>
      </c>
      <c r="T2936" t="s">
        <v>59383</v>
      </c>
      <c r="U2936" t="s">
        <v>59384</v>
      </c>
      <c r="V2936" t="s">
        <v>59385</v>
      </c>
      <c r="W2936" t="s">
        <v>59386</v>
      </c>
      <c r="X2936" t="s">
        <v>59387</v>
      </c>
      <c r="Y2936" t="s">
        <v>59388</v>
      </c>
    </row>
    <row r="2937" spans="1:25" x14ac:dyDescent="0.3">
      <c r="A2937">
        <v>146800</v>
      </c>
      <c r="B2937" t="s">
        <v>59389</v>
      </c>
      <c r="C2937" t="s">
        <v>59390</v>
      </c>
      <c r="D2937" t="s">
        <v>59391</v>
      </c>
      <c r="E2937" t="s">
        <v>59392</v>
      </c>
      <c r="F2937" t="s">
        <v>59393</v>
      </c>
      <c r="G2937" t="s">
        <v>59394</v>
      </c>
      <c r="H2937" t="s">
        <v>59395</v>
      </c>
      <c r="I2937" t="s">
        <v>59396</v>
      </c>
      <c r="J2937" t="s">
        <v>59397</v>
      </c>
      <c r="K2937" t="s">
        <v>59398</v>
      </c>
      <c r="L2937" t="s">
        <v>59399</v>
      </c>
      <c r="M2937" t="s">
        <v>59400</v>
      </c>
      <c r="N2937" t="s">
        <v>59401</v>
      </c>
      <c r="O2937">
        <f>-966.118856085914 -4.67838029162704 -491.145629928312</f>
        <v>-1461.9428663058529</v>
      </c>
      <c r="P2937">
        <f>-1039.00188596768 -45.419235482964 -208.976440566165</f>
        <v>-1293.3975620168089</v>
      </c>
      <c r="Q2937">
        <f>-808.960770771861 -33.0929090140157 -279.546089407163</f>
        <v>-1121.5997691930397</v>
      </c>
      <c r="R2937" t="s">
        <v>59402</v>
      </c>
      <c r="S2937" t="s">
        <v>59403</v>
      </c>
      <c r="T2937" t="s">
        <v>59404</v>
      </c>
      <c r="U2937" t="s">
        <v>59405</v>
      </c>
      <c r="V2937" t="s">
        <v>59406</v>
      </c>
      <c r="W2937" t="s">
        <v>59407</v>
      </c>
      <c r="X2937" t="s">
        <v>59408</v>
      </c>
      <c r="Y2937" t="s">
        <v>59409</v>
      </c>
    </row>
    <row r="2938" spans="1:25" x14ac:dyDescent="0.3">
      <c r="A2938">
        <v>146850</v>
      </c>
      <c r="B2938" t="s">
        <v>59410</v>
      </c>
      <c r="C2938" t="s">
        <v>59411</v>
      </c>
      <c r="D2938" t="s">
        <v>59412</v>
      </c>
      <c r="E2938" t="s">
        <v>59413</v>
      </c>
      <c r="F2938" t="s">
        <v>59414</v>
      </c>
      <c r="G2938" t="s">
        <v>59415</v>
      </c>
      <c r="H2938" t="s">
        <v>59416</v>
      </c>
      <c r="I2938" t="s">
        <v>59417</v>
      </c>
      <c r="J2938" t="s">
        <v>59418</v>
      </c>
      <c r="K2938" t="s">
        <v>59419</v>
      </c>
      <c r="L2938" t="s">
        <v>59420</v>
      </c>
      <c r="M2938" t="s">
        <v>59421</v>
      </c>
      <c r="N2938" t="s">
        <v>59422</v>
      </c>
      <c r="O2938">
        <f>-966.423116582518 -1.94410724161571 -490.806125352464</f>
        <v>-1459.1733491765976</v>
      </c>
      <c r="P2938">
        <f>-1040.85558140388 -40.2063699441342 -208.694374526148</f>
        <v>-1289.7563258741623</v>
      </c>
      <c r="Q2938">
        <f>-810.769236791917 -29.7048836453419 -279.411658031962</f>
        <v>-1119.8857784692209</v>
      </c>
      <c r="R2938" t="s">
        <v>59423</v>
      </c>
      <c r="S2938" t="s">
        <v>59424</v>
      </c>
      <c r="T2938" t="s">
        <v>59425</v>
      </c>
      <c r="U2938" t="s">
        <v>59426</v>
      </c>
      <c r="V2938" t="s">
        <v>59427</v>
      </c>
      <c r="W2938" t="s">
        <v>59428</v>
      </c>
      <c r="X2938" t="s">
        <v>59429</v>
      </c>
      <c r="Y2938" t="s">
        <v>59430</v>
      </c>
    </row>
    <row r="2939" spans="1:25" x14ac:dyDescent="0.3">
      <c r="A2939">
        <v>146900</v>
      </c>
      <c r="B2939" t="s">
        <v>59431</v>
      </c>
      <c r="C2939" t="s">
        <v>59432</v>
      </c>
      <c r="D2939" t="s">
        <v>59433</v>
      </c>
      <c r="E2939" t="s">
        <v>59434</v>
      </c>
      <c r="F2939" t="s">
        <v>59435</v>
      </c>
      <c r="G2939" t="s">
        <v>59436</v>
      </c>
      <c r="H2939" t="s">
        <v>59437</v>
      </c>
      <c r="I2939" t="s">
        <v>59438</v>
      </c>
      <c r="J2939" t="s">
        <v>59439</v>
      </c>
      <c r="K2939" t="s">
        <v>59440</v>
      </c>
      <c r="L2939" t="s">
        <v>59441</v>
      </c>
      <c r="M2939" t="s">
        <v>59442</v>
      </c>
      <c r="N2939" t="s">
        <v>59443</v>
      </c>
      <c r="O2939" t="s">
        <v>59444</v>
      </c>
      <c r="P2939">
        <f>-1043.88733333274 -30.8357066772032 -207.980255211143</f>
        <v>-1282.7032952210861</v>
      </c>
      <c r="Q2939">
        <f>-813.856522461954 -23.0000549551451 -279.221876141532</f>
        <v>-1116.0784535586311</v>
      </c>
      <c r="R2939" t="s">
        <v>59445</v>
      </c>
      <c r="S2939" t="s">
        <v>59446</v>
      </c>
      <c r="T2939" t="s">
        <v>59447</v>
      </c>
      <c r="U2939" t="s">
        <v>59448</v>
      </c>
      <c r="V2939" t="s">
        <v>59449</v>
      </c>
      <c r="W2939" t="s">
        <v>59450</v>
      </c>
      <c r="X2939" t="s">
        <v>59451</v>
      </c>
      <c r="Y2939" t="s">
        <v>59452</v>
      </c>
    </row>
    <row r="2940" spans="1:25" x14ac:dyDescent="0.3">
      <c r="A2940">
        <v>146950</v>
      </c>
      <c r="B2940" t="s">
        <v>59453</v>
      </c>
      <c r="C2940" t="s">
        <v>59454</v>
      </c>
      <c r="D2940" t="s">
        <v>59455</v>
      </c>
      <c r="E2940" t="s">
        <v>59456</v>
      </c>
      <c r="F2940" t="s">
        <v>59457</v>
      </c>
      <c r="G2940" t="s">
        <v>59458</v>
      </c>
      <c r="H2940" t="s">
        <v>59459</v>
      </c>
      <c r="I2940" t="s">
        <v>59460</v>
      </c>
      <c r="J2940" t="s">
        <v>59461</v>
      </c>
      <c r="K2940" t="s">
        <v>59462</v>
      </c>
      <c r="L2940" t="s">
        <v>59463</v>
      </c>
      <c r="M2940" t="s">
        <v>59464</v>
      </c>
      <c r="N2940" t="s">
        <v>59465</v>
      </c>
      <c r="O2940" t="s">
        <v>59466</v>
      </c>
      <c r="P2940">
        <f>-1045.3322817342 -27.402196996416 -207.994035689088</f>
        <v>-1280.728514419704</v>
      </c>
      <c r="Q2940">
        <f>-815.230475626872 -19.4292920431426 -278.990527922372</f>
        <v>-1113.6502955923866</v>
      </c>
      <c r="R2940" t="s">
        <v>59467</v>
      </c>
      <c r="S2940" t="s">
        <v>59468</v>
      </c>
      <c r="T2940" t="s">
        <v>59469</v>
      </c>
      <c r="U2940" t="s">
        <v>59470</v>
      </c>
      <c r="V2940" t="s">
        <v>59471</v>
      </c>
      <c r="W2940" t="s">
        <v>59472</v>
      </c>
      <c r="X2940" t="s">
        <v>59473</v>
      </c>
      <c r="Y2940" t="s">
        <v>59474</v>
      </c>
    </row>
    <row r="2941" spans="1:25" x14ac:dyDescent="0.3">
      <c r="A2941">
        <v>147000</v>
      </c>
      <c r="B2941" t="s">
        <v>59475</v>
      </c>
      <c r="C2941" t="s">
        <v>59476</v>
      </c>
      <c r="D2941" t="s">
        <v>59477</v>
      </c>
      <c r="E2941" t="s">
        <v>59478</v>
      </c>
      <c r="F2941" t="s">
        <v>59479</v>
      </c>
      <c r="G2941" t="s">
        <v>59480</v>
      </c>
      <c r="H2941" t="s">
        <v>59481</v>
      </c>
      <c r="I2941" t="s">
        <v>59482</v>
      </c>
      <c r="J2941" t="s">
        <v>59483</v>
      </c>
      <c r="K2941" t="s">
        <v>59484</v>
      </c>
      <c r="L2941" t="s">
        <v>59485</v>
      </c>
      <c r="M2941" t="s">
        <v>59486</v>
      </c>
      <c r="N2941" t="s">
        <v>59487</v>
      </c>
      <c r="O2941" t="s">
        <v>59488</v>
      </c>
      <c r="P2941">
        <f>-1048.3858533818 -23.4959811012673 -208.800576350263</f>
        <v>-1280.6824108333303</v>
      </c>
      <c r="Q2941">
        <f>-817.973682518218 -11.1259223126317 -278.140942924465</f>
        <v>-1107.2405477553148</v>
      </c>
      <c r="R2941" t="s">
        <v>59489</v>
      </c>
      <c r="S2941" t="s">
        <v>59490</v>
      </c>
      <c r="T2941" t="s">
        <v>59491</v>
      </c>
      <c r="U2941" t="s">
        <v>59492</v>
      </c>
      <c r="V2941" t="s">
        <v>59493</v>
      </c>
      <c r="W2941" t="s">
        <v>59494</v>
      </c>
      <c r="X2941" t="s">
        <v>59495</v>
      </c>
      <c r="Y2941" t="s">
        <v>59496</v>
      </c>
    </row>
    <row r="2942" spans="1:25" x14ac:dyDescent="0.3">
      <c r="A2942">
        <v>147050</v>
      </c>
      <c r="B2942" t="s">
        <v>59497</v>
      </c>
      <c r="C2942" t="s">
        <v>59498</v>
      </c>
      <c r="D2942" t="s">
        <v>59499</v>
      </c>
      <c r="E2942" t="s">
        <v>59500</v>
      </c>
      <c r="F2942" t="s">
        <v>59501</v>
      </c>
      <c r="G2942" t="s">
        <v>59502</v>
      </c>
      <c r="H2942" t="s">
        <v>59503</v>
      </c>
      <c r="I2942" t="s">
        <v>59504</v>
      </c>
      <c r="J2942" t="s">
        <v>59505</v>
      </c>
      <c r="K2942" t="s">
        <v>59506</v>
      </c>
      <c r="L2942" t="s">
        <v>59507</v>
      </c>
      <c r="M2942" t="s">
        <v>59508</v>
      </c>
      <c r="N2942" t="s">
        <v>59509</v>
      </c>
      <c r="O2942" t="s">
        <v>59510</v>
      </c>
      <c r="P2942">
        <f>-1050.27839784003 -22.4808007599963 -209.43427985205</f>
        <v>-1282.1934784520763</v>
      </c>
      <c r="Q2942">
        <f>-819.701703943762 -6.42718139957105 -277.46034852753</f>
        <v>-1103.5892338708632</v>
      </c>
      <c r="R2942" t="s">
        <v>59511</v>
      </c>
      <c r="S2942" t="s">
        <v>59512</v>
      </c>
      <c r="T2942" t="s">
        <v>59513</v>
      </c>
      <c r="U2942" t="s">
        <v>59514</v>
      </c>
      <c r="V2942" t="s">
        <v>59515</v>
      </c>
      <c r="W2942" t="s">
        <v>59516</v>
      </c>
      <c r="X2942" t="s">
        <v>59517</v>
      </c>
      <c r="Y2942" t="s">
        <v>59518</v>
      </c>
    </row>
    <row r="2943" spans="1:25" x14ac:dyDescent="0.3">
      <c r="A2943">
        <v>147100</v>
      </c>
      <c r="B2943" t="s">
        <v>59519</v>
      </c>
      <c r="C2943" t="s">
        <v>59520</v>
      </c>
      <c r="D2943" t="s">
        <v>59521</v>
      </c>
      <c r="E2943" t="s">
        <v>59522</v>
      </c>
      <c r="F2943" t="s">
        <v>59523</v>
      </c>
      <c r="G2943" t="s">
        <v>59524</v>
      </c>
      <c r="H2943" t="s">
        <v>59525</v>
      </c>
      <c r="I2943" t="s">
        <v>59526</v>
      </c>
      <c r="J2943" t="s">
        <v>59527</v>
      </c>
      <c r="K2943" t="s">
        <v>59528</v>
      </c>
      <c r="L2943" t="s">
        <v>59529</v>
      </c>
      <c r="M2943" t="s">
        <v>59530</v>
      </c>
      <c r="N2943" t="s">
        <v>59531</v>
      </c>
      <c r="O2943" t="s">
        <v>59532</v>
      </c>
      <c r="P2943">
        <f>-1054.64855172929 -19.8597858047751 -210.378968845101</f>
        <v>-1284.8873063791661</v>
      </c>
      <c r="Q2943" t="s">
        <v>59533</v>
      </c>
      <c r="R2943" t="s">
        <v>59534</v>
      </c>
      <c r="S2943" t="s">
        <v>59535</v>
      </c>
      <c r="T2943" t="s">
        <v>59536</v>
      </c>
      <c r="U2943" t="s">
        <v>59537</v>
      </c>
      <c r="V2943" t="s">
        <v>59538</v>
      </c>
      <c r="W2943" t="s">
        <v>59539</v>
      </c>
      <c r="X2943" t="s">
        <v>59540</v>
      </c>
      <c r="Y2943" t="s">
        <v>59541</v>
      </c>
    </row>
    <row r="2944" spans="1:25" x14ac:dyDescent="0.3">
      <c r="A2944">
        <v>147150</v>
      </c>
      <c r="B2944" t="s">
        <v>59542</v>
      </c>
      <c r="C2944" t="s">
        <v>59543</v>
      </c>
      <c r="D2944" t="s">
        <v>59544</v>
      </c>
      <c r="E2944" t="s">
        <v>59545</v>
      </c>
      <c r="F2944" t="s">
        <v>59546</v>
      </c>
      <c r="G2944" t="s">
        <v>59547</v>
      </c>
      <c r="H2944" t="s">
        <v>59548</v>
      </c>
      <c r="I2944" t="s">
        <v>59549</v>
      </c>
      <c r="J2944" t="s">
        <v>59550</v>
      </c>
      <c r="K2944" t="s">
        <v>59551</v>
      </c>
      <c r="L2944" t="s">
        <v>59552</v>
      </c>
      <c r="M2944" t="s">
        <v>59553</v>
      </c>
      <c r="N2944" t="s">
        <v>59554</v>
      </c>
      <c r="O2944" t="s">
        <v>59555</v>
      </c>
      <c r="P2944">
        <f>-1056.35301687467 -18.373303624312 -210.553998938569</f>
        <v>-1285.280319437551</v>
      </c>
      <c r="Q2944" t="s">
        <v>59556</v>
      </c>
      <c r="R2944" t="s">
        <v>59557</v>
      </c>
      <c r="S2944" t="s">
        <v>59558</v>
      </c>
      <c r="T2944" t="s">
        <v>59559</v>
      </c>
      <c r="U2944" t="s">
        <v>59560</v>
      </c>
      <c r="V2944" t="s">
        <v>59561</v>
      </c>
      <c r="W2944" t="s">
        <v>59562</v>
      </c>
      <c r="X2944" t="s">
        <v>59563</v>
      </c>
      <c r="Y2944" t="s">
        <v>59564</v>
      </c>
    </row>
    <row r="2945" spans="1:25" x14ac:dyDescent="0.3">
      <c r="A2945">
        <v>147200</v>
      </c>
      <c r="B2945" t="s">
        <v>59565</v>
      </c>
      <c r="C2945" t="s">
        <v>59566</v>
      </c>
      <c r="D2945" t="s">
        <v>59567</v>
      </c>
      <c r="E2945" t="s">
        <v>59568</v>
      </c>
      <c r="F2945" t="s">
        <v>59569</v>
      </c>
      <c r="G2945" t="s">
        <v>59570</v>
      </c>
      <c r="H2945" t="s">
        <v>59571</v>
      </c>
      <c r="I2945" t="s">
        <v>59572</v>
      </c>
      <c r="J2945" t="s">
        <v>59573</v>
      </c>
      <c r="K2945" t="s">
        <v>59574</v>
      </c>
      <c r="L2945" t="s">
        <v>59575</v>
      </c>
      <c r="M2945" t="s">
        <v>59576</v>
      </c>
      <c r="N2945" t="s">
        <v>59577</v>
      </c>
      <c r="O2945" t="s">
        <v>59578</v>
      </c>
      <c r="P2945">
        <f>-1058.1529915028 -16.1766852705096 -210.732886647249</f>
        <v>-1285.0625634205585</v>
      </c>
      <c r="Q2945" t="s">
        <v>59579</v>
      </c>
      <c r="R2945" t="s">
        <v>59580</v>
      </c>
      <c r="S2945" t="s">
        <v>59581</v>
      </c>
      <c r="T2945" t="s">
        <v>59582</v>
      </c>
      <c r="U2945" t="s">
        <v>59583</v>
      </c>
      <c r="V2945" t="s">
        <v>59584</v>
      </c>
      <c r="W2945" t="s">
        <v>59585</v>
      </c>
      <c r="X2945" t="s">
        <v>59586</v>
      </c>
      <c r="Y2945" t="s">
        <v>59587</v>
      </c>
    </row>
    <row r="2946" spans="1:25" x14ac:dyDescent="0.3">
      <c r="A2946">
        <v>147250</v>
      </c>
      <c r="B2946" t="s">
        <v>59588</v>
      </c>
      <c r="C2946" t="s">
        <v>59589</v>
      </c>
      <c r="D2946" t="s">
        <v>59590</v>
      </c>
      <c r="E2946" t="s">
        <v>59591</v>
      </c>
      <c r="F2946" t="s">
        <v>59592</v>
      </c>
      <c r="G2946" t="s">
        <v>59593</v>
      </c>
      <c r="H2946" t="s">
        <v>59594</v>
      </c>
      <c r="I2946" t="s">
        <v>59595</v>
      </c>
      <c r="J2946" t="s">
        <v>59596</v>
      </c>
      <c r="K2946" t="s">
        <v>59597</v>
      </c>
      <c r="L2946" t="s">
        <v>59598</v>
      </c>
      <c r="M2946" t="s">
        <v>59599</v>
      </c>
      <c r="N2946" t="s">
        <v>59600</v>
      </c>
      <c r="O2946" t="s">
        <v>59601</v>
      </c>
      <c r="P2946">
        <f>-1058.27486449164 -15.914400416415 -210.793311467381</f>
        <v>-1284.9825763754361</v>
      </c>
      <c r="Q2946" t="s">
        <v>59602</v>
      </c>
      <c r="R2946" t="s">
        <v>59603</v>
      </c>
      <c r="S2946" t="s">
        <v>59604</v>
      </c>
      <c r="T2946" t="s">
        <v>59605</v>
      </c>
      <c r="U2946" t="s">
        <v>59606</v>
      </c>
      <c r="V2946" t="s">
        <v>59607</v>
      </c>
      <c r="W2946" t="s">
        <v>59608</v>
      </c>
      <c r="X2946" t="s">
        <v>59609</v>
      </c>
      <c r="Y2946" t="s">
        <v>59610</v>
      </c>
    </row>
    <row r="2947" spans="1:25" x14ac:dyDescent="0.3">
      <c r="A2947">
        <v>147300</v>
      </c>
      <c r="B2947" t="s">
        <v>59611</v>
      </c>
      <c r="C2947" t="s">
        <v>59612</v>
      </c>
      <c r="D2947" t="s">
        <v>59613</v>
      </c>
      <c r="E2947" t="s">
        <v>59614</v>
      </c>
      <c r="F2947" t="s">
        <v>59615</v>
      </c>
      <c r="G2947" t="s">
        <v>59616</v>
      </c>
      <c r="H2947" t="s">
        <v>59617</v>
      </c>
      <c r="I2947" t="s">
        <v>59618</v>
      </c>
      <c r="J2947" t="s">
        <v>59619</v>
      </c>
      <c r="K2947" t="s">
        <v>59620</v>
      </c>
      <c r="L2947" t="s">
        <v>59621</v>
      </c>
      <c r="M2947" t="s">
        <v>59622</v>
      </c>
      <c r="N2947" t="s">
        <v>59623</v>
      </c>
      <c r="O2947" t="s">
        <v>59624</v>
      </c>
      <c r="P2947">
        <f>-1056.7660663421 -15.2425048393152 -209.982119813938</f>
        <v>-1281.9906909953531</v>
      </c>
      <c r="Q2947" t="s">
        <v>59625</v>
      </c>
      <c r="R2947" t="s">
        <v>59626</v>
      </c>
      <c r="S2947" t="s">
        <v>59627</v>
      </c>
      <c r="T2947" t="s">
        <v>59628</v>
      </c>
      <c r="U2947" t="s">
        <v>59629</v>
      </c>
      <c r="V2947" t="s">
        <v>59630</v>
      </c>
      <c r="W2947" t="s">
        <v>59631</v>
      </c>
      <c r="X2947" t="s">
        <v>59632</v>
      </c>
      <c r="Y2947" t="s">
        <v>59633</v>
      </c>
    </row>
    <row r="2948" spans="1:25" x14ac:dyDescent="0.3">
      <c r="A2948">
        <v>147350</v>
      </c>
      <c r="B2948" t="s">
        <v>59634</v>
      </c>
      <c r="C2948" t="s">
        <v>59635</v>
      </c>
      <c r="D2948" t="s">
        <v>59636</v>
      </c>
      <c r="E2948" t="s">
        <v>59637</v>
      </c>
      <c r="F2948" t="s">
        <v>59638</v>
      </c>
      <c r="G2948" t="s">
        <v>59639</v>
      </c>
      <c r="H2948" t="s">
        <v>59640</v>
      </c>
      <c r="I2948" t="s">
        <v>59641</v>
      </c>
      <c r="J2948" t="s">
        <v>59642</v>
      </c>
      <c r="K2948" t="s">
        <v>59643</v>
      </c>
      <c r="L2948" t="s">
        <v>59644</v>
      </c>
      <c r="M2948" t="s">
        <v>59645</v>
      </c>
      <c r="N2948" t="s">
        <v>59646</v>
      </c>
      <c r="O2948" t="s">
        <v>59647</v>
      </c>
      <c r="P2948">
        <f>-1055.77403174472 -15.3192562426029 -209.201428132928</f>
        <v>-1280.294716120251</v>
      </c>
      <c r="Q2948" t="s">
        <v>59648</v>
      </c>
      <c r="R2948" t="s">
        <v>59649</v>
      </c>
      <c r="S2948" t="s">
        <v>59650</v>
      </c>
      <c r="T2948" t="s">
        <v>59651</v>
      </c>
      <c r="U2948" t="s">
        <v>59652</v>
      </c>
      <c r="V2948" t="s">
        <v>59653</v>
      </c>
      <c r="W2948" t="s">
        <v>59654</v>
      </c>
      <c r="X2948" t="s">
        <v>59655</v>
      </c>
      <c r="Y2948" t="s">
        <v>59656</v>
      </c>
    </row>
    <row r="2949" spans="1:25" x14ac:dyDescent="0.3">
      <c r="A2949">
        <v>147400</v>
      </c>
      <c r="B2949" t="s">
        <v>59657</v>
      </c>
      <c r="C2949" t="s">
        <v>59658</v>
      </c>
      <c r="D2949" t="s">
        <v>59659</v>
      </c>
      <c r="E2949" t="s">
        <v>59660</v>
      </c>
      <c r="F2949" t="s">
        <v>59661</v>
      </c>
      <c r="G2949" t="s">
        <v>59662</v>
      </c>
      <c r="H2949" t="s">
        <v>59663</v>
      </c>
      <c r="I2949" t="s">
        <v>59664</v>
      </c>
      <c r="J2949" t="s">
        <v>59665</v>
      </c>
      <c r="K2949" t="s">
        <v>59666</v>
      </c>
      <c r="L2949" t="s">
        <v>59667</v>
      </c>
      <c r="M2949" t="s">
        <v>59668</v>
      </c>
      <c r="N2949" t="s">
        <v>59669</v>
      </c>
      <c r="O2949" t="s">
        <v>59670</v>
      </c>
      <c r="P2949">
        <f>-1053.34742338524 -13.7955000856023 -207.311583123236</f>
        <v>-1274.4545065940783</v>
      </c>
      <c r="Q2949" t="s">
        <v>59671</v>
      </c>
      <c r="R2949" t="s">
        <v>59672</v>
      </c>
      <c r="S2949" t="s">
        <v>59673</v>
      </c>
      <c r="T2949" t="s">
        <v>59674</v>
      </c>
      <c r="U2949" t="s">
        <v>59675</v>
      </c>
      <c r="V2949" t="s">
        <v>59676</v>
      </c>
      <c r="W2949" t="s">
        <v>59677</v>
      </c>
      <c r="X2949" t="s">
        <v>59678</v>
      </c>
      <c r="Y2949" t="s">
        <v>59679</v>
      </c>
    </row>
    <row r="2950" spans="1:25" x14ac:dyDescent="0.3">
      <c r="A2950">
        <v>147450</v>
      </c>
      <c r="B2950" t="s">
        <v>59680</v>
      </c>
      <c r="C2950" t="s">
        <v>59681</v>
      </c>
      <c r="D2950" t="s">
        <v>59682</v>
      </c>
      <c r="E2950" t="s">
        <v>59683</v>
      </c>
      <c r="F2950" t="s">
        <v>59684</v>
      </c>
      <c r="G2950" t="s">
        <v>59685</v>
      </c>
      <c r="H2950" t="s">
        <v>59686</v>
      </c>
      <c r="I2950" t="s">
        <v>59687</v>
      </c>
      <c r="J2950" t="s">
        <v>59688</v>
      </c>
      <c r="K2950" t="s">
        <v>59689</v>
      </c>
      <c r="L2950" t="s">
        <v>59690</v>
      </c>
      <c r="M2950" t="s">
        <v>59691</v>
      </c>
      <c r="N2950" t="s">
        <v>59692</v>
      </c>
      <c r="O2950" t="s">
        <v>59693</v>
      </c>
      <c r="P2950">
        <f>-1052.21891680816 -12.2099131651476 -206.479962700673</f>
        <v>-1270.9087926739805</v>
      </c>
      <c r="Q2950" t="s">
        <v>59694</v>
      </c>
      <c r="R2950" t="s">
        <v>59695</v>
      </c>
      <c r="S2950" t="s">
        <v>59696</v>
      </c>
      <c r="T2950" t="s">
        <v>59697</v>
      </c>
      <c r="U2950" t="s">
        <v>59698</v>
      </c>
      <c r="V2950" t="s">
        <v>59699</v>
      </c>
      <c r="W2950" t="s">
        <v>59700</v>
      </c>
      <c r="X2950" t="s">
        <v>59701</v>
      </c>
      <c r="Y2950" t="s">
        <v>59702</v>
      </c>
    </row>
    <row r="2951" spans="1:25" x14ac:dyDescent="0.3">
      <c r="A2951">
        <v>147500</v>
      </c>
      <c r="B2951" t="s">
        <v>59703</v>
      </c>
      <c r="C2951" t="s">
        <v>59704</v>
      </c>
      <c r="D2951" t="s">
        <v>59705</v>
      </c>
      <c r="E2951" t="s">
        <v>59706</v>
      </c>
      <c r="F2951" t="s">
        <v>59707</v>
      </c>
      <c r="G2951" t="s">
        <v>59708</v>
      </c>
      <c r="H2951" t="s">
        <v>59709</v>
      </c>
      <c r="I2951" t="s">
        <v>59710</v>
      </c>
      <c r="J2951" t="s">
        <v>59711</v>
      </c>
      <c r="K2951" t="s">
        <v>59712</v>
      </c>
      <c r="L2951" t="s">
        <v>59713</v>
      </c>
      <c r="M2951" t="s">
        <v>59714</v>
      </c>
      <c r="N2951" t="s">
        <v>59715</v>
      </c>
      <c r="O2951" t="s">
        <v>59716</v>
      </c>
      <c r="P2951">
        <f>-1050.9891564507 -9.02531211056066 -205.097115363241</f>
        <v>-1265.1115839245017</v>
      </c>
      <c r="Q2951" t="s">
        <v>59717</v>
      </c>
      <c r="R2951" t="s">
        <v>59718</v>
      </c>
      <c r="S2951" t="s">
        <v>59719</v>
      </c>
      <c r="T2951" t="s">
        <v>59720</v>
      </c>
      <c r="U2951" t="s">
        <v>59721</v>
      </c>
      <c r="V2951" t="s">
        <v>59722</v>
      </c>
      <c r="W2951" t="s">
        <v>59723</v>
      </c>
      <c r="X2951" t="s">
        <v>59724</v>
      </c>
      <c r="Y2951" t="s">
        <v>59725</v>
      </c>
    </row>
    <row r="2952" spans="1:25" x14ac:dyDescent="0.3">
      <c r="A2952">
        <v>147550</v>
      </c>
      <c r="B2952" t="s">
        <v>59726</v>
      </c>
      <c r="C2952" t="s">
        <v>59727</v>
      </c>
      <c r="D2952" t="s">
        <v>59728</v>
      </c>
      <c r="E2952" t="s">
        <v>59729</v>
      </c>
      <c r="F2952" t="s">
        <v>59730</v>
      </c>
      <c r="G2952" t="s">
        <v>59731</v>
      </c>
      <c r="H2952" t="s">
        <v>59732</v>
      </c>
      <c r="I2952" t="s">
        <v>59733</v>
      </c>
      <c r="J2952" t="s">
        <v>59734</v>
      </c>
      <c r="K2952" t="s">
        <v>59735</v>
      </c>
      <c r="L2952" t="s">
        <v>59736</v>
      </c>
      <c r="M2952" t="s">
        <v>59737</v>
      </c>
      <c r="N2952" t="s">
        <v>59738</v>
      </c>
      <c r="O2952" t="s">
        <v>59739</v>
      </c>
      <c r="P2952">
        <f>-1050.53675110802 -7.59329938919836 -204.551149333333</f>
        <v>-1262.6811998305516</v>
      </c>
      <c r="Q2952" t="s">
        <v>59740</v>
      </c>
      <c r="R2952" t="s">
        <v>59741</v>
      </c>
      <c r="S2952" t="s">
        <v>59742</v>
      </c>
      <c r="T2952" t="s">
        <v>59743</v>
      </c>
      <c r="U2952" t="s">
        <v>59744</v>
      </c>
      <c r="V2952" t="s">
        <v>59745</v>
      </c>
      <c r="W2952" t="s">
        <v>59746</v>
      </c>
      <c r="X2952" t="s">
        <v>59747</v>
      </c>
      <c r="Y2952" t="s">
        <v>59748</v>
      </c>
    </row>
    <row r="2953" spans="1:25" x14ac:dyDescent="0.3">
      <c r="A2953">
        <v>147600</v>
      </c>
      <c r="B2953" t="s">
        <v>59749</v>
      </c>
      <c r="C2953" t="s">
        <v>59750</v>
      </c>
      <c r="D2953" t="s">
        <v>59751</v>
      </c>
      <c r="E2953" t="s">
        <v>59752</v>
      </c>
      <c r="F2953" t="s">
        <v>59753</v>
      </c>
      <c r="G2953" t="s">
        <v>59754</v>
      </c>
      <c r="H2953" t="s">
        <v>59755</v>
      </c>
      <c r="I2953" t="s">
        <v>59756</v>
      </c>
      <c r="J2953" t="s">
        <v>59757</v>
      </c>
      <c r="K2953" t="s">
        <v>59758</v>
      </c>
      <c r="L2953" t="s">
        <v>59759</v>
      </c>
      <c r="M2953" t="s">
        <v>59760</v>
      </c>
      <c r="N2953" t="s">
        <v>59761</v>
      </c>
      <c r="O2953" t="s">
        <v>59762</v>
      </c>
      <c r="P2953">
        <f>-1049.72718277776 -4.99772445525423 -203.368207511542</f>
        <v>-1258.0931147445563</v>
      </c>
      <c r="Q2953" t="s">
        <v>59763</v>
      </c>
      <c r="R2953" t="s">
        <v>59764</v>
      </c>
      <c r="S2953" t="s">
        <v>59765</v>
      </c>
      <c r="T2953" t="s">
        <v>59766</v>
      </c>
      <c r="U2953" t="s">
        <v>59767</v>
      </c>
      <c r="V2953" t="s">
        <v>59768</v>
      </c>
      <c r="W2953" t="s">
        <v>59769</v>
      </c>
      <c r="X2953" t="s">
        <v>59770</v>
      </c>
      <c r="Y2953" t="s">
        <v>59771</v>
      </c>
    </row>
    <row r="2954" spans="1:25" x14ac:dyDescent="0.3">
      <c r="A2954">
        <v>147650</v>
      </c>
      <c r="B2954" t="s">
        <v>59772</v>
      </c>
      <c r="C2954" t="s">
        <v>59773</v>
      </c>
      <c r="D2954" t="s">
        <v>59774</v>
      </c>
      <c r="E2954" t="s">
        <v>59775</v>
      </c>
      <c r="F2954" t="s">
        <v>59776</v>
      </c>
      <c r="G2954" t="s">
        <v>59777</v>
      </c>
      <c r="H2954" t="s">
        <v>59778</v>
      </c>
      <c r="I2954" t="s">
        <v>59779</v>
      </c>
      <c r="J2954" t="s">
        <v>59780</v>
      </c>
      <c r="K2954" t="s">
        <v>59781</v>
      </c>
      <c r="L2954" t="s">
        <v>59782</v>
      </c>
      <c r="M2954" t="s">
        <v>59783</v>
      </c>
      <c r="N2954" t="s">
        <v>59784</v>
      </c>
      <c r="O2954" t="s">
        <v>59785</v>
      </c>
      <c r="P2954">
        <f>-1049.35710005482 -3.40384033238752 -202.611576614686</f>
        <v>-1255.3725170018934</v>
      </c>
      <c r="Q2954" t="s">
        <v>59786</v>
      </c>
      <c r="R2954" t="s">
        <v>59787</v>
      </c>
      <c r="S2954" t="s">
        <v>59788</v>
      </c>
      <c r="T2954" t="s">
        <v>59789</v>
      </c>
      <c r="U2954" t="s">
        <v>59790</v>
      </c>
      <c r="V2954" t="s">
        <v>59791</v>
      </c>
      <c r="W2954" t="s">
        <v>59792</v>
      </c>
      <c r="X2954" t="s">
        <v>59793</v>
      </c>
      <c r="Y2954" t="s">
        <v>59794</v>
      </c>
    </row>
    <row r="2955" spans="1:25" x14ac:dyDescent="0.3">
      <c r="A2955">
        <v>147700</v>
      </c>
      <c r="B2955" t="s">
        <v>59795</v>
      </c>
      <c r="C2955" t="s">
        <v>59796</v>
      </c>
      <c r="D2955" t="s">
        <v>59797</v>
      </c>
      <c r="E2955" t="s">
        <v>59798</v>
      </c>
      <c r="F2955" t="s">
        <v>59799</v>
      </c>
      <c r="G2955" t="s">
        <v>59800</v>
      </c>
      <c r="H2955" t="s">
        <v>59801</v>
      </c>
      <c r="I2955" t="s">
        <v>59802</v>
      </c>
      <c r="J2955" t="s">
        <v>59803</v>
      </c>
      <c r="K2955" t="s">
        <v>59804</v>
      </c>
      <c r="L2955" t="s">
        <v>59805</v>
      </c>
      <c r="M2955" t="s">
        <v>59806</v>
      </c>
      <c r="N2955" t="s">
        <v>59807</v>
      </c>
      <c r="O2955" t="s">
        <v>59808</v>
      </c>
      <c r="P2955" t="s">
        <v>59809</v>
      </c>
      <c r="Q2955" t="s">
        <v>59810</v>
      </c>
      <c r="R2955" t="s">
        <v>59811</v>
      </c>
      <c r="S2955" t="s">
        <v>59812</v>
      </c>
      <c r="T2955" t="s">
        <v>59813</v>
      </c>
      <c r="U2955" t="s">
        <v>59814</v>
      </c>
      <c r="V2955" t="s">
        <v>59815</v>
      </c>
      <c r="W2955" t="s">
        <v>59816</v>
      </c>
      <c r="X2955" t="s">
        <v>59817</v>
      </c>
      <c r="Y2955" t="s">
        <v>59818</v>
      </c>
    </row>
    <row r="2956" spans="1:25" x14ac:dyDescent="0.3">
      <c r="A2956">
        <v>147750</v>
      </c>
      <c r="B2956" t="s">
        <v>59819</v>
      </c>
      <c r="C2956" t="s">
        <v>59820</v>
      </c>
      <c r="D2956" t="s">
        <v>59821</v>
      </c>
      <c r="E2956" t="s">
        <v>59822</v>
      </c>
      <c r="F2956" t="s">
        <v>59823</v>
      </c>
      <c r="G2956" t="s">
        <v>59824</v>
      </c>
      <c r="H2956" t="s">
        <v>59825</v>
      </c>
      <c r="I2956" t="s">
        <v>59826</v>
      </c>
      <c r="J2956" t="s">
        <v>59827</v>
      </c>
      <c r="K2956" t="s">
        <v>59828</v>
      </c>
      <c r="L2956" t="s">
        <v>59829</v>
      </c>
      <c r="M2956" t="s">
        <v>59830</v>
      </c>
      <c r="N2956" t="s">
        <v>59831</v>
      </c>
      <c r="O2956" t="s">
        <v>59832</v>
      </c>
      <c r="P2956" t="s">
        <v>59833</v>
      </c>
      <c r="Q2956" t="s">
        <v>59834</v>
      </c>
      <c r="R2956" t="s">
        <v>59835</v>
      </c>
      <c r="S2956" t="s">
        <v>59836</v>
      </c>
      <c r="T2956" t="s">
        <v>59837</v>
      </c>
      <c r="U2956" t="s">
        <v>59838</v>
      </c>
      <c r="V2956" t="s">
        <v>59839</v>
      </c>
      <c r="W2956" t="s">
        <v>59840</v>
      </c>
      <c r="X2956" t="s">
        <v>59841</v>
      </c>
      <c r="Y2956" t="s">
        <v>59842</v>
      </c>
    </row>
    <row r="2957" spans="1:25" x14ac:dyDescent="0.3">
      <c r="A2957">
        <v>147800</v>
      </c>
      <c r="B2957" t="s">
        <v>59843</v>
      </c>
      <c r="C2957" t="s">
        <v>59844</v>
      </c>
      <c r="D2957" t="s">
        <v>59845</v>
      </c>
      <c r="E2957" t="s">
        <v>59846</v>
      </c>
      <c r="F2957" t="s">
        <v>59847</v>
      </c>
      <c r="G2957" t="s">
        <v>59848</v>
      </c>
      <c r="H2957" t="s">
        <v>59849</v>
      </c>
      <c r="I2957" t="s">
        <v>59850</v>
      </c>
      <c r="J2957" t="s">
        <v>59851</v>
      </c>
      <c r="K2957" t="s">
        <v>59852</v>
      </c>
      <c r="L2957" t="s">
        <v>59853</v>
      </c>
      <c r="M2957" t="s">
        <v>59854</v>
      </c>
      <c r="N2957" t="s">
        <v>59855</v>
      </c>
      <c r="O2957" t="s">
        <v>59856</v>
      </c>
      <c r="P2957" t="s">
        <v>59857</v>
      </c>
      <c r="Q2957" t="s">
        <v>59858</v>
      </c>
      <c r="R2957" t="s">
        <v>59859</v>
      </c>
      <c r="S2957" t="s">
        <v>59860</v>
      </c>
      <c r="T2957" t="s">
        <v>59861</v>
      </c>
      <c r="U2957" t="s">
        <v>59862</v>
      </c>
      <c r="V2957" t="s">
        <v>59863</v>
      </c>
      <c r="W2957" t="s">
        <v>59864</v>
      </c>
      <c r="X2957" t="s">
        <v>59865</v>
      </c>
      <c r="Y2957" t="s">
        <v>59866</v>
      </c>
    </row>
    <row r="2958" spans="1:25" x14ac:dyDescent="0.3">
      <c r="A2958">
        <v>147850</v>
      </c>
      <c r="B2958" t="s">
        <v>59867</v>
      </c>
      <c r="C2958" t="s">
        <v>59868</v>
      </c>
      <c r="D2958" t="s">
        <v>59869</v>
      </c>
      <c r="E2958" t="s">
        <v>59870</v>
      </c>
      <c r="F2958" t="s">
        <v>59871</v>
      </c>
      <c r="G2958" t="s">
        <v>59872</v>
      </c>
      <c r="H2958" t="s">
        <v>59873</v>
      </c>
      <c r="I2958" t="s">
        <v>59874</v>
      </c>
      <c r="J2958" t="s">
        <v>59875</v>
      </c>
      <c r="K2958" t="s">
        <v>59876</v>
      </c>
      <c r="L2958" t="s">
        <v>59877</v>
      </c>
      <c r="M2958" t="s">
        <v>59878</v>
      </c>
      <c r="N2958" t="s">
        <v>59879</v>
      </c>
      <c r="O2958" t="s">
        <v>59880</v>
      </c>
      <c r="P2958" t="s">
        <v>59881</v>
      </c>
      <c r="Q2958" t="s">
        <v>59882</v>
      </c>
      <c r="R2958" t="s">
        <v>59883</v>
      </c>
      <c r="S2958" t="s">
        <v>59884</v>
      </c>
      <c r="T2958" t="s">
        <v>59885</v>
      </c>
      <c r="U2958" t="s">
        <v>59886</v>
      </c>
      <c r="V2958" t="s">
        <v>59887</v>
      </c>
      <c r="W2958" t="s">
        <v>59888</v>
      </c>
      <c r="X2958" t="s">
        <v>59889</v>
      </c>
      <c r="Y2958" t="s">
        <v>59890</v>
      </c>
    </row>
    <row r="2959" spans="1:25" x14ac:dyDescent="0.3">
      <c r="A2959">
        <v>147900</v>
      </c>
      <c r="B2959" t="s">
        <v>59891</v>
      </c>
      <c r="C2959" t="s">
        <v>59892</v>
      </c>
      <c r="D2959" t="s">
        <v>59893</v>
      </c>
      <c r="E2959" t="s">
        <v>59894</v>
      </c>
      <c r="F2959" t="s">
        <v>59895</v>
      </c>
      <c r="G2959" t="s">
        <v>59896</v>
      </c>
      <c r="H2959" t="s">
        <v>59897</v>
      </c>
      <c r="I2959" t="s">
        <v>59898</v>
      </c>
      <c r="J2959" t="s">
        <v>59899</v>
      </c>
      <c r="K2959" t="s">
        <v>59900</v>
      </c>
      <c r="L2959" t="s">
        <v>59901</v>
      </c>
      <c r="M2959" t="s">
        <v>59902</v>
      </c>
      <c r="N2959" t="s">
        <v>59903</v>
      </c>
      <c r="O2959" t="s">
        <v>59904</v>
      </c>
      <c r="P2959" t="s">
        <v>59905</v>
      </c>
      <c r="Q2959" t="s">
        <v>59906</v>
      </c>
      <c r="R2959" t="s">
        <v>59907</v>
      </c>
      <c r="S2959" t="s">
        <v>59908</v>
      </c>
      <c r="T2959" t="s">
        <v>59909</v>
      </c>
      <c r="U2959" t="s">
        <v>59910</v>
      </c>
      <c r="V2959" t="s">
        <v>59911</v>
      </c>
      <c r="W2959" t="s">
        <v>59912</v>
      </c>
      <c r="X2959" t="s">
        <v>59913</v>
      </c>
      <c r="Y2959" t="s">
        <v>59914</v>
      </c>
    </row>
    <row r="2960" spans="1:25" x14ac:dyDescent="0.3">
      <c r="A2960">
        <v>147950</v>
      </c>
      <c r="B2960" t="s">
        <v>59891</v>
      </c>
      <c r="C2960" t="s">
        <v>59892</v>
      </c>
      <c r="D2960" t="s">
        <v>59893</v>
      </c>
      <c r="E2960" t="s">
        <v>59894</v>
      </c>
      <c r="F2960" t="s">
        <v>59895</v>
      </c>
      <c r="G2960" t="s">
        <v>59896</v>
      </c>
      <c r="H2960" t="s">
        <v>59897</v>
      </c>
      <c r="I2960" t="s">
        <v>59898</v>
      </c>
      <c r="J2960" t="s">
        <v>59899</v>
      </c>
      <c r="K2960" t="s">
        <v>59900</v>
      </c>
      <c r="L2960" t="s">
        <v>59901</v>
      </c>
      <c r="M2960" t="s">
        <v>59902</v>
      </c>
      <c r="N2960" t="s">
        <v>59903</v>
      </c>
      <c r="O2960" t="s">
        <v>59904</v>
      </c>
      <c r="P2960" t="s">
        <v>59905</v>
      </c>
      <c r="Q2960" t="s">
        <v>59906</v>
      </c>
      <c r="R2960" t="s">
        <v>59907</v>
      </c>
      <c r="S2960" t="s">
        <v>59908</v>
      </c>
      <c r="T2960" t="s">
        <v>59909</v>
      </c>
      <c r="U2960" t="s">
        <v>59910</v>
      </c>
      <c r="V2960" t="s">
        <v>59911</v>
      </c>
      <c r="W2960" t="s">
        <v>59912</v>
      </c>
      <c r="X2960" t="s">
        <v>59913</v>
      </c>
      <c r="Y2960" t="s">
        <v>59914</v>
      </c>
    </row>
    <row r="2961" spans="1:25" x14ac:dyDescent="0.3">
      <c r="A2961">
        <v>148000</v>
      </c>
      <c r="B2961" t="s">
        <v>59915</v>
      </c>
      <c r="C2961" t="s">
        <v>59916</v>
      </c>
      <c r="D2961" t="s">
        <v>59917</v>
      </c>
      <c r="E2961" t="s">
        <v>59918</v>
      </c>
      <c r="F2961" t="s">
        <v>59919</v>
      </c>
      <c r="G2961" t="s">
        <v>59920</v>
      </c>
      <c r="H2961" t="s">
        <v>59921</v>
      </c>
      <c r="I2961" t="s">
        <v>59922</v>
      </c>
      <c r="J2961" t="s">
        <v>59923</v>
      </c>
      <c r="K2961" t="s">
        <v>59924</v>
      </c>
      <c r="L2961" t="s">
        <v>59925</v>
      </c>
      <c r="M2961" t="s">
        <v>59926</v>
      </c>
      <c r="N2961" t="s">
        <v>59927</v>
      </c>
      <c r="O2961" t="s">
        <v>59928</v>
      </c>
      <c r="P2961" t="s">
        <v>59929</v>
      </c>
      <c r="Q2961" t="s">
        <v>59930</v>
      </c>
      <c r="R2961" t="s">
        <v>59931</v>
      </c>
      <c r="S2961" t="s">
        <v>59932</v>
      </c>
      <c r="T2961" t="s">
        <v>59933</v>
      </c>
      <c r="U2961" t="s">
        <v>59934</v>
      </c>
      <c r="V2961" t="s">
        <v>59935</v>
      </c>
      <c r="W2961" t="s">
        <v>59936</v>
      </c>
      <c r="X2961" t="s">
        <v>59937</v>
      </c>
      <c r="Y2961" t="s">
        <v>59938</v>
      </c>
    </row>
    <row r="2962" spans="1:25" x14ac:dyDescent="0.3">
      <c r="A2962">
        <v>148050</v>
      </c>
      <c r="B2962" t="s">
        <v>59939</v>
      </c>
      <c r="C2962" t="s">
        <v>59940</v>
      </c>
      <c r="D2962" t="s">
        <v>59941</v>
      </c>
      <c r="E2962" t="s">
        <v>59942</v>
      </c>
      <c r="F2962" t="s">
        <v>59943</v>
      </c>
      <c r="G2962" t="s">
        <v>59944</v>
      </c>
      <c r="H2962" t="s">
        <v>59945</v>
      </c>
      <c r="I2962" t="s">
        <v>59946</v>
      </c>
      <c r="J2962" t="s">
        <v>59947</v>
      </c>
      <c r="K2962" t="s">
        <v>59948</v>
      </c>
      <c r="L2962" t="s">
        <v>59949</v>
      </c>
      <c r="M2962" t="s">
        <v>59950</v>
      </c>
      <c r="N2962" t="s">
        <v>59951</v>
      </c>
      <c r="O2962" t="s">
        <v>59952</v>
      </c>
      <c r="P2962" t="s">
        <v>59953</v>
      </c>
      <c r="Q2962" t="s">
        <v>59954</v>
      </c>
      <c r="R2962" t="s">
        <v>59955</v>
      </c>
      <c r="S2962" t="s">
        <v>59956</v>
      </c>
      <c r="T2962" t="s">
        <v>59957</v>
      </c>
      <c r="U2962" t="s">
        <v>59958</v>
      </c>
      <c r="V2962" t="s">
        <v>59959</v>
      </c>
      <c r="W2962" t="s">
        <v>59960</v>
      </c>
      <c r="X2962" t="s">
        <v>59961</v>
      </c>
      <c r="Y2962" t="s">
        <v>59962</v>
      </c>
    </row>
    <row r="2963" spans="1:25" x14ac:dyDescent="0.3">
      <c r="A2963">
        <v>148100</v>
      </c>
      <c r="B2963" t="s">
        <v>59963</v>
      </c>
      <c r="C2963" t="s">
        <v>59964</v>
      </c>
      <c r="D2963" t="s">
        <v>59965</v>
      </c>
      <c r="E2963" t="s">
        <v>59966</v>
      </c>
      <c r="F2963" t="s">
        <v>59967</v>
      </c>
      <c r="G2963" t="s">
        <v>59968</v>
      </c>
      <c r="H2963" t="s">
        <v>59969</v>
      </c>
      <c r="I2963" t="s">
        <v>59970</v>
      </c>
      <c r="J2963" t="s">
        <v>59971</v>
      </c>
      <c r="K2963" t="s">
        <v>59972</v>
      </c>
      <c r="L2963" t="s">
        <v>59973</v>
      </c>
      <c r="M2963" t="s">
        <v>59974</v>
      </c>
      <c r="N2963" t="s">
        <v>59975</v>
      </c>
      <c r="O2963" t="s">
        <v>59976</v>
      </c>
      <c r="P2963" t="s">
        <v>59977</v>
      </c>
      <c r="Q2963" t="s">
        <v>59978</v>
      </c>
      <c r="R2963" t="s">
        <v>59979</v>
      </c>
      <c r="S2963" t="s">
        <v>59980</v>
      </c>
      <c r="T2963" t="s">
        <v>59981</v>
      </c>
      <c r="U2963" t="s">
        <v>59982</v>
      </c>
      <c r="V2963" t="s">
        <v>59983</v>
      </c>
      <c r="W2963" t="s">
        <v>59984</v>
      </c>
      <c r="X2963" t="s">
        <v>59985</v>
      </c>
      <c r="Y2963" t="s">
        <v>59986</v>
      </c>
    </row>
    <row r="2964" spans="1:25" x14ac:dyDescent="0.3">
      <c r="A2964">
        <v>148150</v>
      </c>
      <c r="B2964" t="s">
        <v>59987</v>
      </c>
      <c r="C2964" t="s">
        <v>59988</v>
      </c>
      <c r="D2964" t="s">
        <v>59989</v>
      </c>
      <c r="E2964" t="s">
        <v>59990</v>
      </c>
      <c r="F2964" t="s">
        <v>59991</v>
      </c>
      <c r="G2964" t="s">
        <v>59992</v>
      </c>
      <c r="H2964" t="s">
        <v>59993</v>
      </c>
      <c r="I2964" t="s">
        <v>59994</v>
      </c>
      <c r="J2964" t="s">
        <v>59995</v>
      </c>
      <c r="K2964" t="s">
        <v>59996</v>
      </c>
      <c r="L2964" t="s">
        <v>59997</v>
      </c>
      <c r="M2964" t="s">
        <v>59998</v>
      </c>
      <c r="N2964" t="s">
        <v>59999</v>
      </c>
      <c r="O2964" t="s">
        <v>60000</v>
      </c>
      <c r="P2964" t="s">
        <v>60001</v>
      </c>
      <c r="Q2964" t="s">
        <v>60002</v>
      </c>
      <c r="R2964" t="s">
        <v>60003</v>
      </c>
      <c r="S2964" t="s">
        <v>60004</v>
      </c>
      <c r="T2964" t="s">
        <v>60005</v>
      </c>
      <c r="U2964" t="s">
        <v>60006</v>
      </c>
      <c r="V2964" t="s">
        <v>60007</v>
      </c>
      <c r="W2964" t="s">
        <v>60008</v>
      </c>
      <c r="X2964" t="s">
        <v>60009</v>
      </c>
      <c r="Y2964" t="s">
        <v>60010</v>
      </c>
    </row>
    <row r="2965" spans="1:25" x14ac:dyDescent="0.3">
      <c r="A2965">
        <v>148200</v>
      </c>
      <c r="B2965" t="s">
        <v>60011</v>
      </c>
      <c r="C2965" t="s">
        <v>60012</v>
      </c>
      <c r="D2965" t="s">
        <v>60013</v>
      </c>
      <c r="E2965" t="s">
        <v>60014</v>
      </c>
      <c r="F2965" t="s">
        <v>60015</v>
      </c>
      <c r="G2965" t="s">
        <v>60016</v>
      </c>
      <c r="H2965" t="s">
        <v>60017</v>
      </c>
      <c r="I2965" t="s">
        <v>60018</v>
      </c>
      <c r="J2965" t="s">
        <v>60019</v>
      </c>
      <c r="K2965" t="s">
        <v>60020</v>
      </c>
      <c r="L2965" t="s">
        <v>60021</v>
      </c>
      <c r="M2965" t="s">
        <v>60022</v>
      </c>
      <c r="N2965" t="s">
        <v>60023</v>
      </c>
      <c r="O2965" t="s">
        <v>60024</v>
      </c>
      <c r="P2965" t="s">
        <v>60025</v>
      </c>
      <c r="Q2965" t="s">
        <v>60026</v>
      </c>
      <c r="R2965" t="s">
        <v>60027</v>
      </c>
      <c r="S2965" t="s">
        <v>60028</v>
      </c>
      <c r="T2965" t="s">
        <v>60029</v>
      </c>
      <c r="U2965" t="s">
        <v>60030</v>
      </c>
      <c r="V2965" t="s">
        <v>60031</v>
      </c>
      <c r="W2965" t="s">
        <v>60032</v>
      </c>
      <c r="X2965" t="s">
        <v>60033</v>
      </c>
      <c r="Y2965" t="s">
        <v>60034</v>
      </c>
    </row>
    <row r="2966" spans="1:25" x14ac:dyDescent="0.3">
      <c r="A2966">
        <v>148250</v>
      </c>
      <c r="B2966" t="s">
        <v>60035</v>
      </c>
      <c r="C2966" t="s">
        <v>60036</v>
      </c>
      <c r="D2966" t="s">
        <v>60037</v>
      </c>
      <c r="E2966" t="s">
        <v>60038</v>
      </c>
      <c r="F2966" t="s">
        <v>60039</v>
      </c>
      <c r="G2966" t="s">
        <v>60040</v>
      </c>
      <c r="H2966" t="s">
        <v>60041</v>
      </c>
      <c r="I2966" t="s">
        <v>60042</v>
      </c>
      <c r="J2966" t="s">
        <v>60043</v>
      </c>
      <c r="K2966" t="s">
        <v>60044</v>
      </c>
      <c r="L2966" t="s">
        <v>60045</v>
      </c>
      <c r="M2966" t="s">
        <v>60046</v>
      </c>
      <c r="N2966" t="s">
        <v>60047</v>
      </c>
      <c r="O2966" t="s">
        <v>60048</v>
      </c>
      <c r="P2966" t="s">
        <v>60049</v>
      </c>
      <c r="Q2966" t="s">
        <v>60050</v>
      </c>
      <c r="R2966" t="s">
        <v>60051</v>
      </c>
      <c r="S2966" t="s">
        <v>60052</v>
      </c>
      <c r="T2966" t="s">
        <v>60053</v>
      </c>
      <c r="U2966" t="s">
        <v>60054</v>
      </c>
      <c r="V2966" t="s">
        <v>60055</v>
      </c>
      <c r="W2966" t="s">
        <v>60056</v>
      </c>
      <c r="X2966" t="s">
        <v>60057</v>
      </c>
      <c r="Y2966" t="s">
        <v>60058</v>
      </c>
    </row>
    <row r="2967" spans="1:25" x14ac:dyDescent="0.3">
      <c r="A2967">
        <v>148300</v>
      </c>
      <c r="B2967" t="s">
        <v>60059</v>
      </c>
      <c r="C2967" t="s">
        <v>60060</v>
      </c>
      <c r="D2967" t="s">
        <v>60061</v>
      </c>
      <c r="E2967" t="s">
        <v>60062</v>
      </c>
      <c r="F2967" t="s">
        <v>60063</v>
      </c>
      <c r="G2967" t="s">
        <v>60064</v>
      </c>
      <c r="H2967" t="s">
        <v>60065</v>
      </c>
      <c r="I2967" t="s">
        <v>60066</v>
      </c>
      <c r="J2967" t="s">
        <v>60067</v>
      </c>
      <c r="K2967" t="s">
        <v>60068</v>
      </c>
      <c r="L2967" t="s">
        <v>60069</v>
      </c>
      <c r="M2967" t="s">
        <v>60070</v>
      </c>
      <c r="N2967" t="s">
        <v>60071</v>
      </c>
      <c r="O2967" t="s">
        <v>60072</v>
      </c>
      <c r="P2967" t="s">
        <v>60073</v>
      </c>
      <c r="Q2967" t="s">
        <v>60074</v>
      </c>
      <c r="R2967" t="s">
        <v>60075</v>
      </c>
      <c r="S2967" t="s">
        <v>60076</v>
      </c>
      <c r="T2967" t="s">
        <v>60077</v>
      </c>
      <c r="U2967" t="s">
        <v>60078</v>
      </c>
      <c r="V2967" t="s">
        <v>60079</v>
      </c>
      <c r="W2967" t="s">
        <v>60080</v>
      </c>
      <c r="X2967" t="s">
        <v>60081</v>
      </c>
      <c r="Y2967" t="s">
        <v>60082</v>
      </c>
    </row>
    <row r="2968" spans="1:25" x14ac:dyDescent="0.3">
      <c r="A2968">
        <v>148350</v>
      </c>
      <c r="B2968" t="s">
        <v>60083</v>
      </c>
      <c r="C2968" t="s">
        <v>60084</v>
      </c>
      <c r="D2968" t="s">
        <v>60085</v>
      </c>
      <c r="E2968" t="s">
        <v>60086</v>
      </c>
      <c r="F2968" t="s">
        <v>60087</v>
      </c>
      <c r="G2968" t="s">
        <v>60088</v>
      </c>
      <c r="H2968" t="s">
        <v>60089</v>
      </c>
      <c r="I2968" t="s">
        <v>60090</v>
      </c>
      <c r="J2968" t="s">
        <v>60091</v>
      </c>
      <c r="K2968" t="s">
        <v>60092</v>
      </c>
      <c r="L2968" t="s">
        <v>60093</v>
      </c>
      <c r="M2968" t="s">
        <v>60094</v>
      </c>
      <c r="N2968" t="s">
        <v>60095</v>
      </c>
      <c r="O2968" t="s">
        <v>60096</v>
      </c>
      <c r="P2968" t="s">
        <v>60097</v>
      </c>
      <c r="Q2968" t="s">
        <v>60098</v>
      </c>
      <c r="R2968" t="s">
        <v>60099</v>
      </c>
      <c r="S2968" t="s">
        <v>60100</v>
      </c>
      <c r="T2968" t="s">
        <v>60101</v>
      </c>
      <c r="U2968" t="s">
        <v>60102</v>
      </c>
      <c r="V2968" t="s">
        <v>60103</v>
      </c>
      <c r="W2968" t="s">
        <v>60104</v>
      </c>
      <c r="X2968" t="s">
        <v>60105</v>
      </c>
      <c r="Y2968" t="s">
        <v>60106</v>
      </c>
    </row>
    <row r="2969" spans="1:25" x14ac:dyDescent="0.3">
      <c r="A2969">
        <v>148400</v>
      </c>
      <c r="B2969" t="s">
        <v>60107</v>
      </c>
      <c r="C2969" t="s">
        <v>60108</v>
      </c>
      <c r="D2969" t="s">
        <v>60109</v>
      </c>
      <c r="E2969" t="s">
        <v>60110</v>
      </c>
      <c r="F2969" t="s">
        <v>60111</v>
      </c>
      <c r="G2969" t="s">
        <v>60112</v>
      </c>
      <c r="H2969" t="s">
        <v>60113</v>
      </c>
      <c r="I2969" t="s">
        <v>60114</v>
      </c>
      <c r="J2969" t="s">
        <v>60115</v>
      </c>
      <c r="K2969" t="s">
        <v>60116</v>
      </c>
      <c r="L2969" t="s">
        <v>60117</v>
      </c>
      <c r="M2969" t="s">
        <v>60118</v>
      </c>
      <c r="N2969" t="s">
        <v>60119</v>
      </c>
      <c r="O2969" t="s">
        <v>60120</v>
      </c>
      <c r="P2969" t="s">
        <v>60121</v>
      </c>
      <c r="Q2969" t="s">
        <v>60122</v>
      </c>
      <c r="R2969" t="s">
        <v>60123</v>
      </c>
      <c r="S2969" t="s">
        <v>60124</v>
      </c>
      <c r="T2969" t="s">
        <v>60125</v>
      </c>
      <c r="U2969" t="s">
        <v>60126</v>
      </c>
      <c r="V2969" t="s">
        <v>60127</v>
      </c>
      <c r="W2969" t="s">
        <v>60128</v>
      </c>
      <c r="X2969" t="s">
        <v>60129</v>
      </c>
      <c r="Y2969" t="s">
        <v>60130</v>
      </c>
    </row>
    <row r="2970" spans="1:25" x14ac:dyDescent="0.3">
      <c r="A2970">
        <v>148450</v>
      </c>
      <c r="B2970" t="s">
        <v>60131</v>
      </c>
      <c r="C2970" t="s">
        <v>60132</v>
      </c>
      <c r="D2970" t="s">
        <v>60133</v>
      </c>
      <c r="E2970" t="s">
        <v>60134</v>
      </c>
      <c r="F2970" t="s">
        <v>60135</v>
      </c>
      <c r="G2970" t="s">
        <v>60136</v>
      </c>
      <c r="H2970" t="s">
        <v>60137</v>
      </c>
      <c r="I2970" t="s">
        <v>60138</v>
      </c>
      <c r="J2970" t="s">
        <v>60139</v>
      </c>
      <c r="K2970" t="s">
        <v>60140</v>
      </c>
      <c r="L2970" t="s">
        <v>60141</v>
      </c>
      <c r="M2970" t="s">
        <v>60142</v>
      </c>
      <c r="N2970" t="s">
        <v>60143</v>
      </c>
      <c r="O2970" t="s">
        <v>60144</v>
      </c>
      <c r="P2970" t="s">
        <v>60145</v>
      </c>
      <c r="Q2970" t="s">
        <v>60146</v>
      </c>
      <c r="R2970" t="s">
        <v>60147</v>
      </c>
      <c r="S2970" t="s">
        <v>60148</v>
      </c>
      <c r="T2970" t="s">
        <v>60149</v>
      </c>
      <c r="U2970" t="s">
        <v>60150</v>
      </c>
      <c r="V2970" t="s">
        <v>60151</v>
      </c>
      <c r="W2970" t="s">
        <v>60152</v>
      </c>
      <c r="X2970" t="s">
        <v>60153</v>
      </c>
      <c r="Y2970" t="s">
        <v>60154</v>
      </c>
    </row>
    <row r="2971" spans="1:25" x14ac:dyDescent="0.3">
      <c r="A2971">
        <v>148500</v>
      </c>
      <c r="B2971" t="s">
        <v>60155</v>
      </c>
      <c r="C2971" t="s">
        <v>60156</v>
      </c>
      <c r="D2971" t="s">
        <v>60157</v>
      </c>
      <c r="E2971" t="s">
        <v>60158</v>
      </c>
      <c r="F2971" t="s">
        <v>60159</v>
      </c>
      <c r="G2971" t="s">
        <v>60160</v>
      </c>
      <c r="H2971" t="s">
        <v>60161</v>
      </c>
      <c r="I2971" t="s">
        <v>60162</v>
      </c>
      <c r="J2971" t="s">
        <v>60163</v>
      </c>
      <c r="K2971" t="s">
        <v>60164</v>
      </c>
      <c r="L2971" t="s">
        <v>60165</v>
      </c>
      <c r="M2971" t="s">
        <v>60166</v>
      </c>
      <c r="N2971" t="s">
        <v>60167</v>
      </c>
      <c r="O2971" t="s">
        <v>60168</v>
      </c>
      <c r="P2971" t="s">
        <v>60169</v>
      </c>
      <c r="Q2971" t="s">
        <v>60170</v>
      </c>
      <c r="R2971" t="s">
        <v>60171</v>
      </c>
      <c r="S2971" t="s">
        <v>60172</v>
      </c>
      <c r="T2971" t="s">
        <v>60173</v>
      </c>
      <c r="U2971" t="s">
        <v>60174</v>
      </c>
      <c r="V2971" t="s">
        <v>60175</v>
      </c>
      <c r="W2971" t="s">
        <v>60176</v>
      </c>
      <c r="X2971" t="s">
        <v>60177</v>
      </c>
      <c r="Y2971" t="s">
        <v>60178</v>
      </c>
    </row>
    <row r="2972" spans="1:25" x14ac:dyDescent="0.3">
      <c r="A2972">
        <v>148550</v>
      </c>
      <c r="B2972" t="s">
        <v>60179</v>
      </c>
      <c r="C2972" t="s">
        <v>60180</v>
      </c>
      <c r="D2972" t="s">
        <v>60181</v>
      </c>
      <c r="E2972" t="s">
        <v>60182</v>
      </c>
      <c r="F2972" t="s">
        <v>60183</v>
      </c>
      <c r="G2972" t="s">
        <v>60184</v>
      </c>
      <c r="H2972" t="s">
        <v>60185</v>
      </c>
      <c r="I2972" t="s">
        <v>60186</v>
      </c>
      <c r="J2972" t="s">
        <v>60187</v>
      </c>
      <c r="K2972" t="s">
        <v>60188</v>
      </c>
      <c r="L2972" t="s">
        <v>60189</v>
      </c>
      <c r="M2972" t="s">
        <v>60190</v>
      </c>
      <c r="N2972" t="s">
        <v>60191</v>
      </c>
      <c r="O2972" t="s">
        <v>60192</v>
      </c>
      <c r="P2972" t="s">
        <v>60193</v>
      </c>
      <c r="Q2972" t="s">
        <v>60194</v>
      </c>
      <c r="R2972" t="s">
        <v>60195</v>
      </c>
      <c r="S2972" t="s">
        <v>60196</v>
      </c>
      <c r="T2972" t="s">
        <v>60197</v>
      </c>
      <c r="U2972" t="s">
        <v>60198</v>
      </c>
      <c r="V2972" t="s">
        <v>60199</v>
      </c>
      <c r="W2972" t="s">
        <v>60200</v>
      </c>
      <c r="X2972" t="s">
        <v>60201</v>
      </c>
      <c r="Y2972" t="s">
        <v>60202</v>
      </c>
    </row>
    <row r="2973" spans="1:25" x14ac:dyDescent="0.3">
      <c r="A2973">
        <v>148600</v>
      </c>
      <c r="B2973" t="s">
        <v>60203</v>
      </c>
      <c r="C2973" t="s">
        <v>60204</v>
      </c>
      <c r="D2973" t="s">
        <v>60205</v>
      </c>
      <c r="E2973" t="s">
        <v>60206</v>
      </c>
      <c r="F2973" t="s">
        <v>60207</v>
      </c>
      <c r="G2973" t="s">
        <v>60208</v>
      </c>
      <c r="H2973" t="s">
        <v>60209</v>
      </c>
      <c r="I2973" t="s">
        <v>60210</v>
      </c>
      <c r="J2973" t="s">
        <v>60211</v>
      </c>
      <c r="K2973" t="s">
        <v>60212</v>
      </c>
      <c r="L2973" t="s">
        <v>60213</v>
      </c>
      <c r="M2973" t="s">
        <v>60214</v>
      </c>
      <c r="N2973" t="s">
        <v>60215</v>
      </c>
      <c r="O2973" t="s">
        <v>60216</v>
      </c>
      <c r="P2973" t="s">
        <v>60217</v>
      </c>
      <c r="Q2973" t="s">
        <v>60218</v>
      </c>
      <c r="R2973" t="s">
        <v>60219</v>
      </c>
      <c r="S2973" t="s">
        <v>60220</v>
      </c>
      <c r="T2973" t="s">
        <v>60221</v>
      </c>
      <c r="U2973" t="s">
        <v>60222</v>
      </c>
      <c r="V2973" t="s">
        <v>60223</v>
      </c>
      <c r="W2973" t="s">
        <v>60224</v>
      </c>
      <c r="X2973" t="s">
        <v>60225</v>
      </c>
      <c r="Y2973" t="s">
        <v>60226</v>
      </c>
    </row>
    <row r="2974" spans="1:25" x14ac:dyDescent="0.3">
      <c r="A2974">
        <v>148650</v>
      </c>
      <c r="B2974" t="s">
        <v>60227</v>
      </c>
      <c r="C2974" t="s">
        <v>60228</v>
      </c>
      <c r="D2974" t="s">
        <v>60229</v>
      </c>
      <c r="E2974" t="s">
        <v>60230</v>
      </c>
      <c r="F2974" t="s">
        <v>60231</v>
      </c>
      <c r="G2974" t="s">
        <v>60232</v>
      </c>
      <c r="H2974" t="s">
        <v>60233</v>
      </c>
      <c r="I2974" t="s">
        <v>60234</v>
      </c>
      <c r="J2974" t="s">
        <v>60235</v>
      </c>
      <c r="K2974" t="s">
        <v>60236</v>
      </c>
      <c r="L2974" t="s">
        <v>60237</v>
      </c>
      <c r="M2974" t="s">
        <v>60238</v>
      </c>
      <c r="N2974" t="s">
        <v>60239</v>
      </c>
      <c r="O2974" t="s">
        <v>60240</v>
      </c>
      <c r="P2974" t="s">
        <v>60241</v>
      </c>
      <c r="Q2974" t="s">
        <v>60242</v>
      </c>
      <c r="R2974" t="s">
        <v>60243</v>
      </c>
      <c r="S2974" t="s">
        <v>60244</v>
      </c>
      <c r="T2974" t="s">
        <v>60245</v>
      </c>
      <c r="U2974" t="s">
        <v>60246</v>
      </c>
      <c r="V2974" t="s">
        <v>60247</v>
      </c>
      <c r="W2974" t="s">
        <v>60248</v>
      </c>
      <c r="X2974" t="s">
        <v>60249</v>
      </c>
      <c r="Y2974" t="s">
        <v>60250</v>
      </c>
    </row>
    <row r="2975" spans="1:25" x14ac:dyDescent="0.3">
      <c r="A2975">
        <v>148700</v>
      </c>
      <c r="B2975" t="s">
        <v>60251</v>
      </c>
      <c r="C2975" t="s">
        <v>60252</v>
      </c>
      <c r="D2975" t="s">
        <v>60253</v>
      </c>
      <c r="E2975" t="s">
        <v>60254</v>
      </c>
      <c r="F2975" t="s">
        <v>60255</v>
      </c>
      <c r="G2975" t="s">
        <v>60256</v>
      </c>
      <c r="H2975" t="s">
        <v>60257</v>
      </c>
      <c r="I2975" t="s">
        <v>60258</v>
      </c>
      <c r="J2975" t="s">
        <v>60259</v>
      </c>
      <c r="K2975" t="s">
        <v>60260</v>
      </c>
      <c r="L2975" t="s">
        <v>60261</v>
      </c>
      <c r="M2975" t="s">
        <v>60262</v>
      </c>
      <c r="N2975" t="s">
        <v>60263</v>
      </c>
      <c r="O2975" t="s">
        <v>60264</v>
      </c>
      <c r="P2975" t="s">
        <v>60265</v>
      </c>
      <c r="Q2975" t="s">
        <v>60266</v>
      </c>
      <c r="R2975" t="s">
        <v>60267</v>
      </c>
      <c r="S2975" t="s">
        <v>60268</v>
      </c>
      <c r="T2975" t="s">
        <v>60269</v>
      </c>
      <c r="U2975" t="s">
        <v>60270</v>
      </c>
      <c r="V2975" t="s">
        <v>60271</v>
      </c>
      <c r="W2975" t="s">
        <v>60272</v>
      </c>
      <c r="X2975" t="s">
        <v>60273</v>
      </c>
      <c r="Y2975" t="s">
        <v>60274</v>
      </c>
    </row>
    <row r="2976" spans="1:25" x14ac:dyDescent="0.3">
      <c r="A2976">
        <v>148750</v>
      </c>
      <c r="B2976" t="s">
        <v>60275</v>
      </c>
      <c r="C2976" t="s">
        <v>60276</v>
      </c>
      <c r="D2976" t="s">
        <v>60277</v>
      </c>
      <c r="E2976" t="s">
        <v>60278</v>
      </c>
      <c r="F2976" t="s">
        <v>60279</v>
      </c>
      <c r="G2976" t="s">
        <v>60280</v>
      </c>
      <c r="H2976" t="s">
        <v>60281</v>
      </c>
      <c r="I2976" t="s">
        <v>60282</v>
      </c>
      <c r="J2976" t="s">
        <v>60283</v>
      </c>
      <c r="K2976" t="s">
        <v>60284</v>
      </c>
      <c r="L2976" t="s">
        <v>60285</v>
      </c>
      <c r="M2976" t="s">
        <v>60286</v>
      </c>
      <c r="N2976" t="s">
        <v>60287</v>
      </c>
      <c r="O2976" t="s">
        <v>60288</v>
      </c>
      <c r="P2976" t="s">
        <v>60289</v>
      </c>
      <c r="Q2976" t="s">
        <v>60290</v>
      </c>
      <c r="R2976" t="s">
        <v>60291</v>
      </c>
      <c r="S2976" t="s">
        <v>60292</v>
      </c>
      <c r="T2976" t="s">
        <v>60293</v>
      </c>
      <c r="U2976" t="s">
        <v>60294</v>
      </c>
      <c r="V2976" t="s">
        <v>60295</v>
      </c>
      <c r="W2976" t="s">
        <v>60296</v>
      </c>
      <c r="X2976" t="s">
        <v>60297</v>
      </c>
      <c r="Y2976" t="s">
        <v>60298</v>
      </c>
    </row>
    <row r="2977" spans="1:25" x14ac:dyDescent="0.3">
      <c r="A2977">
        <v>148800</v>
      </c>
      <c r="B2977" t="s">
        <v>60299</v>
      </c>
      <c r="C2977" t="s">
        <v>60300</v>
      </c>
      <c r="D2977" t="s">
        <v>60301</v>
      </c>
      <c r="E2977" t="s">
        <v>60302</v>
      </c>
      <c r="F2977" t="s">
        <v>60303</v>
      </c>
      <c r="G2977" t="s">
        <v>60304</v>
      </c>
      <c r="H2977" t="s">
        <v>60305</v>
      </c>
      <c r="I2977" t="s">
        <v>60306</v>
      </c>
      <c r="J2977" t="s">
        <v>60307</v>
      </c>
      <c r="K2977" t="s">
        <v>60308</v>
      </c>
      <c r="L2977" t="s">
        <v>60309</v>
      </c>
      <c r="M2977" t="s">
        <v>60310</v>
      </c>
      <c r="N2977" t="s">
        <v>60311</v>
      </c>
      <c r="O2977" t="s">
        <v>60312</v>
      </c>
      <c r="P2977" t="s">
        <v>60313</v>
      </c>
      <c r="Q2977" t="s">
        <v>60314</v>
      </c>
      <c r="R2977" t="s">
        <v>60315</v>
      </c>
      <c r="S2977" t="s">
        <v>60316</v>
      </c>
      <c r="T2977" t="s">
        <v>60317</v>
      </c>
      <c r="U2977" t="s">
        <v>60318</v>
      </c>
      <c r="V2977" t="s">
        <v>60319</v>
      </c>
      <c r="W2977" t="s">
        <v>60320</v>
      </c>
      <c r="X2977" t="s">
        <v>60321</v>
      </c>
      <c r="Y2977" t="s">
        <v>60322</v>
      </c>
    </row>
    <row r="2978" spans="1:25" x14ac:dyDescent="0.3">
      <c r="A2978">
        <v>148850</v>
      </c>
      <c r="B2978" t="s">
        <v>60323</v>
      </c>
      <c r="C2978" t="s">
        <v>60324</v>
      </c>
      <c r="D2978" t="s">
        <v>60325</v>
      </c>
      <c r="E2978" t="s">
        <v>60326</v>
      </c>
      <c r="F2978" t="s">
        <v>60327</v>
      </c>
      <c r="G2978" t="s">
        <v>60328</v>
      </c>
      <c r="H2978" t="s">
        <v>60329</v>
      </c>
      <c r="I2978" t="s">
        <v>60330</v>
      </c>
      <c r="J2978" t="s">
        <v>60331</v>
      </c>
      <c r="K2978" t="s">
        <v>60332</v>
      </c>
      <c r="L2978" t="s">
        <v>60333</v>
      </c>
      <c r="M2978" t="s">
        <v>60334</v>
      </c>
      <c r="N2978" t="s">
        <v>60335</v>
      </c>
      <c r="O2978" t="s">
        <v>60336</v>
      </c>
      <c r="P2978" t="s">
        <v>60337</v>
      </c>
      <c r="Q2978" t="s">
        <v>60338</v>
      </c>
      <c r="R2978" t="s">
        <v>60339</v>
      </c>
      <c r="S2978" t="s">
        <v>60340</v>
      </c>
      <c r="T2978" t="s">
        <v>60341</v>
      </c>
      <c r="U2978" t="s">
        <v>60342</v>
      </c>
      <c r="V2978" t="s">
        <v>60343</v>
      </c>
      <c r="W2978" t="s">
        <v>60344</v>
      </c>
      <c r="X2978" t="s">
        <v>60345</v>
      </c>
      <c r="Y2978" t="s">
        <v>60346</v>
      </c>
    </row>
    <row r="2979" spans="1:25" x14ac:dyDescent="0.3">
      <c r="A2979">
        <v>148900</v>
      </c>
      <c r="B2979" t="s">
        <v>60347</v>
      </c>
      <c r="C2979" t="s">
        <v>60348</v>
      </c>
      <c r="D2979" t="s">
        <v>60349</v>
      </c>
      <c r="E2979" t="s">
        <v>60350</v>
      </c>
      <c r="F2979" t="s">
        <v>60351</v>
      </c>
      <c r="G2979" t="s">
        <v>60352</v>
      </c>
      <c r="H2979" t="s">
        <v>60353</v>
      </c>
      <c r="I2979" t="s">
        <v>60354</v>
      </c>
      <c r="J2979" t="s">
        <v>60355</v>
      </c>
      <c r="K2979" t="s">
        <v>60356</v>
      </c>
      <c r="L2979" t="s">
        <v>60357</v>
      </c>
      <c r="M2979" t="s">
        <v>60358</v>
      </c>
      <c r="N2979" t="s">
        <v>60359</v>
      </c>
      <c r="O2979" t="s">
        <v>60360</v>
      </c>
      <c r="P2979" t="s">
        <v>60361</v>
      </c>
      <c r="Q2979" t="s">
        <v>60362</v>
      </c>
      <c r="R2979" t="s">
        <v>60363</v>
      </c>
      <c r="S2979" t="s">
        <v>60364</v>
      </c>
      <c r="T2979" t="s">
        <v>60365</v>
      </c>
      <c r="U2979" t="s">
        <v>60366</v>
      </c>
      <c r="V2979" t="s">
        <v>60367</v>
      </c>
      <c r="W2979" t="s">
        <v>60368</v>
      </c>
      <c r="X2979" t="s">
        <v>60369</v>
      </c>
      <c r="Y2979" t="s">
        <v>60370</v>
      </c>
    </row>
    <row r="2980" spans="1:25" x14ac:dyDescent="0.3">
      <c r="A2980">
        <v>148950</v>
      </c>
      <c r="B2980" t="s">
        <v>60371</v>
      </c>
      <c r="C2980" t="s">
        <v>60372</v>
      </c>
      <c r="D2980" t="s">
        <v>60373</v>
      </c>
      <c r="E2980" t="s">
        <v>60374</v>
      </c>
      <c r="F2980" t="s">
        <v>60375</v>
      </c>
      <c r="G2980" t="s">
        <v>60376</v>
      </c>
      <c r="H2980" t="s">
        <v>60377</v>
      </c>
      <c r="I2980" t="s">
        <v>60378</v>
      </c>
      <c r="J2980" t="s">
        <v>60379</v>
      </c>
      <c r="K2980" t="s">
        <v>60380</v>
      </c>
      <c r="L2980" t="s">
        <v>60381</v>
      </c>
      <c r="M2980" t="s">
        <v>60382</v>
      </c>
      <c r="N2980" t="s">
        <v>60383</v>
      </c>
      <c r="O2980" t="s">
        <v>60384</v>
      </c>
      <c r="P2980" t="s">
        <v>60385</v>
      </c>
      <c r="Q2980" t="s">
        <v>60386</v>
      </c>
      <c r="R2980" t="s">
        <v>60387</v>
      </c>
      <c r="S2980" t="s">
        <v>60388</v>
      </c>
      <c r="T2980" t="s">
        <v>60389</v>
      </c>
      <c r="U2980" t="s">
        <v>60390</v>
      </c>
      <c r="V2980" t="s">
        <v>60391</v>
      </c>
      <c r="W2980" t="s">
        <v>60392</v>
      </c>
      <c r="X2980" t="s">
        <v>60393</v>
      </c>
      <c r="Y2980" t="s">
        <v>60394</v>
      </c>
    </row>
    <row r="2981" spans="1:25" x14ac:dyDescent="0.3">
      <c r="A2981">
        <v>149000</v>
      </c>
      <c r="B2981" t="s">
        <v>60395</v>
      </c>
      <c r="C2981" t="s">
        <v>60396</v>
      </c>
      <c r="D2981" t="s">
        <v>60397</v>
      </c>
      <c r="E2981" t="s">
        <v>60398</v>
      </c>
      <c r="F2981" t="s">
        <v>60399</v>
      </c>
      <c r="G2981" t="s">
        <v>60400</v>
      </c>
      <c r="H2981" t="s">
        <v>60401</v>
      </c>
      <c r="I2981" t="s">
        <v>60402</v>
      </c>
      <c r="J2981" t="s">
        <v>60403</v>
      </c>
      <c r="K2981" t="s">
        <v>60404</v>
      </c>
      <c r="L2981" t="s">
        <v>60405</v>
      </c>
      <c r="M2981" t="s">
        <v>60406</v>
      </c>
      <c r="N2981" t="s">
        <v>60407</v>
      </c>
      <c r="O2981" t="s">
        <v>60408</v>
      </c>
      <c r="P2981" t="s">
        <v>60409</v>
      </c>
      <c r="Q2981" t="s">
        <v>60410</v>
      </c>
      <c r="R2981" t="s">
        <v>60411</v>
      </c>
      <c r="S2981" t="s">
        <v>60412</v>
      </c>
      <c r="T2981" t="s">
        <v>60413</v>
      </c>
      <c r="U2981" t="s">
        <v>60414</v>
      </c>
      <c r="V2981" t="s">
        <v>60415</v>
      </c>
      <c r="W2981" t="s">
        <v>60416</v>
      </c>
      <c r="X2981" t="s">
        <v>60417</v>
      </c>
      <c r="Y2981" t="s">
        <v>60418</v>
      </c>
    </row>
    <row r="2982" spans="1:25" x14ac:dyDescent="0.3">
      <c r="A2982">
        <v>149050</v>
      </c>
      <c r="B2982" t="s">
        <v>60419</v>
      </c>
      <c r="C2982" t="s">
        <v>60420</v>
      </c>
      <c r="D2982" t="s">
        <v>60421</v>
      </c>
      <c r="E2982" t="s">
        <v>60422</v>
      </c>
      <c r="F2982" t="s">
        <v>60423</v>
      </c>
      <c r="G2982" t="s">
        <v>60424</v>
      </c>
      <c r="H2982" t="s">
        <v>60425</v>
      </c>
      <c r="I2982" t="s">
        <v>60426</v>
      </c>
      <c r="J2982" t="s">
        <v>60427</v>
      </c>
      <c r="K2982" t="s">
        <v>60428</v>
      </c>
      <c r="L2982" t="s">
        <v>60429</v>
      </c>
      <c r="M2982" t="s">
        <v>60430</v>
      </c>
      <c r="N2982" t="s">
        <v>60431</v>
      </c>
      <c r="O2982" t="s">
        <v>60432</v>
      </c>
      <c r="P2982" t="s">
        <v>60433</v>
      </c>
      <c r="Q2982" t="s">
        <v>60434</v>
      </c>
      <c r="R2982" t="s">
        <v>60435</v>
      </c>
      <c r="S2982" t="s">
        <v>60436</v>
      </c>
      <c r="T2982" t="s">
        <v>60437</v>
      </c>
      <c r="U2982" t="s">
        <v>60438</v>
      </c>
      <c r="V2982" t="s">
        <v>60439</v>
      </c>
      <c r="W2982" t="s">
        <v>60440</v>
      </c>
      <c r="X2982" t="s">
        <v>60441</v>
      </c>
      <c r="Y2982" t="s">
        <v>60442</v>
      </c>
    </row>
    <row r="2983" spans="1:25" x14ac:dyDescent="0.3">
      <c r="A2983">
        <v>149100</v>
      </c>
      <c r="B2983" t="s">
        <v>60443</v>
      </c>
      <c r="C2983" t="s">
        <v>60444</v>
      </c>
      <c r="D2983" t="s">
        <v>60445</v>
      </c>
      <c r="E2983" t="s">
        <v>60446</v>
      </c>
      <c r="F2983" t="s">
        <v>60447</v>
      </c>
      <c r="G2983" t="s">
        <v>60448</v>
      </c>
      <c r="H2983" t="s">
        <v>60449</v>
      </c>
      <c r="I2983" t="s">
        <v>60450</v>
      </c>
      <c r="J2983" t="s">
        <v>60451</v>
      </c>
      <c r="K2983" t="s">
        <v>60452</v>
      </c>
      <c r="L2983" t="s">
        <v>60453</v>
      </c>
      <c r="M2983" t="s">
        <v>60454</v>
      </c>
      <c r="N2983" t="s">
        <v>60455</v>
      </c>
      <c r="O2983" t="s">
        <v>60456</v>
      </c>
      <c r="P2983" t="s">
        <v>60457</v>
      </c>
      <c r="Q2983" t="s">
        <v>60458</v>
      </c>
      <c r="R2983" t="s">
        <v>60459</v>
      </c>
      <c r="S2983" t="s">
        <v>60460</v>
      </c>
      <c r="T2983" t="s">
        <v>60461</v>
      </c>
      <c r="U2983" t="s">
        <v>60462</v>
      </c>
      <c r="V2983" t="s">
        <v>60463</v>
      </c>
      <c r="W2983" t="s">
        <v>60464</v>
      </c>
      <c r="X2983" t="s">
        <v>60465</v>
      </c>
      <c r="Y2983" t="s">
        <v>60466</v>
      </c>
    </row>
    <row r="2984" spans="1:25" x14ac:dyDescent="0.3">
      <c r="A2984">
        <v>149150</v>
      </c>
      <c r="B2984" t="s">
        <v>60467</v>
      </c>
      <c r="C2984" t="s">
        <v>60468</v>
      </c>
      <c r="D2984" t="s">
        <v>60469</v>
      </c>
      <c r="E2984" t="s">
        <v>60470</v>
      </c>
      <c r="F2984" t="s">
        <v>60471</v>
      </c>
      <c r="G2984" t="s">
        <v>60472</v>
      </c>
      <c r="H2984" t="s">
        <v>60473</v>
      </c>
      <c r="I2984" t="s">
        <v>60474</v>
      </c>
      <c r="J2984" t="s">
        <v>60475</v>
      </c>
      <c r="K2984" t="s">
        <v>60476</v>
      </c>
      <c r="L2984" t="s">
        <v>60477</v>
      </c>
      <c r="M2984" t="s">
        <v>60478</v>
      </c>
      <c r="N2984" t="s">
        <v>60479</v>
      </c>
      <c r="O2984" t="s">
        <v>60480</v>
      </c>
      <c r="P2984" t="s">
        <v>60481</v>
      </c>
      <c r="Q2984" t="s">
        <v>60482</v>
      </c>
      <c r="R2984" t="s">
        <v>60483</v>
      </c>
      <c r="S2984" t="s">
        <v>60484</v>
      </c>
      <c r="T2984" t="s">
        <v>60485</v>
      </c>
      <c r="U2984" t="s">
        <v>60486</v>
      </c>
      <c r="V2984" t="s">
        <v>60487</v>
      </c>
      <c r="W2984" t="s">
        <v>60488</v>
      </c>
      <c r="X2984" t="s">
        <v>60489</v>
      </c>
      <c r="Y2984" t="s">
        <v>60490</v>
      </c>
    </row>
    <row r="2985" spans="1:25" x14ac:dyDescent="0.3">
      <c r="A2985">
        <v>149200</v>
      </c>
      <c r="B2985" t="s">
        <v>60491</v>
      </c>
      <c r="C2985" t="s">
        <v>60492</v>
      </c>
      <c r="D2985" t="s">
        <v>60493</v>
      </c>
      <c r="E2985" t="s">
        <v>60494</v>
      </c>
      <c r="F2985" t="s">
        <v>60495</v>
      </c>
      <c r="G2985" t="s">
        <v>60496</v>
      </c>
      <c r="H2985" t="s">
        <v>60497</v>
      </c>
      <c r="I2985" t="s">
        <v>60498</v>
      </c>
      <c r="J2985" t="s">
        <v>60499</v>
      </c>
      <c r="K2985" t="s">
        <v>60500</v>
      </c>
      <c r="L2985" t="s">
        <v>60501</v>
      </c>
      <c r="M2985" t="s">
        <v>60502</v>
      </c>
      <c r="N2985" t="s">
        <v>60503</v>
      </c>
      <c r="O2985" t="s">
        <v>60504</v>
      </c>
      <c r="P2985" t="s">
        <v>60505</v>
      </c>
      <c r="Q2985" t="s">
        <v>60506</v>
      </c>
      <c r="R2985" t="s">
        <v>60507</v>
      </c>
      <c r="S2985" t="s">
        <v>60508</v>
      </c>
      <c r="T2985" t="s">
        <v>60509</v>
      </c>
      <c r="U2985" t="s">
        <v>60510</v>
      </c>
      <c r="V2985" t="s">
        <v>60511</v>
      </c>
      <c r="W2985" t="s">
        <v>60512</v>
      </c>
      <c r="X2985" t="s">
        <v>60513</v>
      </c>
      <c r="Y2985" t="s">
        <v>60514</v>
      </c>
    </row>
    <row r="2986" spans="1:25" x14ac:dyDescent="0.3">
      <c r="A2986">
        <v>149250</v>
      </c>
      <c r="B2986" t="s">
        <v>60515</v>
      </c>
      <c r="C2986" t="s">
        <v>60516</v>
      </c>
      <c r="D2986" t="s">
        <v>60517</v>
      </c>
      <c r="E2986" t="s">
        <v>60518</v>
      </c>
      <c r="F2986" t="s">
        <v>60519</v>
      </c>
      <c r="G2986" t="s">
        <v>60520</v>
      </c>
      <c r="H2986" t="s">
        <v>60521</v>
      </c>
      <c r="I2986" t="s">
        <v>60522</v>
      </c>
      <c r="J2986" t="s">
        <v>60523</v>
      </c>
      <c r="K2986" t="s">
        <v>60524</v>
      </c>
      <c r="L2986" t="s">
        <v>60525</v>
      </c>
      <c r="M2986" t="s">
        <v>60526</v>
      </c>
      <c r="N2986" t="s">
        <v>60527</v>
      </c>
      <c r="O2986" t="s">
        <v>60528</v>
      </c>
      <c r="P2986" t="s">
        <v>60529</v>
      </c>
      <c r="Q2986" t="s">
        <v>60530</v>
      </c>
      <c r="R2986" t="s">
        <v>60531</v>
      </c>
      <c r="S2986" t="s">
        <v>60532</v>
      </c>
      <c r="T2986" t="s">
        <v>60533</v>
      </c>
      <c r="U2986" t="s">
        <v>60534</v>
      </c>
      <c r="V2986" t="s">
        <v>60535</v>
      </c>
      <c r="W2986" t="s">
        <v>60536</v>
      </c>
      <c r="X2986" t="s">
        <v>60537</v>
      </c>
      <c r="Y2986" t="s">
        <v>60538</v>
      </c>
    </row>
    <row r="2987" spans="1:25" x14ac:dyDescent="0.3">
      <c r="A2987">
        <v>149300</v>
      </c>
      <c r="B2987" t="s">
        <v>60539</v>
      </c>
      <c r="C2987" t="s">
        <v>60540</v>
      </c>
      <c r="D2987" t="s">
        <v>60541</v>
      </c>
      <c r="E2987" t="s">
        <v>60542</v>
      </c>
      <c r="F2987" t="s">
        <v>60543</v>
      </c>
      <c r="G2987" t="s">
        <v>60544</v>
      </c>
      <c r="H2987" t="s">
        <v>60545</v>
      </c>
      <c r="I2987" t="s">
        <v>60546</v>
      </c>
      <c r="J2987" t="s">
        <v>60547</v>
      </c>
      <c r="K2987" t="s">
        <v>60548</v>
      </c>
      <c r="L2987" t="s">
        <v>60549</v>
      </c>
      <c r="M2987" t="s">
        <v>60550</v>
      </c>
      <c r="N2987" t="s">
        <v>60551</v>
      </c>
      <c r="O2987" t="s">
        <v>60552</v>
      </c>
      <c r="P2987" t="s">
        <v>60553</v>
      </c>
      <c r="Q2987" t="s">
        <v>60554</v>
      </c>
      <c r="R2987" t="s">
        <v>60555</v>
      </c>
      <c r="S2987" t="s">
        <v>60556</v>
      </c>
      <c r="T2987" t="s">
        <v>60557</v>
      </c>
      <c r="U2987" t="s">
        <v>60558</v>
      </c>
      <c r="V2987" t="s">
        <v>60559</v>
      </c>
      <c r="W2987" t="s">
        <v>60560</v>
      </c>
      <c r="X2987" t="s">
        <v>60561</v>
      </c>
      <c r="Y2987" t="s">
        <v>60562</v>
      </c>
    </row>
    <row r="2988" spans="1:25" x14ac:dyDescent="0.3">
      <c r="A2988">
        <v>149350</v>
      </c>
      <c r="B2988" t="s">
        <v>60563</v>
      </c>
      <c r="C2988" t="s">
        <v>60564</v>
      </c>
      <c r="D2988" t="s">
        <v>60565</v>
      </c>
      <c r="E2988" t="s">
        <v>60566</v>
      </c>
      <c r="F2988" t="s">
        <v>60567</v>
      </c>
      <c r="G2988" t="s">
        <v>60568</v>
      </c>
      <c r="H2988" t="s">
        <v>60569</v>
      </c>
      <c r="I2988" t="s">
        <v>60570</v>
      </c>
      <c r="J2988" t="s">
        <v>60571</v>
      </c>
      <c r="K2988" t="s">
        <v>60572</v>
      </c>
      <c r="L2988" t="s">
        <v>60573</v>
      </c>
      <c r="M2988" t="s">
        <v>60574</v>
      </c>
      <c r="N2988" t="s">
        <v>60575</v>
      </c>
      <c r="O2988" t="s">
        <v>60576</v>
      </c>
      <c r="P2988" t="s">
        <v>60577</v>
      </c>
      <c r="Q2988" t="s">
        <v>60578</v>
      </c>
      <c r="R2988" t="s">
        <v>60579</v>
      </c>
      <c r="S2988" t="s">
        <v>60580</v>
      </c>
      <c r="T2988" t="s">
        <v>60581</v>
      </c>
      <c r="U2988" t="s">
        <v>60582</v>
      </c>
      <c r="V2988" t="s">
        <v>60583</v>
      </c>
      <c r="W2988" t="s">
        <v>60584</v>
      </c>
      <c r="X2988" t="s">
        <v>60585</v>
      </c>
      <c r="Y2988" t="s">
        <v>60586</v>
      </c>
    </row>
    <row r="2989" spans="1:25" x14ac:dyDescent="0.3">
      <c r="A2989">
        <v>149400</v>
      </c>
      <c r="B2989" t="s">
        <v>60587</v>
      </c>
      <c r="C2989" t="s">
        <v>60588</v>
      </c>
      <c r="D2989" t="s">
        <v>60589</v>
      </c>
      <c r="E2989" t="s">
        <v>60590</v>
      </c>
      <c r="F2989" t="s">
        <v>60591</v>
      </c>
      <c r="G2989" t="s">
        <v>60592</v>
      </c>
      <c r="H2989" t="s">
        <v>60593</v>
      </c>
      <c r="I2989" t="s">
        <v>60594</v>
      </c>
      <c r="J2989" t="s">
        <v>60595</v>
      </c>
      <c r="K2989" t="s">
        <v>60596</v>
      </c>
      <c r="L2989" t="s">
        <v>60597</v>
      </c>
      <c r="M2989" t="s">
        <v>60598</v>
      </c>
      <c r="N2989" t="s">
        <v>60599</v>
      </c>
      <c r="O2989" t="s">
        <v>60600</v>
      </c>
      <c r="P2989" t="s">
        <v>60601</v>
      </c>
      <c r="Q2989" t="s">
        <v>60602</v>
      </c>
      <c r="R2989" t="s">
        <v>60603</v>
      </c>
      <c r="S2989" t="s">
        <v>60604</v>
      </c>
      <c r="T2989" t="s">
        <v>60605</v>
      </c>
      <c r="U2989" t="s">
        <v>60606</v>
      </c>
      <c r="V2989" t="s">
        <v>60607</v>
      </c>
      <c r="W2989" t="s">
        <v>60608</v>
      </c>
      <c r="X2989" t="s">
        <v>60609</v>
      </c>
      <c r="Y2989" t="s">
        <v>60610</v>
      </c>
    </row>
    <row r="2990" spans="1:25" x14ac:dyDescent="0.3">
      <c r="A2990">
        <v>149450</v>
      </c>
      <c r="B2990" t="s">
        <v>60611</v>
      </c>
      <c r="C2990" t="s">
        <v>60612</v>
      </c>
      <c r="D2990" t="s">
        <v>60613</v>
      </c>
      <c r="E2990" t="s">
        <v>60614</v>
      </c>
      <c r="F2990" t="s">
        <v>60615</v>
      </c>
      <c r="G2990" t="s">
        <v>60616</v>
      </c>
      <c r="H2990" t="s">
        <v>60617</v>
      </c>
      <c r="I2990" t="s">
        <v>60618</v>
      </c>
      <c r="J2990" t="s">
        <v>60619</v>
      </c>
      <c r="K2990" t="s">
        <v>60620</v>
      </c>
      <c r="L2990" t="s">
        <v>60621</v>
      </c>
      <c r="M2990" t="s">
        <v>60622</v>
      </c>
      <c r="N2990" t="s">
        <v>60623</v>
      </c>
      <c r="O2990" t="s">
        <v>60624</v>
      </c>
      <c r="P2990" t="s">
        <v>60625</v>
      </c>
      <c r="Q2990" t="s">
        <v>60626</v>
      </c>
      <c r="R2990" t="s">
        <v>60627</v>
      </c>
      <c r="S2990" t="s">
        <v>60628</v>
      </c>
      <c r="T2990" t="s">
        <v>60629</v>
      </c>
      <c r="U2990" t="s">
        <v>60630</v>
      </c>
      <c r="V2990" t="s">
        <v>60631</v>
      </c>
      <c r="W2990" t="s">
        <v>60632</v>
      </c>
      <c r="X2990" t="s">
        <v>60633</v>
      </c>
      <c r="Y2990" t="s">
        <v>60634</v>
      </c>
    </row>
    <row r="2991" spans="1:25" x14ac:dyDescent="0.3">
      <c r="A2991">
        <v>149500</v>
      </c>
      <c r="B2991" t="s">
        <v>60635</v>
      </c>
      <c r="C2991" t="s">
        <v>60636</v>
      </c>
      <c r="D2991" t="s">
        <v>60637</v>
      </c>
      <c r="E2991" t="s">
        <v>60638</v>
      </c>
      <c r="F2991" t="s">
        <v>60639</v>
      </c>
      <c r="G2991" t="s">
        <v>60640</v>
      </c>
      <c r="H2991" t="s">
        <v>60641</v>
      </c>
      <c r="I2991" t="s">
        <v>60642</v>
      </c>
      <c r="J2991" t="s">
        <v>60643</v>
      </c>
      <c r="K2991" t="s">
        <v>60644</v>
      </c>
      <c r="L2991" t="s">
        <v>60645</v>
      </c>
      <c r="M2991" t="s">
        <v>60646</v>
      </c>
      <c r="N2991" t="s">
        <v>60647</v>
      </c>
      <c r="O2991" t="s">
        <v>60648</v>
      </c>
      <c r="P2991" t="s">
        <v>60649</v>
      </c>
      <c r="Q2991" t="s">
        <v>60650</v>
      </c>
      <c r="R2991" t="s">
        <v>60651</v>
      </c>
      <c r="S2991" t="s">
        <v>60652</v>
      </c>
      <c r="T2991" t="s">
        <v>60653</v>
      </c>
      <c r="U2991" t="s">
        <v>60654</v>
      </c>
      <c r="V2991" t="s">
        <v>60655</v>
      </c>
      <c r="W2991" t="s">
        <v>60656</v>
      </c>
      <c r="X2991" t="s">
        <v>60657</v>
      </c>
      <c r="Y2991" t="s">
        <v>60658</v>
      </c>
    </row>
    <row r="2992" spans="1:25" x14ac:dyDescent="0.3">
      <c r="A2992">
        <v>149550</v>
      </c>
      <c r="B2992" t="s">
        <v>60659</v>
      </c>
      <c r="C2992" t="s">
        <v>60660</v>
      </c>
      <c r="D2992" t="s">
        <v>60661</v>
      </c>
      <c r="E2992" t="s">
        <v>60662</v>
      </c>
      <c r="F2992" t="s">
        <v>60663</v>
      </c>
      <c r="G2992" t="s">
        <v>60664</v>
      </c>
      <c r="H2992" t="s">
        <v>60665</v>
      </c>
      <c r="I2992" t="s">
        <v>60666</v>
      </c>
      <c r="J2992" t="s">
        <v>60667</v>
      </c>
      <c r="K2992" t="s">
        <v>60668</v>
      </c>
      <c r="L2992" t="s">
        <v>60669</v>
      </c>
      <c r="M2992" t="s">
        <v>60670</v>
      </c>
      <c r="N2992" t="s">
        <v>60671</v>
      </c>
      <c r="O2992" t="s">
        <v>60672</v>
      </c>
      <c r="P2992" t="s">
        <v>60673</v>
      </c>
      <c r="Q2992" t="s">
        <v>60674</v>
      </c>
      <c r="R2992" t="s">
        <v>60675</v>
      </c>
      <c r="S2992" t="s">
        <v>60676</v>
      </c>
      <c r="T2992" t="s">
        <v>60677</v>
      </c>
      <c r="U2992" t="s">
        <v>60678</v>
      </c>
      <c r="V2992" t="s">
        <v>60679</v>
      </c>
      <c r="W2992" t="s">
        <v>60680</v>
      </c>
      <c r="X2992" t="s">
        <v>60681</v>
      </c>
      <c r="Y2992" t="s">
        <v>60682</v>
      </c>
    </row>
    <row r="2993" spans="1:25" x14ac:dyDescent="0.3">
      <c r="A2993">
        <v>149600</v>
      </c>
      <c r="B2993" t="s">
        <v>60683</v>
      </c>
      <c r="C2993" t="s">
        <v>60684</v>
      </c>
      <c r="D2993" t="s">
        <v>60685</v>
      </c>
      <c r="E2993" t="s">
        <v>60686</v>
      </c>
      <c r="F2993" t="s">
        <v>60687</v>
      </c>
      <c r="G2993" t="s">
        <v>60688</v>
      </c>
      <c r="H2993" t="s">
        <v>60689</v>
      </c>
      <c r="I2993" t="s">
        <v>60690</v>
      </c>
      <c r="J2993" t="s">
        <v>60691</v>
      </c>
      <c r="K2993" t="s">
        <v>60692</v>
      </c>
      <c r="L2993" t="s">
        <v>60693</v>
      </c>
      <c r="M2993" t="s">
        <v>60694</v>
      </c>
      <c r="N2993" t="s">
        <v>60695</v>
      </c>
      <c r="O2993" t="s">
        <v>60696</v>
      </c>
      <c r="P2993" t="s">
        <v>60697</v>
      </c>
      <c r="Q2993" t="s">
        <v>60698</v>
      </c>
      <c r="R2993" t="s">
        <v>60699</v>
      </c>
      <c r="S2993" t="s">
        <v>60700</v>
      </c>
      <c r="T2993" t="s">
        <v>60701</v>
      </c>
      <c r="U2993" t="s">
        <v>60702</v>
      </c>
      <c r="V2993" t="s">
        <v>60703</v>
      </c>
      <c r="W2993" t="s">
        <v>60704</v>
      </c>
      <c r="X2993" t="s">
        <v>60705</v>
      </c>
      <c r="Y2993" t="s">
        <v>60706</v>
      </c>
    </row>
    <row r="2994" spans="1:25" x14ac:dyDescent="0.3">
      <c r="A2994">
        <v>149650</v>
      </c>
      <c r="B2994" t="s">
        <v>60707</v>
      </c>
      <c r="C2994" t="s">
        <v>60708</v>
      </c>
      <c r="D2994" t="s">
        <v>60709</v>
      </c>
      <c r="E2994" t="s">
        <v>60710</v>
      </c>
      <c r="F2994" t="s">
        <v>60711</v>
      </c>
      <c r="G2994" t="s">
        <v>60712</v>
      </c>
      <c r="H2994" t="s">
        <v>60713</v>
      </c>
      <c r="I2994" t="s">
        <v>60714</v>
      </c>
      <c r="J2994" t="s">
        <v>60715</v>
      </c>
      <c r="K2994" t="s">
        <v>60716</v>
      </c>
      <c r="L2994" t="s">
        <v>60717</v>
      </c>
      <c r="M2994" t="s">
        <v>60718</v>
      </c>
      <c r="N2994" t="s">
        <v>60719</v>
      </c>
      <c r="O2994" t="s">
        <v>60720</v>
      </c>
      <c r="P2994" t="s">
        <v>60721</v>
      </c>
      <c r="Q2994" t="s">
        <v>60722</v>
      </c>
      <c r="R2994" t="s">
        <v>60723</v>
      </c>
      <c r="S2994" t="s">
        <v>60724</v>
      </c>
      <c r="T2994" t="s">
        <v>60725</v>
      </c>
      <c r="U2994" t="s">
        <v>60726</v>
      </c>
      <c r="V2994" t="s">
        <v>60727</v>
      </c>
      <c r="W2994" t="s">
        <v>60728</v>
      </c>
      <c r="X2994" t="s">
        <v>60729</v>
      </c>
      <c r="Y2994" t="s">
        <v>60730</v>
      </c>
    </row>
    <row r="2995" spans="1:25" x14ac:dyDescent="0.3">
      <c r="A2995">
        <v>149700</v>
      </c>
      <c r="B2995" t="s">
        <v>60731</v>
      </c>
      <c r="C2995" t="s">
        <v>60732</v>
      </c>
      <c r="D2995" t="s">
        <v>60733</v>
      </c>
      <c r="E2995" t="s">
        <v>60734</v>
      </c>
      <c r="F2995" t="s">
        <v>60735</v>
      </c>
      <c r="G2995" t="s">
        <v>60736</v>
      </c>
      <c r="H2995" t="s">
        <v>60737</v>
      </c>
      <c r="I2995" t="s">
        <v>60738</v>
      </c>
      <c r="J2995" t="s">
        <v>60739</v>
      </c>
      <c r="K2995" t="s">
        <v>60740</v>
      </c>
      <c r="L2995" t="s">
        <v>60741</v>
      </c>
      <c r="M2995" t="s">
        <v>60742</v>
      </c>
      <c r="N2995" t="s">
        <v>60743</v>
      </c>
      <c r="O2995" t="s">
        <v>60744</v>
      </c>
      <c r="P2995" t="s">
        <v>60745</v>
      </c>
      <c r="Q2995" t="s">
        <v>60746</v>
      </c>
      <c r="R2995" t="s">
        <v>60747</v>
      </c>
      <c r="S2995" t="s">
        <v>60748</v>
      </c>
      <c r="T2995" t="s">
        <v>60749</v>
      </c>
      <c r="U2995" t="s">
        <v>60750</v>
      </c>
      <c r="V2995" t="s">
        <v>60751</v>
      </c>
      <c r="W2995" t="s">
        <v>60752</v>
      </c>
      <c r="X2995" t="s">
        <v>60753</v>
      </c>
      <c r="Y2995" t="s">
        <v>60754</v>
      </c>
    </row>
    <row r="2996" spans="1:25" x14ac:dyDescent="0.3">
      <c r="A2996">
        <v>149750</v>
      </c>
      <c r="B2996" t="s">
        <v>60755</v>
      </c>
      <c r="C2996" t="s">
        <v>60756</v>
      </c>
      <c r="D2996" t="s">
        <v>60757</v>
      </c>
      <c r="E2996" t="s">
        <v>60758</v>
      </c>
      <c r="F2996" t="s">
        <v>60759</v>
      </c>
      <c r="G2996" t="s">
        <v>60760</v>
      </c>
      <c r="H2996" t="s">
        <v>60761</v>
      </c>
      <c r="I2996" t="s">
        <v>60762</v>
      </c>
      <c r="J2996" t="s">
        <v>60763</v>
      </c>
      <c r="K2996" t="s">
        <v>60764</v>
      </c>
      <c r="L2996" t="s">
        <v>60765</v>
      </c>
      <c r="M2996" t="s">
        <v>60766</v>
      </c>
      <c r="N2996" t="s">
        <v>60767</v>
      </c>
      <c r="O2996" t="s">
        <v>60768</v>
      </c>
      <c r="P2996" t="s">
        <v>60769</v>
      </c>
      <c r="Q2996" t="s">
        <v>60770</v>
      </c>
      <c r="R2996" t="s">
        <v>60771</v>
      </c>
      <c r="S2996" t="s">
        <v>60772</v>
      </c>
      <c r="T2996" t="s">
        <v>60773</v>
      </c>
      <c r="U2996" t="s">
        <v>60774</v>
      </c>
      <c r="V2996" t="s">
        <v>60775</v>
      </c>
      <c r="W2996" t="s">
        <v>60776</v>
      </c>
      <c r="X2996" t="s">
        <v>60777</v>
      </c>
      <c r="Y2996" t="s">
        <v>60778</v>
      </c>
    </row>
    <row r="2997" spans="1:25" x14ac:dyDescent="0.3">
      <c r="A2997">
        <v>149800</v>
      </c>
      <c r="B2997" t="s">
        <v>60779</v>
      </c>
      <c r="C2997" t="s">
        <v>60780</v>
      </c>
      <c r="D2997" t="s">
        <v>60781</v>
      </c>
      <c r="E2997" t="s">
        <v>60782</v>
      </c>
      <c r="F2997" t="s">
        <v>60783</v>
      </c>
      <c r="G2997" t="s">
        <v>60784</v>
      </c>
      <c r="H2997" t="s">
        <v>60785</v>
      </c>
      <c r="I2997" t="s">
        <v>60786</v>
      </c>
      <c r="J2997" t="s">
        <v>60787</v>
      </c>
      <c r="K2997" t="s">
        <v>60788</v>
      </c>
      <c r="L2997" t="s">
        <v>60789</v>
      </c>
      <c r="M2997" t="s">
        <v>60790</v>
      </c>
      <c r="N2997" t="s">
        <v>60791</v>
      </c>
      <c r="O2997" t="s">
        <v>60792</v>
      </c>
      <c r="P2997" t="s">
        <v>60793</v>
      </c>
      <c r="Q2997" t="s">
        <v>60794</v>
      </c>
      <c r="R2997" t="s">
        <v>60795</v>
      </c>
      <c r="S2997" t="s">
        <v>60796</v>
      </c>
      <c r="T2997" t="s">
        <v>60797</v>
      </c>
      <c r="U2997" t="s">
        <v>60798</v>
      </c>
      <c r="V2997" t="s">
        <v>60799</v>
      </c>
      <c r="W2997" t="s">
        <v>60800</v>
      </c>
      <c r="X2997" t="s">
        <v>60801</v>
      </c>
      <c r="Y2997" t="s">
        <v>60802</v>
      </c>
    </row>
    <row r="2998" spans="1:25" x14ac:dyDescent="0.3">
      <c r="A2998">
        <v>149850</v>
      </c>
      <c r="B2998" t="s">
        <v>60803</v>
      </c>
      <c r="C2998" t="s">
        <v>60804</v>
      </c>
      <c r="D2998" t="s">
        <v>60805</v>
      </c>
      <c r="E2998" t="s">
        <v>60806</v>
      </c>
      <c r="F2998" t="s">
        <v>60807</v>
      </c>
      <c r="G2998" t="s">
        <v>60808</v>
      </c>
      <c r="H2998" t="s">
        <v>60809</v>
      </c>
      <c r="I2998" t="s">
        <v>60810</v>
      </c>
      <c r="J2998" t="s">
        <v>60811</v>
      </c>
      <c r="K2998" t="s">
        <v>60812</v>
      </c>
      <c r="L2998" t="s">
        <v>60813</v>
      </c>
      <c r="M2998" t="s">
        <v>60814</v>
      </c>
      <c r="N2998" t="s">
        <v>60815</v>
      </c>
      <c r="O2998" t="s">
        <v>60816</v>
      </c>
      <c r="P2998" t="s">
        <v>60817</v>
      </c>
      <c r="Q2998" t="s">
        <v>60818</v>
      </c>
      <c r="R2998" t="s">
        <v>60819</v>
      </c>
      <c r="S2998" t="s">
        <v>60820</v>
      </c>
      <c r="T2998" t="s">
        <v>60821</v>
      </c>
      <c r="U2998" t="s">
        <v>60822</v>
      </c>
      <c r="V2998" t="s">
        <v>60823</v>
      </c>
      <c r="W2998" t="s">
        <v>60824</v>
      </c>
      <c r="X2998" t="s">
        <v>60825</v>
      </c>
      <c r="Y2998" t="s">
        <v>60826</v>
      </c>
    </row>
    <row r="2999" spans="1:25" x14ac:dyDescent="0.3">
      <c r="A2999">
        <v>149900</v>
      </c>
      <c r="B2999" t="s">
        <v>60827</v>
      </c>
      <c r="C2999" t="s">
        <v>60828</v>
      </c>
      <c r="D2999" t="s">
        <v>60829</v>
      </c>
      <c r="E2999" t="s">
        <v>60830</v>
      </c>
      <c r="F2999" t="s">
        <v>60831</v>
      </c>
      <c r="G2999" t="s">
        <v>60832</v>
      </c>
      <c r="H2999" t="s">
        <v>60833</v>
      </c>
      <c r="I2999" t="s">
        <v>60834</v>
      </c>
      <c r="J2999" t="s">
        <v>60835</v>
      </c>
      <c r="K2999" t="s">
        <v>60836</v>
      </c>
      <c r="L2999" t="s">
        <v>60837</v>
      </c>
      <c r="M2999" t="s">
        <v>60838</v>
      </c>
      <c r="N2999" t="s">
        <v>60839</v>
      </c>
      <c r="O2999" t="s">
        <v>60840</v>
      </c>
      <c r="P2999" t="s">
        <v>60841</v>
      </c>
      <c r="Q2999" t="s">
        <v>60842</v>
      </c>
      <c r="R2999" t="s">
        <v>60843</v>
      </c>
      <c r="S2999" t="s">
        <v>60844</v>
      </c>
      <c r="T2999" t="s">
        <v>60845</v>
      </c>
      <c r="U2999" t="s">
        <v>60846</v>
      </c>
      <c r="V2999" t="s">
        <v>60847</v>
      </c>
      <c r="W2999" t="s">
        <v>60848</v>
      </c>
      <c r="X2999" t="s">
        <v>60849</v>
      </c>
      <c r="Y2999" t="s">
        <v>60850</v>
      </c>
    </row>
    <row r="3000" spans="1:25" x14ac:dyDescent="0.3">
      <c r="A3000">
        <v>149950</v>
      </c>
      <c r="B3000" t="s">
        <v>60851</v>
      </c>
      <c r="C3000" t="s">
        <v>60852</v>
      </c>
      <c r="D3000" t="s">
        <v>60853</v>
      </c>
      <c r="E3000" t="s">
        <v>60854</v>
      </c>
      <c r="F3000" t="s">
        <v>60855</v>
      </c>
      <c r="G3000" t="s">
        <v>60856</v>
      </c>
      <c r="H3000" t="s">
        <v>60857</v>
      </c>
      <c r="I3000" t="s">
        <v>60858</v>
      </c>
      <c r="J3000" t="s">
        <v>60859</v>
      </c>
      <c r="K3000" t="s">
        <v>60860</v>
      </c>
      <c r="L3000" t="s">
        <v>60861</v>
      </c>
      <c r="M3000" t="s">
        <v>60862</v>
      </c>
      <c r="N3000" t="s">
        <v>60863</v>
      </c>
      <c r="O3000" t="s">
        <v>60864</v>
      </c>
      <c r="P3000" t="s">
        <v>60865</v>
      </c>
      <c r="Q3000" t="s">
        <v>60866</v>
      </c>
      <c r="R3000" t="s">
        <v>60867</v>
      </c>
      <c r="S3000" t="s">
        <v>60868</v>
      </c>
      <c r="T3000" t="s">
        <v>60869</v>
      </c>
      <c r="U3000" t="s">
        <v>60870</v>
      </c>
      <c r="V3000" t="s">
        <v>60871</v>
      </c>
      <c r="W3000" t="s">
        <v>60872</v>
      </c>
      <c r="X3000" t="s">
        <v>60873</v>
      </c>
      <c r="Y3000" t="s">
        <v>60874</v>
      </c>
    </row>
    <row r="3001" spans="1:25" x14ac:dyDescent="0.3">
      <c r="A3001">
        <v>150000</v>
      </c>
      <c r="B3001" t="s">
        <v>60875</v>
      </c>
      <c r="C3001" t="s">
        <v>60876</v>
      </c>
      <c r="D3001" t="s">
        <v>60877</v>
      </c>
      <c r="E3001" t="s">
        <v>60878</v>
      </c>
      <c r="F3001" t="s">
        <v>60879</v>
      </c>
      <c r="G3001" t="s">
        <v>60880</v>
      </c>
      <c r="H3001" t="s">
        <v>60881</v>
      </c>
      <c r="I3001" t="s">
        <v>60882</v>
      </c>
      <c r="J3001" t="s">
        <v>60883</v>
      </c>
      <c r="K3001" t="s">
        <v>60884</v>
      </c>
      <c r="L3001" t="s">
        <v>60885</v>
      </c>
      <c r="M3001" t="s">
        <v>60886</v>
      </c>
      <c r="N3001" t="s">
        <v>60887</v>
      </c>
      <c r="O3001" t="s">
        <v>60888</v>
      </c>
      <c r="P3001" t="s">
        <v>60889</v>
      </c>
      <c r="Q3001" t="s">
        <v>60890</v>
      </c>
      <c r="R3001" t="s">
        <v>60891</v>
      </c>
      <c r="S3001" t="s">
        <v>60892</v>
      </c>
      <c r="T3001" t="s">
        <v>60893</v>
      </c>
      <c r="U3001" t="s">
        <v>60894</v>
      </c>
      <c r="V3001" t="s">
        <v>60895</v>
      </c>
      <c r="W3001" t="s">
        <v>60896</v>
      </c>
      <c r="X3001" t="s">
        <v>60897</v>
      </c>
      <c r="Y3001" t="s">
        <v>60898</v>
      </c>
    </row>
    <row r="3002" spans="1:25" x14ac:dyDescent="0.3">
      <c r="A3002">
        <v>150050</v>
      </c>
      <c r="B3002" t="s">
        <v>60899</v>
      </c>
      <c r="C3002" t="s">
        <v>60900</v>
      </c>
      <c r="D3002" t="s">
        <v>60901</v>
      </c>
      <c r="E3002" t="s">
        <v>60902</v>
      </c>
      <c r="F3002" t="s">
        <v>60903</v>
      </c>
      <c r="G3002" t="s">
        <v>60904</v>
      </c>
      <c r="H3002" t="s">
        <v>60905</v>
      </c>
      <c r="I3002" t="s">
        <v>60906</v>
      </c>
      <c r="J3002" t="s">
        <v>60907</v>
      </c>
      <c r="K3002" t="s">
        <v>60908</v>
      </c>
      <c r="L3002" t="s">
        <v>60909</v>
      </c>
      <c r="M3002" t="s">
        <v>60910</v>
      </c>
      <c r="N3002" t="s">
        <v>60911</v>
      </c>
      <c r="O3002" t="s">
        <v>60912</v>
      </c>
      <c r="P3002" t="s">
        <v>60913</v>
      </c>
      <c r="Q3002" t="s">
        <v>60914</v>
      </c>
      <c r="R3002" t="s">
        <v>60915</v>
      </c>
      <c r="S3002" t="s">
        <v>60916</v>
      </c>
      <c r="T3002" t="s">
        <v>60917</v>
      </c>
      <c r="U3002" t="s">
        <v>60918</v>
      </c>
      <c r="V3002" t="s">
        <v>60919</v>
      </c>
      <c r="W3002" t="s">
        <v>60920</v>
      </c>
      <c r="X3002" t="s">
        <v>60921</v>
      </c>
      <c r="Y3002" t="s">
        <v>60922</v>
      </c>
    </row>
    <row r="3003" spans="1:25" x14ac:dyDescent="0.3">
      <c r="A3003">
        <v>150100</v>
      </c>
      <c r="B3003" t="s">
        <v>60923</v>
      </c>
      <c r="C3003" t="s">
        <v>60924</v>
      </c>
      <c r="D3003" t="s">
        <v>60925</v>
      </c>
      <c r="E3003" t="s">
        <v>60926</v>
      </c>
      <c r="F3003" t="s">
        <v>60927</v>
      </c>
      <c r="G3003" t="s">
        <v>60928</v>
      </c>
      <c r="H3003" t="s">
        <v>60929</v>
      </c>
      <c r="I3003" t="s">
        <v>60930</v>
      </c>
      <c r="J3003" t="s">
        <v>60931</v>
      </c>
      <c r="K3003" t="s">
        <v>60932</v>
      </c>
      <c r="L3003" t="s">
        <v>60933</v>
      </c>
      <c r="M3003" t="s">
        <v>60934</v>
      </c>
      <c r="N3003" t="s">
        <v>60935</v>
      </c>
      <c r="O3003" t="s">
        <v>60936</v>
      </c>
      <c r="P3003" t="s">
        <v>60937</v>
      </c>
      <c r="Q3003" t="s">
        <v>60938</v>
      </c>
      <c r="R3003" t="s">
        <v>60939</v>
      </c>
      <c r="S3003" t="s">
        <v>60940</v>
      </c>
      <c r="T3003" t="s">
        <v>60941</v>
      </c>
      <c r="U3003" t="s">
        <v>60942</v>
      </c>
      <c r="V3003" t="s">
        <v>60943</v>
      </c>
      <c r="W3003" t="s">
        <v>60944</v>
      </c>
      <c r="X3003" t="s">
        <v>60945</v>
      </c>
      <c r="Y3003" t="s">
        <v>60946</v>
      </c>
    </row>
    <row r="3004" spans="1:25" x14ac:dyDescent="0.3">
      <c r="A3004">
        <v>150150</v>
      </c>
      <c r="B3004" t="s">
        <v>60947</v>
      </c>
      <c r="C3004" t="s">
        <v>60948</v>
      </c>
      <c r="D3004" t="s">
        <v>60949</v>
      </c>
      <c r="E3004" t="s">
        <v>60950</v>
      </c>
      <c r="F3004" t="s">
        <v>60951</v>
      </c>
      <c r="G3004" t="s">
        <v>60952</v>
      </c>
      <c r="H3004" t="s">
        <v>60953</v>
      </c>
      <c r="I3004" t="s">
        <v>60954</v>
      </c>
      <c r="J3004" t="s">
        <v>60955</v>
      </c>
      <c r="K3004" t="s">
        <v>60956</v>
      </c>
      <c r="L3004" t="s">
        <v>60957</v>
      </c>
      <c r="M3004" t="s">
        <v>60958</v>
      </c>
      <c r="N3004" t="s">
        <v>60959</v>
      </c>
      <c r="O3004" t="s">
        <v>60960</v>
      </c>
      <c r="P3004" t="s">
        <v>60961</v>
      </c>
      <c r="Q3004" t="s">
        <v>60962</v>
      </c>
      <c r="R3004" t="s">
        <v>60963</v>
      </c>
      <c r="S3004" t="s">
        <v>60964</v>
      </c>
      <c r="T3004" t="s">
        <v>60965</v>
      </c>
      <c r="U3004" t="s">
        <v>60966</v>
      </c>
      <c r="V3004" t="s">
        <v>60967</v>
      </c>
      <c r="W3004" t="s">
        <v>60968</v>
      </c>
      <c r="X3004" t="s">
        <v>60969</v>
      </c>
      <c r="Y3004" t="s">
        <v>60970</v>
      </c>
    </row>
    <row r="3005" spans="1:25" x14ac:dyDescent="0.3">
      <c r="A3005">
        <v>150200</v>
      </c>
      <c r="B3005" t="s">
        <v>60971</v>
      </c>
      <c r="C3005" t="s">
        <v>60972</v>
      </c>
      <c r="D3005" t="s">
        <v>60973</v>
      </c>
      <c r="E3005" t="s">
        <v>60974</v>
      </c>
      <c r="F3005" t="s">
        <v>60975</v>
      </c>
      <c r="G3005" t="s">
        <v>60976</v>
      </c>
      <c r="H3005" t="s">
        <v>60977</v>
      </c>
      <c r="I3005" t="s">
        <v>60978</v>
      </c>
      <c r="J3005" t="s">
        <v>60979</v>
      </c>
      <c r="K3005" t="s">
        <v>60980</v>
      </c>
      <c r="L3005" t="s">
        <v>60981</v>
      </c>
      <c r="M3005" t="s">
        <v>60982</v>
      </c>
      <c r="N3005" t="s">
        <v>60983</v>
      </c>
      <c r="O3005" t="s">
        <v>60984</v>
      </c>
      <c r="P3005" t="s">
        <v>60985</v>
      </c>
      <c r="Q3005" t="s">
        <v>60986</v>
      </c>
      <c r="R3005" t="s">
        <v>60987</v>
      </c>
      <c r="S3005" t="s">
        <v>60988</v>
      </c>
      <c r="T3005" t="s">
        <v>60989</v>
      </c>
      <c r="U3005" t="s">
        <v>60990</v>
      </c>
      <c r="V3005" t="s">
        <v>60991</v>
      </c>
      <c r="W3005" t="s">
        <v>60992</v>
      </c>
      <c r="X3005" t="s">
        <v>60993</v>
      </c>
      <c r="Y3005" t="s">
        <v>60994</v>
      </c>
    </row>
    <row r="3006" spans="1:25" x14ac:dyDescent="0.3">
      <c r="A3006">
        <v>150250</v>
      </c>
      <c r="B3006" t="s">
        <v>60995</v>
      </c>
      <c r="C3006" t="s">
        <v>60996</v>
      </c>
      <c r="D3006" t="s">
        <v>60997</v>
      </c>
      <c r="E3006" t="s">
        <v>60998</v>
      </c>
      <c r="F3006" t="s">
        <v>60999</v>
      </c>
      <c r="G3006" t="s">
        <v>61000</v>
      </c>
      <c r="H3006" t="s">
        <v>61001</v>
      </c>
      <c r="I3006" t="s">
        <v>61002</v>
      </c>
      <c r="J3006" t="s">
        <v>61003</v>
      </c>
      <c r="K3006" t="s">
        <v>61004</v>
      </c>
      <c r="L3006" t="s">
        <v>61005</v>
      </c>
      <c r="M3006" t="s">
        <v>61006</v>
      </c>
      <c r="N3006" t="s">
        <v>61007</v>
      </c>
      <c r="O3006" t="s">
        <v>61008</v>
      </c>
      <c r="P3006" t="s">
        <v>61009</v>
      </c>
      <c r="Q3006" t="s">
        <v>61010</v>
      </c>
      <c r="R3006" t="s">
        <v>61011</v>
      </c>
      <c r="S3006" t="s">
        <v>61012</v>
      </c>
      <c r="T3006" t="s">
        <v>61013</v>
      </c>
      <c r="U3006" t="s">
        <v>61014</v>
      </c>
      <c r="V3006" t="s">
        <v>61015</v>
      </c>
      <c r="W3006" t="s">
        <v>61016</v>
      </c>
      <c r="X3006" t="s">
        <v>61017</v>
      </c>
      <c r="Y3006" t="s">
        <v>61018</v>
      </c>
    </row>
    <row r="3007" spans="1:25" x14ac:dyDescent="0.3">
      <c r="A3007">
        <v>150300</v>
      </c>
      <c r="B3007" t="s">
        <v>61019</v>
      </c>
      <c r="C3007" t="s">
        <v>61020</v>
      </c>
      <c r="D3007" t="s">
        <v>61021</v>
      </c>
      <c r="E3007" t="s">
        <v>61022</v>
      </c>
      <c r="F3007" t="s">
        <v>61023</v>
      </c>
      <c r="G3007" t="s">
        <v>61024</v>
      </c>
      <c r="H3007" t="s">
        <v>61025</v>
      </c>
      <c r="I3007" t="s">
        <v>61026</v>
      </c>
      <c r="J3007" t="s">
        <v>61027</v>
      </c>
      <c r="K3007" t="s">
        <v>61028</v>
      </c>
      <c r="L3007" t="s">
        <v>61029</v>
      </c>
      <c r="M3007" t="s">
        <v>61030</v>
      </c>
      <c r="N3007" t="s">
        <v>61031</v>
      </c>
      <c r="O3007" t="s">
        <v>61032</v>
      </c>
      <c r="P3007" t="s">
        <v>61033</v>
      </c>
      <c r="Q3007" t="s">
        <v>61034</v>
      </c>
      <c r="R3007" t="s">
        <v>61035</v>
      </c>
      <c r="S3007" t="s">
        <v>61036</v>
      </c>
      <c r="T3007" t="s">
        <v>61037</v>
      </c>
      <c r="U3007" t="s">
        <v>61038</v>
      </c>
      <c r="V3007" t="s">
        <v>61039</v>
      </c>
      <c r="W3007" t="s">
        <v>61040</v>
      </c>
      <c r="X3007" t="s">
        <v>61041</v>
      </c>
      <c r="Y3007" t="s">
        <v>61042</v>
      </c>
    </row>
    <row r="3008" spans="1:25" x14ac:dyDescent="0.3">
      <c r="A3008">
        <v>150350</v>
      </c>
      <c r="B3008" t="s">
        <v>61043</v>
      </c>
      <c r="C3008" t="s">
        <v>61044</v>
      </c>
      <c r="D3008" t="s">
        <v>61045</v>
      </c>
      <c r="E3008" t="s">
        <v>61046</v>
      </c>
      <c r="F3008" t="s">
        <v>61047</v>
      </c>
      <c r="G3008" t="s">
        <v>61048</v>
      </c>
      <c r="H3008" t="s">
        <v>61049</v>
      </c>
      <c r="I3008" t="s">
        <v>61050</v>
      </c>
      <c r="J3008" t="s">
        <v>61051</v>
      </c>
      <c r="K3008" t="s">
        <v>61052</v>
      </c>
      <c r="L3008" t="s">
        <v>61053</v>
      </c>
      <c r="M3008" t="s">
        <v>61054</v>
      </c>
      <c r="N3008" t="s">
        <v>61055</v>
      </c>
      <c r="O3008" t="s">
        <v>61056</v>
      </c>
      <c r="P3008" t="s">
        <v>61057</v>
      </c>
      <c r="Q3008" t="s">
        <v>61058</v>
      </c>
      <c r="R3008" t="s">
        <v>61059</v>
      </c>
      <c r="S3008" t="s">
        <v>61060</v>
      </c>
      <c r="T3008" t="s">
        <v>61061</v>
      </c>
      <c r="U3008" t="s">
        <v>61062</v>
      </c>
      <c r="V3008" t="s">
        <v>61063</v>
      </c>
      <c r="W3008" t="s">
        <v>61064</v>
      </c>
      <c r="X3008" t="s">
        <v>61065</v>
      </c>
      <c r="Y3008" t="s">
        <v>61066</v>
      </c>
    </row>
    <row r="3009" spans="1:25" x14ac:dyDescent="0.3">
      <c r="A3009">
        <v>150400</v>
      </c>
      <c r="B3009" t="s">
        <v>61067</v>
      </c>
      <c r="C3009" t="s">
        <v>61068</v>
      </c>
      <c r="D3009" t="s">
        <v>61069</v>
      </c>
      <c r="E3009" t="s">
        <v>61070</v>
      </c>
      <c r="F3009" t="s">
        <v>61071</v>
      </c>
      <c r="G3009" t="s">
        <v>61072</v>
      </c>
      <c r="H3009" t="s">
        <v>61073</v>
      </c>
      <c r="I3009" t="s">
        <v>61074</v>
      </c>
      <c r="J3009" t="s">
        <v>61075</v>
      </c>
      <c r="K3009" t="s">
        <v>61076</v>
      </c>
      <c r="L3009" t="s">
        <v>61077</v>
      </c>
      <c r="M3009" t="s">
        <v>61078</v>
      </c>
      <c r="N3009" t="s">
        <v>61079</v>
      </c>
      <c r="O3009" t="s">
        <v>61080</v>
      </c>
      <c r="P3009" t="s">
        <v>61081</v>
      </c>
      <c r="Q3009" t="s">
        <v>61082</v>
      </c>
      <c r="R3009" t="s">
        <v>61083</v>
      </c>
      <c r="S3009" t="s">
        <v>61084</v>
      </c>
      <c r="T3009" t="s">
        <v>61085</v>
      </c>
      <c r="U3009" t="s">
        <v>61086</v>
      </c>
      <c r="V3009" t="s">
        <v>61087</v>
      </c>
      <c r="W3009" t="s">
        <v>61088</v>
      </c>
      <c r="X3009" t="s">
        <v>61089</v>
      </c>
      <c r="Y3009" t="s">
        <v>61090</v>
      </c>
    </row>
    <row r="3010" spans="1:25" x14ac:dyDescent="0.3">
      <c r="A3010">
        <v>150450</v>
      </c>
      <c r="B3010" t="s">
        <v>61091</v>
      </c>
      <c r="C3010" t="s">
        <v>61092</v>
      </c>
      <c r="D3010" t="s">
        <v>61093</v>
      </c>
      <c r="E3010" t="s">
        <v>61094</v>
      </c>
      <c r="F3010" t="s">
        <v>61095</v>
      </c>
      <c r="G3010" t="s">
        <v>61096</v>
      </c>
      <c r="H3010" t="s">
        <v>61097</v>
      </c>
      <c r="I3010" t="s">
        <v>61098</v>
      </c>
      <c r="J3010" t="s">
        <v>61099</v>
      </c>
      <c r="K3010" t="s">
        <v>61100</v>
      </c>
      <c r="L3010" t="s">
        <v>61101</v>
      </c>
      <c r="M3010" t="s">
        <v>61102</v>
      </c>
      <c r="N3010" t="s">
        <v>61103</v>
      </c>
      <c r="O3010" t="s">
        <v>61104</v>
      </c>
      <c r="P3010" t="s">
        <v>61105</v>
      </c>
      <c r="Q3010" t="s">
        <v>61106</v>
      </c>
      <c r="R3010" t="s">
        <v>61107</v>
      </c>
      <c r="S3010" t="s">
        <v>61108</v>
      </c>
      <c r="T3010" t="s">
        <v>61109</v>
      </c>
      <c r="U3010" t="s">
        <v>61110</v>
      </c>
      <c r="V3010" t="s">
        <v>61111</v>
      </c>
      <c r="W3010" t="s">
        <v>61112</v>
      </c>
      <c r="X3010" t="s">
        <v>61113</v>
      </c>
      <c r="Y3010" t="s">
        <v>61114</v>
      </c>
    </row>
    <row r="3011" spans="1:25" x14ac:dyDescent="0.3">
      <c r="A3011">
        <v>150500</v>
      </c>
      <c r="B3011" t="s">
        <v>61115</v>
      </c>
      <c r="C3011" t="s">
        <v>61116</v>
      </c>
      <c r="D3011" t="s">
        <v>61117</v>
      </c>
      <c r="E3011" t="s">
        <v>61118</v>
      </c>
      <c r="F3011" t="s">
        <v>61119</v>
      </c>
      <c r="G3011" t="s">
        <v>61120</v>
      </c>
      <c r="H3011" t="s">
        <v>61121</v>
      </c>
      <c r="I3011" t="s">
        <v>61122</v>
      </c>
      <c r="J3011" t="s">
        <v>61123</v>
      </c>
      <c r="K3011" t="s">
        <v>61124</v>
      </c>
      <c r="L3011" t="s">
        <v>61125</v>
      </c>
      <c r="M3011" t="s">
        <v>61126</v>
      </c>
      <c r="N3011" t="s">
        <v>61127</v>
      </c>
      <c r="O3011" t="s">
        <v>61128</v>
      </c>
      <c r="P3011" t="s">
        <v>61129</v>
      </c>
      <c r="Q3011" t="s">
        <v>61130</v>
      </c>
      <c r="R3011" t="s">
        <v>61131</v>
      </c>
      <c r="S3011" t="s">
        <v>61132</v>
      </c>
      <c r="T3011" t="s">
        <v>61133</v>
      </c>
      <c r="U3011" t="s">
        <v>61134</v>
      </c>
      <c r="V3011" t="s">
        <v>61135</v>
      </c>
      <c r="W3011" t="s">
        <v>61136</v>
      </c>
      <c r="X3011" t="s">
        <v>61137</v>
      </c>
      <c r="Y3011" t="s">
        <v>61138</v>
      </c>
    </row>
    <row r="3012" spans="1:25" x14ac:dyDescent="0.3">
      <c r="A3012">
        <v>150550</v>
      </c>
      <c r="B3012" t="s">
        <v>61139</v>
      </c>
      <c r="C3012" t="s">
        <v>61140</v>
      </c>
      <c r="D3012" t="s">
        <v>61141</v>
      </c>
      <c r="E3012" t="s">
        <v>61142</v>
      </c>
      <c r="F3012" t="s">
        <v>61143</v>
      </c>
      <c r="G3012" t="s">
        <v>61144</v>
      </c>
      <c r="H3012" t="s">
        <v>61145</v>
      </c>
      <c r="I3012" t="s">
        <v>61146</v>
      </c>
      <c r="J3012" t="s">
        <v>61147</v>
      </c>
      <c r="K3012" t="s">
        <v>61148</v>
      </c>
      <c r="L3012" t="s">
        <v>61149</v>
      </c>
      <c r="M3012" t="s">
        <v>61150</v>
      </c>
      <c r="N3012" t="s">
        <v>61151</v>
      </c>
      <c r="O3012" t="s">
        <v>61152</v>
      </c>
      <c r="P3012" t="s">
        <v>61153</v>
      </c>
      <c r="Q3012" t="s">
        <v>61154</v>
      </c>
      <c r="R3012" t="s">
        <v>61155</v>
      </c>
      <c r="S3012" t="s">
        <v>61156</v>
      </c>
      <c r="T3012" t="s">
        <v>61157</v>
      </c>
      <c r="U3012" t="s">
        <v>61158</v>
      </c>
      <c r="V3012" t="s">
        <v>61159</v>
      </c>
      <c r="W3012" t="s">
        <v>61160</v>
      </c>
      <c r="X3012" t="s">
        <v>61161</v>
      </c>
      <c r="Y3012" t="s">
        <v>61162</v>
      </c>
    </row>
    <row r="3013" spans="1:25" x14ac:dyDescent="0.3">
      <c r="A3013">
        <v>150600</v>
      </c>
      <c r="B3013" t="s">
        <v>61163</v>
      </c>
      <c r="C3013" t="s">
        <v>61164</v>
      </c>
      <c r="D3013" t="s">
        <v>61165</v>
      </c>
      <c r="E3013" t="s">
        <v>61166</v>
      </c>
      <c r="F3013" t="s">
        <v>61167</v>
      </c>
      <c r="G3013" t="s">
        <v>61168</v>
      </c>
      <c r="H3013" t="s">
        <v>61169</v>
      </c>
      <c r="I3013" t="s">
        <v>61170</v>
      </c>
      <c r="J3013" t="s">
        <v>61171</v>
      </c>
      <c r="K3013" t="s">
        <v>61172</v>
      </c>
      <c r="L3013" t="s">
        <v>61173</v>
      </c>
      <c r="M3013" t="s">
        <v>61174</v>
      </c>
      <c r="N3013" t="s">
        <v>61175</v>
      </c>
      <c r="O3013" t="s">
        <v>61176</v>
      </c>
      <c r="P3013" t="s">
        <v>61177</v>
      </c>
      <c r="Q3013" t="s">
        <v>61178</v>
      </c>
      <c r="R3013" t="s">
        <v>61179</v>
      </c>
      <c r="S3013" t="s">
        <v>61180</v>
      </c>
      <c r="T3013" t="s">
        <v>61181</v>
      </c>
      <c r="U3013" t="s">
        <v>61182</v>
      </c>
      <c r="V3013" t="s">
        <v>61183</v>
      </c>
      <c r="W3013" t="s">
        <v>61184</v>
      </c>
      <c r="X3013" t="s">
        <v>61185</v>
      </c>
      <c r="Y3013" t="s">
        <v>61186</v>
      </c>
    </row>
    <row r="3014" spans="1:25" x14ac:dyDescent="0.3">
      <c r="A3014">
        <v>150650</v>
      </c>
      <c r="B3014" t="s">
        <v>61187</v>
      </c>
      <c r="C3014" t="s">
        <v>61188</v>
      </c>
      <c r="D3014" t="s">
        <v>61189</v>
      </c>
      <c r="E3014" t="s">
        <v>61190</v>
      </c>
      <c r="F3014" t="s">
        <v>61191</v>
      </c>
      <c r="G3014" t="s">
        <v>61192</v>
      </c>
      <c r="H3014" t="s">
        <v>61193</v>
      </c>
      <c r="I3014" t="s">
        <v>61194</v>
      </c>
      <c r="J3014" t="s">
        <v>61195</v>
      </c>
      <c r="K3014" t="s">
        <v>61196</v>
      </c>
      <c r="L3014" t="s">
        <v>61197</v>
      </c>
      <c r="M3014" t="s">
        <v>61198</v>
      </c>
      <c r="N3014" t="s">
        <v>61199</v>
      </c>
      <c r="O3014" t="s">
        <v>61200</v>
      </c>
      <c r="P3014" t="s">
        <v>61201</v>
      </c>
      <c r="Q3014" t="s">
        <v>61202</v>
      </c>
      <c r="R3014" t="s">
        <v>61203</v>
      </c>
      <c r="S3014" t="s">
        <v>61204</v>
      </c>
      <c r="T3014" t="s">
        <v>61205</v>
      </c>
      <c r="U3014" t="s">
        <v>61206</v>
      </c>
      <c r="V3014" t="s">
        <v>61207</v>
      </c>
      <c r="W3014" t="s">
        <v>61208</v>
      </c>
      <c r="X3014" t="s">
        <v>61209</v>
      </c>
      <c r="Y3014" t="s">
        <v>61210</v>
      </c>
    </row>
    <row r="3015" spans="1:25" x14ac:dyDescent="0.3">
      <c r="A3015">
        <v>150700</v>
      </c>
      <c r="B3015" t="s">
        <v>61211</v>
      </c>
      <c r="C3015" t="s">
        <v>61212</v>
      </c>
      <c r="D3015" t="s">
        <v>61213</v>
      </c>
      <c r="E3015" t="s">
        <v>61214</v>
      </c>
      <c r="F3015" t="s">
        <v>61215</v>
      </c>
      <c r="G3015" t="s">
        <v>61216</v>
      </c>
      <c r="H3015" t="s">
        <v>61217</v>
      </c>
      <c r="I3015" t="s">
        <v>61218</v>
      </c>
      <c r="J3015" t="s">
        <v>61219</v>
      </c>
      <c r="K3015" t="s">
        <v>61220</v>
      </c>
      <c r="L3015" t="s">
        <v>61221</v>
      </c>
      <c r="M3015" t="s">
        <v>61222</v>
      </c>
      <c r="N3015" t="s">
        <v>61223</v>
      </c>
      <c r="O3015" t="s">
        <v>61224</v>
      </c>
      <c r="P3015" t="s">
        <v>61225</v>
      </c>
      <c r="Q3015" t="s">
        <v>61226</v>
      </c>
      <c r="R3015" t="s">
        <v>61227</v>
      </c>
      <c r="S3015" t="s">
        <v>61228</v>
      </c>
      <c r="T3015" t="s">
        <v>61229</v>
      </c>
      <c r="U3015" t="s">
        <v>61230</v>
      </c>
      <c r="V3015" t="s">
        <v>61231</v>
      </c>
      <c r="W3015" t="s">
        <v>61232</v>
      </c>
      <c r="X3015" t="s">
        <v>61233</v>
      </c>
      <c r="Y3015" t="s">
        <v>61234</v>
      </c>
    </row>
    <row r="3016" spans="1:25" x14ac:dyDescent="0.3">
      <c r="A3016">
        <v>150750</v>
      </c>
      <c r="B3016" t="s">
        <v>61235</v>
      </c>
      <c r="C3016" t="s">
        <v>61236</v>
      </c>
      <c r="D3016" t="s">
        <v>61237</v>
      </c>
      <c r="E3016" t="s">
        <v>61238</v>
      </c>
      <c r="F3016" t="s">
        <v>61239</v>
      </c>
      <c r="G3016" t="s">
        <v>61240</v>
      </c>
      <c r="H3016" t="s">
        <v>61241</v>
      </c>
      <c r="I3016" t="s">
        <v>61242</v>
      </c>
      <c r="J3016" t="s">
        <v>61243</v>
      </c>
      <c r="K3016" t="s">
        <v>61244</v>
      </c>
      <c r="L3016" t="s">
        <v>61245</v>
      </c>
      <c r="M3016" t="s">
        <v>61246</v>
      </c>
      <c r="N3016" t="s">
        <v>61247</v>
      </c>
      <c r="O3016" t="s">
        <v>61248</v>
      </c>
      <c r="P3016" t="s">
        <v>61249</v>
      </c>
      <c r="Q3016" t="s">
        <v>61250</v>
      </c>
      <c r="R3016" t="s">
        <v>61251</v>
      </c>
      <c r="S3016" t="s">
        <v>61252</v>
      </c>
      <c r="T3016" t="s">
        <v>61253</v>
      </c>
      <c r="U3016" t="s">
        <v>61254</v>
      </c>
      <c r="V3016" t="s">
        <v>61255</v>
      </c>
      <c r="W3016" t="s">
        <v>61256</v>
      </c>
      <c r="X3016" t="s">
        <v>61257</v>
      </c>
      <c r="Y3016" t="s">
        <v>61258</v>
      </c>
    </row>
    <row r="3017" spans="1:25" x14ac:dyDescent="0.3">
      <c r="A3017">
        <v>150800</v>
      </c>
      <c r="B3017" t="s">
        <v>61259</v>
      </c>
      <c r="C3017" t="s">
        <v>61260</v>
      </c>
      <c r="D3017" t="s">
        <v>61261</v>
      </c>
      <c r="E3017" t="s">
        <v>61262</v>
      </c>
      <c r="F3017" t="s">
        <v>61263</v>
      </c>
      <c r="G3017" t="s">
        <v>61264</v>
      </c>
      <c r="H3017" t="s">
        <v>61265</v>
      </c>
      <c r="I3017" t="s">
        <v>61266</v>
      </c>
      <c r="J3017" t="s">
        <v>61267</v>
      </c>
      <c r="K3017" t="s">
        <v>61268</v>
      </c>
      <c r="L3017" t="s">
        <v>61269</v>
      </c>
      <c r="M3017" t="s">
        <v>61270</v>
      </c>
      <c r="N3017" t="s">
        <v>61271</v>
      </c>
      <c r="O3017" t="s">
        <v>61272</v>
      </c>
      <c r="P3017" t="s">
        <v>61273</v>
      </c>
      <c r="Q3017" t="s">
        <v>61274</v>
      </c>
      <c r="R3017" t="s">
        <v>61275</v>
      </c>
      <c r="S3017" t="s">
        <v>61276</v>
      </c>
      <c r="T3017" t="s">
        <v>61277</v>
      </c>
      <c r="U3017" t="s">
        <v>61278</v>
      </c>
      <c r="V3017" t="s">
        <v>61279</v>
      </c>
      <c r="W3017" t="s">
        <v>61280</v>
      </c>
      <c r="X3017" t="s">
        <v>61281</v>
      </c>
      <c r="Y3017" t="s">
        <v>61282</v>
      </c>
    </row>
    <row r="3018" spans="1:25" x14ac:dyDescent="0.3">
      <c r="A3018">
        <v>150850</v>
      </c>
      <c r="B3018" t="s">
        <v>61283</v>
      </c>
      <c r="C3018" t="s">
        <v>61284</v>
      </c>
      <c r="D3018" t="s">
        <v>61285</v>
      </c>
      <c r="E3018" t="s">
        <v>61286</v>
      </c>
      <c r="F3018" t="s">
        <v>61287</v>
      </c>
      <c r="G3018" t="s">
        <v>61288</v>
      </c>
      <c r="H3018" t="s">
        <v>61289</v>
      </c>
      <c r="I3018" t="s">
        <v>61290</v>
      </c>
      <c r="J3018" t="s">
        <v>61291</v>
      </c>
      <c r="K3018" t="s">
        <v>61292</v>
      </c>
      <c r="L3018" t="s">
        <v>61293</v>
      </c>
      <c r="M3018" t="s">
        <v>61294</v>
      </c>
      <c r="N3018" t="s">
        <v>61295</v>
      </c>
      <c r="O3018" t="s">
        <v>61296</v>
      </c>
      <c r="P3018" t="s">
        <v>61297</v>
      </c>
      <c r="Q3018" t="s">
        <v>61298</v>
      </c>
      <c r="R3018" t="s">
        <v>61299</v>
      </c>
      <c r="S3018" t="s">
        <v>61300</v>
      </c>
      <c r="T3018" t="s">
        <v>61301</v>
      </c>
      <c r="U3018" t="s">
        <v>61302</v>
      </c>
      <c r="V3018" t="s">
        <v>61303</v>
      </c>
      <c r="W3018" t="s">
        <v>61304</v>
      </c>
      <c r="X3018" t="s">
        <v>61305</v>
      </c>
      <c r="Y3018" t="s">
        <v>61306</v>
      </c>
    </row>
    <row r="3019" spans="1:25" x14ac:dyDescent="0.3">
      <c r="A3019">
        <v>150900</v>
      </c>
      <c r="B3019" t="s">
        <v>61307</v>
      </c>
      <c r="C3019" t="s">
        <v>61308</v>
      </c>
      <c r="D3019" t="s">
        <v>61309</v>
      </c>
      <c r="E3019" t="s">
        <v>61310</v>
      </c>
      <c r="F3019" t="s">
        <v>61311</v>
      </c>
      <c r="G3019" t="s">
        <v>61312</v>
      </c>
      <c r="H3019" t="s">
        <v>61313</v>
      </c>
      <c r="I3019" t="s">
        <v>61314</v>
      </c>
      <c r="J3019" t="s">
        <v>61315</v>
      </c>
      <c r="K3019" t="s">
        <v>61316</v>
      </c>
      <c r="L3019" t="s">
        <v>61317</v>
      </c>
      <c r="M3019" t="s">
        <v>61318</v>
      </c>
      <c r="N3019" t="s">
        <v>61319</v>
      </c>
      <c r="O3019" t="s">
        <v>61320</v>
      </c>
      <c r="P3019" t="s">
        <v>61321</v>
      </c>
      <c r="Q3019" t="s">
        <v>61322</v>
      </c>
      <c r="R3019" t="s">
        <v>61323</v>
      </c>
      <c r="S3019" t="s">
        <v>61324</v>
      </c>
      <c r="T3019" t="s">
        <v>61325</v>
      </c>
      <c r="U3019" t="s">
        <v>61326</v>
      </c>
      <c r="V3019" t="s">
        <v>61327</v>
      </c>
      <c r="W3019" t="s">
        <v>61328</v>
      </c>
      <c r="X3019" t="s">
        <v>61329</v>
      </c>
      <c r="Y3019" t="s">
        <v>61330</v>
      </c>
    </row>
    <row r="3020" spans="1:25" x14ac:dyDescent="0.3">
      <c r="A3020">
        <v>150950</v>
      </c>
      <c r="B3020" t="s">
        <v>61331</v>
      </c>
      <c r="C3020" t="s">
        <v>61332</v>
      </c>
      <c r="D3020" t="s">
        <v>61333</v>
      </c>
      <c r="E3020" t="s">
        <v>61334</v>
      </c>
      <c r="F3020" t="s">
        <v>61335</v>
      </c>
      <c r="G3020" t="s">
        <v>61336</v>
      </c>
      <c r="H3020" t="s">
        <v>61337</v>
      </c>
      <c r="I3020" t="s">
        <v>61338</v>
      </c>
      <c r="J3020" t="s">
        <v>61339</v>
      </c>
      <c r="K3020" t="s">
        <v>61340</v>
      </c>
      <c r="L3020" t="s">
        <v>61341</v>
      </c>
      <c r="M3020" t="s">
        <v>61342</v>
      </c>
      <c r="N3020" t="s">
        <v>61343</v>
      </c>
      <c r="O3020" t="s">
        <v>61344</v>
      </c>
      <c r="P3020" t="s">
        <v>61345</v>
      </c>
      <c r="Q3020" t="s">
        <v>61346</v>
      </c>
      <c r="R3020" t="s">
        <v>61347</v>
      </c>
      <c r="S3020" t="s">
        <v>61348</v>
      </c>
      <c r="T3020" t="s">
        <v>61349</v>
      </c>
      <c r="U3020" t="s">
        <v>61350</v>
      </c>
      <c r="V3020" t="s">
        <v>61351</v>
      </c>
      <c r="W3020" t="s">
        <v>61352</v>
      </c>
      <c r="X3020" t="s">
        <v>61353</v>
      </c>
      <c r="Y3020" t="s">
        <v>61354</v>
      </c>
    </row>
    <row r="3021" spans="1:25" x14ac:dyDescent="0.3">
      <c r="A3021">
        <v>151000</v>
      </c>
      <c r="B3021" t="s">
        <v>61355</v>
      </c>
      <c r="C3021" t="s">
        <v>61356</v>
      </c>
      <c r="D3021" t="s">
        <v>61357</v>
      </c>
      <c r="E3021" t="s">
        <v>61358</v>
      </c>
      <c r="F3021" t="s">
        <v>61359</v>
      </c>
      <c r="G3021" t="s">
        <v>61360</v>
      </c>
      <c r="H3021" t="s">
        <v>61361</v>
      </c>
      <c r="I3021" t="s">
        <v>61362</v>
      </c>
      <c r="J3021" t="s">
        <v>61363</v>
      </c>
      <c r="K3021" t="s">
        <v>61364</v>
      </c>
      <c r="L3021" t="s">
        <v>61365</v>
      </c>
      <c r="M3021" t="s">
        <v>61366</v>
      </c>
      <c r="N3021" t="s">
        <v>61367</v>
      </c>
      <c r="O3021" t="s">
        <v>61368</v>
      </c>
      <c r="P3021" t="s">
        <v>61369</v>
      </c>
      <c r="Q3021" t="s">
        <v>61370</v>
      </c>
      <c r="R3021" t="s">
        <v>61371</v>
      </c>
      <c r="S3021" t="s">
        <v>61372</v>
      </c>
      <c r="T3021" t="s">
        <v>61373</v>
      </c>
      <c r="U3021" t="s">
        <v>61374</v>
      </c>
      <c r="V3021" t="s">
        <v>61375</v>
      </c>
      <c r="W3021" t="s">
        <v>61376</v>
      </c>
      <c r="X3021" t="s">
        <v>61377</v>
      </c>
      <c r="Y3021" t="s">
        <v>61378</v>
      </c>
    </row>
    <row r="3022" spans="1:25" x14ac:dyDescent="0.3">
      <c r="A3022">
        <v>151050</v>
      </c>
      <c r="B3022" t="s">
        <v>61379</v>
      </c>
      <c r="C3022" t="s">
        <v>61380</v>
      </c>
      <c r="D3022" t="s">
        <v>61381</v>
      </c>
      <c r="E3022" t="s">
        <v>61382</v>
      </c>
      <c r="F3022" t="s">
        <v>61383</v>
      </c>
      <c r="G3022" t="s">
        <v>61384</v>
      </c>
      <c r="H3022" t="s">
        <v>61385</v>
      </c>
      <c r="I3022" t="s">
        <v>61386</v>
      </c>
      <c r="J3022" t="s">
        <v>61387</v>
      </c>
      <c r="K3022" t="s">
        <v>61388</v>
      </c>
      <c r="L3022" t="s">
        <v>61389</v>
      </c>
      <c r="M3022" t="s">
        <v>61390</v>
      </c>
      <c r="N3022" t="s">
        <v>61391</v>
      </c>
      <c r="O3022" t="s">
        <v>61392</v>
      </c>
      <c r="P3022" t="s">
        <v>61393</v>
      </c>
      <c r="Q3022" t="s">
        <v>61394</v>
      </c>
      <c r="R3022" t="s">
        <v>61395</v>
      </c>
      <c r="S3022" t="s">
        <v>61396</v>
      </c>
      <c r="T3022" t="s">
        <v>61397</v>
      </c>
      <c r="U3022" t="s">
        <v>61398</v>
      </c>
      <c r="V3022" t="s">
        <v>61399</v>
      </c>
      <c r="W3022" t="s">
        <v>61400</v>
      </c>
      <c r="X3022" t="s">
        <v>61401</v>
      </c>
      <c r="Y3022" t="s">
        <v>61402</v>
      </c>
    </row>
    <row r="3023" spans="1:25" x14ac:dyDescent="0.3">
      <c r="A3023">
        <v>151100</v>
      </c>
      <c r="B3023" t="s">
        <v>61403</v>
      </c>
      <c r="C3023" t="s">
        <v>61404</v>
      </c>
      <c r="D3023" t="s">
        <v>61405</v>
      </c>
      <c r="E3023" t="s">
        <v>61406</v>
      </c>
      <c r="F3023" t="s">
        <v>61407</v>
      </c>
      <c r="G3023" t="s">
        <v>61408</v>
      </c>
      <c r="H3023" t="s">
        <v>61409</v>
      </c>
      <c r="I3023" t="s">
        <v>61410</v>
      </c>
      <c r="J3023" t="s">
        <v>61411</v>
      </c>
      <c r="K3023" t="s">
        <v>61412</v>
      </c>
      <c r="L3023" t="s">
        <v>61413</v>
      </c>
      <c r="M3023" t="s">
        <v>61414</v>
      </c>
      <c r="N3023" t="s">
        <v>61415</v>
      </c>
      <c r="O3023" t="s">
        <v>61416</v>
      </c>
      <c r="P3023" t="s">
        <v>61417</v>
      </c>
      <c r="Q3023" t="s">
        <v>61418</v>
      </c>
      <c r="R3023" t="s">
        <v>61419</v>
      </c>
      <c r="S3023" t="s">
        <v>61420</v>
      </c>
      <c r="T3023" t="s">
        <v>61421</v>
      </c>
      <c r="U3023" t="s">
        <v>61422</v>
      </c>
      <c r="V3023" t="s">
        <v>61423</v>
      </c>
      <c r="W3023" t="s">
        <v>61424</v>
      </c>
      <c r="X3023" t="s">
        <v>61425</v>
      </c>
      <c r="Y3023" t="s">
        <v>61426</v>
      </c>
    </row>
    <row r="3024" spans="1:25" x14ac:dyDescent="0.3">
      <c r="A3024">
        <v>151150</v>
      </c>
      <c r="B3024" t="s">
        <v>61427</v>
      </c>
      <c r="C3024" t="s">
        <v>61428</v>
      </c>
      <c r="D3024" t="s">
        <v>61429</v>
      </c>
      <c r="E3024" t="s">
        <v>61430</v>
      </c>
      <c r="F3024" t="s">
        <v>61431</v>
      </c>
      <c r="G3024" t="s">
        <v>61432</v>
      </c>
      <c r="H3024" t="s">
        <v>61433</v>
      </c>
      <c r="I3024" t="s">
        <v>61434</v>
      </c>
      <c r="J3024" t="s">
        <v>61435</v>
      </c>
      <c r="K3024" t="s">
        <v>61436</v>
      </c>
      <c r="L3024" t="s">
        <v>61437</v>
      </c>
      <c r="M3024" t="s">
        <v>61438</v>
      </c>
      <c r="N3024" t="s">
        <v>61439</v>
      </c>
      <c r="O3024" t="s">
        <v>61440</v>
      </c>
      <c r="P3024" t="s">
        <v>61441</v>
      </c>
      <c r="Q3024" t="s">
        <v>61442</v>
      </c>
      <c r="R3024" t="s">
        <v>61443</v>
      </c>
      <c r="S3024" t="s">
        <v>61444</v>
      </c>
      <c r="T3024" t="s">
        <v>61445</v>
      </c>
      <c r="U3024" t="s">
        <v>61446</v>
      </c>
      <c r="V3024" t="s">
        <v>61447</v>
      </c>
      <c r="W3024" t="s">
        <v>61448</v>
      </c>
      <c r="X3024" t="s">
        <v>61449</v>
      </c>
      <c r="Y3024" t="s">
        <v>61450</v>
      </c>
    </row>
    <row r="3025" spans="1:25" x14ac:dyDescent="0.3">
      <c r="A3025">
        <v>151200</v>
      </c>
      <c r="B3025" t="s">
        <v>61451</v>
      </c>
      <c r="C3025" t="s">
        <v>61452</v>
      </c>
      <c r="D3025" t="s">
        <v>61453</v>
      </c>
      <c r="E3025" t="s">
        <v>61454</v>
      </c>
      <c r="F3025" t="s">
        <v>61455</v>
      </c>
      <c r="G3025" t="s">
        <v>61456</v>
      </c>
      <c r="H3025" t="s">
        <v>61457</v>
      </c>
      <c r="I3025" t="s">
        <v>61458</v>
      </c>
      <c r="J3025" t="s">
        <v>61459</v>
      </c>
      <c r="K3025" t="s">
        <v>61460</v>
      </c>
      <c r="L3025" t="s">
        <v>61461</v>
      </c>
      <c r="M3025" t="s">
        <v>61462</v>
      </c>
      <c r="N3025" t="s">
        <v>61463</v>
      </c>
      <c r="O3025" t="s">
        <v>61464</v>
      </c>
      <c r="P3025" t="s">
        <v>61465</v>
      </c>
      <c r="Q3025" t="s">
        <v>61466</v>
      </c>
      <c r="R3025" t="s">
        <v>61467</v>
      </c>
      <c r="S3025" t="s">
        <v>61468</v>
      </c>
      <c r="T3025" t="s">
        <v>61469</v>
      </c>
      <c r="U3025" t="s">
        <v>61470</v>
      </c>
      <c r="V3025" t="s">
        <v>61471</v>
      </c>
      <c r="W3025" t="s">
        <v>61472</v>
      </c>
      <c r="X3025" t="s">
        <v>61473</v>
      </c>
      <c r="Y3025" t="s">
        <v>61474</v>
      </c>
    </row>
    <row r="3026" spans="1:25" x14ac:dyDescent="0.3">
      <c r="A3026">
        <v>151250</v>
      </c>
      <c r="B3026" t="s">
        <v>61475</v>
      </c>
      <c r="C3026" t="s">
        <v>61476</v>
      </c>
      <c r="D3026" t="s">
        <v>61477</v>
      </c>
      <c r="E3026" t="s">
        <v>61478</v>
      </c>
      <c r="F3026" t="s">
        <v>61479</v>
      </c>
      <c r="G3026" t="s">
        <v>61480</v>
      </c>
      <c r="H3026" t="s">
        <v>61481</v>
      </c>
      <c r="I3026" t="s">
        <v>61482</v>
      </c>
      <c r="J3026" t="s">
        <v>61483</v>
      </c>
      <c r="K3026" t="s">
        <v>61484</v>
      </c>
      <c r="L3026" t="s">
        <v>61485</v>
      </c>
      <c r="M3026" t="s">
        <v>61486</v>
      </c>
      <c r="N3026" t="s">
        <v>61487</v>
      </c>
      <c r="O3026" t="s">
        <v>61488</v>
      </c>
      <c r="P3026" t="s">
        <v>61489</v>
      </c>
      <c r="Q3026" t="s">
        <v>61490</v>
      </c>
      <c r="R3026" t="s">
        <v>61491</v>
      </c>
      <c r="S3026" t="s">
        <v>61492</v>
      </c>
      <c r="T3026" t="s">
        <v>61493</v>
      </c>
      <c r="U3026" t="s">
        <v>61494</v>
      </c>
      <c r="V3026" t="s">
        <v>61495</v>
      </c>
      <c r="W3026" t="s">
        <v>61496</v>
      </c>
      <c r="X3026" t="s">
        <v>61497</v>
      </c>
      <c r="Y3026" t="s">
        <v>61498</v>
      </c>
    </row>
    <row r="3027" spans="1:25" x14ac:dyDescent="0.3">
      <c r="A3027">
        <v>151300</v>
      </c>
      <c r="B3027" t="s">
        <v>61499</v>
      </c>
      <c r="C3027" t="s">
        <v>61500</v>
      </c>
      <c r="D3027" t="s">
        <v>61501</v>
      </c>
      <c r="E3027" t="s">
        <v>61502</v>
      </c>
      <c r="F3027" t="s">
        <v>61503</v>
      </c>
      <c r="G3027" t="s">
        <v>61504</v>
      </c>
      <c r="H3027" t="s">
        <v>61505</v>
      </c>
      <c r="I3027" t="s">
        <v>61506</v>
      </c>
      <c r="J3027" t="s">
        <v>61507</v>
      </c>
      <c r="K3027" t="s">
        <v>61508</v>
      </c>
      <c r="L3027" t="s">
        <v>61509</v>
      </c>
      <c r="M3027" t="s">
        <v>61510</v>
      </c>
      <c r="N3027" t="s">
        <v>61511</v>
      </c>
      <c r="O3027" t="s">
        <v>61512</v>
      </c>
      <c r="P3027" t="s">
        <v>61513</v>
      </c>
      <c r="Q3027">
        <f>-873.792433116151 -0.378786525583109 -217.042025901778</f>
        <v>-1091.2132455435121</v>
      </c>
      <c r="R3027" t="s">
        <v>61514</v>
      </c>
      <c r="S3027" t="s">
        <v>61515</v>
      </c>
      <c r="T3027" t="s">
        <v>61516</v>
      </c>
      <c r="U3027" t="s">
        <v>61517</v>
      </c>
      <c r="V3027" t="s">
        <v>61518</v>
      </c>
      <c r="W3027" t="s">
        <v>61519</v>
      </c>
      <c r="X3027" t="s">
        <v>61520</v>
      </c>
      <c r="Y3027" t="s">
        <v>61521</v>
      </c>
    </row>
    <row r="3028" spans="1:25" x14ac:dyDescent="0.3">
      <c r="A3028">
        <v>151350</v>
      </c>
      <c r="B3028" t="s">
        <v>61522</v>
      </c>
      <c r="C3028" t="s">
        <v>61523</v>
      </c>
      <c r="D3028" t="s">
        <v>61524</v>
      </c>
      <c r="E3028" t="s">
        <v>61525</v>
      </c>
      <c r="F3028" t="s">
        <v>61526</v>
      </c>
      <c r="G3028" t="s">
        <v>61527</v>
      </c>
      <c r="H3028" t="s">
        <v>61528</v>
      </c>
      <c r="I3028" t="s">
        <v>61529</v>
      </c>
      <c r="J3028" t="s">
        <v>61530</v>
      </c>
      <c r="K3028" t="s">
        <v>61531</v>
      </c>
      <c r="L3028" t="s">
        <v>61532</v>
      </c>
      <c r="M3028" t="s">
        <v>61533</v>
      </c>
      <c r="N3028" t="s">
        <v>61534</v>
      </c>
      <c r="O3028" t="s">
        <v>61535</v>
      </c>
      <c r="P3028" t="s">
        <v>61536</v>
      </c>
      <c r="Q3028">
        <f>-874.269107606351 -2.1954533769499 -216.346778476191</f>
        <v>-1092.8113394594918</v>
      </c>
      <c r="R3028" t="s">
        <v>61537</v>
      </c>
      <c r="S3028" t="s">
        <v>61538</v>
      </c>
      <c r="T3028" t="s">
        <v>61539</v>
      </c>
      <c r="U3028" t="s">
        <v>61540</v>
      </c>
      <c r="V3028" t="s">
        <v>61541</v>
      </c>
      <c r="W3028" t="s">
        <v>61542</v>
      </c>
      <c r="X3028" t="s">
        <v>61543</v>
      </c>
      <c r="Y3028" t="s">
        <v>61544</v>
      </c>
    </row>
    <row r="3029" spans="1:25" x14ac:dyDescent="0.3">
      <c r="A3029">
        <v>151400</v>
      </c>
      <c r="B3029" t="s">
        <v>61545</v>
      </c>
      <c r="C3029" t="s">
        <v>61546</v>
      </c>
      <c r="D3029" t="s">
        <v>61547</v>
      </c>
      <c r="E3029" t="s">
        <v>61548</v>
      </c>
      <c r="F3029" t="s">
        <v>61549</v>
      </c>
      <c r="G3029" t="s">
        <v>61550</v>
      </c>
      <c r="H3029" t="s">
        <v>61551</v>
      </c>
      <c r="I3029" t="s">
        <v>61552</v>
      </c>
      <c r="J3029" t="s">
        <v>61553</v>
      </c>
      <c r="K3029" t="s">
        <v>61554</v>
      </c>
      <c r="L3029" t="s">
        <v>61555</v>
      </c>
      <c r="M3029" t="s">
        <v>61556</v>
      </c>
      <c r="N3029" t="s">
        <v>61557</v>
      </c>
      <c r="O3029" t="s">
        <v>61558</v>
      </c>
      <c r="P3029" t="s">
        <v>61559</v>
      </c>
      <c r="Q3029">
        <f>-874.465635283043 -3.35516036174977 -215.452300217877</f>
        <v>-1093.2730958626698</v>
      </c>
      <c r="R3029" t="s">
        <v>61560</v>
      </c>
      <c r="S3029" t="s">
        <v>61561</v>
      </c>
      <c r="T3029" t="s">
        <v>61562</v>
      </c>
      <c r="U3029" t="s">
        <v>61563</v>
      </c>
      <c r="V3029" t="s">
        <v>61564</v>
      </c>
      <c r="W3029" t="s">
        <v>61565</v>
      </c>
      <c r="X3029" t="s">
        <v>61566</v>
      </c>
      <c r="Y3029" t="s">
        <v>61567</v>
      </c>
    </row>
    <row r="3030" spans="1:25" x14ac:dyDescent="0.3">
      <c r="A3030">
        <v>151450</v>
      </c>
      <c r="B3030" t="s">
        <v>61568</v>
      </c>
      <c r="C3030" t="s">
        <v>61569</v>
      </c>
      <c r="D3030" t="s">
        <v>61570</v>
      </c>
      <c r="E3030" t="s">
        <v>61571</v>
      </c>
      <c r="F3030" t="s">
        <v>61572</v>
      </c>
      <c r="G3030" t="s">
        <v>61573</v>
      </c>
      <c r="H3030" t="s">
        <v>61574</v>
      </c>
      <c r="I3030" t="s">
        <v>61575</v>
      </c>
      <c r="J3030" t="s">
        <v>61576</v>
      </c>
      <c r="K3030" t="s">
        <v>61577</v>
      </c>
      <c r="L3030" t="s">
        <v>61578</v>
      </c>
      <c r="M3030" t="s">
        <v>61579</v>
      </c>
      <c r="N3030" t="s">
        <v>61580</v>
      </c>
      <c r="O3030" t="s">
        <v>61581</v>
      </c>
      <c r="P3030" t="s">
        <v>61582</v>
      </c>
      <c r="Q3030">
        <f>-874.561368759498 -2.96243510392105 -215.063408474319</f>
        <v>-1092.587212337738</v>
      </c>
      <c r="R3030" t="s">
        <v>61583</v>
      </c>
      <c r="S3030" t="s">
        <v>61584</v>
      </c>
      <c r="T3030" t="s">
        <v>61585</v>
      </c>
      <c r="U3030" t="s">
        <v>61586</v>
      </c>
      <c r="V3030" t="s">
        <v>61587</v>
      </c>
      <c r="W3030" t="s">
        <v>61588</v>
      </c>
      <c r="X3030" t="s">
        <v>61589</v>
      </c>
      <c r="Y3030" t="s">
        <v>61590</v>
      </c>
    </row>
    <row r="3031" spans="1:25" x14ac:dyDescent="0.3">
      <c r="A3031">
        <v>151500</v>
      </c>
      <c r="B3031" t="s">
        <v>61591</v>
      </c>
      <c r="C3031" t="s">
        <v>61592</v>
      </c>
      <c r="D3031" t="s">
        <v>61593</v>
      </c>
      <c r="E3031" t="s">
        <v>61594</v>
      </c>
      <c r="F3031" t="s">
        <v>61595</v>
      </c>
      <c r="G3031" t="s">
        <v>61596</v>
      </c>
      <c r="H3031" t="s">
        <v>61597</v>
      </c>
      <c r="I3031" t="s">
        <v>61598</v>
      </c>
      <c r="J3031" t="s">
        <v>61599</v>
      </c>
      <c r="K3031" t="s">
        <v>61600</v>
      </c>
      <c r="L3031" t="s">
        <v>61601</v>
      </c>
      <c r="M3031" t="s">
        <v>61602</v>
      </c>
      <c r="N3031" t="s">
        <v>61603</v>
      </c>
      <c r="O3031" t="s">
        <v>61604</v>
      </c>
      <c r="P3031" t="s">
        <v>61605</v>
      </c>
      <c r="Q3031">
        <f>-874.799169151679 -2.03259344192929 -213.548579239038</f>
        <v>-1090.3803418326463</v>
      </c>
      <c r="R3031" t="s">
        <v>61606</v>
      </c>
      <c r="S3031" t="s">
        <v>61607</v>
      </c>
      <c r="T3031" t="s">
        <v>61608</v>
      </c>
      <c r="U3031" t="s">
        <v>61609</v>
      </c>
      <c r="V3031" t="s">
        <v>61610</v>
      </c>
      <c r="W3031" t="s">
        <v>61611</v>
      </c>
      <c r="X3031" t="s">
        <v>61612</v>
      </c>
      <c r="Y3031" t="s">
        <v>61613</v>
      </c>
    </row>
    <row r="3032" spans="1:25" x14ac:dyDescent="0.3">
      <c r="A3032">
        <v>151550</v>
      </c>
      <c r="B3032" t="s">
        <v>61614</v>
      </c>
      <c r="C3032" t="s">
        <v>61615</v>
      </c>
      <c r="D3032" t="s">
        <v>61616</v>
      </c>
      <c r="E3032" t="s">
        <v>61617</v>
      </c>
      <c r="F3032" t="s">
        <v>61618</v>
      </c>
      <c r="G3032" t="s">
        <v>61619</v>
      </c>
      <c r="H3032" t="s">
        <v>61620</v>
      </c>
      <c r="I3032" t="s">
        <v>61621</v>
      </c>
      <c r="J3032" t="s">
        <v>61622</v>
      </c>
      <c r="K3032" t="s">
        <v>61623</v>
      </c>
      <c r="L3032" t="s">
        <v>61624</v>
      </c>
      <c r="M3032" t="s">
        <v>61625</v>
      </c>
      <c r="N3032" t="s">
        <v>61626</v>
      </c>
      <c r="O3032" t="s">
        <v>61627</v>
      </c>
      <c r="P3032" t="s">
        <v>61628</v>
      </c>
      <c r="Q3032">
        <f>-874.699968688861 -1.9578229992112 -212.349897720182</f>
        <v>-1089.0076894082542</v>
      </c>
      <c r="R3032" t="s">
        <v>61629</v>
      </c>
      <c r="S3032" t="s">
        <v>61630</v>
      </c>
      <c r="T3032" t="s">
        <v>61631</v>
      </c>
      <c r="U3032" t="s">
        <v>61632</v>
      </c>
      <c r="V3032" t="s">
        <v>61633</v>
      </c>
      <c r="W3032" t="s">
        <v>61634</v>
      </c>
      <c r="X3032" t="s">
        <v>61635</v>
      </c>
      <c r="Y3032" t="s">
        <v>61636</v>
      </c>
    </row>
    <row r="3033" spans="1:25" x14ac:dyDescent="0.3">
      <c r="A3033">
        <v>151600</v>
      </c>
      <c r="B3033" t="s">
        <v>61637</v>
      </c>
      <c r="C3033" t="s">
        <v>61638</v>
      </c>
      <c r="D3033" t="s">
        <v>61639</v>
      </c>
      <c r="E3033" t="s">
        <v>61640</v>
      </c>
      <c r="F3033" t="s">
        <v>61641</v>
      </c>
      <c r="G3033" t="s">
        <v>61642</v>
      </c>
      <c r="H3033" t="s">
        <v>61643</v>
      </c>
      <c r="I3033" t="s">
        <v>61644</v>
      </c>
      <c r="J3033" t="s">
        <v>61645</v>
      </c>
      <c r="K3033" t="s">
        <v>61646</v>
      </c>
      <c r="L3033" t="s">
        <v>61647</v>
      </c>
      <c r="M3033" t="s">
        <v>61648</v>
      </c>
      <c r="N3033" t="s">
        <v>61649</v>
      </c>
      <c r="O3033" t="s">
        <v>61650</v>
      </c>
      <c r="P3033" t="s">
        <v>61651</v>
      </c>
      <c r="Q3033">
        <f>-874.113293215275 -2.13214168136119 -209.633560491736</f>
        <v>-1085.8789953883722</v>
      </c>
      <c r="R3033" t="s">
        <v>61652</v>
      </c>
      <c r="S3033" t="s">
        <v>61653</v>
      </c>
      <c r="T3033" t="s">
        <v>61654</v>
      </c>
      <c r="U3033" t="s">
        <v>61655</v>
      </c>
      <c r="V3033" t="s">
        <v>61656</v>
      </c>
      <c r="W3033" t="s">
        <v>61657</v>
      </c>
      <c r="X3033" t="s">
        <v>61658</v>
      </c>
      <c r="Y3033" t="s">
        <v>61659</v>
      </c>
    </row>
    <row r="3034" spans="1:25" x14ac:dyDescent="0.3">
      <c r="A3034">
        <v>151650</v>
      </c>
      <c r="B3034" t="s">
        <v>61660</v>
      </c>
      <c r="C3034" t="s">
        <v>61661</v>
      </c>
      <c r="D3034" t="s">
        <v>61662</v>
      </c>
      <c r="E3034" t="s">
        <v>61663</v>
      </c>
      <c r="F3034" t="s">
        <v>61664</v>
      </c>
      <c r="G3034" t="s">
        <v>61665</v>
      </c>
      <c r="H3034" t="s">
        <v>61666</v>
      </c>
      <c r="I3034" t="s">
        <v>61667</v>
      </c>
      <c r="J3034" t="s">
        <v>61668</v>
      </c>
      <c r="K3034" t="s">
        <v>61669</v>
      </c>
      <c r="L3034" t="s">
        <v>61670</v>
      </c>
      <c r="M3034" t="s">
        <v>61671</v>
      </c>
      <c r="N3034" t="s">
        <v>61672</v>
      </c>
      <c r="O3034" t="s">
        <v>61673</v>
      </c>
      <c r="P3034" t="s">
        <v>61674</v>
      </c>
      <c r="Q3034">
        <f>-873.842099763822 -2.15693321751223 -208.539990849627</f>
        <v>-1084.5390238309612</v>
      </c>
      <c r="R3034" t="s">
        <v>61675</v>
      </c>
      <c r="S3034" t="s">
        <v>61676</v>
      </c>
      <c r="T3034" t="s">
        <v>61677</v>
      </c>
      <c r="U3034" t="s">
        <v>61678</v>
      </c>
      <c r="V3034" t="s">
        <v>61679</v>
      </c>
      <c r="W3034" t="s">
        <v>61680</v>
      </c>
      <c r="X3034" t="s">
        <v>61681</v>
      </c>
      <c r="Y3034" t="s">
        <v>61682</v>
      </c>
    </row>
    <row r="3035" spans="1:25" x14ac:dyDescent="0.3">
      <c r="A3035">
        <v>151700</v>
      </c>
      <c r="B3035" t="s">
        <v>61683</v>
      </c>
      <c r="C3035" t="s">
        <v>61684</v>
      </c>
      <c r="D3035" t="s">
        <v>61685</v>
      </c>
      <c r="E3035" t="s">
        <v>61686</v>
      </c>
      <c r="F3035" t="s">
        <v>61687</v>
      </c>
      <c r="G3035" t="s">
        <v>61688</v>
      </c>
      <c r="H3035" t="s">
        <v>61689</v>
      </c>
      <c r="I3035" t="s">
        <v>61690</v>
      </c>
      <c r="J3035" t="s">
        <v>61691</v>
      </c>
      <c r="K3035" t="s">
        <v>61692</v>
      </c>
      <c r="L3035" t="s">
        <v>61693</v>
      </c>
      <c r="M3035" t="s">
        <v>61694</v>
      </c>
      <c r="N3035" t="s">
        <v>61695</v>
      </c>
      <c r="O3035" t="s">
        <v>61696</v>
      </c>
      <c r="P3035" t="s">
        <v>61697</v>
      </c>
      <c r="Q3035">
        <f>-873.082328169146 -1.32831189119861 -207.728322801502</f>
        <v>-1082.1389628618465</v>
      </c>
      <c r="R3035" t="s">
        <v>61698</v>
      </c>
      <c r="S3035" t="s">
        <v>61699</v>
      </c>
      <c r="T3035" t="s">
        <v>61700</v>
      </c>
      <c r="U3035" t="s">
        <v>61701</v>
      </c>
      <c r="V3035" t="s">
        <v>61702</v>
      </c>
      <c r="W3035" t="s">
        <v>61703</v>
      </c>
      <c r="X3035" t="s">
        <v>61704</v>
      </c>
      <c r="Y3035" t="s">
        <v>61705</v>
      </c>
    </row>
    <row r="3036" spans="1:25" x14ac:dyDescent="0.3">
      <c r="A3036">
        <v>151750</v>
      </c>
      <c r="B3036" t="s">
        <v>61706</v>
      </c>
      <c r="C3036" t="s">
        <v>61707</v>
      </c>
      <c r="D3036" t="s">
        <v>61708</v>
      </c>
      <c r="E3036" t="s">
        <v>61709</v>
      </c>
      <c r="F3036" t="s">
        <v>61710</v>
      </c>
      <c r="G3036" t="s">
        <v>61711</v>
      </c>
      <c r="H3036" t="s">
        <v>61712</v>
      </c>
      <c r="I3036" t="s">
        <v>61713</v>
      </c>
      <c r="J3036" t="s">
        <v>61714</v>
      </c>
      <c r="K3036" t="s">
        <v>61715</v>
      </c>
      <c r="L3036" t="s">
        <v>61716</v>
      </c>
      <c r="M3036" t="s">
        <v>61717</v>
      </c>
      <c r="N3036" t="s">
        <v>61718</v>
      </c>
      <c r="O3036" t="s">
        <v>61719</v>
      </c>
      <c r="P3036" t="s">
        <v>61720</v>
      </c>
      <c r="Q3036">
        <f>-872.088425410798 -0.521036861253378 -207.993155544308</f>
        <v>-1080.6026178163593</v>
      </c>
      <c r="R3036" t="s">
        <v>61721</v>
      </c>
      <c r="S3036" t="s">
        <v>61722</v>
      </c>
      <c r="T3036" t="s">
        <v>61723</v>
      </c>
      <c r="U3036" t="s">
        <v>61724</v>
      </c>
      <c r="V3036" t="s">
        <v>61725</v>
      </c>
      <c r="W3036" t="s">
        <v>61726</v>
      </c>
      <c r="X3036" t="s">
        <v>61727</v>
      </c>
      <c r="Y3036" t="s">
        <v>61728</v>
      </c>
    </row>
    <row r="3037" spans="1:25" x14ac:dyDescent="0.3">
      <c r="A3037">
        <v>151800</v>
      </c>
      <c r="B3037" t="s">
        <v>61729</v>
      </c>
      <c r="C3037" t="s">
        <v>61730</v>
      </c>
      <c r="D3037" t="s">
        <v>61731</v>
      </c>
      <c r="E3037" t="s">
        <v>61732</v>
      </c>
      <c r="F3037" t="s">
        <v>61733</v>
      </c>
      <c r="G3037" t="s">
        <v>61734</v>
      </c>
      <c r="H3037" t="s">
        <v>61735</v>
      </c>
      <c r="I3037" t="s">
        <v>61736</v>
      </c>
      <c r="J3037" t="s">
        <v>61737</v>
      </c>
      <c r="K3037" t="s">
        <v>61738</v>
      </c>
      <c r="L3037" t="s">
        <v>61739</v>
      </c>
      <c r="M3037" t="s">
        <v>61740</v>
      </c>
      <c r="N3037" t="s">
        <v>61741</v>
      </c>
      <c r="O3037" t="s">
        <v>61742</v>
      </c>
      <c r="P3037" t="s">
        <v>61743</v>
      </c>
      <c r="Q3037" t="s">
        <v>61744</v>
      </c>
      <c r="R3037" t="s">
        <v>61745</v>
      </c>
      <c r="S3037" t="s">
        <v>61746</v>
      </c>
      <c r="T3037" t="s">
        <v>61747</v>
      </c>
      <c r="U3037" t="s">
        <v>61748</v>
      </c>
      <c r="V3037" t="s">
        <v>61749</v>
      </c>
      <c r="W3037" t="s">
        <v>61750</v>
      </c>
      <c r="X3037" t="s">
        <v>61751</v>
      </c>
      <c r="Y3037" t="s">
        <v>61752</v>
      </c>
    </row>
    <row r="3038" spans="1:25" x14ac:dyDescent="0.3">
      <c r="A3038">
        <v>151850</v>
      </c>
      <c r="B3038" t="s">
        <v>61753</v>
      </c>
      <c r="C3038" t="s">
        <v>61754</v>
      </c>
      <c r="D3038" t="s">
        <v>61755</v>
      </c>
      <c r="E3038" t="s">
        <v>61756</v>
      </c>
      <c r="F3038" t="s">
        <v>61757</v>
      </c>
      <c r="G3038" t="s">
        <v>61758</v>
      </c>
      <c r="H3038" t="s">
        <v>61759</v>
      </c>
      <c r="I3038" t="s">
        <v>61760</v>
      </c>
      <c r="J3038" t="s">
        <v>61761</v>
      </c>
      <c r="K3038" t="s">
        <v>61762</v>
      </c>
      <c r="L3038" t="s">
        <v>61763</v>
      </c>
      <c r="M3038" t="s">
        <v>61764</v>
      </c>
      <c r="N3038" t="s">
        <v>61765</v>
      </c>
      <c r="O3038" t="s">
        <v>61766</v>
      </c>
      <c r="P3038" t="s">
        <v>61767</v>
      </c>
      <c r="Q3038" t="s">
        <v>61768</v>
      </c>
      <c r="R3038" t="s">
        <v>61769</v>
      </c>
      <c r="S3038" t="s">
        <v>61770</v>
      </c>
      <c r="T3038" t="s">
        <v>61771</v>
      </c>
      <c r="U3038" t="s">
        <v>61772</v>
      </c>
      <c r="V3038" t="s">
        <v>61773</v>
      </c>
      <c r="W3038" t="s">
        <v>61774</v>
      </c>
      <c r="X3038" t="s">
        <v>61775</v>
      </c>
      <c r="Y3038" t="s">
        <v>61776</v>
      </c>
    </row>
    <row r="3039" spans="1:25" x14ac:dyDescent="0.3">
      <c r="A3039">
        <v>151900</v>
      </c>
      <c r="B3039" t="s">
        <v>61777</v>
      </c>
      <c r="C3039" t="s">
        <v>61778</v>
      </c>
      <c r="D3039" t="s">
        <v>61779</v>
      </c>
      <c r="E3039" t="s">
        <v>61780</v>
      </c>
      <c r="F3039" t="s">
        <v>61781</v>
      </c>
      <c r="G3039" t="s">
        <v>61782</v>
      </c>
      <c r="H3039" t="s">
        <v>61783</v>
      </c>
      <c r="I3039" t="s">
        <v>61784</v>
      </c>
      <c r="J3039" t="s">
        <v>61785</v>
      </c>
      <c r="K3039" t="s">
        <v>61786</v>
      </c>
      <c r="L3039" t="s">
        <v>61787</v>
      </c>
      <c r="M3039" t="s">
        <v>61788</v>
      </c>
      <c r="N3039" t="s">
        <v>61789</v>
      </c>
      <c r="O3039" t="s">
        <v>61790</v>
      </c>
      <c r="P3039" t="s">
        <v>61791</v>
      </c>
      <c r="Q3039" t="s">
        <v>61792</v>
      </c>
      <c r="R3039" t="s">
        <v>61793</v>
      </c>
      <c r="S3039" t="s">
        <v>61794</v>
      </c>
      <c r="T3039" t="s">
        <v>61795</v>
      </c>
      <c r="U3039" t="s">
        <v>61796</v>
      </c>
      <c r="V3039" t="s">
        <v>61797</v>
      </c>
      <c r="W3039" t="s">
        <v>61798</v>
      </c>
      <c r="X3039" t="s">
        <v>61799</v>
      </c>
      <c r="Y3039" t="s">
        <v>61800</v>
      </c>
    </row>
    <row r="3040" spans="1:25" x14ac:dyDescent="0.3">
      <c r="A3040">
        <v>151950</v>
      </c>
      <c r="B3040" t="s">
        <v>61801</v>
      </c>
      <c r="C3040" t="s">
        <v>61802</v>
      </c>
      <c r="D3040" t="s">
        <v>61803</v>
      </c>
      <c r="E3040" t="s">
        <v>61804</v>
      </c>
      <c r="F3040" t="s">
        <v>61805</v>
      </c>
      <c r="G3040" t="s">
        <v>61806</v>
      </c>
      <c r="H3040" t="s">
        <v>61807</v>
      </c>
      <c r="I3040" t="s">
        <v>61808</v>
      </c>
      <c r="J3040" t="s">
        <v>61809</v>
      </c>
      <c r="K3040" t="s">
        <v>61810</v>
      </c>
      <c r="L3040" t="s">
        <v>61811</v>
      </c>
      <c r="M3040" t="s">
        <v>61812</v>
      </c>
      <c r="N3040" t="s">
        <v>61813</v>
      </c>
      <c r="O3040" t="s">
        <v>61814</v>
      </c>
      <c r="P3040" t="s">
        <v>61815</v>
      </c>
      <c r="Q3040" t="s">
        <v>61816</v>
      </c>
      <c r="R3040" t="s">
        <v>61817</v>
      </c>
      <c r="S3040" t="s">
        <v>61818</v>
      </c>
      <c r="T3040" t="s">
        <v>61819</v>
      </c>
      <c r="U3040" t="s">
        <v>61820</v>
      </c>
      <c r="V3040" t="s">
        <v>61821</v>
      </c>
      <c r="W3040" t="s">
        <v>61822</v>
      </c>
      <c r="X3040" t="s">
        <v>61823</v>
      </c>
      <c r="Y3040" t="s">
        <v>61824</v>
      </c>
    </row>
    <row r="3041" spans="1:25" x14ac:dyDescent="0.3">
      <c r="A3041">
        <v>152000</v>
      </c>
      <c r="B3041" t="s">
        <v>61825</v>
      </c>
      <c r="C3041" t="s">
        <v>61826</v>
      </c>
      <c r="D3041" t="s">
        <v>61827</v>
      </c>
      <c r="E3041" t="s">
        <v>61828</v>
      </c>
      <c r="F3041" t="s">
        <v>61829</v>
      </c>
      <c r="G3041" t="s">
        <v>61830</v>
      </c>
      <c r="H3041" t="s">
        <v>61831</v>
      </c>
      <c r="I3041" t="s">
        <v>61832</v>
      </c>
      <c r="J3041" t="s">
        <v>61833</v>
      </c>
      <c r="K3041" t="s">
        <v>61834</v>
      </c>
      <c r="L3041" t="s">
        <v>61835</v>
      </c>
      <c r="M3041" t="s">
        <v>61836</v>
      </c>
      <c r="N3041" t="s">
        <v>61837</v>
      </c>
      <c r="O3041" t="s">
        <v>61838</v>
      </c>
      <c r="P3041" t="s">
        <v>61839</v>
      </c>
      <c r="Q3041" t="s">
        <v>61840</v>
      </c>
      <c r="R3041" t="s">
        <v>61841</v>
      </c>
      <c r="S3041" t="s">
        <v>61842</v>
      </c>
      <c r="T3041" t="s">
        <v>61843</v>
      </c>
      <c r="U3041" t="s">
        <v>61844</v>
      </c>
      <c r="V3041" t="s">
        <v>61845</v>
      </c>
      <c r="W3041" t="s">
        <v>61846</v>
      </c>
      <c r="X3041" t="s">
        <v>61847</v>
      </c>
      <c r="Y3041" t="s">
        <v>61848</v>
      </c>
    </row>
    <row r="3042" spans="1:25" x14ac:dyDescent="0.3">
      <c r="A3042">
        <v>152050</v>
      </c>
      <c r="B3042" t="s">
        <v>61849</v>
      </c>
      <c r="C3042" t="s">
        <v>61850</v>
      </c>
      <c r="D3042" t="s">
        <v>61851</v>
      </c>
      <c r="E3042" t="s">
        <v>61852</v>
      </c>
      <c r="F3042" t="s">
        <v>61853</v>
      </c>
      <c r="G3042" t="s">
        <v>61854</v>
      </c>
      <c r="H3042" t="s">
        <v>61855</v>
      </c>
      <c r="I3042" t="s">
        <v>61856</v>
      </c>
      <c r="J3042" t="s">
        <v>61857</v>
      </c>
      <c r="K3042" t="s">
        <v>61858</v>
      </c>
      <c r="L3042" t="s">
        <v>61859</v>
      </c>
      <c r="M3042" t="s">
        <v>61860</v>
      </c>
      <c r="N3042" t="s">
        <v>61861</v>
      </c>
      <c r="O3042" t="s">
        <v>61862</v>
      </c>
      <c r="P3042" t="s">
        <v>61863</v>
      </c>
      <c r="Q3042" t="s">
        <v>61864</v>
      </c>
      <c r="R3042" t="s">
        <v>61865</v>
      </c>
      <c r="S3042" t="s">
        <v>61866</v>
      </c>
      <c r="T3042" t="s">
        <v>61867</v>
      </c>
      <c r="U3042" t="s">
        <v>61868</v>
      </c>
      <c r="V3042" t="s">
        <v>61869</v>
      </c>
      <c r="W3042" t="s">
        <v>61870</v>
      </c>
      <c r="X3042" t="s">
        <v>61871</v>
      </c>
      <c r="Y3042" t="s">
        <v>61872</v>
      </c>
    </row>
    <row r="3043" spans="1:25" x14ac:dyDescent="0.3">
      <c r="A3043">
        <v>152100</v>
      </c>
      <c r="B3043" t="s">
        <v>61873</v>
      </c>
      <c r="C3043" t="s">
        <v>61874</v>
      </c>
      <c r="D3043" t="s">
        <v>61875</v>
      </c>
      <c r="E3043" t="s">
        <v>61876</v>
      </c>
      <c r="F3043" t="s">
        <v>61877</v>
      </c>
      <c r="G3043" t="s">
        <v>61878</v>
      </c>
      <c r="H3043" t="s">
        <v>61879</v>
      </c>
      <c r="I3043" t="s">
        <v>61880</v>
      </c>
      <c r="J3043" t="s">
        <v>61881</v>
      </c>
      <c r="K3043" t="s">
        <v>61882</v>
      </c>
      <c r="L3043" t="s">
        <v>61883</v>
      </c>
      <c r="M3043" t="s">
        <v>61884</v>
      </c>
      <c r="N3043" t="s">
        <v>61885</v>
      </c>
      <c r="O3043" t="s">
        <v>61886</v>
      </c>
      <c r="P3043" t="s">
        <v>61887</v>
      </c>
      <c r="Q3043" t="s">
        <v>61888</v>
      </c>
      <c r="R3043" t="s">
        <v>61889</v>
      </c>
      <c r="S3043" t="s">
        <v>61890</v>
      </c>
      <c r="T3043" t="s">
        <v>61891</v>
      </c>
      <c r="U3043" t="s">
        <v>61892</v>
      </c>
      <c r="V3043" t="s">
        <v>61893</v>
      </c>
      <c r="W3043" t="s">
        <v>61894</v>
      </c>
      <c r="X3043" t="s">
        <v>61895</v>
      </c>
      <c r="Y3043" t="s">
        <v>61896</v>
      </c>
    </row>
    <row r="3044" spans="1:25" x14ac:dyDescent="0.3">
      <c r="A3044">
        <v>152150</v>
      </c>
      <c r="B3044" t="s">
        <v>61897</v>
      </c>
      <c r="C3044" t="s">
        <v>61898</v>
      </c>
      <c r="D3044" t="s">
        <v>61899</v>
      </c>
      <c r="E3044" t="s">
        <v>61900</v>
      </c>
      <c r="F3044" t="s">
        <v>61901</v>
      </c>
      <c r="G3044" t="s">
        <v>61902</v>
      </c>
      <c r="H3044" t="s">
        <v>61903</v>
      </c>
      <c r="I3044" t="s">
        <v>61904</v>
      </c>
      <c r="J3044" t="s">
        <v>61905</v>
      </c>
      <c r="K3044" t="s">
        <v>61906</v>
      </c>
      <c r="L3044" t="s">
        <v>61907</v>
      </c>
      <c r="M3044" t="s">
        <v>61908</v>
      </c>
      <c r="N3044" t="s">
        <v>61909</v>
      </c>
      <c r="O3044" t="s">
        <v>61910</v>
      </c>
      <c r="P3044" t="s">
        <v>61911</v>
      </c>
      <c r="Q3044" t="s">
        <v>61912</v>
      </c>
      <c r="R3044" t="s">
        <v>61913</v>
      </c>
      <c r="S3044" t="s">
        <v>61914</v>
      </c>
      <c r="T3044" t="s">
        <v>61915</v>
      </c>
      <c r="U3044" t="s">
        <v>61916</v>
      </c>
      <c r="V3044" t="s">
        <v>61917</v>
      </c>
      <c r="W3044" t="s">
        <v>61918</v>
      </c>
      <c r="X3044" t="s">
        <v>61919</v>
      </c>
      <c r="Y3044" t="s">
        <v>61920</v>
      </c>
    </row>
    <row r="3045" spans="1:25" x14ac:dyDescent="0.3">
      <c r="A3045">
        <v>152200</v>
      </c>
      <c r="B3045" t="s">
        <v>61921</v>
      </c>
      <c r="C3045" t="s">
        <v>61922</v>
      </c>
      <c r="D3045" t="s">
        <v>61923</v>
      </c>
      <c r="E3045" t="s">
        <v>61924</v>
      </c>
      <c r="F3045" t="s">
        <v>61925</v>
      </c>
      <c r="G3045" t="s">
        <v>61926</v>
      </c>
      <c r="H3045" t="s">
        <v>61927</v>
      </c>
      <c r="I3045" t="s">
        <v>61928</v>
      </c>
      <c r="J3045" t="s">
        <v>61929</v>
      </c>
      <c r="K3045" t="s">
        <v>61930</v>
      </c>
      <c r="L3045" t="s">
        <v>61931</v>
      </c>
      <c r="M3045" t="s">
        <v>61932</v>
      </c>
      <c r="N3045" t="s">
        <v>61933</v>
      </c>
      <c r="O3045" t="s">
        <v>61934</v>
      </c>
      <c r="P3045" t="s">
        <v>61935</v>
      </c>
      <c r="Q3045" t="s">
        <v>61936</v>
      </c>
      <c r="R3045" t="s">
        <v>61937</v>
      </c>
      <c r="S3045" t="s">
        <v>61938</v>
      </c>
      <c r="T3045" t="s">
        <v>61939</v>
      </c>
      <c r="U3045" t="s">
        <v>61940</v>
      </c>
      <c r="V3045" t="s">
        <v>61941</v>
      </c>
      <c r="W3045" t="s">
        <v>61942</v>
      </c>
      <c r="X3045" t="s">
        <v>61943</v>
      </c>
      <c r="Y3045" t="s">
        <v>61944</v>
      </c>
    </row>
    <row r="3046" spans="1:25" x14ac:dyDescent="0.3">
      <c r="A3046">
        <v>152250</v>
      </c>
      <c r="B3046" t="s">
        <v>61945</v>
      </c>
      <c r="C3046" t="s">
        <v>61946</v>
      </c>
      <c r="D3046" t="s">
        <v>61947</v>
      </c>
      <c r="E3046" t="s">
        <v>61948</v>
      </c>
      <c r="F3046" t="s">
        <v>61949</v>
      </c>
      <c r="G3046" t="s">
        <v>61950</v>
      </c>
      <c r="H3046" t="s">
        <v>61951</v>
      </c>
      <c r="I3046" t="s">
        <v>61952</v>
      </c>
      <c r="J3046" t="s">
        <v>61953</v>
      </c>
      <c r="K3046" t="s">
        <v>61954</v>
      </c>
      <c r="L3046" t="s">
        <v>61955</v>
      </c>
      <c r="M3046" t="s">
        <v>61956</v>
      </c>
      <c r="N3046" t="s">
        <v>61957</v>
      </c>
      <c r="O3046" t="s">
        <v>61958</v>
      </c>
      <c r="P3046" t="s">
        <v>61959</v>
      </c>
      <c r="Q3046" t="s">
        <v>61960</v>
      </c>
      <c r="R3046" t="s">
        <v>61961</v>
      </c>
      <c r="S3046" t="s">
        <v>61962</v>
      </c>
      <c r="T3046" t="s">
        <v>61963</v>
      </c>
      <c r="U3046" t="s">
        <v>61964</v>
      </c>
      <c r="V3046" t="s">
        <v>61965</v>
      </c>
      <c r="W3046" t="s">
        <v>61966</v>
      </c>
      <c r="X3046" t="s">
        <v>61967</v>
      </c>
      <c r="Y3046" t="s">
        <v>61968</v>
      </c>
    </row>
    <row r="3047" spans="1:25" x14ac:dyDescent="0.3">
      <c r="A3047">
        <v>152300</v>
      </c>
      <c r="B3047" t="s">
        <v>61969</v>
      </c>
      <c r="C3047" t="s">
        <v>61970</v>
      </c>
      <c r="D3047" t="s">
        <v>61971</v>
      </c>
      <c r="E3047" t="s">
        <v>61972</v>
      </c>
      <c r="F3047" t="s">
        <v>61973</v>
      </c>
      <c r="G3047" t="s">
        <v>61974</v>
      </c>
      <c r="H3047" t="s">
        <v>61975</v>
      </c>
      <c r="I3047" t="s">
        <v>61976</v>
      </c>
      <c r="J3047" t="s">
        <v>61977</v>
      </c>
      <c r="K3047" t="s">
        <v>61978</v>
      </c>
      <c r="L3047" t="s">
        <v>61979</v>
      </c>
      <c r="M3047" t="s">
        <v>61980</v>
      </c>
      <c r="N3047" t="s">
        <v>61981</v>
      </c>
      <c r="O3047" t="s">
        <v>61982</v>
      </c>
      <c r="P3047" t="s">
        <v>61983</v>
      </c>
      <c r="Q3047" t="s">
        <v>61984</v>
      </c>
      <c r="R3047" t="s">
        <v>61985</v>
      </c>
      <c r="S3047" t="s">
        <v>61986</v>
      </c>
      <c r="T3047" t="s">
        <v>61987</v>
      </c>
      <c r="U3047" t="s">
        <v>61988</v>
      </c>
      <c r="V3047" t="s">
        <v>61989</v>
      </c>
      <c r="W3047" t="s">
        <v>61990</v>
      </c>
      <c r="X3047" t="s">
        <v>61991</v>
      </c>
      <c r="Y3047" t="s">
        <v>61992</v>
      </c>
    </row>
    <row r="3048" spans="1:25" x14ac:dyDescent="0.3">
      <c r="A3048">
        <v>152350</v>
      </c>
      <c r="B3048" t="s">
        <v>61993</v>
      </c>
      <c r="C3048" t="s">
        <v>61994</v>
      </c>
      <c r="D3048" t="s">
        <v>61995</v>
      </c>
      <c r="E3048" t="s">
        <v>61996</v>
      </c>
      <c r="F3048" t="s">
        <v>61997</v>
      </c>
      <c r="G3048" t="s">
        <v>61998</v>
      </c>
      <c r="H3048" t="s">
        <v>61999</v>
      </c>
      <c r="I3048" t="s">
        <v>62000</v>
      </c>
      <c r="J3048" t="s">
        <v>62001</v>
      </c>
      <c r="K3048" t="s">
        <v>62002</v>
      </c>
      <c r="L3048" t="s">
        <v>62003</v>
      </c>
      <c r="M3048" t="s">
        <v>62004</v>
      </c>
      <c r="N3048" t="s">
        <v>62005</v>
      </c>
      <c r="O3048" t="s">
        <v>62006</v>
      </c>
      <c r="P3048" t="s">
        <v>62007</v>
      </c>
      <c r="Q3048" t="s">
        <v>62008</v>
      </c>
      <c r="R3048" t="s">
        <v>62009</v>
      </c>
      <c r="S3048" t="s">
        <v>62010</v>
      </c>
      <c r="T3048" t="s">
        <v>62011</v>
      </c>
      <c r="U3048" t="s">
        <v>62012</v>
      </c>
      <c r="V3048" t="s">
        <v>62013</v>
      </c>
      <c r="W3048" t="s">
        <v>62014</v>
      </c>
      <c r="X3048" t="s">
        <v>62015</v>
      </c>
      <c r="Y3048" t="s">
        <v>62016</v>
      </c>
    </row>
    <row r="3049" spans="1:25" x14ac:dyDescent="0.3">
      <c r="A3049">
        <v>152400</v>
      </c>
      <c r="B3049" t="s">
        <v>62017</v>
      </c>
      <c r="C3049" t="s">
        <v>62018</v>
      </c>
      <c r="D3049" t="s">
        <v>62019</v>
      </c>
      <c r="E3049" t="s">
        <v>62020</v>
      </c>
      <c r="F3049" t="s">
        <v>62021</v>
      </c>
      <c r="G3049" t="s">
        <v>62022</v>
      </c>
      <c r="H3049" t="s">
        <v>62023</v>
      </c>
      <c r="I3049" t="s">
        <v>62024</v>
      </c>
      <c r="J3049" t="s">
        <v>62025</v>
      </c>
      <c r="K3049" t="s">
        <v>62026</v>
      </c>
      <c r="L3049" t="s">
        <v>62027</v>
      </c>
      <c r="M3049" t="s">
        <v>62028</v>
      </c>
      <c r="N3049" t="s">
        <v>62029</v>
      </c>
      <c r="O3049" t="s">
        <v>62030</v>
      </c>
      <c r="P3049" t="s">
        <v>62031</v>
      </c>
      <c r="Q3049" t="s">
        <v>62032</v>
      </c>
      <c r="R3049" t="s">
        <v>62033</v>
      </c>
      <c r="S3049" t="s">
        <v>62034</v>
      </c>
      <c r="T3049" t="s">
        <v>62035</v>
      </c>
      <c r="U3049" t="s">
        <v>62036</v>
      </c>
      <c r="V3049" t="s">
        <v>62037</v>
      </c>
      <c r="W3049" t="s">
        <v>62038</v>
      </c>
      <c r="X3049" t="s">
        <v>62039</v>
      </c>
      <c r="Y3049" t="s">
        <v>62040</v>
      </c>
    </row>
    <row r="3050" spans="1:25" x14ac:dyDescent="0.3">
      <c r="A3050">
        <v>152450</v>
      </c>
      <c r="B3050" t="s">
        <v>62041</v>
      </c>
      <c r="C3050" t="s">
        <v>62042</v>
      </c>
      <c r="D3050" t="s">
        <v>62043</v>
      </c>
      <c r="E3050" t="s">
        <v>62044</v>
      </c>
      <c r="F3050" t="s">
        <v>62045</v>
      </c>
      <c r="G3050" t="s">
        <v>62046</v>
      </c>
      <c r="H3050" t="s">
        <v>62047</v>
      </c>
      <c r="I3050" t="s">
        <v>62048</v>
      </c>
      <c r="J3050" t="s">
        <v>62049</v>
      </c>
      <c r="K3050" t="s">
        <v>62050</v>
      </c>
      <c r="L3050" t="s">
        <v>62051</v>
      </c>
      <c r="M3050" t="s">
        <v>62052</v>
      </c>
      <c r="N3050" t="s">
        <v>62053</v>
      </c>
      <c r="O3050" t="s">
        <v>62054</v>
      </c>
      <c r="P3050" t="s">
        <v>62055</v>
      </c>
      <c r="Q3050" t="s">
        <v>62056</v>
      </c>
      <c r="R3050" t="s">
        <v>62057</v>
      </c>
      <c r="S3050" t="s">
        <v>62058</v>
      </c>
      <c r="T3050" t="s">
        <v>62059</v>
      </c>
      <c r="U3050" t="s">
        <v>62060</v>
      </c>
      <c r="V3050" t="s">
        <v>62061</v>
      </c>
      <c r="W3050" t="s">
        <v>62062</v>
      </c>
      <c r="X3050" t="s">
        <v>62063</v>
      </c>
      <c r="Y3050" t="s">
        <v>62064</v>
      </c>
    </row>
    <row r="3051" spans="1:25" x14ac:dyDescent="0.3">
      <c r="A3051">
        <v>152500</v>
      </c>
      <c r="B3051" t="s">
        <v>62065</v>
      </c>
      <c r="C3051" t="s">
        <v>62066</v>
      </c>
      <c r="D3051" t="s">
        <v>62067</v>
      </c>
      <c r="E3051" t="s">
        <v>62068</v>
      </c>
      <c r="F3051" t="s">
        <v>62069</v>
      </c>
      <c r="G3051" t="s">
        <v>62070</v>
      </c>
      <c r="H3051" t="s">
        <v>62071</v>
      </c>
      <c r="I3051" t="s">
        <v>62072</v>
      </c>
      <c r="J3051" t="s">
        <v>62073</v>
      </c>
      <c r="K3051" t="s">
        <v>62074</v>
      </c>
      <c r="L3051" t="s">
        <v>62075</v>
      </c>
      <c r="M3051" t="s">
        <v>62076</v>
      </c>
      <c r="N3051" t="s">
        <v>62077</v>
      </c>
      <c r="O3051" t="s">
        <v>62078</v>
      </c>
      <c r="P3051" t="s">
        <v>62079</v>
      </c>
      <c r="Q3051" t="s">
        <v>62080</v>
      </c>
      <c r="R3051" t="s">
        <v>62081</v>
      </c>
      <c r="S3051" t="s">
        <v>62082</v>
      </c>
      <c r="T3051" t="s">
        <v>62083</v>
      </c>
      <c r="U3051" t="s">
        <v>62084</v>
      </c>
      <c r="V3051" t="s">
        <v>62085</v>
      </c>
      <c r="W3051" t="s">
        <v>62086</v>
      </c>
      <c r="X3051" t="s">
        <v>62087</v>
      </c>
      <c r="Y3051" t="s">
        <v>62088</v>
      </c>
    </row>
    <row r="3052" spans="1:25" x14ac:dyDescent="0.3">
      <c r="A3052">
        <v>152550</v>
      </c>
      <c r="B3052" t="s">
        <v>62089</v>
      </c>
      <c r="C3052" t="s">
        <v>62090</v>
      </c>
      <c r="D3052" t="s">
        <v>62091</v>
      </c>
      <c r="E3052" t="s">
        <v>62092</v>
      </c>
      <c r="F3052" t="s">
        <v>62093</v>
      </c>
      <c r="G3052" t="s">
        <v>62094</v>
      </c>
      <c r="H3052" t="s">
        <v>62095</v>
      </c>
      <c r="I3052" t="s">
        <v>62096</v>
      </c>
      <c r="J3052" t="s">
        <v>62097</v>
      </c>
      <c r="K3052" t="s">
        <v>62098</v>
      </c>
      <c r="L3052" t="s">
        <v>62099</v>
      </c>
      <c r="M3052" t="s">
        <v>62100</v>
      </c>
      <c r="N3052" t="s">
        <v>62101</v>
      </c>
      <c r="O3052" t="s">
        <v>62102</v>
      </c>
      <c r="P3052" t="s">
        <v>62103</v>
      </c>
      <c r="Q3052" t="s">
        <v>62104</v>
      </c>
      <c r="R3052" t="s">
        <v>62105</v>
      </c>
      <c r="S3052" t="s">
        <v>62106</v>
      </c>
      <c r="T3052" t="s">
        <v>62107</v>
      </c>
      <c r="U3052" t="s">
        <v>62108</v>
      </c>
      <c r="V3052" t="s">
        <v>62109</v>
      </c>
      <c r="W3052" t="s">
        <v>62110</v>
      </c>
      <c r="X3052" t="s">
        <v>62111</v>
      </c>
      <c r="Y3052" t="s">
        <v>62112</v>
      </c>
    </row>
    <row r="3053" spans="1:25" x14ac:dyDescent="0.3">
      <c r="A3053">
        <v>152600</v>
      </c>
      <c r="B3053" t="s">
        <v>62113</v>
      </c>
      <c r="C3053" t="s">
        <v>62114</v>
      </c>
      <c r="D3053" t="s">
        <v>62115</v>
      </c>
      <c r="E3053" t="s">
        <v>62116</v>
      </c>
      <c r="F3053" t="s">
        <v>62117</v>
      </c>
      <c r="G3053" t="s">
        <v>62118</v>
      </c>
      <c r="H3053" t="s">
        <v>62119</v>
      </c>
      <c r="I3053" t="s">
        <v>62120</v>
      </c>
      <c r="J3053" t="s">
        <v>62121</v>
      </c>
      <c r="K3053" t="s">
        <v>62122</v>
      </c>
      <c r="L3053" t="s">
        <v>62123</v>
      </c>
      <c r="M3053" t="s">
        <v>62124</v>
      </c>
      <c r="N3053" t="s">
        <v>62125</v>
      </c>
      <c r="O3053" t="s">
        <v>62126</v>
      </c>
      <c r="P3053" t="s">
        <v>62127</v>
      </c>
      <c r="Q3053" t="s">
        <v>62128</v>
      </c>
      <c r="R3053" t="s">
        <v>62129</v>
      </c>
      <c r="S3053" t="s">
        <v>62130</v>
      </c>
      <c r="T3053" t="s">
        <v>62131</v>
      </c>
      <c r="U3053" t="s">
        <v>62132</v>
      </c>
      <c r="V3053" t="s">
        <v>62133</v>
      </c>
      <c r="W3053" t="s">
        <v>62134</v>
      </c>
      <c r="X3053" t="s">
        <v>62135</v>
      </c>
      <c r="Y3053" t="s">
        <v>62136</v>
      </c>
    </row>
    <row r="3054" spans="1:25" x14ac:dyDescent="0.3">
      <c r="A3054">
        <v>152650</v>
      </c>
      <c r="B3054" t="s">
        <v>62137</v>
      </c>
      <c r="C3054" t="s">
        <v>62138</v>
      </c>
      <c r="D3054" t="s">
        <v>62139</v>
      </c>
      <c r="E3054" t="s">
        <v>62140</v>
      </c>
      <c r="F3054" t="s">
        <v>62141</v>
      </c>
      <c r="G3054" t="s">
        <v>62142</v>
      </c>
      <c r="H3054" t="s">
        <v>62143</v>
      </c>
      <c r="I3054" t="s">
        <v>62144</v>
      </c>
      <c r="J3054" t="s">
        <v>62145</v>
      </c>
      <c r="K3054" t="s">
        <v>62146</v>
      </c>
      <c r="L3054" t="s">
        <v>62147</v>
      </c>
      <c r="M3054" t="s">
        <v>62148</v>
      </c>
      <c r="N3054" t="s">
        <v>62149</v>
      </c>
      <c r="O3054" t="s">
        <v>62150</v>
      </c>
      <c r="P3054" t="s">
        <v>62151</v>
      </c>
      <c r="Q3054" t="s">
        <v>62152</v>
      </c>
      <c r="R3054" t="s">
        <v>62153</v>
      </c>
      <c r="S3054" t="s">
        <v>62154</v>
      </c>
      <c r="T3054" t="s">
        <v>62155</v>
      </c>
      <c r="U3054" t="s">
        <v>62156</v>
      </c>
      <c r="V3054" t="s">
        <v>62157</v>
      </c>
      <c r="W3054" t="s">
        <v>62158</v>
      </c>
      <c r="X3054" t="s">
        <v>62159</v>
      </c>
      <c r="Y3054" t="s">
        <v>62160</v>
      </c>
    </row>
    <row r="3055" spans="1:25" x14ac:dyDescent="0.3">
      <c r="A3055">
        <v>152700</v>
      </c>
      <c r="B3055" t="s">
        <v>62161</v>
      </c>
      <c r="C3055" t="s">
        <v>62162</v>
      </c>
      <c r="D3055" t="s">
        <v>62163</v>
      </c>
      <c r="E3055" t="s">
        <v>62164</v>
      </c>
      <c r="F3055" t="s">
        <v>62165</v>
      </c>
      <c r="G3055" t="s">
        <v>62166</v>
      </c>
      <c r="H3055" t="s">
        <v>62167</v>
      </c>
      <c r="I3055" t="s">
        <v>62168</v>
      </c>
      <c r="J3055" t="s">
        <v>62169</v>
      </c>
      <c r="K3055" t="s">
        <v>62170</v>
      </c>
      <c r="L3055" t="s">
        <v>62171</v>
      </c>
      <c r="M3055" t="s">
        <v>62172</v>
      </c>
      <c r="N3055" t="s">
        <v>62173</v>
      </c>
      <c r="O3055" t="s">
        <v>62174</v>
      </c>
      <c r="P3055" t="s">
        <v>62175</v>
      </c>
      <c r="Q3055" t="s">
        <v>62176</v>
      </c>
      <c r="R3055" t="s">
        <v>62177</v>
      </c>
      <c r="S3055" t="s">
        <v>62178</v>
      </c>
      <c r="T3055" t="s">
        <v>62179</v>
      </c>
      <c r="U3055" t="s">
        <v>62180</v>
      </c>
      <c r="V3055" t="s">
        <v>62181</v>
      </c>
      <c r="W3055" t="s">
        <v>62182</v>
      </c>
      <c r="X3055" t="s">
        <v>62183</v>
      </c>
      <c r="Y3055" t="s">
        <v>62184</v>
      </c>
    </row>
    <row r="3056" spans="1:25" x14ac:dyDescent="0.3">
      <c r="A3056">
        <v>152750</v>
      </c>
      <c r="B3056" t="s">
        <v>62185</v>
      </c>
      <c r="C3056" t="s">
        <v>62186</v>
      </c>
      <c r="D3056" t="s">
        <v>62187</v>
      </c>
      <c r="E3056" t="s">
        <v>62188</v>
      </c>
      <c r="F3056" t="s">
        <v>62189</v>
      </c>
      <c r="G3056" t="s">
        <v>62190</v>
      </c>
      <c r="H3056" t="s">
        <v>62191</v>
      </c>
      <c r="I3056" t="s">
        <v>62192</v>
      </c>
      <c r="J3056" t="s">
        <v>62193</v>
      </c>
      <c r="K3056" t="s">
        <v>62194</v>
      </c>
      <c r="L3056" t="s">
        <v>62195</v>
      </c>
      <c r="M3056" t="s">
        <v>62196</v>
      </c>
      <c r="N3056" t="s">
        <v>62197</v>
      </c>
      <c r="O3056" t="s">
        <v>62198</v>
      </c>
      <c r="P3056" t="s">
        <v>62199</v>
      </c>
      <c r="Q3056" t="s">
        <v>62200</v>
      </c>
      <c r="R3056" t="s">
        <v>62201</v>
      </c>
      <c r="S3056" t="s">
        <v>62202</v>
      </c>
      <c r="T3056" t="s">
        <v>62203</v>
      </c>
      <c r="U3056" t="s">
        <v>62204</v>
      </c>
      <c r="V3056" t="s">
        <v>62205</v>
      </c>
      <c r="W3056" t="s">
        <v>62206</v>
      </c>
      <c r="X3056" t="s">
        <v>62207</v>
      </c>
      <c r="Y3056" t="s">
        <v>62208</v>
      </c>
    </row>
    <row r="3057" spans="1:25" x14ac:dyDescent="0.3">
      <c r="A3057">
        <v>152800</v>
      </c>
      <c r="B3057" t="s">
        <v>62209</v>
      </c>
      <c r="C3057" t="s">
        <v>62210</v>
      </c>
      <c r="D3057" t="s">
        <v>62211</v>
      </c>
      <c r="E3057" t="s">
        <v>62212</v>
      </c>
      <c r="F3057" t="s">
        <v>62213</v>
      </c>
      <c r="G3057" t="s">
        <v>62214</v>
      </c>
      <c r="H3057" t="s">
        <v>62215</v>
      </c>
      <c r="I3057" t="s">
        <v>62216</v>
      </c>
      <c r="J3057" t="s">
        <v>62217</v>
      </c>
      <c r="K3057" t="s">
        <v>62218</v>
      </c>
      <c r="L3057" t="s">
        <v>62219</v>
      </c>
      <c r="M3057" t="s">
        <v>62220</v>
      </c>
      <c r="N3057" t="s">
        <v>62221</v>
      </c>
      <c r="O3057" t="s">
        <v>62222</v>
      </c>
      <c r="P3057" t="s">
        <v>62223</v>
      </c>
      <c r="Q3057" t="s">
        <v>62224</v>
      </c>
      <c r="R3057" t="s">
        <v>62225</v>
      </c>
      <c r="S3057" t="s">
        <v>62226</v>
      </c>
      <c r="T3057" t="s">
        <v>62227</v>
      </c>
      <c r="U3057" t="s">
        <v>62228</v>
      </c>
      <c r="V3057" t="s">
        <v>62229</v>
      </c>
      <c r="W3057" t="s">
        <v>62230</v>
      </c>
      <c r="X3057" t="s">
        <v>62231</v>
      </c>
      <c r="Y3057" t="s">
        <v>62232</v>
      </c>
    </row>
    <row r="3058" spans="1:25" x14ac:dyDescent="0.3">
      <c r="A3058">
        <v>152850</v>
      </c>
      <c r="B3058" t="s">
        <v>62233</v>
      </c>
      <c r="C3058" t="s">
        <v>62234</v>
      </c>
      <c r="D3058" t="s">
        <v>62235</v>
      </c>
      <c r="E3058" t="s">
        <v>62236</v>
      </c>
      <c r="F3058" t="s">
        <v>62237</v>
      </c>
      <c r="G3058" t="s">
        <v>62238</v>
      </c>
      <c r="H3058" t="s">
        <v>62239</v>
      </c>
      <c r="I3058" t="s">
        <v>62240</v>
      </c>
      <c r="J3058" t="s">
        <v>62241</v>
      </c>
      <c r="K3058" t="s">
        <v>62242</v>
      </c>
      <c r="L3058" t="s">
        <v>62243</v>
      </c>
      <c r="M3058" t="s">
        <v>62244</v>
      </c>
      <c r="N3058" t="s">
        <v>62245</v>
      </c>
      <c r="O3058" t="s">
        <v>62246</v>
      </c>
      <c r="P3058" t="s">
        <v>62247</v>
      </c>
      <c r="Q3058" t="s">
        <v>62248</v>
      </c>
      <c r="R3058" t="s">
        <v>62249</v>
      </c>
      <c r="S3058" t="s">
        <v>62250</v>
      </c>
      <c r="T3058" t="s">
        <v>62251</v>
      </c>
      <c r="U3058" t="s">
        <v>62252</v>
      </c>
      <c r="V3058" t="s">
        <v>62253</v>
      </c>
      <c r="W3058" t="s">
        <v>62254</v>
      </c>
      <c r="X3058" t="s">
        <v>62255</v>
      </c>
      <c r="Y3058" t="s">
        <v>62256</v>
      </c>
    </row>
    <row r="3059" spans="1:25" x14ac:dyDescent="0.3">
      <c r="A3059">
        <v>152900</v>
      </c>
      <c r="B3059" t="s">
        <v>62257</v>
      </c>
      <c r="C3059" t="s">
        <v>62258</v>
      </c>
      <c r="D3059" t="s">
        <v>62259</v>
      </c>
      <c r="E3059" t="s">
        <v>62260</v>
      </c>
      <c r="F3059" t="s">
        <v>62261</v>
      </c>
      <c r="G3059" t="s">
        <v>62262</v>
      </c>
      <c r="H3059" t="s">
        <v>62263</v>
      </c>
      <c r="I3059" t="s">
        <v>62264</v>
      </c>
      <c r="J3059" t="s">
        <v>62265</v>
      </c>
      <c r="K3059" t="s">
        <v>62266</v>
      </c>
      <c r="L3059" t="s">
        <v>62267</v>
      </c>
      <c r="M3059" t="s">
        <v>62268</v>
      </c>
      <c r="N3059" t="s">
        <v>62269</v>
      </c>
      <c r="O3059" t="s">
        <v>62270</v>
      </c>
      <c r="P3059" t="s">
        <v>62271</v>
      </c>
      <c r="Q3059" t="s">
        <v>62272</v>
      </c>
      <c r="R3059" t="s">
        <v>62273</v>
      </c>
      <c r="S3059" t="s">
        <v>62274</v>
      </c>
      <c r="T3059" t="s">
        <v>62275</v>
      </c>
      <c r="U3059" t="s">
        <v>62276</v>
      </c>
      <c r="V3059" t="s">
        <v>62277</v>
      </c>
      <c r="W3059" t="s">
        <v>62278</v>
      </c>
      <c r="X3059" t="s">
        <v>62279</v>
      </c>
      <c r="Y3059" t="s">
        <v>62280</v>
      </c>
    </row>
    <row r="3060" spans="1:25" x14ac:dyDescent="0.3">
      <c r="A3060">
        <v>152950</v>
      </c>
      <c r="B3060" t="s">
        <v>62281</v>
      </c>
      <c r="C3060" t="s">
        <v>62282</v>
      </c>
      <c r="D3060" t="s">
        <v>62283</v>
      </c>
      <c r="E3060" t="s">
        <v>62284</v>
      </c>
      <c r="F3060" t="s">
        <v>62285</v>
      </c>
      <c r="G3060" t="s">
        <v>62286</v>
      </c>
      <c r="H3060" t="s">
        <v>62287</v>
      </c>
      <c r="I3060" t="s">
        <v>62288</v>
      </c>
      <c r="J3060" t="s">
        <v>62289</v>
      </c>
      <c r="K3060" t="s">
        <v>62290</v>
      </c>
      <c r="L3060" t="s">
        <v>62291</v>
      </c>
      <c r="M3060" t="s">
        <v>62292</v>
      </c>
      <c r="N3060" t="s">
        <v>62293</v>
      </c>
      <c r="O3060" t="s">
        <v>62294</v>
      </c>
      <c r="P3060" t="s">
        <v>62295</v>
      </c>
      <c r="Q3060" t="s">
        <v>62296</v>
      </c>
      <c r="R3060" t="s">
        <v>62297</v>
      </c>
      <c r="S3060" t="s">
        <v>62298</v>
      </c>
      <c r="T3060" t="s">
        <v>62299</v>
      </c>
      <c r="U3060" t="s">
        <v>62300</v>
      </c>
      <c r="V3060" t="s">
        <v>62301</v>
      </c>
      <c r="W3060" t="s">
        <v>62302</v>
      </c>
      <c r="X3060" t="s">
        <v>62303</v>
      </c>
      <c r="Y3060" t="s">
        <v>62304</v>
      </c>
    </row>
    <row r="3061" spans="1:25" x14ac:dyDescent="0.3">
      <c r="A3061">
        <v>153000</v>
      </c>
      <c r="B3061" t="s">
        <v>62305</v>
      </c>
      <c r="C3061" t="s">
        <v>62306</v>
      </c>
      <c r="D3061" t="s">
        <v>62307</v>
      </c>
      <c r="E3061" t="s">
        <v>62308</v>
      </c>
      <c r="F3061" t="s">
        <v>62309</v>
      </c>
      <c r="G3061" t="s">
        <v>62310</v>
      </c>
      <c r="H3061" t="s">
        <v>62311</v>
      </c>
      <c r="I3061" t="s">
        <v>62312</v>
      </c>
      <c r="J3061" t="s">
        <v>62313</v>
      </c>
      <c r="K3061" t="s">
        <v>62314</v>
      </c>
      <c r="L3061" t="s">
        <v>62315</v>
      </c>
      <c r="M3061" t="s">
        <v>62316</v>
      </c>
      <c r="N3061" t="s">
        <v>62317</v>
      </c>
      <c r="O3061" t="s">
        <v>62318</v>
      </c>
      <c r="P3061" t="s">
        <v>62319</v>
      </c>
      <c r="Q3061" t="s">
        <v>62320</v>
      </c>
      <c r="R3061" t="s">
        <v>62321</v>
      </c>
      <c r="S3061" t="s">
        <v>62322</v>
      </c>
      <c r="T3061" t="s">
        <v>62323</v>
      </c>
      <c r="U3061" t="s">
        <v>62324</v>
      </c>
      <c r="V3061" t="s">
        <v>62325</v>
      </c>
      <c r="W3061" t="s">
        <v>62326</v>
      </c>
      <c r="X3061" t="s">
        <v>62327</v>
      </c>
      <c r="Y3061" t="s">
        <v>62328</v>
      </c>
    </row>
    <row r="3062" spans="1:25" x14ac:dyDescent="0.3">
      <c r="A3062">
        <v>153050</v>
      </c>
      <c r="B3062" t="s">
        <v>62329</v>
      </c>
      <c r="C3062" t="s">
        <v>62330</v>
      </c>
      <c r="D3062" t="s">
        <v>62331</v>
      </c>
      <c r="E3062" t="s">
        <v>62332</v>
      </c>
      <c r="F3062" t="s">
        <v>62333</v>
      </c>
      <c r="G3062" t="s">
        <v>62334</v>
      </c>
      <c r="H3062" t="s">
        <v>62335</v>
      </c>
      <c r="I3062" t="s">
        <v>62336</v>
      </c>
      <c r="J3062" t="s">
        <v>62337</v>
      </c>
      <c r="K3062" t="s">
        <v>62338</v>
      </c>
      <c r="L3062" t="s">
        <v>62339</v>
      </c>
      <c r="M3062" t="s">
        <v>62340</v>
      </c>
      <c r="N3062" t="s">
        <v>62341</v>
      </c>
      <c r="O3062" t="s">
        <v>62342</v>
      </c>
      <c r="P3062" t="s">
        <v>62343</v>
      </c>
      <c r="Q3062" t="s">
        <v>62344</v>
      </c>
      <c r="R3062" t="s">
        <v>62345</v>
      </c>
      <c r="S3062" t="s">
        <v>62346</v>
      </c>
      <c r="T3062" t="s">
        <v>62347</v>
      </c>
      <c r="U3062" t="s">
        <v>62348</v>
      </c>
      <c r="V3062" t="s">
        <v>62349</v>
      </c>
      <c r="W3062" t="s">
        <v>62350</v>
      </c>
      <c r="X3062" t="s">
        <v>62351</v>
      </c>
      <c r="Y3062" t="s">
        <v>62352</v>
      </c>
    </row>
    <row r="3063" spans="1:25" x14ac:dyDescent="0.3">
      <c r="A3063">
        <v>153100</v>
      </c>
      <c r="B3063" t="s">
        <v>62353</v>
      </c>
      <c r="C3063" t="s">
        <v>62354</v>
      </c>
      <c r="D3063" t="s">
        <v>62355</v>
      </c>
      <c r="E3063" t="s">
        <v>62356</v>
      </c>
      <c r="F3063" t="s">
        <v>62357</v>
      </c>
      <c r="G3063" t="s">
        <v>62358</v>
      </c>
      <c r="H3063" t="s">
        <v>62359</v>
      </c>
      <c r="I3063" t="s">
        <v>62360</v>
      </c>
      <c r="J3063" t="s">
        <v>62361</v>
      </c>
      <c r="K3063" t="s">
        <v>62362</v>
      </c>
      <c r="L3063" t="s">
        <v>62363</v>
      </c>
      <c r="M3063" t="s">
        <v>62364</v>
      </c>
      <c r="N3063" t="s">
        <v>62365</v>
      </c>
      <c r="O3063" t="s">
        <v>62366</v>
      </c>
      <c r="P3063" t="s">
        <v>62367</v>
      </c>
      <c r="Q3063" t="s">
        <v>62368</v>
      </c>
      <c r="R3063" t="s">
        <v>62369</v>
      </c>
      <c r="S3063" t="s">
        <v>62370</v>
      </c>
      <c r="T3063" t="s">
        <v>62371</v>
      </c>
      <c r="U3063" t="s">
        <v>62372</v>
      </c>
      <c r="V3063" t="s">
        <v>62373</v>
      </c>
      <c r="W3063" t="s">
        <v>62374</v>
      </c>
      <c r="X3063" t="s">
        <v>62375</v>
      </c>
      <c r="Y3063" t="s">
        <v>62376</v>
      </c>
    </row>
    <row r="3064" spans="1:25" x14ac:dyDescent="0.3">
      <c r="A3064">
        <v>153150</v>
      </c>
      <c r="B3064" t="s">
        <v>62377</v>
      </c>
      <c r="C3064" t="s">
        <v>62378</v>
      </c>
      <c r="D3064" t="s">
        <v>62379</v>
      </c>
      <c r="E3064" t="s">
        <v>62380</v>
      </c>
      <c r="F3064" t="s">
        <v>62381</v>
      </c>
      <c r="G3064" t="s">
        <v>62382</v>
      </c>
      <c r="H3064" t="s">
        <v>62383</v>
      </c>
      <c r="I3064" t="s">
        <v>62384</v>
      </c>
      <c r="J3064" t="s">
        <v>62385</v>
      </c>
      <c r="K3064" t="s">
        <v>62386</v>
      </c>
      <c r="L3064" t="s">
        <v>62387</v>
      </c>
      <c r="M3064" t="s">
        <v>62388</v>
      </c>
      <c r="N3064" t="s">
        <v>62389</v>
      </c>
      <c r="O3064" t="s">
        <v>62390</v>
      </c>
      <c r="P3064" t="s">
        <v>62391</v>
      </c>
      <c r="Q3064" t="s">
        <v>62392</v>
      </c>
      <c r="R3064" t="s">
        <v>62393</v>
      </c>
      <c r="S3064" t="s">
        <v>62394</v>
      </c>
      <c r="T3064" t="s">
        <v>62395</v>
      </c>
      <c r="U3064" t="s">
        <v>62396</v>
      </c>
      <c r="V3064" t="s">
        <v>62397</v>
      </c>
      <c r="W3064" t="s">
        <v>62398</v>
      </c>
      <c r="X3064" t="s">
        <v>62399</v>
      </c>
      <c r="Y3064" t="s">
        <v>62400</v>
      </c>
    </row>
    <row r="3065" spans="1:25" x14ac:dyDescent="0.3">
      <c r="A3065">
        <v>153200</v>
      </c>
      <c r="B3065" t="s">
        <v>62401</v>
      </c>
      <c r="C3065" t="s">
        <v>62402</v>
      </c>
      <c r="D3065" t="s">
        <v>62403</v>
      </c>
      <c r="E3065" t="s">
        <v>62404</v>
      </c>
      <c r="F3065" t="s">
        <v>62405</v>
      </c>
      <c r="G3065" t="s">
        <v>62406</v>
      </c>
      <c r="H3065" t="s">
        <v>62407</v>
      </c>
      <c r="I3065" t="s">
        <v>62408</v>
      </c>
      <c r="J3065" t="s">
        <v>62409</v>
      </c>
      <c r="K3065" t="s">
        <v>62410</v>
      </c>
      <c r="L3065" t="s">
        <v>62411</v>
      </c>
      <c r="M3065" t="s">
        <v>62412</v>
      </c>
      <c r="N3065" t="s">
        <v>62413</v>
      </c>
      <c r="O3065" t="s">
        <v>62414</v>
      </c>
      <c r="P3065" t="s">
        <v>62415</v>
      </c>
      <c r="Q3065" t="s">
        <v>62416</v>
      </c>
      <c r="R3065" t="s">
        <v>62417</v>
      </c>
      <c r="S3065" t="s">
        <v>62418</v>
      </c>
      <c r="T3065" t="s">
        <v>62419</v>
      </c>
      <c r="U3065" t="s">
        <v>62420</v>
      </c>
      <c r="V3065" t="s">
        <v>62421</v>
      </c>
      <c r="W3065" t="s">
        <v>62422</v>
      </c>
      <c r="X3065" t="s">
        <v>62423</v>
      </c>
      <c r="Y3065" t="s">
        <v>62424</v>
      </c>
    </row>
    <row r="3066" spans="1:25" x14ac:dyDescent="0.3">
      <c r="A3066">
        <v>153250</v>
      </c>
      <c r="B3066" t="s">
        <v>62425</v>
      </c>
      <c r="C3066" t="s">
        <v>62426</v>
      </c>
      <c r="D3066" t="s">
        <v>62427</v>
      </c>
      <c r="E3066" t="s">
        <v>62428</v>
      </c>
      <c r="F3066" t="s">
        <v>62429</v>
      </c>
      <c r="G3066" t="s">
        <v>62430</v>
      </c>
      <c r="H3066" t="s">
        <v>62431</v>
      </c>
      <c r="I3066" t="s">
        <v>62432</v>
      </c>
      <c r="J3066" t="s">
        <v>62433</v>
      </c>
      <c r="K3066" t="s">
        <v>62434</v>
      </c>
      <c r="L3066" t="s">
        <v>62435</v>
      </c>
      <c r="M3066" t="s">
        <v>62436</v>
      </c>
      <c r="N3066" t="s">
        <v>62437</v>
      </c>
      <c r="O3066" t="s">
        <v>62438</v>
      </c>
      <c r="P3066" t="s">
        <v>62439</v>
      </c>
      <c r="Q3066" t="s">
        <v>62440</v>
      </c>
      <c r="R3066" t="s">
        <v>62441</v>
      </c>
      <c r="S3066" t="s">
        <v>62442</v>
      </c>
      <c r="T3066" t="s">
        <v>62443</v>
      </c>
      <c r="U3066" t="s">
        <v>62444</v>
      </c>
      <c r="V3066" t="s">
        <v>62445</v>
      </c>
      <c r="W3066" t="s">
        <v>62446</v>
      </c>
      <c r="X3066" t="s">
        <v>62447</v>
      </c>
      <c r="Y3066" t="s">
        <v>62448</v>
      </c>
    </row>
    <row r="3067" spans="1:25" x14ac:dyDescent="0.3">
      <c r="A3067">
        <v>153300</v>
      </c>
      <c r="B3067" t="s">
        <v>62449</v>
      </c>
      <c r="C3067" t="s">
        <v>62450</v>
      </c>
      <c r="D3067" t="s">
        <v>62451</v>
      </c>
      <c r="E3067" t="s">
        <v>62452</v>
      </c>
      <c r="F3067" t="s">
        <v>62453</v>
      </c>
      <c r="G3067" t="s">
        <v>62454</v>
      </c>
      <c r="H3067" t="s">
        <v>62455</v>
      </c>
      <c r="I3067" t="s">
        <v>62456</v>
      </c>
      <c r="J3067" t="s">
        <v>62457</v>
      </c>
      <c r="K3067" t="s">
        <v>62458</v>
      </c>
      <c r="L3067" t="s">
        <v>62459</v>
      </c>
      <c r="M3067" t="s">
        <v>62460</v>
      </c>
      <c r="N3067" t="s">
        <v>62461</v>
      </c>
      <c r="O3067" t="s">
        <v>62462</v>
      </c>
      <c r="P3067" t="s">
        <v>62463</v>
      </c>
      <c r="Q3067" t="s">
        <v>62464</v>
      </c>
      <c r="R3067" t="s">
        <v>62465</v>
      </c>
      <c r="S3067" t="s">
        <v>62466</v>
      </c>
      <c r="T3067" t="s">
        <v>62467</v>
      </c>
      <c r="U3067" t="s">
        <v>62468</v>
      </c>
      <c r="V3067" t="s">
        <v>62469</v>
      </c>
      <c r="W3067" t="s">
        <v>62470</v>
      </c>
      <c r="X3067" t="s">
        <v>62471</v>
      </c>
      <c r="Y3067" t="s">
        <v>62472</v>
      </c>
    </row>
    <row r="3068" spans="1:25" x14ac:dyDescent="0.3">
      <c r="A3068">
        <v>153350</v>
      </c>
      <c r="B3068" t="s">
        <v>62473</v>
      </c>
      <c r="C3068" t="s">
        <v>62474</v>
      </c>
      <c r="D3068" t="s">
        <v>62475</v>
      </c>
      <c r="E3068" t="s">
        <v>62476</v>
      </c>
      <c r="F3068" t="s">
        <v>62477</v>
      </c>
      <c r="G3068" t="s">
        <v>62478</v>
      </c>
      <c r="H3068" t="s">
        <v>62479</v>
      </c>
      <c r="I3068" t="s">
        <v>62480</v>
      </c>
      <c r="J3068" t="s">
        <v>62481</v>
      </c>
      <c r="K3068" t="s">
        <v>62482</v>
      </c>
      <c r="L3068" t="s">
        <v>62483</v>
      </c>
      <c r="M3068" t="s">
        <v>62484</v>
      </c>
      <c r="N3068" t="s">
        <v>62485</v>
      </c>
      <c r="O3068" t="s">
        <v>62486</v>
      </c>
      <c r="P3068" t="s">
        <v>62487</v>
      </c>
      <c r="Q3068" t="s">
        <v>62488</v>
      </c>
      <c r="R3068" t="s">
        <v>62489</v>
      </c>
      <c r="S3068" t="s">
        <v>62490</v>
      </c>
      <c r="T3068" t="s">
        <v>62491</v>
      </c>
      <c r="U3068" t="s">
        <v>62492</v>
      </c>
      <c r="V3068" t="s">
        <v>62493</v>
      </c>
      <c r="W3068" t="s">
        <v>62494</v>
      </c>
      <c r="X3068" t="s">
        <v>62495</v>
      </c>
      <c r="Y3068" t="s">
        <v>62496</v>
      </c>
    </row>
    <row r="3069" spans="1:25" x14ac:dyDescent="0.3">
      <c r="A3069">
        <v>153400</v>
      </c>
      <c r="B3069" t="s">
        <v>62497</v>
      </c>
      <c r="C3069" t="s">
        <v>62498</v>
      </c>
      <c r="D3069" t="s">
        <v>62499</v>
      </c>
      <c r="E3069" t="s">
        <v>62500</v>
      </c>
      <c r="F3069" t="s">
        <v>62501</v>
      </c>
      <c r="G3069" t="s">
        <v>62502</v>
      </c>
      <c r="H3069" t="s">
        <v>62503</v>
      </c>
      <c r="I3069" t="s">
        <v>62504</v>
      </c>
      <c r="J3069" t="s">
        <v>62505</v>
      </c>
      <c r="K3069" t="s">
        <v>62506</v>
      </c>
      <c r="L3069" t="s">
        <v>62507</v>
      </c>
      <c r="M3069" t="s">
        <v>62508</v>
      </c>
      <c r="N3069" t="s">
        <v>62509</v>
      </c>
      <c r="O3069" t="s">
        <v>62510</v>
      </c>
      <c r="P3069" t="s">
        <v>62511</v>
      </c>
      <c r="Q3069" t="s">
        <v>62512</v>
      </c>
      <c r="R3069" t="s">
        <v>62513</v>
      </c>
      <c r="S3069" t="s">
        <v>62514</v>
      </c>
      <c r="T3069" t="s">
        <v>62515</v>
      </c>
      <c r="U3069" t="s">
        <v>62516</v>
      </c>
      <c r="V3069" t="s">
        <v>62517</v>
      </c>
      <c r="W3069" t="s">
        <v>62518</v>
      </c>
      <c r="X3069" t="s">
        <v>62519</v>
      </c>
      <c r="Y3069" t="s">
        <v>62520</v>
      </c>
    </row>
    <row r="3070" spans="1:25" x14ac:dyDescent="0.3">
      <c r="A3070">
        <v>153450</v>
      </c>
      <c r="B3070" t="s">
        <v>62521</v>
      </c>
      <c r="C3070" t="s">
        <v>62522</v>
      </c>
      <c r="D3070" t="s">
        <v>62523</v>
      </c>
      <c r="E3070" t="s">
        <v>62524</v>
      </c>
      <c r="F3070" t="s">
        <v>62525</v>
      </c>
      <c r="G3070" t="s">
        <v>62526</v>
      </c>
      <c r="H3070" t="s">
        <v>62527</v>
      </c>
      <c r="I3070" t="s">
        <v>62528</v>
      </c>
      <c r="J3070" t="s">
        <v>62529</v>
      </c>
      <c r="K3070" t="s">
        <v>62530</v>
      </c>
      <c r="L3070" t="s">
        <v>62531</v>
      </c>
      <c r="M3070" t="s">
        <v>62532</v>
      </c>
      <c r="N3070" t="s">
        <v>62533</v>
      </c>
      <c r="O3070" t="s">
        <v>62534</v>
      </c>
      <c r="P3070" t="s">
        <v>62535</v>
      </c>
      <c r="Q3070" t="s">
        <v>62536</v>
      </c>
      <c r="R3070" t="s">
        <v>62537</v>
      </c>
      <c r="S3070" t="s">
        <v>62538</v>
      </c>
      <c r="T3070" t="s">
        <v>62539</v>
      </c>
      <c r="U3070" t="s">
        <v>62540</v>
      </c>
      <c r="V3070" t="s">
        <v>62541</v>
      </c>
      <c r="W3070" t="s">
        <v>62542</v>
      </c>
      <c r="X3070" t="s">
        <v>62543</v>
      </c>
      <c r="Y3070" t="s">
        <v>62544</v>
      </c>
    </row>
    <row r="3071" spans="1:25" x14ac:dyDescent="0.3">
      <c r="A3071">
        <v>153500</v>
      </c>
      <c r="B3071" t="s">
        <v>62545</v>
      </c>
      <c r="C3071" t="s">
        <v>62546</v>
      </c>
      <c r="D3071" t="s">
        <v>62547</v>
      </c>
      <c r="E3071" t="s">
        <v>62548</v>
      </c>
      <c r="F3071" t="s">
        <v>62549</v>
      </c>
      <c r="G3071" t="s">
        <v>62550</v>
      </c>
      <c r="H3071" t="s">
        <v>62551</v>
      </c>
      <c r="I3071" t="s">
        <v>62552</v>
      </c>
      <c r="J3071" t="s">
        <v>62553</v>
      </c>
      <c r="K3071" t="s">
        <v>62554</v>
      </c>
      <c r="L3071" t="s">
        <v>62555</v>
      </c>
      <c r="M3071" t="s">
        <v>62556</v>
      </c>
      <c r="N3071" t="s">
        <v>62557</v>
      </c>
      <c r="O3071" t="s">
        <v>62558</v>
      </c>
      <c r="P3071" t="s">
        <v>62559</v>
      </c>
      <c r="Q3071" t="s">
        <v>62560</v>
      </c>
      <c r="R3071" t="s">
        <v>62561</v>
      </c>
      <c r="S3071" t="s">
        <v>62562</v>
      </c>
      <c r="T3071" t="s">
        <v>62563</v>
      </c>
      <c r="U3071" t="s">
        <v>62564</v>
      </c>
      <c r="V3071" t="s">
        <v>62565</v>
      </c>
      <c r="W3071" t="s">
        <v>62566</v>
      </c>
      <c r="X3071" t="s">
        <v>62567</v>
      </c>
      <c r="Y3071" t="s">
        <v>62568</v>
      </c>
    </row>
    <row r="3072" spans="1:25" x14ac:dyDescent="0.3">
      <c r="A3072">
        <v>153550</v>
      </c>
      <c r="B3072" t="s">
        <v>62569</v>
      </c>
      <c r="C3072" t="s">
        <v>62570</v>
      </c>
      <c r="D3072" t="s">
        <v>62571</v>
      </c>
      <c r="E3072" t="s">
        <v>62572</v>
      </c>
      <c r="F3072" t="s">
        <v>62573</v>
      </c>
      <c r="G3072" t="s">
        <v>62574</v>
      </c>
      <c r="H3072" t="s">
        <v>62575</v>
      </c>
      <c r="I3072" t="s">
        <v>62576</v>
      </c>
      <c r="J3072" t="s">
        <v>62577</v>
      </c>
      <c r="K3072" t="s">
        <v>62578</v>
      </c>
      <c r="L3072" t="s">
        <v>62579</v>
      </c>
      <c r="M3072" t="s">
        <v>62580</v>
      </c>
      <c r="N3072" t="s">
        <v>62581</v>
      </c>
      <c r="O3072" t="s">
        <v>62582</v>
      </c>
      <c r="P3072" t="s">
        <v>62583</v>
      </c>
      <c r="Q3072" t="s">
        <v>62584</v>
      </c>
      <c r="R3072" t="s">
        <v>62585</v>
      </c>
      <c r="S3072" t="s">
        <v>62586</v>
      </c>
      <c r="T3072" t="s">
        <v>62587</v>
      </c>
      <c r="U3072" t="s">
        <v>62588</v>
      </c>
      <c r="V3072" t="s">
        <v>62589</v>
      </c>
      <c r="W3072" t="s">
        <v>62590</v>
      </c>
      <c r="X3072" t="s">
        <v>62591</v>
      </c>
      <c r="Y3072" t="s">
        <v>62592</v>
      </c>
    </row>
    <row r="3073" spans="1:25" x14ac:dyDescent="0.3">
      <c r="A3073">
        <v>153600</v>
      </c>
      <c r="B3073" t="s">
        <v>62593</v>
      </c>
      <c r="C3073" t="s">
        <v>62594</v>
      </c>
      <c r="D3073" t="s">
        <v>62595</v>
      </c>
      <c r="E3073" t="s">
        <v>62596</v>
      </c>
      <c r="F3073" t="s">
        <v>62597</v>
      </c>
      <c r="G3073" t="s">
        <v>62598</v>
      </c>
      <c r="H3073" t="s">
        <v>62599</v>
      </c>
      <c r="I3073" t="s">
        <v>62600</v>
      </c>
      <c r="J3073" t="s">
        <v>62601</v>
      </c>
      <c r="K3073" t="s">
        <v>62602</v>
      </c>
      <c r="L3073" t="s">
        <v>62603</v>
      </c>
      <c r="M3073" t="s">
        <v>62604</v>
      </c>
      <c r="N3073" t="s">
        <v>62605</v>
      </c>
      <c r="O3073" t="s">
        <v>62606</v>
      </c>
      <c r="P3073" t="s">
        <v>62607</v>
      </c>
      <c r="Q3073" t="s">
        <v>62608</v>
      </c>
      <c r="R3073" t="s">
        <v>62609</v>
      </c>
      <c r="S3073" t="s">
        <v>62610</v>
      </c>
      <c r="T3073" t="s">
        <v>62611</v>
      </c>
      <c r="U3073" t="s">
        <v>62612</v>
      </c>
      <c r="V3073" t="s">
        <v>62613</v>
      </c>
      <c r="W3073" t="s">
        <v>62614</v>
      </c>
      <c r="X3073" t="s">
        <v>62615</v>
      </c>
      <c r="Y3073" t="s">
        <v>62616</v>
      </c>
    </row>
    <row r="3074" spans="1:25" x14ac:dyDescent="0.3">
      <c r="A3074">
        <v>153650</v>
      </c>
      <c r="B3074" t="s">
        <v>62617</v>
      </c>
      <c r="C3074" t="s">
        <v>62618</v>
      </c>
      <c r="D3074" t="s">
        <v>62619</v>
      </c>
      <c r="E3074" t="s">
        <v>62620</v>
      </c>
      <c r="F3074" t="s">
        <v>62621</v>
      </c>
      <c r="G3074" t="s">
        <v>62622</v>
      </c>
      <c r="H3074" t="s">
        <v>62623</v>
      </c>
      <c r="I3074" t="s">
        <v>62624</v>
      </c>
      <c r="J3074" t="s">
        <v>62625</v>
      </c>
      <c r="K3074" t="s">
        <v>62626</v>
      </c>
      <c r="L3074" t="s">
        <v>62627</v>
      </c>
      <c r="M3074" t="s">
        <v>62628</v>
      </c>
      <c r="N3074" t="s">
        <v>62629</v>
      </c>
      <c r="O3074" t="s">
        <v>62630</v>
      </c>
      <c r="P3074" t="s">
        <v>62631</v>
      </c>
      <c r="Q3074" t="s">
        <v>62632</v>
      </c>
      <c r="R3074" t="s">
        <v>62633</v>
      </c>
      <c r="S3074" t="s">
        <v>62634</v>
      </c>
      <c r="T3074" t="s">
        <v>62635</v>
      </c>
      <c r="U3074" t="s">
        <v>62636</v>
      </c>
      <c r="V3074" t="s">
        <v>62637</v>
      </c>
      <c r="W3074" t="s">
        <v>62638</v>
      </c>
      <c r="X3074" t="s">
        <v>62639</v>
      </c>
      <c r="Y3074" t="s">
        <v>62640</v>
      </c>
    </row>
    <row r="3075" spans="1:25" x14ac:dyDescent="0.3">
      <c r="A3075">
        <v>153700</v>
      </c>
      <c r="B3075" t="s">
        <v>62641</v>
      </c>
      <c r="C3075" t="s">
        <v>62642</v>
      </c>
      <c r="D3075" t="s">
        <v>62643</v>
      </c>
      <c r="E3075" t="s">
        <v>62644</v>
      </c>
      <c r="F3075" t="s">
        <v>62645</v>
      </c>
      <c r="G3075" t="s">
        <v>62646</v>
      </c>
      <c r="H3075" t="s">
        <v>62647</v>
      </c>
      <c r="I3075" t="s">
        <v>62648</v>
      </c>
      <c r="J3075" t="s">
        <v>62649</v>
      </c>
      <c r="K3075" t="s">
        <v>62650</v>
      </c>
      <c r="L3075" t="s">
        <v>62651</v>
      </c>
      <c r="M3075" t="s">
        <v>62652</v>
      </c>
      <c r="N3075" t="s">
        <v>62653</v>
      </c>
      <c r="O3075" t="s">
        <v>62654</v>
      </c>
      <c r="P3075" t="s">
        <v>62655</v>
      </c>
      <c r="Q3075" t="s">
        <v>62656</v>
      </c>
      <c r="R3075" t="s">
        <v>62657</v>
      </c>
      <c r="S3075" t="s">
        <v>62658</v>
      </c>
      <c r="T3075" t="s">
        <v>62659</v>
      </c>
      <c r="U3075" t="s">
        <v>62660</v>
      </c>
      <c r="V3075" t="s">
        <v>62661</v>
      </c>
      <c r="W3075" t="s">
        <v>62662</v>
      </c>
      <c r="X3075" t="s">
        <v>62663</v>
      </c>
      <c r="Y3075" t="s">
        <v>62664</v>
      </c>
    </row>
    <row r="3076" spans="1:25" x14ac:dyDescent="0.3">
      <c r="A3076">
        <v>153750</v>
      </c>
      <c r="B3076" t="s">
        <v>62665</v>
      </c>
      <c r="C3076" t="s">
        <v>62666</v>
      </c>
      <c r="D3076" t="s">
        <v>62667</v>
      </c>
      <c r="E3076" t="s">
        <v>62668</v>
      </c>
      <c r="F3076" t="s">
        <v>62669</v>
      </c>
      <c r="G3076" t="s">
        <v>62670</v>
      </c>
      <c r="H3076" t="s">
        <v>62671</v>
      </c>
      <c r="I3076" t="s">
        <v>62672</v>
      </c>
      <c r="J3076" t="s">
        <v>62673</v>
      </c>
      <c r="K3076" t="s">
        <v>62674</v>
      </c>
      <c r="L3076" t="s">
        <v>62675</v>
      </c>
      <c r="M3076" t="s">
        <v>62676</v>
      </c>
      <c r="N3076" t="s">
        <v>62677</v>
      </c>
      <c r="O3076" t="s">
        <v>62678</v>
      </c>
      <c r="P3076" t="s">
        <v>62679</v>
      </c>
      <c r="Q3076" t="s">
        <v>62680</v>
      </c>
      <c r="R3076" t="s">
        <v>62681</v>
      </c>
      <c r="S3076" t="s">
        <v>62682</v>
      </c>
      <c r="T3076" t="s">
        <v>62683</v>
      </c>
      <c r="U3076" t="s">
        <v>62684</v>
      </c>
      <c r="V3076" t="s">
        <v>62685</v>
      </c>
      <c r="W3076" t="s">
        <v>62686</v>
      </c>
      <c r="X3076" t="s">
        <v>62687</v>
      </c>
      <c r="Y3076" t="s">
        <v>62688</v>
      </c>
    </row>
    <row r="3077" spans="1:25" x14ac:dyDescent="0.3">
      <c r="A3077">
        <v>153800</v>
      </c>
      <c r="B3077" t="s">
        <v>62689</v>
      </c>
      <c r="C3077" t="s">
        <v>62690</v>
      </c>
      <c r="D3077" t="s">
        <v>62691</v>
      </c>
      <c r="E3077" t="s">
        <v>62692</v>
      </c>
      <c r="F3077" t="s">
        <v>62693</v>
      </c>
      <c r="G3077" t="s">
        <v>62694</v>
      </c>
      <c r="H3077" t="s">
        <v>62695</v>
      </c>
      <c r="I3077" t="s">
        <v>62696</v>
      </c>
      <c r="J3077" t="s">
        <v>62697</v>
      </c>
      <c r="K3077" t="s">
        <v>62698</v>
      </c>
      <c r="L3077" t="s">
        <v>62699</v>
      </c>
      <c r="M3077" t="s">
        <v>62700</v>
      </c>
      <c r="N3077" t="s">
        <v>62701</v>
      </c>
      <c r="O3077" t="s">
        <v>62702</v>
      </c>
      <c r="P3077" t="s">
        <v>62703</v>
      </c>
      <c r="Q3077" t="s">
        <v>62704</v>
      </c>
      <c r="R3077" t="s">
        <v>62705</v>
      </c>
      <c r="S3077" t="s">
        <v>62706</v>
      </c>
      <c r="T3077" t="s">
        <v>62707</v>
      </c>
      <c r="U3077" t="s">
        <v>62708</v>
      </c>
      <c r="V3077" t="s">
        <v>62709</v>
      </c>
      <c r="W3077" t="s">
        <v>62710</v>
      </c>
      <c r="X3077" t="s">
        <v>62711</v>
      </c>
      <c r="Y3077" t="s">
        <v>62712</v>
      </c>
    </row>
    <row r="3078" spans="1:25" x14ac:dyDescent="0.3">
      <c r="A3078">
        <v>153850</v>
      </c>
      <c r="B3078" t="s">
        <v>62713</v>
      </c>
      <c r="C3078" t="s">
        <v>62714</v>
      </c>
      <c r="D3078" t="s">
        <v>62715</v>
      </c>
      <c r="E3078" t="s">
        <v>62716</v>
      </c>
      <c r="F3078" t="s">
        <v>62717</v>
      </c>
      <c r="G3078" t="s">
        <v>62718</v>
      </c>
      <c r="H3078" t="s">
        <v>62719</v>
      </c>
      <c r="I3078" t="s">
        <v>62720</v>
      </c>
      <c r="J3078" t="s">
        <v>62721</v>
      </c>
      <c r="K3078" t="s">
        <v>62722</v>
      </c>
      <c r="L3078" t="s">
        <v>62723</v>
      </c>
      <c r="M3078" t="s">
        <v>62724</v>
      </c>
      <c r="N3078" t="s">
        <v>62725</v>
      </c>
      <c r="O3078" t="s">
        <v>62726</v>
      </c>
      <c r="P3078" t="s">
        <v>62727</v>
      </c>
      <c r="Q3078" t="s">
        <v>62728</v>
      </c>
      <c r="R3078" t="s">
        <v>62729</v>
      </c>
      <c r="S3078" t="s">
        <v>62730</v>
      </c>
      <c r="T3078" t="s">
        <v>62731</v>
      </c>
      <c r="U3078" t="s">
        <v>62732</v>
      </c>
      <c r="V3078" t="s">
        <v>62733</v>
      </c>
      <c r="W3078" t="s">
        <v>62734</v>
      </c>
      <c r="X3078" t="s">
        <v>62735</v>
      </c>
      <c r="Y3078" t="s">
        <v>62736</v>
      </c>
    </row>
    <row r="3079" spans="1:25" x14ac:dyDescent="0.3">
      <c r="A3079">
        <v>153900</v>
      </c>
      <c r="B3079" t="s">
        <v>62737</v>
      </c>
      <c r="C3079" t="s">
        <v>62738</v>
      </c>
      <c r="D3079" t="s">
        <v>62739</v>
      </c>
      <c r="E3079" t="s">
        <v>62740</v>
      </c>
      <c r="F3079" t="s">
        <v>62741</v>
      </c>
      <c r="G3079" t="s">
        <v>62742</v>
      </c>
      <c r="H3079" t="s">
        <v>62743</v>
      </c>
      <c r="I3079" t="s">
        <v>62744</v>
      </c>
      <c r="J3079" t="s">
        <v>62745</v>
      </c>
      <c r="K3079" t="s">
        <v>62746</v>
      </c>
      <c r="L3079" t="s">
        <v>62747</v>
      </c>
      <c r="M3079" t="s">
        <v>62748</v>
      </c>
      <c r="N3079" t="s">
        <v>62749</v>
      </c>
      <c r="O3079" t="s">
        <v>62750</v>
      </c>
      <c r="P3079" t="s">
        <v>62751</v>
      </c>
      <c r="Q3079" t="s">
        <v>62752</v>
      </c>
      <c r="R3079" t="s">
        <v>62753</v>
      </c>
      <c r="S3079" t="s">
        <v>62754</v>
      </c>
      <c r="T3079" t="s">
        <v>62755</v>
      </c>
      <c r="U3079" t="s">
        <v>62756</v>
      </c>
      <c r="V3079" t="s">
        <v>62757</v>
      </c>
      <c r="W3079" t="s">
        <v>62758</v>
      </c>
      <c r="X3079" t="s">
        <v>62759</v>
      </c>
      <c r="Y3079" t="s">
        <v>62760</v>
      </c>
    </row>
    <row r="3080" spans="1:25" x14ac:dyDescent="0.3">
      <c r="A3080">
        <v>153950</v>
      </c>
      <c r="B3080" t="s">
        <v>62761</v>
      </c>
      <c r="C3080" t="s">
        <v>62762</v>
      </c>
      <c r="D3080" t="s">
        <v>62763</v>
      </c>
      <c r="E3080" t="s">
        <v>62764</v>
      </c>
      <c r="F3080" t="s">
        <v>62765</v>
      </c>
      <c r="G3080" t="s">
        <v>62766</v>
      </c>
      <c r="H3080" t="s">
        <v>62767</v>
      </c>
      <c r="I3080" t="s">
        <v>62768</v>
      </c>
      <c r="J3080" t="s">
        <v>62769</v>
      </c>
      <c r="K3080" t="s">
        <v>62770</v>
      </c>
      <c r="L3080" t="s">
        <v>62771</v>
      </c>
      <c r="M3080" t="s">
        <v>62772</v>
      </c>
      <c r="N3080" t="s">
        <v>62773</v>
      </c>
      <c r="O3080" t="s">
        <v>62774</v>
      </c>
      <c r="P3080" t="s">
        <v>62775</v>
      </c>
      <c r="Q3080" t="s">
        <v>62776</v>
      </c>
      <c r="R3080" t="s">
        <v>62777</v>
      </c>
      <c r="S3080" t="s">
        <v>62778</v>
      </c>
      <c r="T3080" t="s">
        <v>62779</v>
      </c>
      <c r="U3080" t="s">
        <v>62780</v>
      </c>
      <c r="V3080" t="s">
        <v>62781</v>
      </c>
      <c r="W3080" t="s">
        <v>62782</v>
      </c>
      <c r="X3080" t="s">
        <v>62783</v>
      </c>
      <c r="Y3080" t="s">
        <v>62784</v>
      </c>
    </row>
    <row r="3081" spans="1:25" x14ac:dyDescent="0.3">
      <c r="A3081">
        <v>154000</v>
      </c>
      <c r="B3081" t="s">
        <v>62785</v>
      </c>
      <c r="C3081" t="s">
        <v>62786</v>
      </c>
      <c r="D3081" t="s">
        <v>62787</v>
      </c>
      <c r="E3081" t="s">
        <v>62788</v>
      </c>
      <c r="F3081" t="s">
        <v>62789</v>
      </c>
      <c r="G3081" t="s">
        <v>62790</v>
      </c>
      <c r="H3081" t="s">
        <v>62791</v>
      </c>
      <c r="I3081" t="s">
        <v>62792</v>
      </c>
      <c r="J3081" t="s">
        <v>62793</v>
      </c>
      <c r="K3081" t="s">
        <v>62794</v>
      </c>
      <c r="L3081" t="s">
        <v>62795</v>
      </c>
      <c r="M3081" t="s">
        <v>62796</v>
      </c>
      <c r="N3081" t="s">
        <v>62797</v>
      </c>
      <c r="O3081" t="s">
        <v>62798</v>
      </c>
      <c r="P3081" t="s">
        <v>62799</v>
      </c>
      <c r="Q3081" t="s">
        <v>62800</v>
      </c>
      <c r="R3081" t="s">
        <v>62801</v>
      </c>
      <c r="S3081" t="s">
        <v>62802</v>
      </c>
      <c r="T3081" t="s">
        <v>62803</v>
      </c>
      <c r="U3081" t="s">
        <v>62804</v>
      </c>
      <c r="V3081" t="s">
        <v>62805</v>
      </c>
      <c r="W3081" t="s">
        <v>62806</v>
      </c>
      <c r="X3081" t="s">
        <v>62807</v>
      </c>
      <c r="Y3081" t="s">
        <v>62808</v>
      </c>
    </row>
    <row r="3082" spans="1:25" x14ac:dyDescent="0.3">
      <c r="A3082">
        <v>154050</v>
      </c>
      <c r="B3082" t="s">
        <v>62809</v>
      </c>
      <c r="C3082" t="s">
        <v>62810</v>
      </c>
      <c r="D3082" t="s">
        <v>62811</v>
      </c>
      <c r="E3082" t="s">
        <v>62812</v>
      </c>
      <c r="F3082" t="s">
        <v>62813</v>
      </c>
      <c r="G3082" t="s">
        <v>62814</v>
      </c>
      <c r="H3082" t="s">
        <v>62815</v>
      </c>
      <c r="I3082" t="s">
        <v>62816</v>
      </c>
      <c r="J3082" t="s">
        <v>62817</v>
      </c>
      <c r="K3082" t="s">
        <v>62818</v>
      </c>
      <c r="L3082" t="s">
        <v>62819</v>
      </c>
      <c r="M3082" t="s">
        <v>62820</v>
      </c>
      <c r="N3082" t="s">
        <v>62821</v>
      </c>
      <c r="O3082" t="s">
        <v>62822</v>
      </c>
      <c r="P3082" t="s">
        <v>62823</v>
      </c>
      <c r="Q3082" t="s">
        <v>62824</v>
      </c>
      <c r="R3082" t="s">
        <v>62825</v>
      </c>
      <c r="S3082" t="s">
        <v>62826</v>
      </c>
      <c r="T3082" t="s">
        <v>62827</v>
      </c>
      <c r="U3082" t="s">
        <v>62828</v>
      </c>
      <c r="V3082" t="s">
        <v>62829</v>
      </c>
      <c r="W3082" t="s">
        <v>62830</v>
      </c>
      <c r="X3082" t="s">
        <v>62831</v>
      </c>
      <c r="Y3082" t="s">
        <v>62832</v>
      </c>
    </row>
    <row r="3083" spans="1:25" x14ac:dyDescent="0.3">
      <c r="A3083">
        <v>154100</v>
      </c>
      <c r="B3083" t="s">
        <v>62833</v>
      </c>
      <c r="C3083" t="s">
        <v>62834</v>
      </c>
      <c r="D3083" t="s">
        <v>62835</v>
      </c>
      <c r="E3083" t="s">
        <v>62836</v>
      </c>
      <c r="F3083" t="s">
        <v>62837</v>
      </c>
      <c r="G3083" t="s">
        <v>62838</v>
      </c>
      <c r="H3083" t="s">
        <v>62839</v>
      </c>
      <c r="I3083" t="s">
        <v>62840</v>
      </c>
      <c r="J3083" t="s">
        <v>62841</v>
      </c>
      <c r="K3083" t="s">
        <v>62842</v>
      </c>
      <c r="L3083" t="s">
        <v>62843</v>
      </c>
      <c r="M3083" t="s">
        <v>62844</v>
      </c>
      <c r="N3083" t="s">
        <v>62845</v>
      </c>
      <c r="O3083" t="s">
        <v>62846</v>
      </c>
      <c r="P3083" t="s">
        <v>62847</v>
      </c>
      <c r="Q3083" t="s">
        <v>62848</v>
      </c>
      <c r="R3083" t="s">
        <v>62849</v>
      </c>
      <c r="S3083" t="s">
        <v>62850</v>
      </c>
      <c r="T3083" t="s">
        <v>62851</v>
      </c>
      <c r="U3083" t="s">
        <v>62852</v>
      </c>
      <c r="V3083" t="s">
        <v>62853</v>
      </c>
      <c r="W3083" t="s">
        <v>62854</v>
      </c>
      <c r="X3083" t="s">
        <v>62855</v>
      </c>
      <c r="Y3083" t="s">
        <v>62856</v>
      </c>
    </row>
    <row r="3084" spans="1:25" x14ac:dyDescent="0.3">
      <c r="A3084">
        <v>154150</v>
      </c>
      <c r="B3084" t="s">
        <v>62857</v>
      </c>
      <c r="C3084" t="s">
        <v>62858</v>
      </c>
      <c r="D3084" t="s">
        <v>62859</v>
      </c>
      <c r="E3084" t="s">
        <v>62860</v>
      </c>
      <c r="F3084" t="s">
        <v>62861</v>
      </c>
      <c r="G3084" t="s">
        <v>62862</v>
      </c>
      <c r="H3084" t="s">
        <v>62863</v>
      </c>
      <c r="I3084" t="s">
        <v>62864</v>
      </c>
      <c r="J3084" t="s">
        <v>62865</v>
      </c>
      <c r="K3084" t="s">
        <v>62866</v>
      </c>
      <c r="L3084" t="s">
        <v>62867</v>
      </c>
      <c r="M3084" t="s">
        <v>62868</v>
      </c>
      <c r="N3084" t="s">
        <v>62869</v>
      </c>
      <c r="O3084" t="s">
        <v>62870</v>
      </c>
      <c r="P3084" t="s">
        <v>62871</v>
      </c>
      <c r="Q3084" t="s">
        <v>62872</v>
      </c>
      <c r="R3084" t="s">
        <v>62873</v>
      </c>
      <c r="S3084" t="s">
        <v>62874</v>
      </c>
      <c r="T3084" t="s">
        <v>62875</v>
      </c>
      <c r="U3084" t="s">
        <v>62876</v>
      </c>
      <c r="V3084" t="s">
        <v>62877</v>
      </c>
      <c r="W3084" t="s">
        <v>62878</v>
      </c>
      <c r="X3084" t="s">
        <v>62879</v>
      </c>
      <c r="Y3084" t="s">
        <v>62880</v>
      </c>
    </row>
    <row r="3085" spans="1:25" x14ac:dyDescent="0.3">
      <c r="A3085">
        <v>154200</v>
      </c>
      <c r="B3085" t="s">
        <v>62881</v>
      </c>
      <c r="C3085" t="s">
        <v>62882</v>
      </c>
      <c r="D3085" t="s">
        <v>62883</v>
      </c>
      <c r="E3085" t="s">
        <v>62884</v>
      </c>
      <c r="F3085" t="s">
        <v>62885</v>
      </c>
      <c r="G3085" t="s">
        <v>62886</v>
      </c>
      <c r="H3085" t="s">
        <v>62887</v>
      </c>
      <c r="I3085" t="s">
        <v>62888</v>
      </c>
      <c r="J3085" t="s">
        <v>62889</v>
      </c>
      <c r="K3085" t="s">
        <v>62890</v>
      </c>
      <c r="L3085" t="s">
        <v>62891</v>
      </c>
      <c r="M3085" t="s">
        <v>62892</v>
      </c>
      <c r="N3085" t="s">
        <v>62893</v>
      </c>
      <c r="O3085" t="s">
        <v>62894</v>
      </c>
      <c r="P3085" t="s">
        <v>62895</v>
      </c>
      <c r="Q3085" t="s">
        <v>62896</v>
      </c>
      <c r="R3085" t="s">
        <v>62897</v>
      </c>
      <c r="S3085" t="s">
        <v>62898</v>
      </c>
      <c r="T3085" t="s">
        <v>62899</v>
      </c>
      <c r="U3085" t="s">
        <v>62900</v>
      </c>
      <c r="V3085" t="s">
        <v>62901</v>
      </c>
      <c r="W3085" t="s">
        <v>62902</v>
      </c>
      <c r="X3085" t="s">
        <v>62903</v>
      </c>
      <c r="Y3085" t="s">
        <v>62904</v>
      </c>
    </row>
    <row r="3086" spans="1:25" x14ac:dyDescent="0.3">
      <c r="A3086">
        <v>154250</v>
      </c>
      <c r="B3086" t="s">
        <v>62905</v>
      </c>
      <c r="C3086" t="s">
        <v>62906</v>
      </c>
      <c r="D3086" t="s">
        <v>62907</v>
      </c>
      <c r="E3086" t="s">
        <v>62908</v>
      </c>
      <c r="F3086" t="s">
        <v>62909</v>
      </c>
      <c r="G3086" t="s">
        <v>62910</v>
      </c>
      <c r="H3086" t="s">
        <v>62911</v>
      </c>
      <c r="I3086" t="s">
        <v>62912</v>
      </c>
      <c r="J3086" t="s">
        <v>62913</v>
      </c>
      <c r="K3086" t="s">
        <v>62914</v>
      </c>
      <c r="L3086" t="s">
        <v>62915</v>
      </c>
      <c r="M3086" t="s">
        <v>62916</v>
      </c>
      <c r="N3086" t="s">
        <v>62917</v>
      </c>
      <c r="O3086" t="s">
        <v>62918</v>
      </c>
      <c r="P3086" t="s">
        <v>62919</v>
      </c>
      <c r="Q3086" t="s">
        <v>62920</v>
      </c>
      <c r="R3086" t="s">
        <v>62921</v>
      </c>
      <c r="S3086" t="s">
        <v>62922</v>
      </c>
      <c r="T3086" t="s">
        <v>62923</v>
      </c>
      <c r="U3086" t="s">
        <v>62924</v>
      </c>
      <c r="V3086" t="s">
        <v>62925</v>
      </c>
      <c r="W3086" t="s">
        <v>62926</v>
      </c>
      <c r="X3086" t="s">
        <v>62927</v>
      </c>
      <c r="Y3086" t="s">
        <v>62928</v>
      </c>
    </row>
    <row r="3087" spans="1:25" x14ac:dyDescent="0.3">
      <c r="A3087">
        <v>154300</v>
      </c>
      <c r="B3087" t="s">
        <v>62929</v>
      </c>
      <c r="C3087" t="s">
        <v>62930</v>
      </c>
      <c r="D3087" t="s">
        <v>62931</v>
      </c>
      <c r="E3087" t="s">
        <v>62932</v>
      </c>
      <c r="F3087" t="s">
        <v>62933</v>
      </c>
      <c r="G3087" t="s">
        <v>62934</v>
      </c>
      <c r="H3087" t="s">
        <v>62935</v>
      </c>
      <c r="I3087" t="s">
        <v>62936</v>
      </c>
      <c r="J3087" t="s">
        <v>62937</v>
      </c>
      <c r="K3087" t="s">
        <v>62938</v>
      </c>
      <c r="L3087" t="s">
        <v>62939</v>
      </c>
      <c r="M3087" t="s">
        <v>62940</v>
      </c>
      <c r="N3087" t="s">
        <v>62941</v>
      </c>
      <c r="O3087" t="s">
        <v>62942</v>
      </c>
      <c r="P3087" t="s">
        <v>62943</v>
      </c>
      <c r="Q3087" t="s">
        <v>62944</v>
      </c>
      <c r="R3087" t="s">
        <v>62945</v>
      </c>
      <c r="S3087" t="s">
        <v>62946</v>
      </c>
      <c r="T3087" t="s">
        <v>62947</v>
      </c>
      <c r="U3087" t="s">
        <v>62948</v>
      </c>
      <c r="V3087" t="s">
        <v>62949</v>
      </c>
      <c r="W3087" t="s">
        <v>62950</v>
      </c>
      <c r="X3087" t="s">
        <v>62951</v>
      </c>
      <c r="Y3087" t="s">
        <v>62952</v>
      </c>
    </row>
    <row r="3088" spans="1:25" x14ac:dyDescent="0.3">
      <c r="A3088">
        <v>154350</v>
      </c>
      <c r="B3088" t="s">
        <v>62953</v>
      </c>
      <c r="C3088" t="s">
        <v>62954</v>
      </c>
      <c r="D3088" t="s">
        <v>62955</v>
      </c>
      <c r="E3088" t="s">
        <v>62956</v>
      </c>
      <c r="F3088" t="s">
        <v>62957</v>
      </c>
      <c r="G3088" t="s">
        <v>62958</v>
      </c>
      <c r="H3088" t="s">
        <v>62959</v>
      </c>
      <c r="I3088" t="s">
        <v>62960</v>
      </c>
      <c r="J3088" t="s">
        <v>62961</v>
      </c>
      <c r="K3088" t="s">
        <v>62962</v>
      </c>
      <c r="L3088" t="s">
        <v>62963</v>
      </c>
      <c r="M3088" t="s">
        <v>62964</v>
      </c>
      <c r="N3088" t="s">
        <v>62965</v>
      </c>
      <c r="O3088" t="s">
        <v>62966</v>
      </c>
      <c r="P3088" t="s">
        <v>62967</v>
      </c>
      <c r="Q3088" t="s">
        <v>62968</v>
      </c>
      <c r="R3088" t="s">
        <v>62969</v>
      </c>
      <c r="S3088" t="s">
        <v>62970</v>
      </c>
      <c r="T3088" t="s">
        <v>62971</v>
      </c>
      <c r="U3088" t="s">
        <v>62972</v>
      </c>
      <c r="V3088" t="s">
        <v>62973</v>
      </c>
      <c r="W3088" t="s">
        <v>62974</v>
      </c>
      <c r="X3088" t="s">
        <v>62975</v>
      </c>
      <c r="Y3088" t="s">
        <v>62976</v>
      </c>
    </row>
    <row r="3089" spans="1:25" x14ac:dyDescent="0.3">
      <c r="A3089">
        <v>154400</v>
      </c>
      <c r="B3089" t="s">
        <v>62977</v>
      </c>
      <c r="C3089" t="s">
        <v>62978</v>
      </c>
      <c r="D3089" t="s">
        <v>62979</v>
      </c>
      <c r="E3089" t="s">
        <v>62980</v>
      </c>
      <c r="F3089" t="s">
        <v>62981</v>
      </c>
      <c r="G3089" t="s">
        <v>62982</v>
      </c>
      <c r="H3089" t="s">
        <v>62983</v>
      </c>
      <c r="I3089" t="s">
        <v>62984</v>
      </c>
      <c r="J3089" t="s">
        <v>62985</v>
      </c>
      <c r="K3089" t="s">
        <v>62986</v>
      </c>
      <c r="L3089" t="s">
        <v>62987</v>
      </c>
      <c r="M3089" t="s">
        <v>62988</v>
      </c>
      <c r="N3089" t="s">
        <v>62989</v>
      </c>
      <c r="O3089" t="s">
        <v>62990</v>
      </c>
      <c r="P3089" t="s">
        <v>62991</v>
      </c>
      <c r="Q3089" t="s">
        <v>62992</v>
      </c>
      <c r="R3089" t="s">
        <v>62993</v>
      </c>
      <c r="S3089" t="s">
        <v>62994</v>
      </c>
      <c r="T3089" t="s">
        <v>62995</v>
      </c>
      <c r="U3089" t="s">
        <v>62996</v>
      </c>
      <c r="V3089" t="s">
        <v>62997</v>
      </c>
      <c r="W3089" t="s">
        <v>62998</v>
      </c>
      <c r="X3089" t="s">
        <v>62999</v>
      </c>
      <c r="Y3089" t="s">
        <v>63000</v>
      </c>
    </row>
    <row r="3090" spans="1:25" x14ac:dyDescent="0.3">
      <c r="A3090">
        <v>154450</v>
      </c>
      <c r="B3090" t="s">
        <v>63001</v>
      </c>
      <c r="C3090" t="s">
        <v>63002</v>
      </c>
      <c r="D3090" t="s">
        <v>63003</v>
      </c>
      <c r="E3090" t="s">
        <v>63004</v>
      </c>
      <c r="F3090" t="s">
        <v>63005</v>
      </c>
      <c r="G3090" t="s">
        <v>63006</v>
      </c>
      <c r="H3090" t="s">
        <v>63007</v>
      </c>
      <c r="I3090" t="s">
        <v>63008</v>
      </c>
      <c r="J3090" t="s">
        <v>63009</v>
      </c>
      <c r="K3090" t="s">
        <v>63010</v>
      </c>
      <c r="L3090" t="s">
        <v>63011</v>
      </c>
      <c r="M3090" t="s">
        <v>63012</v>
      </c>
      <c r="N3090" t="s">
        <v>63013</v>
      </c>
      <c r="O3090" t="s">
        <v>63014</v>
      </c>
      <c r="P3090" t="s">
        <v>63015</v>
      </c>
      <c r="Q3090" t="s">
        <v>63016</v>
      </c>
      <c r="R3090" t="s">
        <v>63017</v>
      </c>
      <c r="S3090" t="s">
        <v>63018</v>
      </c>
      <c r="T3090" t="s">
        <v>63019</v>
      </c>
      <c r="U3090" t="s">
        <v>63020</v>
      </c>
      <c r="V3090" t="s">
        <v>63021</v>
      </c>
      <c r="W3090" t="s">
        <v>63022</v>
      </c>
      <c r="X3090" t="s">
        <v>63023</v>
      </c>
      <c r="Y3090" t="s">
        <v>63024</v>
      </c>
    </row>
    <row r="3091" spans="1:25" x14ac:dyDescent="0.3">
      <c r="A3091">
        <v>154500</v>
      </c>
      <c r="B3091" t="s">
        <v>63025</v>
      </c>
      <c r="C3091" t="s">
        <v>63026</v>
      </c>
      <c r="D3091" t="s">
        <v>63027</v>
      </c>
      <c r="E3091" t="s">
        <v>63028</v>
      </c>
      <c r="F3091" t="s">
        <v>63029</v>
      </c>
      <c r="G3091" t="s">
        <v>63030</v>
      </c>
      <c r="H3091" t="s">
        <v>63031</v>
      </c>
      <c r="I3091" t="s">
        <v>63032</v>
      </c>
      <c r="J3091" t="s">
        <v>63033</v>
      </c>
      <c r="K3091" t="s">
        <v>63034</v>
      </c>
      <c r="L3091" t="s">
        <v>63035</v>
      </c>
      <c r="M3091" t="s">
        <v>63036</v>
      </c>
      <c r="N3091" t="s">
        <v>63037</v>
      </c>
      <c r="O3091" t="s">
        <v>63038</v>
      </c>
      <c r="P3091" t="s">
        <v>63039</v>
      </c>
      <c r="Q3091" t="s">
        <v>63040</v>
      </c>
      <c r="R3091" t="s">
        <v>63041</v>
      </c>
      <c r="S3091" t="s">
        <v>63042</v>
      </c>
      <c r="T3091" t="s">
        <v>63043</v>
      </c>
      <c r="U3091" t="s">
        <v>63044</v>
      </c>
      <c r="V3091" t="s">
        <v>63045</v>
      </c>
      <c r="W3091" t="s">
        <v>63046</v>
      </c>
      <c r="X3091" t="s">
        <v>63047</v>
      </c>
      <c r="Y3091" t="s">
        <v>63048</v>
      </c>
    </row>
    <row r="3092" spans="1:25" x14ac:dyDescent="0.3">
      <c r="A3092">
        <v>154550</v>
      </c>
      <c r="B3092" t="s">
        <v>63049</v>
      </c>
      <c r="C3092" t="s">
        <v>63050</v>
      </c>
      <c r="D3092" t="s">
        <v>63051</v>
      </c>
      <c r="E3092" t="s">
        <v>63052</v>
      </c>
      <c r="F3092" t="s">
        <v>63053</v>
      </c>
      <c r="G3092" t="s">
        <v>63054</v>
      </c>
      <c r="H3092" t="s">
        <v>63055</v>
      </c>
      <c r="I3092" t="s">
        <v>63056</v>
      </c>
      <c r="J3092" t="s">
        <v>63057</v>
      </c>
      <c r="K3092" t="s">
        <v>63058</v>
      </c>
      <c r="L3092" t="s">
        <v>63059</v>
      </c>
      <c r="M3092" t="s">
        <v>63060</v>
      </c>
      <c r="N3092" t="s">
        <v>63061</v>
      </c>
      <c r="O3092" t="s">
        <v>63062</v>
      </c>
      <c r="P3092" t="s">
        <v>63063</v>
      </c>
      <c r="Q3092" t="s">
        <v>63064</v>
      </c>
      <c r="R3092" t="s">
        <v>63065</v>
      </c>
      <c r="S3092" t="s">
        <v>63066</v>
      </c>
      <c r="T3092" t="s">
        <v>63067</v>
      </c>
      <c r="U3092" t="s">
        <v>63068</v>
      </c>
      <c r="V3092" t="s">
        <v>63069</v>
      </c>
      <c r="W3092" t="s">
        <v>63070</v>
      </c>
      <c r="X3092" t="s">
        <v>63071</v>
      </c>
      <c r="Y3092" t="s">
        <v>63072</v>
      </c>
    </row>
    <row r="3093" spans="1:25" x14ac:dyDescent="0.3">
      <c r="A3093">
        <v>154600</v>
      </c>
      <c r="B3093" t="s">
        <v>63073</v>
      </c>
      <c r="C3093" t="s">
        <v>63074</v>
      </c>
      <c r="D3093" t="s">
        <v>63075</v>
      </c>
      <c r="E3093" t="s">
        <v>63076</v>
      </c>
      <c r="F3093" t="s">
        <v>63077</v>
      </c>
      <c r="G3093" t="s">
        <v>63078</v>
      </c>
      <c r="H3093" t="s">
        <v>63079</v>
      </c>
      <c r="I3093" t="s">
        <v>63080</v>
      </c>
      <c r="J3093" t="s">
        <v>63081</v>
      </c>
      <c r="K3093" t="s">
        <v>63082</v>
      </c>
      <c r="L3093" t="s">
        <v>63083</v>
      </c>
      <c r="M3093" t="s">
        <v>63084</v>
      </c>
      <c r="N3093" t="s">
        <v>63085</v>
      </c>
      <c r="O3093" t="s">
        <v>63086</v>
      </c>
      <c r="P3093" t="s">
        <v>63087</v>
      </c>
      <c r="Q3093" t="s">
        <v>63088</v>
      </c>
      <c r="R3093" t="s">
        <v>63089</v>
      </c>
      <c r="S3093" t="s">
        <v>63090</v>
      </c>
      <c r="T3093" t="s">
        <v>63091</v>
      </c>
      <c r="U3093" t="s">
        <v>63092</v>
      </c>
      <c r="V3093" t="s">
        <v>63093</v>
      </c>
      <c r="W3093" t="s">
        <v>63094</v>
      </c>
      <c r="X3093" t="s">
        <v>63095</v>
      </c>
      <c r="Y3093" t="s">
        <v>63096</v>
      </c>
    </row>
    <row r="3094" spans="1:25" x14ac:dyDescent="0.3">
      <c r="A3094">
        <v>154650</v>
      </c>
      <c r="B3094" t="s">
        <v>63097</v>
      </c>
      <c r="C3094" t="s">
        <v>63098</v>
      </c>
      <c r="D3094" t="s">
        <v>63099</v>
      </c>
      <c r="E3094" t="s">
        <v>63100</v>
      </c>
      <c r="F3094" t="s">
        <v>63101</v>
      </c>
      <c r="G3094" t="s">
        <v>63102</v>
      </c>
      <c r="H3094" t="s">
        <v>63103</v>
      </c>
      <c r="I3094" t="s">
        <v>63104</v>
      </c>
      <c r="J3094" t="s">
        <v>63105</v>
      </c>
      <c r="K3094" t="s">
        <v>63106</v>
      </c>
      <c r="L3094" t="s">
        <v>63107</v>
      </c>
      <c r="M3094" t="s">
        <v>63108</v>
      </c>
      <c r="N3094" t="s">
        <v>63109</v>
      </c>
      <c r="O3094" t="s">
        <v>63110</v>
      </c>
      <c r="P3094" t="s">
        <v>63111</v>
      </c>
      <c r="Q3094" t="s">
        <v>63112</v>
      </c>
      <c r="R3094" t="s">
        <v>63113</v>
      </c>
      <c r="S3094" t="s">
        <v>63114</v>
      </c>
      <c r="T3094" t="s">
        <v>63115</v>
      </c>
      <c r="U3094" t="s">
        <v>63116</v>
      </c>
      <c r="V3094" t="s">
        <v>63117</v>
      </c>
      <c r="W3094" t="s">
        <v>63118</v>
      </c>
      <c r="X3094" t="s">
        <v>63119</v>
      </c>
      <c r="Y3094" t="s">
        <v>63120</v>
      </c>
    </row>
    <row r="3095" spans="1:25" x14ac:dyDescent="0.3">
      <c r="A3095">
        <v>154700</v>
      </c>
      <c r="B3095" t="s">
        <v>63121</v>
      </c>
      <c r="C3095" t="s">
        <v>63122</v>
      </c>
      <c r="D3095" t="s">
        <v>63123</v>
      </c>
      <c r="E3095" t="s">
        <v>63124</v>
      </c>
      <c r="F3095" t="s">
        <v>63125</v>
      </c>
      <c r="G3095" t="s">
        <v>63126</v>
      </c>
      <c r="H3095" t="s">
        <v>63127</v>
      </c>
      <c r="I3095" t="s">
        <v>63128</v>
      </c>
      <c r="J3095" t="s">
        <v>63129</v>
      </c>
      <c r="K3095" t="s">
        <v>63130</v>
      </c>
      <c r="L3095" t="s">
        <v>63131</v>
      </c>
      <c r="M3095" t="s">
        <v>63132</v>
      </c>
      <c r="N3095" t="s">
        <v>63133</v>
      </c>
      <c r="O3095" t="s">
        <v>63134</v>
      </c>
      <c r="P3095" t="s">
        <v>63135</v>
      </c>
      <c r="Q3095" t="s">
        <v>63136</v>
      </c>
      <c r="R3095" t="s">
        <v>63137</v>
      </c>
      <c r="S3095" t="s">
        <v>63138</v>
      </c>
      <c r="T3095" t="s">
        <v>63139</v>
      </c>
      <c r="U3095" t="s">
        <v>63140</v>
      </c>
      <c r="V3095" t="s">
        <v>63141</v>
      </c>
      <c r="W3095" t="s">
        <v>63142</v>
      </c>
      <c r="X3095" t="s">
        <v>63143</v>
      </c>
      <c r="Y3095" t="s">
        <v>63144</v>
      </c>
    </row>
    <row r="3096" spans="1:25" x14ac:dyDescent="0.3">
      <c r="A3096">
        <v>154750</v>
      </c>
      <c r="B3096" t="s">
        <v>63145</v>
      </c>
      <c r="C3096" t="s">
        <v>63146</v>
      </c>
      <c r="D3096" t="s">
        <v>63147</v>
      </c>
      <c r="E3096" t="s">
        <v>63148</v>
      </c>
      <c r="F3096" t="s">
        <v>63149</v>
      </c>
      <c r="G3096" t="s">
        <v>63150</v>
      </c>
      <c r="H3096" t="s">
        <v>63151</v>
      </c>
      <c r="I3096" t="s">
        <v>63152</v>
      </c>
      <c r="J3096" t="s">
        <v>63153</v>
      </c>
      <c r="K3096" t="s">
        <v>63154</v>
      </c>
      <c r="L3096" t="s">
        <v>63155</v>
      </c>
      <c r="M3096" t="s">
        <v>63156</v>
      </c>
      <c r="N3096" t="s">
        <v>63157</v>
      </c>
      <c r="O3096" t="s">
        <v>63158</v>
      </c>
      <c r="P3096" t="s">
        <v>63159</v>
      </c>
      <c r="Q3096" t="s">
        <v>63160</v>
      </c>
      <c r="R3096" t="s">
        <v>63161</v>
      </c>
      <c r="S3096" t="s">
        <v>63162</v>
      </c>
      <c r="T3096" t="s">
        <v>63163</v>
      </c>
      <c r="U3096" t="s">
        <v>63164</v>
      </c>
      <c r="V3096" t="s">
        <v>63165</v>
      </c>
      <c r="W3096" t="s">
        <v>63166</v>
      </c>
      <c r="X3096" t="s">
        <v>63167</v>
      </c>
      <c r="Y3096" t="s">
        <v>63168</v>
      </c>
    </row>
    <row r="3097" spans="1:25" x14ac:dyDescent="0.3">
      <c r="A3097">
        <v>154800</v>
      </c>
      <c r="B3097" t="s">
        <v>63169</v>
      </c>
      <c r="C3097" t="s">
        <v>63170</v>
      </c>
      <c r="D3097" t="s">
        <v>63171</v>
      </c>
      <c r="E3097" t="s">
        <v>63172</v>
      </c>
      <c r="F3097" t="s">
        <v>63173</v>
      </c>
      <c r="G3097" t="s">
        <v>63174</v>
      </c>
      <c r="H3097" t="s">
        <v>63175</v>
      </c>
      <c r="I3097" t="s">
        <v>63176</v>
      </c>
      <c r="J3097" t="s">
        <v>63177</v>
      </c>
      <c r="K3097" t="s">
        <v>63178</v>
      </c>
      <c r="L3097" t="s">
        <v>63179</v>
      </c>
      <c r="M3097" t="s">
        <v>63180</v>
      </c>
      <c r="N3097" t="s">
        <v>63181</v>
      </c>
      <c r="O3097" t="s">
        <v>63182</v>
      </c>
      <c r="P3097" t="s">
        <v>63183</v>
      </c>
      <c r="Q3097" t="s">
        <v>63184</v>
      </c>
      <c r="R3097" t="s">
        <v>63185</v>
      </c>
      <c r="S3097" t="s">
        <v>63186</v>
      </c>
      <c r="T3097" t="s">
        <v>63187</v>
      </c>
      <c r="U3097" t="s">
        <v>63188</v>
      </c>
      <c r="V3097" t="s">
        <v>63189</v>
      </c>
      <c r="W3097" t="s">
        <v>63190</v>
      </c>
      <c r="X3097" t="s">
        <v>63191</v>
      </c>
      <c r="Y3097" t="s">
        <v>63192</v>
      </c>
    </row>
    <row r="3098" spans="1:25" x14ac:dyDescent="0.3">
      <c r="A3098">
        <v>154850</v>
      </c>
      <c r="B3098" t="s">
        <v>63193</v>
      </c>
      <c r="C3098" t="s">
        <v>63194</v>
      </c>
      <c r="D3098" t="s">
        <v>63195</v>
      </c>
      <c r="E3098" t="s">
        <v>63196</v>
      </c>
      <c r="F3098" t="s">
        <v>63197</v>
      </c>
      <c r="G3098" t="s">
        <v>63198</v>
      </c>
      <c r="H3098" t="s">
        <v>63199</v>
      </c>
      <c r="I3098" t="s">
        <v>63200</v>
      </c>
      <c r="J3098" t="s">
        <v>63201</v>
      </c>
      <c r="K3098" t="s">
        <v>63202</v>
      </c>
      <c r="L3098" t="s">
        <v>63203</v>
      </c>
      <c r="M3098" t="s">
        <v>63204</v>
      </c>
      <c r="N3098" t="s">
        <v>63205</v>
      </c>
      <c r="O3098" t="s">
        <v>63206</v>
      </c>
      <c r="P3098" t="s">
        <v>63207</v>
      </c>
      <c r="Q3098" t="s">
        <v>63208</v>
      </c>
      <c r="R3098" t="s">
        <v>63209</v>
      </c>
      <c r="S3098" t="s">
        <v>63210</v>
      </c>
      <c r="T3098" t="s">
        <v>63211</v>
      </c>
      <c r="U3098" t="s">
        <v>63212</v>
      </c>
      <c r="V3098" t="s">
        <v>63213</v>
      </c>
      <c r="W3098" t="s">
        <v>63214</v>
      </c>
      <c r="X3098" t="s">
        <v>63215</v>
      </c>
      <c r="Y3098" t="s">
        <v>63216</v>
      </c>
    </row>
    <row r="3099" spans="1:25" x14ac:dyDescent="0.3">
      <c r="A3099">
        <v>154900</v>
      </c>
      <c r="B3099" t="s">
        <v>63217</v>
      </c>
      <c r="C3099" t="s">
        <v>63218</v>
      </c>
      <c r="D3099" t="s">
        <v>63219</v>
      </c>
      <c r="E3099" t="s">
        <v>63220</v>
      </c>
      <c r="F3099" t="s">
        <v>63221</v>
      </c>
      <c r="G3099" t="s">
        <v>63222</v>
      </c>
      <c r="H3099" t="s">
        <v>63223</v>
      </c>
      <c r="I3099" t="s">
        <v>63224</v>
      </c>
      <c r="J3099" t="s">
        <v>63225</v>
      </c>
      <c r="K3099" t="s">
        <v>63226</v>
      </c>
      <c r="L3099" t="s">
        <v>63227</v>
      </c>
      <c r="M3099" t="s">
        <v>63228</v>
      </c>
      <c r="N3099" t="s">
        <v>63229</v>
      </c>
      <c r="O3099" t="s">
        <v>63230</v>
      </c>
      <c r="P3099" t="s">
        <v>63231</v>
      </c>
      <c r="Q3099" t="s">
        <v>63232</v>
      </c>
      <c r="R3099" t="s">
        <v>63233</v>
      </c>
      <c r="S3099" t="s">
        <v>63234</v>
      </c>
      <c r="T3099" t="s">
        <v>63235</v>
      </c>
      <c r="U3099" t="s">
        <v>63236</v>
      </c>
      <c r="V3099" t="s">
        <v>63237</v>
      </c>
      <c r="W3099" t="s">
        <v>63238</v>
      </c>
      <c r="X3099" t="s">
        <v>63239</v>
      </c>
      <c r="Y3099" t="s">
        <v>63240</v>
      </c>
    </row>
    <row r="3100" spans="1:25" x14ac:dyDescent="0.3">
      <c r="A3100">
        <v>154950</v>
      </c>
      <c r="B3100" t="s">
        <v>63241</v>
      </c>
      <c r="C3100" t="s">
        <v>63242</v>
      </c>
      <c r="D3100" t="s">
        <v>63243</v>
      </c>
      <c r="E3100" t="s">
        <v>63244</v>
      </c>
      <c r="F3100" t="s">
        <v>63245</v>
      </c>
      <c r="G3100" t="s">
        <v>63246</v>
      </c>
      <c r="H3100" t="s">
        <v>63247</v>
      </c>
      <c r="I3100" t="s">
        <v>63248</v>
      </c>
      <c r="J3100" t="s">
        <v>63249</v>
      </c>
      <c r="K3100" t="s">
        <v>63250</v>
      </c>
      <c r="L3100" t="s">
        <v>63251</v>
      </c>
      <c r="M3100" t="s">
        <v>63252</v>
      </c>
      <c r="N3100" t="s">
        <v>63253</v>
      </c>
      <c r="O3100" t="s">
        <v>63254</v>
      </c>
      <c r="P3100" t="s">
        <v>63255</v>
      </c>
      <c r="Q3100" t="s">
        <v>63256</v>
      </c>
      <c r="R3100" t="s">
        <v>63257</v>
      </c>
      <c r="S3100" t="s">
        <v>63258</v>
      </c>
      <c r="T3100" t="s">
        <v>63259</v>
      </c>
      <c r="U3100" t="s">
        <v>63260</v>
      </c>
      <c r="V3100" t="s">
        <v>63261</v>
      </c>
      <c r="W3100" t="s">
        <v>63262</v>
      </c>
      <c r="X3100" t="s">
        <v>63263</v>
      </c>
      <c r="Y3100" t="s">
        <v>63264</v>
      </c>
    </row>
    <row r="3101" spans="1:25" x14ac:dyDescent="0.3">
      <c r="A3101">
        <v>155000</v>
      </c>
      <c r="B3101" t="s">
        <v>63265</v>
      </c>
      <c r="C3101" t="s">
        <v>63266</v>
      </c>
      <c r="D3101" t="s">
        <v>63267</v>
      </c>
      <c r="E3101" t="s">
        <v>63268</v>
      </c>
      <c r="F3101" t="s">
        <v>63269</v>
      </c>
      <c r="G3101" t="s">
        <v>63270</v>
      </c>
      <c r="H3101" t="s">
        <v>63271</v>
      </c>
      <c r="I3101" t="s">
        <v>63272</v>
      </c>
      <c r="J3101" t="s">
        <v>63273</v>
      </c>
      <c r="K3101" t="s">
        <v>63274</v>
      </c>
      <c r="L3101" t="s">
        <v>63275</v>
      </c>
      <c r="M3101" t="s">
        <v>63276</v>
      </c>
      <c r="N3101" t="s">
        <v>63277</v>
      </c>
      <c r="O3101" t="s">
        <v>63278</v>
      </c>
      <c r="P3101" t="s">
        <v>63279</v>
      </c>
      <c r="Q3101" t="s">
        <v>63280</v>
      </c>
      <c r="R3101" t="s">
        <v>63281</v>
      </c>
      <c r="S3101" t="s">
        <v>63282</v>
      </c>
      <c r="T3101" t="s">
        <v>63283</v>
      </c>
      <c r="U3101" t="s">
        <v>63284</v>
      </c>
      <c r="V3101" t="s">
        <v>63285</v>
      </c>
      <c r="W3101" t="s">
        <v>63286</v>
      </c>
      <c r="X3101" t="s">
        <v>63287</v>
      </c>
      <c r="Y3101" t="s">
        <v>63288</v>
      </c>
    </row>
    <row r="3102" spans="1:25" x14ac:dyDescent="0.3">
      <c r="A3102">
        <v>155050</v>
      </c>
      <c r="B3102" t="s">
        <v>63289</v>
      </c>
      <c r="C3102" t="s">
        <v>63290</v>
      </c>
      <c r="D3102" t="s">
        <v>63291</v>
      </c>
      <c r="E3102" t="s">
        <v>63292</v>
      </c>
      <c r="F3102" t="s">
        <v>63293</v>
      </c>
      <c r="G3102" t="s">
        <v>63294</v>
      </c>
      <c r="H3102" t="s">
        <v>63295</v>
      </c>
      <c r="I3102" t="s">
        <v>63296</v>
      </c>
      <c r="J3102" t="s">
        <v>63297</v>
      </c>
      <c r="K3102" t="s">
        <v>63298</v>
      </c>
      <c r="L3102" t="s">
        <v>63299</v>
      </c>
      <c r="M3102" t="s">
        <v>63300</v>
      </c>
      <c r="N3102" t="s">
        <v>63301</v>
      </c>
      <c r="O3102" t="s">
        <v>63302</v>
      </c>
      <c r="P3102" t="s">
        <v>63303</v>
      </c>
      <c r="Q3102" t="s">
        <v>63304</v>
      </c>
      <c r="R3102" t="s">
        <v>63305</v>
      </c>
      <c r="S3102" t="s">
        <v>63306</v>
      </c>
      <c r="T3102" t="s">
        <v>63307</v>
      </c>
      <c r="U3102" t="s">
        <v>63308</v>
      </c>
      <c r="V3102" t="s">
        <v>63309</v>
      </c>
      <c r="W3102" t="s">
        <v>63310</v>
      </c>
      <c r="X3102" t="s">
        <v>63311</v>
      </c>
      <c r="Y3102" t="s">
        <v>63312</v>
      </c>
    </row>
    <row r="3103" spans="1:25" x14ac:dyDescent="0.3">
      <c r="A3103">
        <v>155100</v>
      </c>
      <c r="B3103" t="s">
        <v>63313</v>
      </c>
      <c r="C3103" t="s">
        <v>63314</v>
      </c>
      <c r="D3103" t="s">
        <v>63315</v>
      </c>
      <c r="E3103" t="s">
        <v>63316</v>
      </c>
      <c r="F3103" t="s">
        <v>63317</v>
      </c>
      <c r="G3103" t="s">
        <v>63318</v>
      </c>
      <c r="H3103" t="s">
        <v>63319</v>
      </c>
      <c r="I3103" t="s">
        <v>63320</v>
      </c>
      <c r="J3103" t="s">
        <v>63321</v>
      </c>
      <c r="K3103" t="s">
        <v>63322</v>
      </c>
      <c r="L3103" t="s">
        <v>63323</v>
      </c>
      <c r="M3103" t="s">
        <v>63324</v>
      </c>
      <c r="N3103" t="s">
        <v>63325</v>
      </c>
      <c r="O3103" t="s">
        <v>63326</v>
      </c>
      <c r="P3103" t="s">
        <v>63327</v>
      </c>
      <c r="Q3103" t="s">
        <v>63328</v>
      </c>
      <c r="R3103" t="s">
        <v>63329</v>
      </c>
      <c r="S3103" t="s">
        <v>63330</v>
      </c>
      <c r="T3103" t="s">
        <v>63331</v>
      </c>
      <c r="U3103" t="s">
        <v>63332</v>
      </c>
      <c r="V3103" t="s">
        <v>63333</v>
      </c>
      <c r="W3103" t="s">
        <v>63334</v>
      </c>
      <c r="X3103" t="s">
        <v>63335</v>
      </c>
      <c r="Y3103" t="s">
        <v>63336</v>
      </c>
    </row>
    <row r="3104" spans="1:25" x14ac:dyDescent="0.3">
      <c r="A3104">
        <v>155150</v>
      </c>
      <c r="B3104" t="s">
        <v>63337</v>
      </c>
      <c r="C3104" t="s">
        <v>63338</v>
      </c>
      <c r="D3104" t="s">
        <v>63339</v>
      </c>
      <c r="E3104" t="s">
        <v>63340</v>
      </c>
      <c r="F3104" t="s">
        <v>63341</v>
      </c>
      <c r="G3104" t="s">
        <v>63342</v>
      </c>
      <c r="H3104" t="s">
        <v>63343</v>
      </c>
      <c r="I3104" t="s">
        <v>63344</v>
      </c>
      <c r="J3104" t="s">
        <v>63345</v>
      </c>
      <c r="K3104" t="s">
        <v>63346</v>
      </c>
      <c r="L3104" t="s">
        <v>63347</v>
      </c>
      <c r="M3104" t="s">
        <v>63348</v>
      </c>
      <c r="N3104" t="s">
        <v>63349</v>
      </c>
      <c r="O3104" t="s">
        <v>63350</v>
      </c>
      <c r="P3104" t="s">
        <v>63351</v>
      </c>
      <c r="Q3104" t="s">
        <v>63352</v>
      </c>
      <c r="R3104" t="s">
        <v>63353</v>
      </c>
      <c r="S3104" t="s">
        <v>63354</v>
      </c>
      <c r="T3104" t="s">
        <v>63355</v>
      </c>
      <c r="U3104" t="s">
        <v>63356</v>
      </c>
      <c r="V3104" t="s">
        <v>63357</v>
      </c>
      <c r="W3104" t="s">
        <v>63358</v>
      </c>
      <c r="X3104" t="s">
        <v>63359</v>
      </c>
      <c r="Y3104" t="s">
        <v>63360</v>
      </c>
    </row>
    <row r="3105" spans="1:25" x14ac:dyDescent="0.3">
      <c r="A3105">
        <v>155200</v>
      </c>
      <c r="B3105" t="s">
        <v>63361</v>
      </c>
      <c r="C3105" t="s">
        <v>63362</v>
      </c>
      <c r="D3105" t="s">
        <v>63363</v>
      </c>
      <c r="E3105" t="s">
        <v>63364</v>
      </c>
      <c r="F3105" t="s">
        <v>63365</v>
      </c>
      <c r="G3105" t="s">
        <v>63366</v>
      </c>
      <c r="H3105" t="s">
        <v>63367</v>
      </c>
      <c r="I3105" t="s">
        <v>63368</v>
      </c>
      <c r="J3105" t="s">
        <v>63369</v>
      </c>
      <c r="K3105" t="s">
        <v>63370</v>
      </c>
      <c r="L3105" t="s">
        <v>63371</v>
      </c>
      <c r="M3105" t="s">
        <v>63372</v>
      </c>
      <c r="N3105" t="s">
        <v>63373</v>
      </c>
      <c r="O3105" t="s">
        <v>63374</v>
      </c>
      <c r="P3105" t="s">
        <v>63375</v>
      </c>
      <c r="Q3105" t="s">
        <v>63376</v>
      </c>
      <c r="R3105" t="s">
        <v>63377</v>
      </c>
      <c r="S3105" t="s">
        <v>63378</v>
      </c>
      <c r="T3105" t="s">
        <v>63379</v>
      </c>
      <c r="U3105" t="s">
        <v>63380</v>
      </c>
      <c r="V3105" t="s">
        <v>63381</v>
      </c>
      <c r="W3105" t="s">
        <v>63382</v>
      </c>
      <c r="X3105" t="s">
        <v>63383</v>
      </c>
      <c r="Y3105" t="s">
        <v>63384</v>
      </c>
    </row>
    <row r="3106" spans="1:25" x14ac:dyDescent="0.3">
      <c r="A3106">
        <v>155250</v>
      </c>
      <c r="B3106" t="s">
        <v>63385</v>
      </c>
      <c r="C3106" t="s">
        <v>63386</v>
      </c>
      <c r="D3106" t="s">
        <v>63387</v>
      </c>
      <c r="E3106" t="s">
        <v>63388</v>
      </c>
      <c r="F3106" t="s">
        <v>63389</v>
      </c>
      <c r="G3106" t="s">
        <v>63390</v>
      </c>
      <c r="H3106" t="s">
        <v>63391</v>
      </c>
      <c r="I3106" t="s">
        <v>63392</v>
      </c>
      <c r="J3106" t="s">
        <v>63393</v>
      </c>
      <c r="K3106" t="s">
        <v>63394</v>
      </c>
      <c r="L3106" t="s">
        <v>63395</v>
      </c>
      <c r="M3106" t="s">
        <v>63396</v>
      </c>
      <c r="N3106" t="s">
        <v>63397</v>
      </c>
      <c r="O3106" t="s">
        <v>63398</v>
      </c>
      <c r="P3106" t="s">
        <v>63399</v>
      </c>
      <c r="Q3106" t="s">
        <v>63400</v>
      </c>
      <c r="R3106" t="s">
        <v>63401</v>
      </c>
      <c r="S3106" t="s">
        <v>63402</v>
      </c>
      <c r="T3106" t="s">
        <v>63403</v>
      </c>
      <c r="U3106" t="s">
        <v>63404</v>
      </c>
      <c r="V3106" t="s">
        <v>63405</v>
      </c>
      <c r="W3106" t="s">
        <v>63406</v>
      </c>
      <c r="X3106" t="s">
        <v>63407</v>
      </c>
      <c r="Y3106" t="s">
        <v>63408</v>
      </c>
    </row>
    <row r="3107" spans="1:25" x14ac:dyDescent="0.3">
      <c r="A3107">
        <v>155300</v>
      </c>
      <c r="B3107" t="s">
        <v>63409</v>
      </c>
      <c r="C3107" t="s">
        <v>63410</v>
      </c>
      <c r="D3107" t="s">
        <v>63411</v>
      </c>
      <c r="E3107" t="s">
        <v>63412</v>
      </c>
      <c r="F3107" t="s">
        <v>63413</v>
      </c>
      <c r="G3107" t="s">
        <v>63414</v>
      </c>
      <c r="H3107" t="s">
        <v>63415</v>
      </c>
      <c r="I3107" t="s">
        <v>63416</v>
      </c>
      <c r="J3107" t="s">
        <v>63417</v>
      </c>
      <c r="K3107" t="s">
        <v>63418</v>
      </c>
      <c r="L3107" t="s">
        <v>63419</v>
      </c>
      <c r="M3107" t="s">
        <v>63420</v>
      </c>
      <c r="N3107" t="s">
        <v>63421</v>
      </c>
      <c r="O3107" t="s">
        <v>63422</v>
      </c>
      <c r="P3107" t="s">
        <v>63423</v>
      </c>
      <c r="Q3107" t="s">
        <v>63424</v>
      </c>
      <c r="R3107" t="s">
        <v>63425</v>
      </c>
      <c r="S3107" t="s">
        <v>63426</v>
      </c>
      <c r="T3107" t="s">
        <v>63427</v>
      </c>
      <c r="U3107" t="s">
        <v>63428</v>
      </c>
      <c r="V3107" t="s">
        <v>63429</v>
      </c>
      <c r="W3107" t="s">
        <v>63430</v>
      </c>
      <c r="X3107" t="s">
        <v>63431</v>
      </c>
      <c r="Y3107" t="s">
        <v>63432</v>
      </c>
    </row>
    <row r="3108" spans="1:25" x14ac:dyDescent="0.3">
      <c r="A3108">
        <v>155350</v>
      </c>
      <c r="B3108" t="s">
        <v>63433</v>
      </c>
      <c r="C3108" t="s">
        <v>63434</v>
      </c>
      <c r="D3108" t="s">
        <v>63435</v>
      </c>
      <c r="E3108" t="s">
        <v>63436</v>
      </c>
      <c r="F3108" t="s">
        <v>63437</v>
      </c>
      <c r="G3108" t="s">
        <v>63438</v>
      </c>
      <c r="H3108" t="s">
        <v>63439</v>
      </c>
      <c r="I3108" t="s">
        <v>63440</v>
      </c>
      <c r="J3108" t="s">
        <v>63441</v>
      </c>
      <c r="K3108" t="s">
        <v>63442</v>
      </c>
      <c r="L3108" t="s">
        <v>63443</v>
      </c>
      <c r="M3108" t="s">
        <v>63444</v>
      </c>
      <c r="N3108" t="s">
        <v>63445</v>
      </c>
      <c r="O3108" t="s">
        <v>63446</v>
      </c>
      <c r="P3108" t="s">
        <v>63447</v>
      </c>
      <c r="Q3108" t="s">
        <v>63448</v>
      </c>
      <c r="R3108" t="s">
        <v>63449</v>
      </c>
      <c r="S3108" t="s">
        <v>63450</v>
      </c>
      <c r="T3108" t="s">
        <v>63451</v>
      </c>
      <c r="U3108" t="s">
        <v>63452</v>
      </c>
      <c r="V3108" t="s">
        <v>63453</v>
      </c>
      <c r="W3108" t="s">
        <v>63454</v>
      </c>
      <c r="X3108" t="s">
        <v>63455</v>
      </c>
      <c r="Y3108" t="s">
        <v>63456</v>
      </c>
    </row>
    <row r="3109" spans="1:25" x14ac:dyDescent="0.3">
      <c r="A3109">
        <v>155400</v>
      </c>
      <c r="B3109" t="s">
        <v>63457</v>
      </c>
      <c r="C3109" t="s">
        <v>63458</v>
      </c>
      <c r="D3109" t="s">
        <v>63459</v>
      </c>
      <c r="E3109" t="s">
        <v>63460</v>
      </c>
      <c r="F3109" t="s">
        <v>63461</v>
      </c>
      <c r="G3109" t="s">
        <v>63462</v>
      </c>
      <c r="H3109" t="s">
        <v>63463</v>
      </c>
      <c r="I3109" t="s">
        <v>63464</v>
      </c>
      <c r="J3109" t="s">
        <v>63465</v>
      </c>
      <c r="K3109" t="s">
        <v>63466</v>
      </c>
      <c r="L3109" t="s">
        <v>63467</v>
      </c>
      <c r="M3109" t="s">
        <v>63468</v>
      </c>
      <c r="N3109" t="s">
        <v>63469</v>
      </c>
      <c r="O3109" t="s">
        <v>63470</v>
      </c>
      <c r="P3109" t="s">
        <v>63471</v>
      </c>
      <c r="Q3109" t="s">
        <v>63472</v>
      </c>
      <c r="R3109" t="s">
        <v>63473</v>
      </c>
      <c r="S3109" t="s">
        <v>63474</v>
      </c>
      <c r="T3109" t="s">
        <v>63475</v>
      </c>
      <c r="U3109" t="s">
        <v>63476</v>
      </c>
      <c r="V3109" t="s">
        <v>63477</v>
      </c>
      <c r="W3109" t="s">
        <v>63478</v>
      </c>
      <c r="X3109" t="s">
        <v>63479</v>
      </c>
      <c r="Y3109" t="s">
        <v>63480</v>
      </c>
    </row>
    <row r="3110" spans="1:25" x14ac:dyDescent="0.3">
      <c r="A3110">
        <v>155450</v>
      </c>
      <c r="B3110" t="s">
        <v>63481</v>
      </c>
      <c r="C3110" t="s">
        <v>63482</v>
      </c>
      <c r="D3110" t="s">
        <v>63483</v>
      </c>
      <c r="E3110" t="s">
        <v>63484</v>
      </c>
      <c r="F3110" t="s">
        <v>63485</v>
      </c>
      <c r="G3110" t="s">
        <v>63486</v>
      </c>
      <c r="H3110" t="s">
        <v>63487</v>
      </c>
      <c r="I3110" t="s">
        <v>63488</v>
      </c>
      <c r="J3110" t="s">
        <v>63489</v>
      </c>
      <c r="K3110" t="s">
        <v>63490</v>
      </c>
      <c r="L3110" t="s">
        <v>63491</v>
      </c>
      <c r="M3110" t="s">
        <v>63492</v>
      </c>
      <c r="N3110" t="s">
        <v>63493</v>
      </c>
      <c r="O3110" t="s">
        <v>63494</v>
      </c>
      <c r="P3110" t="s">
        <v>63495</v>
      </c>
      <c r="Q3110" t="s">
        <v>63496</v>
      </c>
      <c r="R3110" t="s">
        <v>63497</v>
      </c>
      <c r="S3110" t="s">
        <v>63498</v>
      </c>
      <c r="T3110" t="s">
        <v>63499</v>
      </c>
      <c r="U3110" t="s">
        <v>63500</v>
      </c>
      <c r="V3110" t="s">
        <v>63501</v>
      </c>
      <c r="W3110" t="s">
        <v>63502</v>
      </c>
      <c r="X3110" t="s">
        <v>63503</v>
      </c>
      <c r="Y3110" t="s">
        <v>63504</v>
      </c>
    </row>
    <row r="3111" spans="1:25" x14ac:dyDescent="0.3">
      <c r="A3111">
        <v>155500</v>
      </c>
      <c r="B3111" t="s">
        <v>63505</v>
      </c>
      <c r="C3111" t="s">
        <v>63506</v>
      </c>
      <c r="D3111" t="s">
        <v>63507</v>
      </c>
      <c r="E3111" t="s">
        <v>63508</v>
      </c>
      <c r="F3111" t="s">
        <v>63509</v>
      </c>
      <c r="G3111" t="s">
        <v>63510</v>
      </c>
      <c r="H3111" t="s">
        <v>63511</v>
      </c>
      <c r="I3111" t="s">
        <v>63512</v>
      </c>
      <c r="J3111" t="s">
        <v>63513</v>
      </c>
      <c r="K3111" t="s">
        <v>63514</v>
      </c>
      <c r="L3111" t="s">
        <v>63515</v>
      </c>
      <c r="M3111" t="s">
        <v>63516</v>
      </c>
      <c r="N3111" t="s">
        <v>63517</v>
      </c>
      <c r="O3111" t="s">
        <v>63518</v>
      </c>
      <c r="P3111" t="s">
        <v>63519</v>
      </c>
      <c r="Q3111" t="s">
        <v>63520</v>
      </c>
      <c r="R3111" t="s">
        <v>63521</v>
      </c>
      <c r="S3111" t="s">
        <v>63522</v>
      </c>
      <c r="T3111" t="s">
        <v>63523</v>
      </c>
      <c r="U3111" t="s">
        <v>63524</v>
      </c>
      <c r="V3111" t="s">
        <v>63525</v>
      </c>
      <c r="W3111" t="s">
        <v>63526</v>
      </c>
      <c r="X3111" t="s">
        <v>63527</v>
      </c>
      <c r="Y3111" t="s">
        <v>63528</v>
      </c>
    </row>
    <row r="3112" spans="1:25" x14ac:dyDescent="0.3">
      <c r="A3112">
        <v>155550</v>
      </c>
      <c r="B3112" t="s">
        <v>63529</v>
      </c>
      <c r="C3112" t="s">
        <v>63530</v>
      </c>
      <c r="D3112" t="s">
        <v>63531</v>
      </c>
      <c r="E3112" t="s">
        <v>63532</v>
      </c>
      <c r="F3112" t="s">
        <v>63533</v>
      </c>
      <c r="G3112" t="s">
        <v>63534</v>
      </c>
      <c r="H3112" t="s">
        <v>63535</v>
      </c>
      <c r="I3112" t="s">
        <v>63536</v>
      </c>
      <c r="J3112" t="s">
        <v>63537</v>
      </c>
      <c r="K3112" t="s">
        <v>63538</v>
      </c>
      <c r="L3112" t="s">
        <v>63539</v>
      </c>
      <c r="M3112" t="s">
        <v>63540</v>
      </c>
      <c r="N3112" t="s">
        <v>63541</v>
      </c>
      <c r="O3112" t="s">
        <v>63542</v>
      </c>
      <c r="P3112" t="s">
        <v>63543</v>
      </c>
      <c r="Q3112" t="s">
        <v>63544</v>
      </c>
      <c r="R3112" t="s">
        <v>63545</v>
      </c>
      <c r="S3112" t="s">
        <v>63546</v>
      </c>
      <c r="T3112" t="s">
        <v>63547</v>
      </c>
      <c r="U3112" t="s">
        <v>63548</v>
      </c>
      <c r="V3112" t="s">
        <v>63549</v>
      </c>
      <c r="W3112" t="s">
        <v>63550</v>
      </c>
      <c r="X3112" t="s">
        <v>63551</v>
      </c>
      <c r="Y3112" t="s">
        <v>63552</v>
      </c>
    </row>
    <row r="3113" spans="1:25" x14ac:dyDescent="0.3">
      <c r="A3113">
        <v>155600</v>
      </c>
      <c r="B3113" t="s">
        <v>63553</v>
      </c>
      <c r="C3113" t="s">
        <v>63554</v>
      </c>
      <c r="D3113" t="s">
        <v>63555</v>
      </c>
      <c r="E3113" t="s">
        <v>63556</v>
      </c>
      <c r="F3113" t="s">
        <v>63557</v>
      </c>
      <c r="G3113" t="s">
        <v>63558</v>
      </c>
      <c r="H3113" t="s">
        <v>63559</v>
      </c>
      <c r="I3113" t="s">
        <v>63560</v>
      </c>
      <c r="J3113" t="s">
        <v>63561</v>
      </c>
      <c r="K3113" t="s">
        <v>63562</v>
      </c>
      <c r="L3113" t="s">
        <v>63563</v>
      </c>
      <c r="M3113" t="s">
        <v>63564</v>
      </c>
      <c r="N3113" t="s">
        <v>63565</v>
      </c>
      <c r="O3113" t="s">
        <v>63566</v>
      </c>
      <c r="P3113" t="s">
        <v>63567</v>
      </c>
      <c r="Q3113" t="s">
        <v>63568</v>
      </c>
      <c r="R3113" t="s">
        <v>63569</v>
      </c>
      <c r="S3113" t="s">
        <v>63570</v>
      </c>
      <c r="T3113" t="s">
        <v>63571</v>
      </c>
      <c r="U3113" t="s">
        <v>63572</v>
      </c>
      <c r="V3113" t="s">
        <v>63573</v>
      </c>
      <c r="W3113" t="s">
        <v>63574</v>
      </c>
      <c r="X3113" t="s">
        <v>63575</v>
      </c>
      <c r="Y3113" t="s">
        <v>63576</v>
      </c>
    </row>
    <row r="3114" spans="1:25" x14ac:dyDescent="0.3">
      <c r="A3114">
        <v>155650</v>
      </c>
      <c r="B3114" t="s">
        <v>63577</v>
      </c>
      <c r="C3114" t="s">
        <v>63578</v>
      </c>
      <c r="D3114" t="s">
        <v>63579</v>
      </c>
      <c r="E3114" t="s">
        <v>63580</v>
      </c>
      <c r="F3114" t="s">
        <v>63581</v>
      </c>
      <c r="G3114" t="s">
        <v>63582</v>
      </c>
      <c r="H3114" t="s">
        <v>63583</v>
      </c>
      <c r="I3114" t="s">
        <v>63584</v>
      </c>
      <c r="J3114" t="s">
        <v>63585</v>
      </c>
      <c r="K3114" t="s">
        <v>63586</v>
      </c>
      <c r="L3114" t="s">
        <v>63587</v>
      </c>
      <c r="M3114" t="s">
        <v>63588</v>
      </c>
      <c r="N3114" t="s">
        <v>63589</v>
      </c>
      <c r="O3114" t="s">
        <v>63590</v>
      </c>
      <c r="P3114" t="s">
        <v>63591</v>
      </c>
      <c r="Q3114" t="s">
        <v>63592</v>
      </c>
      <c r="R3114" t="s">
        <v>63593</v>
      </c>
      <c r="S3114" t="s">
        <v>63594</v>
      </c>
      <c r="T3114" t="s">
        <v>63595</v>
      </c>
      <c r="U3114" t="s">
        <v>63596</v>
      </c>
      <c r="V3114" t="s">
        <v>63597</v>
      </c>
      <c r="W3114" t="s">
        <v>63598</v>
      </c>
      <c r="X3114" t="s">
        <v>63599</v>
      </c>
      <c r="Y3114" t="s">
        <v>63600</v>
      </c>
    </row>
    <row r="3115" spans="1:25" x14ac:dyDescent="0.3">
      <c r="A3115">
        <v>155700</v>
      </c>
      <c r="B3115" t="s">
        <v>63601</v>
      </c>
      <c r="C3115" t="s">
        <v>63602</v>
      </c>
      <c r="D3115" t="s">
        <v>63603</v>
      </c>
      <c r="E3115" t="s">
        <v>63604</v>
      </c>
      <c r="F3115" t="s">
        <v>63605</v>
      </c>
      <c r="G3115" t="s">
        <v>63606</v>
      </c>
      <c r="H3115" t="s">
        <v>63607</v>
      </c>
      <c r="I3115" t="s">
        <v>63608</v>
      </c>
      <c r="J3115" t="s">
        <v>63609</v>
      </c>
      <c r="K3115" t="s">
        <v>63610</v>
      </c>
      <c r="L3115" t="s">
        <v>63611</v>
      </c>
      <c r="M3115" t="s">
        <v>63612</v>
      </c>
      <c r="N3115" t="s">
        <v>63613</v>
      </c>
      <c r="O3115" t="s">
        <v>63614</v>
      </c>
      <c r="P3115" t="s">
        <v>63615</v>
      </c>
      <c r="Q3115" t="s">
        <v>63616</v>
      </c>
      <c r="R3115" t="s">
        <v>63617</v>
      </c>
      <c r="S3115" t="s">
        <v>63618</v>
      </c>
      <c r="T3115" t="s">
        <v>63619</v>
      </c>
      <c r="U3115" t="s">
        <v>63620</v>
      </c>
      <c r="V3115" t="s">
        <v>63621</v>
      </c>
      <c r="W3115" t="s">
        <v>63622</v>
      </c>
      <c r="X3115" t="s">
        <v>63623</v>
      </c>
      <c r="Y3115" t="s">
        <v>63624</v>
      </c>
    </row>
    <row r="3116" spans="1:25" x14ac:dyDescent="0.3">
      <c r="A3116">
        <v>155750</v>
      </c>
      <c r="B3116" t="s">
        <v>63625</v>
      </c>
      <c r="C3116" t="s">
        <v>63626</v>
      </c>
      <c r="D3116" t="s">
        <v>63627</v>
      </c>
      <c r="E3116" t="s">
        <v>63628</v>
      </c>
      <c r="F3116" t="s">
        <v>63629</v>
      </c>
      <c r="G3116" t="s">
        <v>63630</v>
      </c>
      <c r="H3116" t="s">
        <v>63631</v>
      </c>
      <c r="I3116" t="s">
        <v>63632</v>
      </c>
      <c r="J3116" t="s">
        <v>63633</v>
      </c>
      <c r="K3116" t="s">
        <v>63634</v>
      </c>
      <c r="L3116" t="s">
        <v>63635</v>
      </c>
      <c r="M3116" t="s">
        <v>63636</v>
      </c>
      <c r="N3116" t="s">
        <v>63637</v>
      </c>
      <c r="O3116" t="s">
        <v>63638</v>
      </c>
      <c r="P3116" t="s">
        <v>63639</v>
      </c>
      <c r="Q3116" t="s">
        <v>63640</v>
      </c>
      <c r="R3116" t="s">
        <v>63641</v>
      </c>
      <c r="S3116" t="s">
        <v>63642</v>
      </c>
      <c r="T3116" t="s">
        <v>63643</v>
      </c>
      <c r="U3116" t="s">
        <v>63644</v>
      </c>
      <c r="V3116" t="s">
        <v>63645</v>
      </c>
      <c r="W3116" t="s">
        <v>63646</v>
      </c>
      <c r="X3116" t="s">
        <v>63647</v>
      </c>
      <c r="Y3116" t="s">
        <v>63648</v>
      </c>
    </row>
    <row r="3117" spans="1:25" x14ac:dyDescent="0.3">
      <c r="A3117">
        <v>155800</v>
      </c>
      <c r="B3117" t="s">
        <v>63649</v>
      </c>
      <c r="C3117" t="s">
        <v>63650</v>
      </c>
      <c r="D3117" t="s">
        <v>63651</v>
      </c>
      <c r="E3117" t="s">
        <v>63652</v>
      </c>
      <c r="F3117" t="s">
        <v>63653</v>
      </c>
      <c r="G3117" t="s">
        <v>63654</v>
      </c>
      <c r="H3117" t="s">
        <v>63655</v>
      </c>
      <c r="I3117" t="s">
        <v>63656</v>
      </c>
      <c r="J3117" t="s">
        <v>63657</v>
      </c>
      <c r="K3117" t="s">
        <v>63658</v>
      </c>
      <c r="L3117" t="s">
        <v>63659</v>
      </c>
      <c r="M3117" t="s">
        <v>63660</v>
      </c>
      <c r="N3117" t="s">
        <v>63661</v>
      </c>
      <c r="O3117" t="s">
        <v>63662</v>
      </c>
      <c r="P3117" t="s">
        <v>63663</v>
      </c>
      <c r="Q3117" t="s">
        <v>63664</v>
      </c>
      <c r="R3117" t="s">
        <v>63665</v>
      </c>
      <c r="S3117" t="s">
        <v>63666</v>
      </c>
      <c r="T3117" t="s">
        <v>63667</v>
      </c>
      <c r="U3117" t="s">
        <v>63668</v>
      </c>
      <c r="V3117" t="s">
        <v>63669</v>
      </c>
      <c r="W3117" t="s">
        <v>63670</v>
      </c>
      <c r="X3117" t="s">
        <v>63671</v>
      </c>
      <c r="Y3117" t="s">
        <v>63672</v>
      </c>
    </row>
    <row r="3118" spans="1:25" x14ac:dyDescent="0.3">
      <c r="A3118">
        <v>155850</v>
      </c>
      <c r="B3118" t="s">
        <v>63673</v>
      </c>
      <c r="C3118" t="s">
        <v>63674</v>
      </c>
      <c r="D3118" t="s">
        <v>63675</v>
      </c>
      <c r="E3118" t="s">
        <v>63676</v>
      </c>
      <c r="F3118" t="s">
        <v>63677</v>
      </c>
      <c r="G3118" t="s">
        <v>63678</v>
      </c>
      <c r="H3118" t="s">
        <v>63679</v>
      </c>
      <c r="I3118" t="s">
        <v>63680</v>
      </c>
      <c r="J3118" t="s">
        <v>63681</v>
      </c>
      <c r="K3118" t="s">
        <v>63682</v>
      </c>
      <c r="L3118" t="s">
        <v>63683</v>
      </c>
      <c r="M3118" t="s">
        <v>63684</v>
      </c>
      <c r="N3118" t="s">
        <v>63685</v>
      </c>
      <c r="O3118" t="s">
        <v>63686</v>
      </c>
      <c r="P3118" t="s">
        <v>63687</v>
      </c>
      <c r="Q3118" t="s">
        <v>63688</v>
      </c>
      <c r="R3118" t="s">
        <v>63689</v>
      </c>
      <c r="S3118" t="s">
        <v>63690</v>
      </c>
      <c r="T3118" t="s">
        <v>63691</v>
      </c>
      <c r="U3118" t="s">
        <v>63692</v>
      </c>
      <c r="V3118" t="s">
        <v>63693</v>
      </c>
      <c r="W3118" t="s">
        <v>63694</v>
      </c>
      <c r="X3118" t="s">
        <v>63695</v>
      </c>
      <c r="Y3118" t="s">
        <v>63696</v>
      </c>
    </row>
    <row r="3119" spans="1:25" x14ac:dyDescent="0.3">
      <c r="A3119">
        <v>155900</v>
      </c>
      <c r="B3119" t="s">
        <v>63697</v>
      </c>
      <c r="C3119" t="s">
        <v>63698</v>
      </c>
      <c r="D3119" t="s">
        <v>63699</v>
      </c>
      <c r="E3119" t="s">
        <v>63700</v>
      </c>
      <c r="F3119" t="s">
        <v>63701</v>
      </c>
      <c r="G3119" t="s">
        <v>63702</v>
      </c>
      <c r="H3119" t="s">
        <v>63703</v>
      </c>
      <c r="I3119" t="s">
        <v>63704</v>
      </c>
      <c r="J3119" t="s">
        <v>63705</v>
      </c>
      <c r="K3119" t="s">
        <v>63706</v>
      </c>
      <c r="L3119" t="s">
        <v>63707</v>
      </c>
      <c r="M3119" t="s">
        <v>63708</v>
      </c>
      <c r="N3119" t="s">
        <v>63709</v>
      </c>
      <c r="O3119" t="s">
        <v>63710</v>
      </c>
      <c r="P3119" t="s">
        <v>63711</v>
      </c>
      <c r="Q3119" t="s">
        <v>63712</v>
      </c>
      <c r="R3119" t="s">
        <v>63713</v>
      </c>
      <c r="S3119" t="s">
        <v>63714</v>
      </c>
      <c r="T3119" t="s">
        <v>63715</v>
      </c>
      <c r="U3119" t="s">
        <v>63716</v>
      </c>
      <c r="V3119" t="s">
        <v>63717</v>
      </c>
      <c r="W3119" t="s">
        <v>63718</v>
      </c>
      <c r="X3119" t="s">
        <v>63719</v>
      </c>
      <c r="Y3119" t="s">
        <v>63720</v>
      </c>
    </row>
    <row r="3120" spans="1:25" x14ac:dyDescent="0.3">
      <c r="A3120">
        <v>155950</v>
      </c>
      <c r="B3120" t="s">
        <v>63721</v>
      </c>
      <c r="C3120" t="s">
        <v>63722</v>
      </c>
      <c r="D3120" t="s">
        <v>63723</v>
      </c>
      <c r="E3120" t="s">
        <v>63724</v>
      </c>
      <c r="F3120" t="s">
        <v>63725</v>
      </c>
      <c r="G3120" t="s">
        <v>63726</v>
      </c>
      <c r="H3120" t="s">
        <v>63727</v>
      </c>
      <c r="I3120" t="s">
        <v>63728</v>
      </c>
      <c r="J3120" t="s">
        <v>63729</v>
      </c>
      <c r="K3120" t="s">
        <v>63730</v>
      </c>
      <c r="L3120" t="s">
        <v>63731</v>
      </c>
      <c r="M3120" t="s">
        <v>63732</v>
      </c>
      <c r="N3120" t="s">
        <v>63733</v>
      </c>
      <c r="O3120" t="s">
        <v>63734</v>
      </c>
      <c r="P3120" t="s">
        <v>63735</v>
      </c>
      <c r="Q3120" t="s">
        <v>63736</v>
      </c>
      <c r="R3120" t="s">
        <v>63737</v>
      </c>
      <c r="S3120" t="s">
        <v>63738</v>
      </c>
      <c r="T3120" t="s">
        <v>63739</v>
      </c>
      <c r="U3120" t="s">
        <v>63740</v>
      </c>
      <c r="V3120" t="s">
        <v>63741</v>
      </c>
      <c r="W3120" t="s">
        <v>63742</v>
      </c>
      <c r="X3120" t="s">
        <v>63743</v>
      </c>
      <c r="Y3120" t="s">
        <v>63744</v>
      </c>
    </row>
    <row r="3121" spans="1:25" x14ac:dyDescent="0.3">
      <c r="A3121">
        <v>156000</v>
      </c>
      <c r="B3121" t="s">
        <v>63745</v>
      </c>
      <c r="C3121" t="s">
        <v>63746</v>
      </c>
      <c r="D3121" t="s">
        <v>63747</v>
      </c>
      <c r="E3121" t="s">
        <v>63748</v>
      </c>
      <c r="F3121" t="s">
        <v>63749</v>
      </c>
      <c r="G3121" t="s">
        <v>63750</v>
      </c>
      <c r="H3121" t="s">
        <v>63751</v>
      </c>
      <c r="I3121" t="s">
        <v>63752</v>
      </c>
      <c r="J3121" t="s">
        <v>63753</v>
      </c>
      <c r="K3121" t="s">
        <v>63754</v>
      </c>
      <c r="L3121" t="s">
        <v>63755</v>
      </c>
      <c r="M3121" t="s">
        <v>63756</v>
      </c>
      <c r="N3121" t="s">
        <v>63757</v>
      </c>
      <c r="O3121" t="s">
        <v>63758</v>
      </c>
      <c r="P3121" t="s">
        <v>63759</v>
      </c>
      <c r="Q3121" t="s">
        <v>63760</v>
      </c>
      <c r="R3121" t="s">
        <v>63761</v>
      </c>
      <c r="S3121" t="s">
        <v>63762</v>
      </c>
      <c r="T3121" t="s">
        <v>63763</v>
      </c>
      <c r="U3121" t="s">
        <v>63764</v>
      </c>
      <c r="V3121" t="s">
        <v>63765</v>
      </c>
      <c r="W3121" t="s">
        <v>63766</v>
      </c>
      <c r="X3121" t="s">
        <v>63767</v>
      </c>
      <c r="Y3121" t="s">
        <v>63768</v>
      </c>
    </row>
    <row r="3122" spans="1:25" x14ac:dyDescent="0.3">
      <c r="A3122">
        <v>156050</v>
      </c>
      <c r="B3122" t="s">
        <v>63769</v>
      </c>
      <c r="C3122" t="s">
        <v>63770</v>
      </c>
      <c r="D3122" t="s">
        <v>63771</v>
      </c>
      <c r="E3122" t="s">
        <v>63772</v>
      </c>
      <c r="F3122" t="s">
        <v>63773</v>
      </c>
      <c r="G3122" t="s">
        <v>63774</v>
      </c>
      <c r="H3122" t="s">
        <v>63775</v>
      </c>
      <c r="I3122" t="s">
        <v>63776</v>
      </c>
      <c r="J3122" t="s">
        <v>63777</v>
      </c>
      <c r="K3122" t="s">
        <v>63778</v>
      </c>
      <c r="L3122" t="s">
        <v>63779</v>
      </c>
      <c r="M3122" t="s">
        <v>63780</v>
      </c>
      <c r="N3122" t="s">
        <v>63781</v>
      </c>
      <c r="O3122" t="s">
        <v>63782</v>
      </c>
      <c r="P3122" t="s">
        <v>63783</v>
      </c>
      <c r="Q3122" t="s">
        <v>63784</v>
      </c>
      <c r="R3122" t="s">
        <v>63785</v>
      </c>
      <c r="S3122" t="s">
        <v>63786</v>
      </c>
      <c r="T3122" t="s">
        <v>63787</v>
      </c>
      <c r="U3122" t="s">
        <v>63788</v>
      </c>
      <c r="V3122" t="s">
        <v>63789</v>
      </c>
      <c r="W3122" t="s">
        <v>63790</v>
      </c>
      <c r="X3122" t="s">
        <v>63791</v>
      </c>
      <c r="Y3122" t="s">
        <v>63792</v>
      </c>
    </row>
    <row r="3123" spans="1:25" x14ac:dyDescent="0.3">
      <c r="A3123">
        <v>156100</v>
      </c>
      <c r="B3123" t="s">
        <v>63793</v>
      </c>
      <c r="C3123" t="s">
        <v>63794</v>
      </c>
      <c r="D3123" t="s">
        <v>63795</v>
      </c>
      <c r="E3123" t="s">
        <v>63796</v>
      </c>
      <c r="F3123" t="s">
        <v>63797</v>
      </c>
      <c r="G3123" t="s">
        <v>63798</v>
      </c>
      <c r="H3123" t="s">
        <v>63799</v>
      </c>
      <c r="I3123" t="s">
        <v>63800</v>
      </c>
      <c r="J3123" t="s">
        <v>63801</v>
      </c>
      <c r="K3123" t="s">
        <v>63802</v>
      </c>
      <c r="L3123" t="s">
        <v>63803</v>
      </c>
      <c r="M3123" t="s">
        <v>63804</v>
      </c>
      <c r="N3123" t="s">
        <v>63805</v>
      </c>
      <c r="O3123" t="s">
        <v>63806</v>
      </c>
      <c r="P3123" t="s">
        <v>63807</v>
      </c>
      <c r="Q3123" t="s">
        <v>63808</v>
      </c>
      <c r="R3123" t="s">
        <v>63809</v>
      </c>
      <c r="S3123" t="s">
        <v>63810</v>
      </c>
      <c r="T3123" t="s">
        <v>63811</v>
      </c>
      <c r="U3123" t="s">
        <v>63812</v>
      </c>
      <c r="V3123" t="s">
        <v>63813</v>
      </c>
      <c r="W3123" t="s">
        <v>63814</v>
      </c>
      <c r="X3123" t="s">
        <v>63815</v>
      </c>
      <c r="Y3123" t="s">
        <v>63816</v>
      </c>
    </row>
    <row r="3124" spans="1:25" x14ac:dyDescent="0.3">
      <c r="A3124">
        <v>156150</v>
      </c>
      <c r="B3124" t="s">
        <v>63817</v>
      </c>
      <c r="C3124" t="s">
        <v>63818</v>
      </c>
      <c r="D3124" t="s">
        <v>63819</v>
      </c>
      <c r="E3124" t="s">
        <v>63820</v>
      </c>
      <c r="F3124" t="s">
        <v>63821</v>
      </c>
      <c r="G3124" t="s">
        <v>63822</v>
      </c>
      <c r="H3124" t="s">
        <v>63823</v>
      </c>
      <c r="I3124" t="s">
        <v>63824</v>
      </c>
      <c r="J3124" t="s">
        <v>63825</v>
      </c>
      <c r="K3124" t="s">
        <v>63826</v>
      </c>
      <c r="L3124" t="s">
        <v>63827</v>
      </c>
      <c r="M3124" t="s">
        <v>63828</v>
      </c>
      <c r="N3124" t="s">
        <v>63829</v>
      </c>
      <c r="O3124" t="s">
        <v>63830</v>
      </c>
      <c r="P3124" t="s">
        <v>63831</v>
      </c>
      <c r="Q3124" t="s">
        <v>63832</v>
      </c>
      <c r="R3124" t="s">
        <v>63833</v>
      </c>
      <c r="S3124" t="s">
        <v>63834</v>
      </c>
      <c r="T3124" t="s">
        <v>63835</v>
      </c>
      <c r="U3124" t="s">
        <v>63836</v>
      </c>
      <c r="V3124" t="s">
        <v>63837</v>
      </c>
      <c r="W3124" t="s">
        <v>63838</v>
      </c>
      <c r="X3124" t="s">
        <v>63839</v>
      </c>
      <c r="Y3124" t="s">
        <v>63840</v>
      </c>
    </row>
    <row r="3125" spans="1:25" x14ac:dyDescent="0.3">
      <c r="A3125">
        <v>156200</v>
      </c>
      <c r="B3125" t="s">
        <v>63841</v>
      </c>
      <c r="C3125" t="s">
        <v>63842</v>
      </c>
      <c r="D3125" t="s">
        <v>63843</v>
      </c>
      <c r="E3125" t="s">
        <v>63844</v>
      </c>
      <c r="F3125" t="s">
        <v>63845</v>
      </c>
      <c r="G3125" t="s">
        <v>63846</v>
      </c>
      <c r="H3125" t="s">
        <v>63847</v>
      </c>
      <c r="I3125" t="s">
        <v>63848</v>
      </c>
      <c r="J3125" t="s">
        <v>63849</v>
      </c>
      <c r="K3125" t="s">
        <v>63850</v>
      </c>
      <c r="L3125" t="s">
        <v>63851</v>
      </c>
      <c r="M3125" t="s">
        <v>63852</v>
      </c>
      <c r="N3125" t="s">
        <v>63853</v>
      </c>
      <c r="O3125" t="s">
        <v>63854</v>
      </c>
      <c r="P3125" t="s">
        <v>63855</v>
      </c>
      <c r="Q3125" t="s">
        <v>63856</v>
      </c>
      <c r="R3125" t="s">
        <v>63857</v>
      </c>
      <c r="S3125" t="s">
        <v>63858</v>
      </c>
      <c r="T3125" t="s">
        <v>63859</v>
      </c>
      <c r="U3125" t="s">
        <v>63860</v>
      </c>
      <c r="V3125" t="s">
        <v>63861</v>
      </c>
      <c r="W3125" t="s">
        <v>63862</v>
      </c>
      <c r="X3125" t="s">
        <v>63863</v>
      </c>
      <c r="Y3125" t="s">
        <v>63864</v>
      </c>
    </row>
    <row r="3126" spans="1:25" x14ac:dyDescent="0.3">
      <c r="A3126">
        <v>156250</v>
      </c>
      <c r="B3126" t="s">
        <v>63865</v>
      </c>
      <c r="C3126" t="s">
        <v>63866</v>
      </c>
      <c r="D3126" t="s">
        <v>63867</v>
      </c>
      <c r="E3126" t="s">
        <v>63868</v>
      </c>
      <c r="F3126" t="s">
        <v>63869</v>
      </c>
      <c r="G3126" t="s">
        <v>63870</v>
      </c>
      <c r="H3126" t="s">
        <v>63871</v>
      </c>
      <c r="I3126" t="s">
        <v>63872</v>
      </c>
      <c r="J3126" t="s">
        <v>63873</v>
      </c>
      <c r="K3126" t="s">
        <v>63874</v>
      </c>
      <c r="L3126" t="s">
        <v>63875</v>
      </c>
      <c r="M3126" t="s">
        <v>63876</v>
      </c>
      <c r="N3126" t="s">
        <v>63877</v>
      </c>
      <c r="O3126" t="s">
        <v>63878</v>
      </c>
      <c r="P3126" t="s">
        <v>63879</v>
      </c>
      <c r="Q3126" t="s">
        <v>63880</v>
      </c>
      <c r="R3126" t="s">
        <v>63881</v>
      </c>
      <c r="S3126" t="s">
        <v>63882</v>
      </c>
      <c r="T3126" t="s">
        <v>63883</v>
      </c>
      <c r="U3126" t="s">
        <v>63884</v>
      </c>
      <c r="V3126" t="s">
        <v>63885</v>
      </c>
      <c r="W3126" t="s">
        <v>63886</v>
      </c>
      <c r="X3126" t="s">
        <v>63887</v>
      </c>
      <c r="Y3126" t="s">
        <v>63888</v>
      </c>
    </row>
    <row r="3127" spans="1:25" x14ac:dyDescent="0.3">
      <c r="A3127">
        <v>156300</v>
      </c>
      <c r="B3127" t="s">
        <v>63889</v>
      </c>
      <c r="C3127" t="s">
        <v>63890</v>
      </c>
      <c r="D3127" t="s">
        <v>63891</v>
      </c>
      <c r="E3127" t="s">
        <v>63892</v>
      </c>
      <c r="F3127" t="s">
        <v>63893</v>
      </c>
      <c r="G3127" t="s">
        <v>63894</v>
      </c>
      <c r="H3127" t="s">
        <v>63895</v>
      </c>
      <c r="I3127" t="s">
        <v>63896</v>
      </c>
      <c r="J3127" t="s">
        <v>63897</v>
      </c>
      <c r="K3127" t="s">
        <v>63898</v>
      </c>
      <c r="L3127" t="s">
        <v>63899</v>
      </c>
      <c r="M3127" t="s">
        <v>63900</v>
      </c>
      <c r="N3127" t="s">
        <v>63901</v>
      </c>
      <c r="O3127" t="s">
        <v>63902</v>
      </c>
      <c r="P3127" t="s">
        <v>63903</v>
      </c>
      <c r="Q3127" t="s">
        <v>63904</v>
      </c>
      <c r="R3127" t="s">
        <v>63905</v>
      </c>
      <c r="S3127" t="s">
        <v>63906</v>
      </c>
      <c r="T3127" t="s">
        <v>63907</v>
      </c>
      <c r="U3127" t="s">
        <v>63908</v>
      </c>
      <c r="V3127" t="s">
        <v>63909</v>
      </c>
      <c r="W3127" t="s">
        <v>63910</v>
      </c>
      <c r="X3127" t="s">
        <v>63911</v>
      </c>
      <c r="Y3127" t="s">
        <v>63912</v>
      </c>
    </row>
    <row r="3128" spans="1:25" x14ac:dyDescent="0.3">
      <c r="A3128">
        <v>156350</v>
      </c>
      <c r="B3128" t="s">
        <v>63913</v>
      </c>
      <c r="C3128" t="s">
        <v>63914</v>
      </c>
      <c r="D3128" t="s">
        <v>63915</v>
      </c>
      <c r="E3128" t="s">
        <v>63916</v>
      </c>
      <c r="F3128" t="s">
        <v>63917</v>
      </c>
      <c r="G3128" t="s">
        <v>63918</v>
      </c>
      <c r="H3128" t="s">
        <v>63919</v>
      </c>
      <c r="I3128" t="s">
        <v>63920</v>
      </c>
      <c r="J3128" t="s">
        <v>63921</v>
      </c>
      <c r="K3128" t="s">
        <v>63922</v>
      </c>
      <c r="L3128" t="s">
        <v>63923</v>
      </c>
      <c r="M3128" t="s">
        <v>63924</v>
      </c>
      <c r="N3128" t="s">
        <v>63925</v>
      </c>
      <c r="O3128" t="s">
        <v>63926</v>
      </c>
      <c r="P3128" t="s">
        <v>63927</v>
      </c>
      <c r="Q3128" t="s">
        <v>63928</v>
      </c>
      <c r="R3128" t="s">
        <v>63929</v>
      </c>
      <c r="S3128" t="s">
        <v>63930</v>
      </c>
      <c r="T3128" t="s">
        <v>63931</v>
      </c>
      <c r="U3128" t="s">
        <v>63932</v>
      </c>
      <c r="V3128" t="s">
        <v>63933</v>
      </c>
      <c r="W3128" t="s">
        <v>63934</v>
      </c>
      <c r="X3128" t="s">
        <v>63935</v>
      </c>
      <c r="Y3128" t="s">
        <v>63936</v>
      </c>
    </row>
    <row r="3129" spans="1:25" x14ac:dyDescent="0.3">
      <c r="A3129">
        <v>156400</v>
      </c>
      <c r="B3129" t="s">
        <v>63937</v>
      </c>
      <c r="C3129" t="s">
        <v>63938</v>
      </c>
      <c r="D3129" t="s">
        <v>63939</v>
      </c>
      <c r="E3129" t="s">
        <v>63940</v>
      </c>
      <c r="F3129" t="s">
        <v>63941</v>
      </c>
      <c r="G3129" t="s">
        <v>63942</v>
      </c>
      <c r="H3129" t="s">
        <v>63943</v>
      </c>
      <c r="I3129" t="s">
        <v>63944</v>
      </c>
      <c r="J3129" t="s">
        <v>63945</v>
      </c>
      <c r="K3129" t="s">
        <v>63946</v>
      </c>
      <c r="L3129" t="s">
        <v>63947</v>
      </c>
      <c r="M3129" t="s">
        <v>63948</v>
      </c>
      <c r="N3129" t="s">
        <v>63949</v>
      </c>
      <c r="O3129" t="s">
        <v>63950</v>
      </c>
      <c r="P3129" t="s">
        <v>63951</v>
      </c>
      <c r="Q3129" t="s">
        <v>63952</v>
      </c>
      <c r="R3129" t="s">
        <v>63953</v>
      </c>
      <c r="S3129" t="s">
        <v>63954</v>
      </c>
      <c r="T3129" t="s">
        <v>63955</v>
      </c>
      <c r="U3129" t="s">
        <v>63956</v>
      </c>
      <c r="V3129" t="s">
        <v>63957</v>
      </c>
      <c r="W3129" t="s">
        <v>63958</v>
      </c>
      <c r="X3129" t="s">
        <v>63959</v>
      </c>
      <c r="Y3129" t="s">
        <v>63960</v>
      </c>
    </row>
    <row r="3130" spans="1:25" x14ac:dyDescent="0.3">
      <c r="A3130">
        <v>156450</v>
      </c>
      <c r="B3130" t="s">
        <v>63961</v>
      </c>
      <c r="C3130" t="s">
        <v>63962</v>
      </c>
      <c r="D3130" t="s">
        <v>63963</v>
      </c>
      <c r="E3130" t="s">
        <v>63964</v>
      </c>
      <c r="F3130" t="s">
        <v>63965</v>
      </c>
      <c r="G3130" t="s">
        <v>63966</v>
      </c>
      <c r="H3130" t="s">
        <v>63967</v>
      </c>
      <c r="I3130" t="s">
        <v>63968</v>
      </c>
      <c r="J3130" t="s">
        <v>63969</v>
      </c>
      <c r="K3130" t="s">
        <v>63970</v>
      </c>
      <c r="L3130" t="s">
        <v>63971</v>
      </c>
      <c r="M3130" t="s">
        <v>63972</v>
      </c>
      <c r="N3130" t="s">
        <v>63973</v>
      </c>
      <c r="O3130" t="s">
        <v>63974</v>
      </c>
      <c r="P3130" t="s">
        <v>63975</v>
      </c>
      <c r="Q3130" t="s">
        <v>63976</v>
      </c>
      <c r="R3130" t="s">
        <v>63977</v>
      </c>
      <c r="S3130" t="s">
        <v>63978</v>
      </c>
      <c r="T3130" t="s">
        <v>63979</v>
      </c>
      <c r="U3130" t="s">
        <v>63980</v>
      </c>
      <c r="V3130" t="s">
        <v>63981</v>
      </c>
      <c r="W3130" t="s">
        <v>63982</v>
      </c>
      <c r="X3130" t="s">
        <v>63983</v>
      </c>
      <c r="Y3130" t="s">
        <v>63984</v>
      </c>
    </row>
    <row r="3131" spans="1:25" x14ac:dyDescent="0.3">
      <c r="A3131">
        <v>156500</v>
      </c>
      <c r="B3131" t="s">
        <v>63985</v>
      </c>
      <c r="C3131" t="s">
        <v>63986</v>
      </c>
      <c r="D3131" t="s">
        <v>63987</v>
      </c>
      <c r="E3131" t="s">
        <v>63988</v>
      </c>
      <c r="F3131" t="s">
        <v>63989</v>
      </c>
      <c r="G3131" t="s">
        <v>63990</v>
      </c>
      <c r="H3131" t="s">
        <v>63991</v>
      </c>
      <c r="I3131" t="s">
        <v>63992</v>
      </c>
      <c r="J3131" t="s">
        <v>63993</v>
      </c>
      <c r="K3131" t="s">
        <v>63994</v>
      </c>
      <c r="L3131" t="s">
        <v>63995</v>
      </c>
      <c r="M3131" t="s">
        <v>63996</v>
      </c>
      <c r="N3131" t="s">
        <v>63997</v>
      </c>
      <c r="O3131" t="s">
        <v>63998</v>
      </c>
      <c r="P3131" t="s">
        <v>63999</v>
      </c>
      <c r="Q3131" t="s">
        <v>64000</v>
      </c>
      <c r="R3131" t="s">
        <v>64001</v>
      </c>
      <c r="S3131" t="s">
        <v>64002</v>
      </c>
      <c r="T3131" t="s">
        <v>64003</v>
      </c>
      <c r="U3131" t="s">
        <v>64004</v>
      </c>
      <c r="V3131" t="s">
        <v>64005</v>
      </c>
      <c r="W3131" t="s">
        <v>64006</v>
      </c>
      <c r="X3131" t="s">
        <v>64007</v>
      </c>
      <c r="Y3131" t="s">
        <v>64008</v>
      </c>
    </row>
    <row r="3132" spans="1:25" x14ac:dyDescent="0.3">
      <c r="A3132">
        <v>156550</v>
      </c>
      <c r="B3132" t="s">
        <v>64009</v>
      </c>
      <c r="C3132" t="s">
        <v>64010</v>
      </c>
      <c r="D3132" t="s">
        <v>64011</v>
      </c>
      <c r="E3132" t="s">
        <v>64012</v>
      </c>
      <c r="F3132" t="s">
        <v>64013</v>
      </c>
      <c r="G3132" t="s">
        <v>64014</v>
      </c>
      <c r="H3132" t="s">
        <v>64015</v>
      </c>
      <c r="I3132" t="s">
        <v>64016</v>
      </c>
      <c r="J3132" t="s">
        <v>64017</v>
      </c>
      <c r="K3132" t="s">
        <v>64018</v>
      </c>
      <c r="L3132" t="s">
        <v>64019</v>
      </c>
      <c r="M3132" t="s">
        <v>64020</v>
      </c>
      <c r="N3132" t="s">
        <v>64021</v>
      </c>
      <c r="O3132" t="s">
        <v>64022</v>
      </c>
      <c r="P3132" t="s">
        <v>64023</v>
      </c>
      <c r="Q3132" t="s">
        <v>64024</v>
      </c>
      <c r="R3132" t="s">
        <v>64025</v>
      </c>
      <c r="S3132" t="s">
        <v>64026</v>
      </c>
      <c r="T3132" t="s">
        <v>64027</v>
      </c>
      <c r="U3132" t="s">
        <v>64028</v>
      </c>
      <c r="V3132" t="s">
        <v>64029</v>
      </c>
      <c r="W3132" t="s">
        <v>64030</v>
      </c>
      <c r="X3132" t="s">
        <v>64031</v>
      </c>
      <c r="Y3132" t="s">
        <v>64032</v>
      </c>
    </row>
    <row r="3133" spans="1:25" x14ac:dyDescent="0.3">
      <c r="A3133">
        <v>156600</v>
      </c>
      <c r="B3133" t="s">
        <v>64033</v>
      </c>
      <c r="C3133" t="s">
        <v>64034</v>
      </c>
      <c r="D3133" t="s">
        <v>64035</v>
      </c>
      <c r="E3133" t="s">
        <v>64036</v>
      </c>
      <c r="F3133" t="s">
        <v>64037</v>
      </c>
      <c r="G3133" t="s">
        <v>64038</v>
      </c>
      <c r="H3133" t="s">
        <v>64039</v>
      </c>
      <c r="I3133" t="s">
        <v>64040</v>
      </c>
      <c r="J3133" t="s">
        <v>64041</v>
      </c>
      <c r="K3133" t="s">
        <v>64042</v>
      </c>
      <c r="L3133" t="s">
        <v>64043</v>
      </c>
      <c r="M3133" t="s">
        <v>64044</v>
      </c>
      <c r="N3133" t="s">
        <v>64045</v>
      </c>
      <c r="O3133" t="s">
        <v>64046</v>
      </c>
      <c r="P3133" t="s">
        <v>64047</v>
      </c>
      <c r="Q3133" t="s">
        <v>64048</v>
      </c>
      <c r="R3133" t="s">
        <v>64049</v>
      </c>
      <c r="S3133" t="s">
        <v>64050</v>
      </c>
      <c r="T3133" t="s">
        <v>64051</v>
      </c>
      <c r="U3133" t="s">
        <v>64052</v>
      </c>
      <c r="V3133" t="s">
        <v>64053</v>
      </c>
      <c r="W3133" t="s">
        <v>64054</v>
      </c>
      <c r="X3133" t="s">
        <v>64055</v>
      </c>
      <c r="Y3133" t="s">
        <v>64056</v>
      </c>
    </row>
    <row r="3134" spans="1:25" x14ac:dyDescent="0.3">
      <c r="A3134">
        <v>156650</v>
      </c>
      <c r="B3134" t="s">
        <v>64057</v>
      </c>
      <c r="C3134" t="s">
        <v>64058</v>
      </c>
      <c r="D3134" t="s">
        <v>64059</v>
      </c>
      <c r="E3134" t="s">
        <v>64060</v>
      </c>
      <c r="F3134" t="s">
        <v>64061</v>
      </c>
      <c r="G3134" t="s">
        <v>64062</v>
      </c>
      <c r="H3134" t="s">
        <v>64063</v>
      </c>
      <c r="I3134" t="s">
        <v>64064</v>
      </c>
      <c r="J3134" t="s">
        <v>64065</v>
      </c>
      <c r="K3134" t="s">
        <v>64066</v>
      </c>
      <c r="L3134" t="s">
        <v>64067</v>
      </c>
      <c r="M3134" t="s">
        <v>64068</v>
      </c>
      <c r="N3134" t="s">
        <v>64069</v>
      </c>
      <c r="O3134" t="s">
        <v>64070</v>
      </c>
      <c r="P3134" t="s">
        <v>64071</v>
      </c>
      <c r="Q3134" t="s">
        <v>64072</v>
      </c>
      <c r="R3134" t="s">
        <v>64073</v>
      </c>
      <c r="S3134" t="s">
        <v>64074</v>
      </c>
      <c r="T3134" t="s">
        <v>64075</v>
      </c>
      <c r="U3134" t="s">
        <v>64076</v>
      </c>
      <c r="V3134" t="s">
        <v>64077</v>
      </c>
      <c r="W3134" t="s">
        <v>64078</v>
      </c>
      <c r="X3134" t="s">
        <v>64079</v>
      </c>
      <c r="Y3134" t="s">
        <v>64080</v>
      </c>
    </row>
    <row r="3135" spans="1:25" x14ac:dyDescent="0.3">
      <c r="A3135">
        <v>156700</v>
      </c>
      <c r="B3135" t="s">
        <v>64081</v>
      </c>
      <c r="C3135" t="s">
        <v>64082</v>
      </c>
      <c r="D3135" t="s">
        <v>64083</v>
      </c>
      <c r="E3135" t="s">
        <v>64084</v>
      </c>
      <c r="F3135" t="s">
        <v>64085</v>
      </c>
      <c r="G3135" t="s">
        <v>64086</v>
      </c>
      <c r="H3135" t="s">
        <v>64087</v>
      </c>
      <c r="I3135" t="s">
        <v>64088</v>
      </c>
      <c r="J3135" t="s">
        <v>64089</v>
      </c>
      <c r="K3135" t="s">
        <v>64090</v>
      </c>
      <c r="L3135" t="s">
        <v>64091</v>
      </c>
      <c r="M3135" t="s">
        <v>64092</v>
      </c>
      <c r="N3135" t="s">
        <v>64093</v>
      </c>
      <c r="O3135" t="s">
        <v>64094</v>
      </c>
      <c r="P3135" t="s">
        <v>64095</v>
      </c>
      <c r="Q3135" t="s">
        <v>64096</v>
      </c>
      <c r="R3135" t="s">
        <v>64097</v>
      </c>
      <c r="S3135" t="s">
        <v>64098</v>
      </c>
      <c r="T3135" t="s">
        <v>64099</v>
      </c>
      <c r="U3135" t="s">
        <v>64100</v>
      </c>
      <c r="V3135" t="s">
        <v>64101</v>
      </c>
      <c r="W3135" t="s">
        <v>64102</v>
      </c>
      <c r="X3135" t="s">
        <v>64103</v>
      </c>
      <c r="Y3135" t="s">
        <v>64104</v>
      </c>
    </row>
    <row r="3136" spans="1:25" x14ac:dyDescent="0.3">
      <c r="A3136">
        <v>156750</v>
      </c>
      <c r="B3136" t="s">
        <v>64105</v>
      </c>
      <c r="C3136" t="s">
        <v>64106</v>
      </c>
      <c r="D3136" t="s">
        <v>64107</v>
      </c>
      <c r="E3136" t="s">
        <v>64108</v>
      </c>
      <c r="F3136" t="s">
        <v>64109</v>
      </c>
      <c r="G3136" t="s">
        <v>64110</v>
      </c>
      <c r="H3136" t="s">
        <v>64111</v>
      </c>
      <c r="I3136" t="s">
        <v>64112</v>
      </c>
      <c r="J3136" t="s">
        <v>64113</v>
      </c>
      <c r="K3136" t="s">
        <v>64114</v>
      </c>
      <c r="L3136" t="s">
        <v>64115</v>
      </c>
      <c r="M3136" t="s">
        <v>64116</v>
      </c>
      <c r="N3136" t="s">
        <v>64117</v>
      </c>
      <c r="O3136" t="s">
        <v>64118</v>
      </c>
      <c r="P3136" t="s">
        <v>64119</v>
      </c>
      <c r="Q3136" t="s">
        <v>64120</v>
      </c>
      <c r="R3136" t="s">
        <v>64121</v>
      </c>
      <c r="S3136" t="s">
        <v>64122</v>
      </c>
      <c r="T3136" t="s">
        <v>64123</v>
      </c>
      <c r="U3136" t="s">
        <v>64124</v>
      </c>
      <c r="V3136" t="s">
        <v>64125</v>
      </c>
      <c r="W3136" t="s">
        <v>64126</v>
      </c>
      <c r="X3136" t="s">
        <v>64127</v>
      </c>
      <c r="Y3136" t="s">
        <v>64128</v>
      </c>
    </row>
    <row r="3137" spans="1:25" x14ac:dyDescent="0.3">
      <c r="A3137">
        <v>156800</v>
      </c>
      <c r="B3137" t="s">
        <v>64129</v>
      </c>
      <c r="C3137" t="s">
        <v>64130</v>
      </c>
      <c r="D3137" t="s">
        <v>64131</v>
      </c>
      <c r="E3137" t="s">
        <v>64132</v>
      </c>
      <c r="F3137" t="s">
        <v>64133</v>
      </c>
      <c r="G3137" t="s">
        <v>64134</v>
      </c>
      <c r="H3137" t="s">
        <v>64135</v>
      </c>
      <c r="I3137" t="s">
        <v>64136</v>
      </c>
      <c r="J3137" t="s">
        <v>64137</v>
      </c>
      <c r="K3137" t="s">
        <v>64138</v>
      </c>
      <c r="L3137" t="s">
        <v>64139</v>
      </c>
      <c r="M3137" t="s">
        <v>64140</v>
      </c>
      <c r="N3137" t="s">
        <v>64141</v>
      </c>
      <c r="O3137" t="s">
        <v>64142</v>
      </c>
      <c r="P3137" t="s">
        <v>64143</v>
      </c>
      <c r="Q3137" t="s">
        <v>64144</v>
      </c>
      <c r="R3137" t="s">
        <v>64145</v>
      </c>
      <c r="S3137" t="s">
        <v>64146</v>
      </c>
      <c r="T3137" t="s">
        <v>64147</v>
      </c>
      <c r="U3137" t="s">
        <v>64148</v>
      </c>
      <c r="V3137" t="s">
        <v>64149</v>
      </c>
      <c r="W3137" t="s">
        <v>64150</v>
      </c>
      <c r="X3137" t="s">
        <v>64151</v>
      </c>
      <c r="Y3137" t="s">
        <v>64152</v>
      </c>
    </row>
    <row r="3138" spans="1:25" x14ac:dyDescent="0.3">
      <c r="A3138">
        <v>156850</v>
      </c>
      <c r="B3138" t="s">
        <v>64153</v>
      </c>
      <c r="C3138" t="s">
        <v>64154</v>
      </c>
      <c r="D3138" t="s">
        <v>64155</v>
      </c>
      <c r="E3138" t="s">
        <v>64156</v>
      </c>
      <c r="F3138" t="s">
        <v>64157</v>
      </c>
      <c r="G3138" t="s">
        <v>64158</v>
      </c>
      <c r="H3138" t="s">
        <v>64159</v>
      </c>
      <c r="I3138" t="s">
        <v>64160</v>
      </c>
      <c r="J3138" t="s">
        <v>64161</v>
      </c>
      <c r="K3138" t="s">
        <v>64162</v>
      </c>
      <c r="L3138" t="s">
        <v>64163</v>
      </c>
      <c r="M3138" t="s">
        <v>64164</v>
      </c>
      <c r="N3138" t="s">
        <v>64165</v>
      </c>
      <c r="O3138" t="s">
        <v>64166</v>
      </c>
      <c r="P3138" t="s">
        <v>64167</v>
      </c>
      <c r="Q3138" t="s">
        <v>64168</v>
      </c>
      <c r="R3138" t="s">
        <v>64169</v>
      </c>
      <c r="S3138" t="s">
        <v>64170</v>
      </c>
      <c r="T3138" t="s">
        <v>64171</v>
      </c>
      <c r="U3138" t="s">
        <v>64172</v>
      </c>
      <c r="V3138" t="s">
        <v>64173</v>
      </c>
      <c r="W3138" t="s">
        <v>64174</v>
      </c>
      <c r="X3138" t="s">
        <v>64175</v>
      </c>
      <c r="Y3138" t="s">
        <v>64176</v>
      </c>
    </row>
    <row r="3139" spans="1:25" x14ac:dyDescent="0.3">
      <c r="A3139">
        <v>156900</v>
      </c>
      <c r="B3139" t="s">
        <v>64177</v>
      </c>
      <c r="C3139" t="s">
        <v>64178</v>
      </c>
      <c r="D3139" t="s">
        <v>64179</v>
      </c>
      <c r="E3139" t="s">
        <v>64180</v>
      </c>
      <c r="F3139" t="s">
        <v>64181</v>
      </c>
      <c r="G3139" t="s">
        <v>64182</v>
      </c>
      <c r="H3139" t="s">
        <v>64183</v>
      </c>
      <c r="I3139" t="s">
        <v>64184</v>
      </c>
      <c r="J3139" t="s">
        <v>64185</v>
      </c>
      <c r="K3139" t="s">
        <v>64186</v>
      </c>
      <c r="L3139" t="s">
        <v>64187</v>
      </c>
      <c r="M3139" t="s">
        <v>64188</v>
      </c>
      <c r="N3139" t="s">
        <v>64189</v>
      </c>
      <c r="O3139" t="s">
        <v>64190</v>
      </c>
      <c r="P3139" t="s">
        <v>64191</v>
      </c>
      <c r="Q3139" t="s">
        <v>64192</v>
      </c>
      <c r="R3139" t="s">
        <v>64193</v>
      </c>
      <c r="S3139" t="s">
        <v>64194</v>
      </c>
      <c r="T3139" t="s">
        <v>64195</v>
      </c>
      <c r="U3139" t="s">
        <v>64196</v>
      </c>
      <c r="V3139" t="s">
        <v>64197</v>
      </c>
      <c r="W3139" t="s">
        <v>64198</v>
      </c>
      <c r="X3139" t="s">
        <v>64199</v>
      </c>
      <c r="Y3139" t="s">
        <v>64200</v>
      </c>
    </row>
    <row r="3140" spans="1:25" x14ac:dyDescent="0.3">
      <c r="A3140">
        <v>156950</v>
      </c>
      <c r="B3140" t="s">
        <v>64201</v>
      </c>
      <c r="C3140" t="s">
        <v>64202</v>
      </c>
      <c r="D3140" t="s">
        <v>64203</v>
      </c>
      <c r="E3140" t="s">
        <v>64204</v>
      </c>
      <c r="F3140" t="s">
        <v>64205</v>
      </c>
      <c r="G3140" t="s">
        <v>64206</v>
      </c>
      <c r="H3140" t="s">
        <v>64207</v>
      </c>
      <c r="I3140" t="s">
        <v>64208</v>
      </c>
      <c r="J3140" t="s">
        <v>64209</v>
      </c>
      <c r="K3140" t="s">
        <v>64210</v>
      </c>
      <c r="L3140" t="s">
        <v>64211</v>
      </c>
      <c r="M3140" t="s">
        <v>64212</v>
      </c>
      <c r="N3140" t="s">
        <v>64213</v>
      </c>
      <c r="O3140" t="s">
        <v>64214</v>
      </c>
      <c r="P3140" t="s">
        <v>64215</v>
      </c>
      <c r="Q3140" t="s">
        <v>64216</v>
      </c>
      <c r="R3140" t="s">
        <v>64217</v>
      </c>
      <c r="S3140" t="s">
        <v>64218</v>
      </c>
      <c r="T3140" t="s">
        <v>64219</v>
      </c>
      <c r="U3140" t="s">
        <v>64220</v>
      </c>
      <c r="V3140" t="s">
        <v>64221</v>
      </c>
      <c r="W3140" t="s">
        <v>64222</v>
      </c>
      <c r="X3140" t="s">
        <v>64223</v>
      </c>
      <c r="Y3140" t="s">
        <v>64224</v>
      </c>
    </row>
    <row r="3141" spans="1:25" x14ac:dyDescent="0.3">
      <c r="A3141">
        <v>157000</v>
      </c>
      <c r="B3141" t="s">
        <v>64225</v>
      </c>
      <c r="C3141" t="s">
        <v>64226</v>
      </c>
      <c r="D3141" t="s">
        <v>64227</v>
      </c>
      <c r="E3141" t="s">
        <v>64228</v>
      </c>
      <c r="F3141" t="s">
        <v>64229</v>
      </c>
      <c r="G3141" t="s">
        <v>64230</v>
      </c>
      <c r="H3141" t="s">
        <v>64231</v>
      </c>
      <c r="I3141" t="s">
        <v>64232</v>
      </c>
      <c r="J3141" t="s">
        <v>64233</v>
      </c>
      <c r="K3141" t="s">
        <v>64234</v>
      </c>
      <c r="L3141" t="s">
        <v>64235</v>
      </c>
      <c r="M3141" t="s">
        <v>64236</v>
      </c>
      <c r="N3141" t="s">
        <v>64237</v>
      </c>
      <c r="O3141" t="s">
        <v>64238</v>
      </c>
      <c r="P3141" t="s">
        <v>64239</v>
      </c>
      <c r="Q3141" t="s">
        <v>64240</v>
      </c>
      <c r="R3141" t="s">
        <v>64241</v>
      </c>
      <c r="S3141" t="s">
        <v>64242</v>
      </c>
      <c r="T3141" t="s">
        <v>64243</v>
      </c>
      <c r="U3141" t="s">
        <v>64244</v>
      </c>
      <c r="V3141" t="s">
        <v>64245</v>
      </c>
      <c r="W3141" t="s">
        <v>64246</v>
      </c>
      <c r="X3141" t="s">
        <v>64247</v>
      </c>
      <c r="Y3141" t="s">
        <v>64248</v>
      </c>
    </row>
    <row r="3142" spans="1:25" x14ac:dyDescent="0.3">
      <c r="A3142">
        <v>157050</v>
      </c>
      <c r="B3142" t="s">
        <v>64249</v>
      </c>
      <c r="C3142" t="s">
        <v>64250</v>
      </c>
      <c r="D3142" t="s">
        <v>64251</v>
      </c>
      <c r="E3142" t="s">
        <v>64252</v>
      </c>
      <c r="F3142" t="s">
        <v>64253</v>
      </c>
      <c r="G3142" t="s">
        <v>64254</v>
      </c>
      <c r="H3142" t="s">
        <v>64255</v>
      </c>
      <c r="I3142" t="s">
        <v>64256</v>
      </c>
      <c r="J3142" t="s">
        <v>64257</v>
      </c>
      <c r="K3142" t="s">
        <v>64258</v>
      </c>
      <c r="L3142" t="s">
        <v>64259</v>
      </c>
      <c r="M3142" t="s">
        <v>64260</v>
      </c>
      <c r="N3142" t="s">
        <v>64261</v>
      </c>
      <c r="O3142" t="s">
        <v>64262</v>
      </c>
      <c r="P3142" t="s">
        <v>64263</v>
      </c>
      <c r="Q3142" t="s">
        <v>64264</v>
      </c>
      <c r="R3142" t="s">
        <v>64265</v>
      </c>
      <c r="S3142" t="s">
        <v>64266</v>
      </c>
      <c r="T3142" t="s">
        <v>64267</v>
      </c>
      <c r="U3142" t="s">
        <v>64268</v>
      </c>
      <c r="V3142" t="s">
        <v>64269</v>
      </c>
      <c r="W3142" t="s">
        <v>64270</v>
      </c>
      <c r="X3142" t="s">
        <v>64271</v>
      </c>
      <c r="Y3142" t="s">
        <v>64272</v>
      </c>
    </row>
    <row r="3143" spans="1:25" x14ac:dyDescent="0.3">
      <c r="A3143">
        <v>157100</v>
      </c>
      <c r="B3143" t="s">
        <v>64273</v>
      </c>
      <c r="C3143" t="s">
        <v>64274</v>
      </c>
      <c r="D3143" t="s">
        <v>64275</v>
      </c>
      <c r="E3143" t="s">
        <v>64276</v>
      </c>
      <c r="F3143" t="s">
        <v>64277</v>
      </c>
      <c r="G3143" t="s">
        <v>64278</v>
      </c>
      <c r="H3143" t="s">
        <v>64279</v>
      </c>
      <c r="I3143" t="s">
        <v>64280</v>
      </c>
      <c r="J3143" t="s">
        <v>64281</v>
      </c>
      <c r="K3143" t="s">
        <v>64282</v>
      </c>
      <c r="L3143" t="s">
        <v>64283</v>
      </c>
      <c r="M3143" t="s">
        <v>64284</v>
      </c>
      <c r="N3143" t="s">
        <v>64285</v>
      </c>
      <c r="O3143" t="s">
        <v>64286</v>
      </c>
      <c r="P3143" t="s">
        <v>64287</v>
      </c>
      <c r="Q3143" t="s">
        <v>64288</v>
      </c>
      <c r="R3143" t="s">
        <v>64289</v>
      </c>
      <c r="S3143" t="s">
        <v>64290</v>
      </c>
      <c r="T3143" t="s">
        <v>64291</v>
      </c>
      <c r="U3143" t="s">
        <v>64292</v>
      </c>
      <c r="V3143" t="s">
        <v>64293</v>
      </c>
      <c r="W3143" t="s">
        <v>64294</v>
      </c>
      <c r="X3143" t="s">
        <v>64295</v>
      </c>
      <c r="Y3143" t="s">
        <v>64296</v>
      </c>
    </row>
    <row r="3144" spans="1:25" x14ac:dyDescent="0.3">
      <c r="A3144">
        <v>157150</v>
      </c>
      <c r="B3144" t="s">
        <v>64297</v>
      </c>
      <c r="C3144" t="s">
        <v>64298</v>
      </c>
      <c r="D3144" t="s">
        <v>64299</v>
      </c>
      <c r="E3144" t="s">
        <v>64300</v>
      </c>
      <c r="F3144" t="s">
        <v>64301</v>
      </c>
      <c r="G3144" t="s">
        <v>64302</v>
      </c>
      <c r="H3144" t="s">
        <v>64303</v>
      </c>
      <c r="I3144" t="s">
        <v>64304</v>
      </c>
      <c r="J3144" t="s">
        <v>64305</v>
      </c>
      <c r="K3144" t="s">
        <v>64306</v>
      </c>
      <c r="L3144" t="s">
        <v>64307</v>
      </c>
      <c r="M3144" t="s">
        <v>64308</v>
      </c>
      <c r="N3144" t="s">
        <v>64309</v>
      </c>
      <c r="O3144" t="s">
        <v>64310</v>
      </c>
      <c r="P3144" t="s">
        <v>64311</v>
      </c>
      <c r="Q3144" t="s">
        <v>64312</v>
      </c>
      <c r="R3144" t="s">
        <v>64313</v>
      </c>
      <c r="S3144" t="s">
        <v>64314</v>
      </c>
      <c r="T3144" t="s">
        <v>64315</v>
      </c>
      <c r="U3144" t="s">
        <v>64316</v>
      </c>
      <c r="V3144" t="s">
        <v>64317</v>
      </c>
      <c r="W3144" t="s">
        <v>64318</v>
      </c>
      <c r="X3144" t="s">
        <v>64319</v>
      </c>
      <c r="Y3144" t="s">
        <v>64320</v>
      </c>
    </row>
    <row r="3145" spans="1:25" x14ac:dyDescent="0.3">
      <c r="A3145">
        <v>157200</v>
      </c>
      <c r="B3145" t="s">
        <v>64321</v>
      </c>
      <c r="C3145" t="s">
        <v>64322</v>
      </c>
      <c r="D3145" t="s">
        <v>64323</v>
      </c>
      <c r="E3145" t="s">
        <v>64324</v>
      </c>
      <c r="F3145" t="s">
        <v>64325</v>
      </c>
      <c r="G3145" t="s">
        <v>64326</v>
      </c>
      <c r="H3145" t="s">
        <v>64327</v>
      </c>
      <c r="I3145" t="s">
        <v>64328</v>
      </c>
      <c r="J3145" t="s">
        <v>64329</v>
      </c>
      <c r="K3145" t="s">
        <v>64330</v>
      </c>
      <c r="L3145" t="s">
        <v>64331</v>
      </c>
      <c r="M3145" t="s">
        <v>64332</v>
      </c>
      <c r="N3145" t="s">
        <v>64333</v>
      </c>
      <c r="O3145" t="s">
        <v>64334</v>
      </c>
      <c r="P3145" t="s">
        <v>64335</v>
      </c>
      <c r="Q3145" t="s">
        <v>64336</v>
      </c>
      <c r="R3145" t="s">
        <v>64337</v>
      </c>
      <c r="S3145" t="s">
        <v>64338</v>
      </c>
      <c r="T3145" t="s">
        <v>64339</v>
      </c>
      <c r="U3145" t="s">
        <v>64340</v>
      </c>
      <c r="V3145" t="s">
        <v>64341</v>
      </c>
      <c r="W3145" t="s">
        <v>64342</v>
      </c>
      <c r="X3145" t="s">
        <v>64343</v>
      </c>
      <c r="Y3145" t="s">
        <v>64344</v>
      </c>
    </row>
    <row r="3146" spans="1:25" x14ac:dyDescent="0.3">
      <c r="A3146">
        <v>157250</v>
      </c>
      <c r="B3146" t="s">
        <v>64345</v>
      </c>
      <c r="C3146" t="s">
        <v>64346</v>
      </c>
      <c r="D3146" t="s">
        <v>64347</v>
      </c>
      <c r="E3146" t="s">
        <v>64348</v>
      </c>
      <c r="F3146" t="s">
        <v>64349</v>
      </c>
      <c r="G3146" t="s">
        <v>64350</v>
      </c>
      <c r="H3146" t="s">
        <v>64351</v>
      </c>
      <c r="I3146" t="s">
        <v>64352</v>
      </c>
      <c r="J3146" t="s">
        <v>64353</v>
      </c>
      <c r="K3146" t="s">
        <v>64354</v>
      </c>
      <c r="L3146" t="s">
        <v>64355</v>
      </c>
      <c r="M3146" t="s">
        <v>64356</v>
      </c>
      <c r="N3146" t="s">
        <v>64357</v>
      </c>
      <c r="O3146" t="s">
        <v>64358</v>
      </c>
      <c r="P3146" t="s">
        <v>64359</v>
      </c>
      <c r="Q3146" t="s">
        <v>64360</v>
      </c>
      <c r="R3146" t="s">
        <v>64361</v>
      </c>
      <c r="S3146" t="s">
        <v>64362</v>
      </c>
      <c r="T3146" t="s">
        <v>64363</v>
      </c>
      <c r="U3146" t="s">
        <v>64364</v>
      </c>
      <c r="V3146" t="s">
        <v>64365</v>
      </c>
      <c r="W3146" t="s">
        <v>64366</v>
      </c>
      <c r="X3146" t="s">
        <v>64367</v>
      </c>
      <c r="Y3146" t="s">
        <v>64368</v>
      </c>
    </row>
    <row r="3147" spans="1:25" x14ac:dyDescent="0.3">
      <c r="A3147">
        <v>157300</v>
      </c>
      <c r="B3147" t="s">
        <v>64369</v>
      </c>
      <c r="C3147" t="s">
        <v>64370</v>
      </c>
      <c r="D3147" t="s">
        <v>64371</v>
      </c>
      <c r="E3147" t="s">
        <v>64372</v>
      </c>
      <c r="F3147" t="s">
        <v>64373</v>
      </c>
      <c r="G3147" t="s">
        <v>64374</v>
      </c>
      <c r="H3147" t="s">
        <v>64375</v>
      </c>
      <c r="I3147" t="s">
        <v>64376</v>
      </c>
      <c r="J3147" t="s">
        <v>64377</v>
      </c>
      <c r="K3147" t="s">
        <v>64378</v>
      </c>
      <c r="L3147" t="s">
        <v>64379</v>
      </c>
      <c r="M3147" t="s">
        <v>64380</v>
      </c>
      <c r="N3147" t="s">
        <v>64381</v>
      </c>
      <c r="O3147" t="s">
        <v>64382</v>
      </c>
      <c r="P3147" t="s">
        <v>64383</v>
      </c>
      <c r="Q3147" t="s">
        <v>64384</v>
      </c>
      <c r="R3147" t="s">
        <v>64385</v>
      </c>
      <c r="S3147" t="s">
        <v>64386</v>
      </c>
      <c r="T3147" t="s">
        <v>64387</v>
      </c>
      <c r="U3147" t="s">
        <v>64388</v>
      </c>
      <c r="V3147" t="s">
        <v>64389</v>
      </c>
      <c r="W3147" t="s">
        <v>64390</v>
      </c>
      <c r="X3147" t="s">
        <v>64391</v>
      </c>
      <c r="Y3147" t="s">
        <v>64392</v>
      </c>
    </row>
    <row r="3148" spans="1:25" x14ac:dyDescent="0.3">
      <c r="A3148">
        <v>157350</v>
      </c>
      <c r="B3148" t="s">
        <v>64393</v>
      </c>
      <c r="C3148" t="s">
        <v>64394</v>
      </c>
      <c r="D3148" t="s">
        <v>64395</v>
      </c>
      <c r="E3148" t="s">
        <v>64396</v>
      </c>
      <c r="F3148" t="s">
        <v>64397</v>
      </c>
      <c r="G3148" t="s">
        <v>64398</v>
      </c>
      <c r="H3148" t="s">
        <v>64399</v>
      </c>
      <c r="I3148" t="s">
        <v>64400</v>
      </c>
      <c r="J3148" t="s">
        <v>64401</v>
      </c>
      <c r="K3148" t="s">
        <v>64402</v>
      </c>
      <c r="L3148" t="s">
        <v>64403</v>
      </c>
      <c r="M3148" t="s">
        <v>64404</v>
      </c>
      <c r="N3148" t="s">
        <v>64405</v>
      </c>
      <c r="O3148" t="s">
        <v>64406</v>
      </c>
      <c r="P3148" t="s">
        <v>64407</v>
      </c>
      <c r="Q3148" t="s">
        <v>64408</v>
      </c>
      <c r="R3148" t="s">
        <v>64409</v>
      </c>
      <c r="S3148" t="s">
        <v>64410</v>
      </c>
      <c r="T3148" t="s">
        <v>64411</v>
      </c>
      <c r="U3148" t="s">
        <v>64412</v>
      </c>
      <c r="V3148" t="s">
        <v>64413</v>
      </c>
      <c r="W3148" t="s">
        <v>64414</v>
      </c>
      <c r="X3148" t="s">
        <v>64415</v>
      </c>
      <c r="Y3148" t="s">
        <v>64416</v>
      </c>
    </row>
    <row r="3149" spans="1:25" x14ac:dyDescent="0.3">
      <c r="A3149">
        <v>157400</v>
      </c>
      <c r="B3149" t="s">
        <v>64417</v>
      </c>
      <c r="C3149" t="s">
        <v>64418</v>
      </c>
      <c r="D3149" t="s">
        <v>64419</v>
      </c>
      <c r="E3149" t="s">
        <v>64420</v>
      </c>
      <c r="F3149" t="s">
        <v>64421</v>
      </c>
      <c r="G3149" t="s">
        <v>64422</v>
      </c>
      <c r="H3149" t="s">
        <v>64423</v>
      </c>
      <c r="I3149" t="s">
        <v>64424</v>
      </c>
      <c r="J3149" t="s">
        <v>64425</v>
      </c>
      <c r="K3149" t="s">
        <v>64426</v>
      </c>
      <c r="L3149" t="s">
        <v>64427</v>
      </c>
      <c r="M3149" t="s">
        <v>64428</v>
      </c>
      <c r="N3149" t="s">
        <v>64429</v>
      </c>
      <c r="O3149" t="s">
        <v>64430</v>
      </c>
      <c r="P3149" t="s">
        <v>64431</v>
      </c>
      <c r="Q3149" t="s">
        <v>64432</v>
      </c>
      <c r="R3149" t="s">
        <v>64433</v>
      </c>
      <c r="S3149" t="s">
        <v>64434</v>
      </c>
      <c r="T3149" t="s">
        <v>64435</v>
      </c>
      <c r="U3149" t="s">
        <v>64436</v>
      </c>
      <c r="V3149" t="s">
        <v>64437</v>
      </c>
      <c r="W3149" t="s">
        <v>64438</v>
      </c>
      <c r="X3149" t="s">
        <v>64439</v>
      </c>
      <c r="Y3149" t="s">
        <v>64440</v>
      </c>
    </row>
    <row r="3150" spans="1:25" x14ac:dyDescent="0.3">
      <c r="A3150">
        <v>157450</v>
      </c>
      <c r="B3150" t="s">
        <v>64441</v>
      </c>
      <c r="C3150" t="s">
        <v>64442</v>
      </c>
      <c r="D3150" t="s">
        <v>64443</v>
      </c>
      <c r="E3150" t="s">
        <v>64444</v>
      </c>
      <c r="F3150" t="s">
        <v>64445</v>
      </c>
      <c r="G3150" t="s">
        <v>64446</v>
      </c>
      <c r="H3150" t="s">
        <v>64447</v>
      </c>
      <c r="I3150" t="s">
        <v>64448</v>
      </c>
      <c r="J3150" t="s">
        <v>64449</v>
      </c>
      <c r="K3150" t="s">
        <v>64450</v>
      </c>
      <c r="L3150" t="s">
        <v>64451</v>
      </c>
      <c r="M3150" t="s">
        <v>64452</v>
      </c>
      <c r="N3150" t="s">
        <v>64453</v>
      </c>
      <c r="O3150" t="s">
        <v>64454</v>
      </c>
      <c r="P3150" t="s">
        <v>64455</v>
      </c>
      <c r="Q3150" t="s">
        <v>64456</v>
      </c>
      <c r="R3150" t="s">
        <v>64457</v>
      </c>
      <c r="S3150" t="s">
        <v>64458</v>
      </c>
      <c r="T3150" t="s">
        <v>64459</v>
      </c>
      <c r="U3150" t="s">
        <v>64460</v>
      </c>
      <c r="V3150" t="s">
        <v>64461</v>
      </c>
      <c r="W3150" t="s">
        <v>64462</v>
      </c>
      <c r="X3150" t="s">
        <v>64463</v>
      </c>
      <c r="Y3150" t="s">
        <v>64464</v>
      </c>
    </row>
    <row r="3151" spans="1:25" x14ac:dyDescent="0.3">
      <c r="A3151">
        <v>157500</v>
      </c>
      <c r="B3151" t="s">
        <v>64465</v>
      </c>
      <c r="C3151" t="s">
        <v>64466</v>
      </c>
      <c r="D3151" t="s">
        <v>64467</v>
      </c>
      <c r="E3151" t="s">
        <v>64468</v>
      </c>
      <c r="F3151" t="s">
        <v>64469</v>
      </c>
      <c r="G3151" t="s">
        <v>64470</v>
      </c>
      <c r="H3151" t="s">
        <v>64471</v>
      </c>
      <c r="I3151" t="s">
        <v>64472</v>
      </c>
      <c r="J3151" t="s">
        <v>64473</v>
      </c>
      <c r="K3151" t="s">
        <v>64474</v>
      </c>
      <c r="L3151" t="s">
        <v>64475</v>
      </c>
      <c r="M3151" t="s">
        <v>64476</v>
      </c>
      <c r="N3151" t="s">
        <v>64477</v>
      </c>
      <c r="O3151" t="s">
        <v>64478</v>
      </c>
      <c r="P3151" t="s">
        <v>64479</v>
      </c>
      <c r="Q3151" t="s">
        <v>64480</v>
      </c>
      <c r="R3151" t="s">
        <v>64481</v>
      </c>
      <c r="S3151" t="s">
        <v>64482</v>
      </c>
      <c r="T3151" t="s">
        <v>64483</v>
      </c>
      <c r="U3151" t="s">
        <v>64484</v>
      </c>
      <c r="V3151" t="s">
        <v>64485</v>
      </c>
      <c r="W3151" t="s">
        <v>64486</v>
      </c>
      <c r="X3151" t="s">
        <v>64487</v>
      </c>
      <c r="Y3151" t="s">
        <v>64488</v>
      </c>
    </row>
    <row r="3152" spans="1:25" x14ac:dyDescent="0.3">
      <c r="A3152">
        <v>157550</v>
      </c>
      <c r="B3152" t="s">
        <v>64489</v>
      </c>
      <c r="C3152" t="s">
        <v>64490</v>
      </c>
      <c r="D3152" t="s">
        <v>64491</v>
      </c>
      <c r="E3152" t="s">
        <v>64492</v>
      </c>
      <c r="F3152" t="s">
        <v>64493</v>
      </c>
      <c r="G3152" t="s">
        <v>64494</v>
      </c>
      <c r="H3152" t="s">
        <v>64495</v>
      </c>
      <c r="I3152" t="s">
        <v>64496</v>
      </c>
      <c r="J3152" t="s">
        <v>64497</v>
      </c>
      <c r="K3152" t="s">
        <v>64498</v>
      </c>
      <c r="L3152" t="s">
        <v>64499</v>
      </c>
      <c r="M3152" t="s">
        <v>64500</v>
      </c>
      <c r="N3152" t="s">
        <v>64501</v>
      </c>
      <c r="O3152" t="s">
        <v>64502</v>
      </c>
      <c r="P3152" t="s">
        <v>64503</v>
      </c>
      <c r="Q3152" t="s">
        <v>64504</v>
      </c>
      <c r="R3152" t="s">
        <v>64505</v>
      </c>
      <c r="S3152" t="s">
        <v>64506</v>
      </c>
      <c r="T3152" t="s">
        <v>64507</v>
      </c>
      <c r="U3152" t="s">
        <v>64508</v>
      </c>
      <c r="V3152" t="s">
        <v>64509</v>
      </c>
      <c r="W3152" t="s">
        <v>64510</v>
      </c>
      <c r="X3152" t="s">
        <v>64511</v>
      </c>
      <c r="Y3152" t="s">
        <v>64512</v>
      </c>
    </row>
    <row r="3153" spans="1:25" x14ac:dyDescent="0.3">
      <c r="A3153">
        <v>157600</v>
      </c>
      <c r="B3153" t="s">
        <v>64513</v>
      </c>
      <c r="C3153" t="s">
        <v>64514</v>
      </c>
      <c r="D3153" t="s">
        <v>64515</v>
      </c>
      <c r="E3153" t="s">
        <v>64516</v>
      </c>
      <c r="F3153" t="s">
        <v>64517</v>
      </c>
      <c r="G3153" t="s">
        <v>64518</v>
      </c>
      <c r="H3153" t="s">
        <v>64519</v>
      </c>
      <c r="I3153" t="s">
        <v>64520</v>
      </c>
      <c r="J3153" t="s">
        <v>64521</v>
      </c>
      <c r="K3153" t="s">
        <v>64522</v>
      </c>
      <c r="L3153" t="s">
        <v>64523</v>
      </c>
      <c r="M3153" t="s">
        <v>64524</v>
      </c>
      <c r="N3153" t="s">
        <v>64525</v>
      </c>
      <c r="O3153" t="s">
        <v>64526</v>
      </c>
      <c r="P3153">
        <f>-1061.9225076292 -1.22465315694717 -203.225639517184</f>
        <v>-1266.3728003033311</v>
      </c>
      <c r="Q3153">
        <f>-829.535926148779 -0.41936484423104 -266.839372734616</f>
        <v>-1096.7946637276261</v>
      </c>
      <c r="R3153" t="s">
        <v>64527</v>
      </c>
      <c r="S3153" t="s">
        <v>64528</v>
      </c>
      <c r="T3153" t="s">
        <v>64529</v>
      </c>
      <c r="U3153" t="s">
        <v>64530</v>
      </c>
      <c r="V3153" t="s">
        <v>64531</v>
      </c>
      <c r="W3153" t="s">
        <v>64532</v>
      </c>
      <c r="X3153" t="s">
        <v>64533</v>
      </c>
      <c r="Y3153" t="s">
        <v>64534</v>
      </c>
    </row>
    <row r="3154" spans="1:25" x14ac:dyDescent="0.3">
      <c r="A3154">
        <v>157650</v>
      </c>
      <c r="B3154" t="s">
        <v>64535</v>
      </c>
      <c r="C3154" t="s">
        <v>64536</v>
      </c>
      <c r="D3154" t="s">
        <v>64537</v>
      </c>
      <c r="E3154" t="s">
        <v>64538</v>
      </c>
      <c r="F3154" t="s">
        <v>64539</v>
      </c>
      <c r="G3154" t="s">
        <v>64540</v>
      </c>
      <c r="H3154" t="s">
        <v>64541</v>
      </c>
      <c r="I3154" t="s">
        <v>64542</v>
      </c>
      <c r="J3154" t="s">
        <v>64543</v>
      </c>
      <c r="K3154" t="s">
        <v>64544</v>
      </c>
      <c r="L3154" t="s">
        <v>64545</v>
      </c>
      <c r="M3154" t="s">
        <v>64546</v>
      </c>
      <c r="N3154" t="s">
        <v>64547</v>
      </c>
      <c r="O3154" t="s">
        <v>64548</v>
      </c>
      <c r="P3154">
        <f>-1061.36207507157 -3.03042386754487 -202.557611411449</f>
        <v>-1266.9501103505638</v>
      </c>
      <c r="Q3154">
        <f>-829.51477426688 -1.8774752391173 -268.10489021945</f>
        <v>-1099.4971397254471</v>
      </c>
      <c r="R3154" t="s">
        <v>64549</v>
      </c>
      <c r="S3154" t="s">
        <v>64550</v>
      </c>
      <c r="T3154" t="s">
        <v>64551</v>
      </c>
      <c r="U3154" t="s">
        <v>64552</v>
      </c>
      <c r="V3154" t="s">
        <v>64553</v>
      </c>
      <c r="W3154" t="s">
        <v>64554</v>
      </c>
      <c r="X3154" t="s">
        <v>64555</v>
      </c>
      <c r="Y3154" t="s">
        <v>64556</v>
      </c>
    </row>
    <row r="3155" spans="1:25" x14ac:dyDescent="0.3">
      <c r="A3155">
        <v>157700</v>
      </c>
      <c r="B3155" t="s">
        <v>64557</v>
      </c>
      <c r="C3155" t="s">
        <v>64558</v>
      </c>
      <c r="D3155" t="s">
        <v>64559</v>
      </c>
      <c r="E3155" t="s">
        <v>64560</v>
      </c>
      <c r="F3155" t="s">
        <v>64561</v>
      </c>
      <c r="G3155" t="s">
        <v>64562</v>
      </c>
      <c r="H3155" t="s">
        <v>64563</v>
      </c>
      <c r="I3155" t="s">
        <v>64564</v>
      </c>
      <c r="J3155" t="s">
        <v>64565</v>
      </c>
      <c r="K3155" t="s">
        <v>64566</v>
      </c>
      <c r="L3155" t="s">
        <v>64567</v>
      </c>
      <c r="M3155" t="s">
        <v>64568</v>
      </c>
      <c r="N3155" t="s">
        <v>64569</v>
      </c>
      <c r="O3155" t="s">
        <v>64570</v>
      </c>
      <c r="P3155">
        <f>-1058.25843267853 -7.36713170378926 -201.155841526106</f>
        <v>-1266.7814059084253</v>
      </c>
      <c r="Q3155">
        <f>-828.453422488197 -4.17210901571934 -273.476836505252</f>
        <v>-1106.1023680091685</v>
      </c>
      <c r="R3155" t="s">
        <v>64571</v>
      </c>
      <c r="S3155" t="s">
        <v>64572</v>
      </c>
      <c r="T3155" t="s">
        <v>64573</v>
      </c>
      <c r="U3155" t="s">
        <v>64574</v>
      </c>
      <c r="V3155" t="s">
        <v>64575</v>
      </c>
      <c r="W3155" t="s">
        <v>64576</v>
      </c>
      <c r="X3155" t="s">
        <v>64577</v>
      </c>
      <c r="Y3155" t="s">
        <v>64578</v>
      </c>
    </row>
    <row r="3156" spans="1:25" x14ac:dyDescent="0.3">
      <c r="A3156">
        <v>157750</v>
      </c>
      <c r="B3156" t="s">
        <v>64579</v>
      </c>
      <c r="C3156" t="s">
        <v>64580</v>
      </c>
      <c r="D3156" t="s">
        <v>64581</v>
      </c>
      <c r="E3156" t="s">
        <v>64582</v>
      </c>
      <c r="F3156" t="s">
        <v>64583</v>
      </c>
      <c r="G3156" t="s">
        <v>64584</v>
      </c>
      <c r="H3156" t="s">
        <v>64585</v>
      </c>
      <c r="I3156" t="s">
        <v>64586</v>
      </c>
      <c r="J3156" t="s">
        <v>64587</v>
      </c>
      <c r="K3156" t="s">
        <v>64588</v>
      </c>
      <c r="L3156" t="s">
        <v>64589</v>
      </c>
      <c r="M3156" t="s">
        <v>64590</v>
      </c>
      <c r="N3156" t="s">
        <v>64591</v>
      </c>
      <c r="O3156" t="s">
        <v>64592</v>
      </c>
      <c r="P3156">
        <f>-1055.5222005533 -9.55122888739606 -200.60763208646</f>
        <v>-1265.6810615271561</v>
      </c>
      <c r="Q3156">
        <f>-827.182232404587 -4.59702656615036 -277.335640860455</f>
        <v>-1109.1148998311924</v>
      </c>
      <c r="R3156" t="s">
        <v>64593</v>
      </c>
      <c r="S3156" t="s">
        <v>64594</v>
      </c>
      <c r="T3156" t="s">
        <v>64595</v>
      </c>
      <c r="U3156" t="s">
        <v>64596</v>
      </c>
      <c r="V3156" t="s">
        <v>64597</v>
      </c>
      <c r="W3156" t="s">
        <v>64598</v>
      </c>
      <c r="X3156" t="s">
        <v>64599</v>
      </c>
      <c r="Y3156" t="s">
        <v>64600</v>
      </c>
    </row>
    <row r="3157" spans="1:25" x14ac:dyDescent="0.3">
      <c r="A3157">
        <v>157800</v>
      </c>
      <c r="B3157" t="s">
        <v>64601</v>
      </c>
      <c r="C3157" t="s">
        <v>64602</v>
      </c>
      <c r="D3157" t="s">
        <v>64603</v>
      </c>
      <c r="E3157" t="s">
        <v>64604</v>
      </c>
      <c r="F3157" t="s">
        <v>64605</v>
      </c>
      <c r="G3157" t="s">
        <v>64606</v>
      </c>
      <c r="H3157" t="s">
        <v>64607</v>
      </c>
      <c r="I3157" t="s">
        <v>64608</v>
      </c>
      <c r="J3157" t="s">
        <v>64609</v>
      </c>
      <c r="K3157" t="s">
        <v>64610</v>
      </c>
      <c r="L3157" t="s">
        <v>64611</v>
      </c>
      <c r="M3157" t="s">
        <v>64612</v>
      </c>
      <c r="N3157" t="s">
        <v>64613</v>
      </c>
      <c r="O3157" t="s">
        <v>64614</v>
      </c>
      <c r="P3157">
        <f>-1049.44625117627 -14.3936411434261 -200.077503309564</f>
        <v>-1263.91739562926</v>
      </c>
      <c r="Q3157">
        <f>-824.246963391586 -7.17829729587402 -285.425097577899</f>
        <v>-1116.8503582653589</v>
      </c>
      <c r="R3157" t="s">
        <v>64615</v>
      </c>
      <c r="S3157" t="s">
        <v>64616</v>
      </c>
      <c r="T3157" t="s">
        <v>64617</v>
      </c>
      <c r="U3157" t="s">
        <v>64618</v>
      </c>
      <c r="V3157" t="s">
        <v>64619</v>
      </c>
      <c r="W3157" t="s">
        <v>64620</v>
      </c>
      <c r="X3157" t="s">
        <v>64621</v>
      </c>
      <c r="Y3157" t="s">
        <v>64622</v>
      </c>
    </row>
    <row r="3158" spans="1:25" x14ac:dyDescent="0.3">
      <c r="A3158">
        <v>157850</v>
      </c>
      <c r="B3158" t="s">
        <v>64623</v>
      </c>
      <c r="C3158" t="s">
        <v>64624</v>
      </c>
      <c r="D3158" t="s">
        <v>64625</v>
      </c>
      <c r="E3158" t="s">
        <v>64626</v>
      </c>
      <c r="F3158" t="s">
        <v>64627</v>
      </c>
      <c r="G3158" t="s">
        <v>64628</v>
      </c>
      <c r="H3158" t="s">
        <v>64629</v>
      </c>
      <c r="I3158" t="s">
        <v>64630</v>
      </c>
      <c r="J3158" t="s">
        <v>64631</v>
      </c>
      <c r="K3158" t="s">
        <v>64632</v>
      </c>
      <c r="L3158" t="s">
        <v>64633</v>
      </c>
      <c r="M3158" t="s">
        <v>64634</v>
      </c>
      <c r="N3158" t="s">
        <v>64635</v>
      </c>
      <c r="O3158" t="s">
        <v>64636</v>
      </c>
      <c r="P3158">
        <f>-1046.7488915446 -17.368770158078 -200.020563793988</f>
        <v>-1264.1382254966659</v>
      </c>
      <c r="Q3158">
        <f>-823.015987889428 -9.34848462006585 -289.07201394148</f>
        <v>-1121.4364864509739</v>
      </c>
      <c r="R3158" t="s">
        <v>64637</v>
      </c>
      <c r="S3158" t="s">
        <v>64638</v>
      </c>
      <c r="T3158" t="s">
        <v>64639</v>
      </c>
      <c r="U3158" t="s">
        <v>64640</v>
      </c>
      <c r="V3158" t="s">
        <v>64641</v>
      </c>
      <c r="W3158" t="s">
        <v>64642</v>
      </c>
      <c r="X3158" t="s">
        <v>64643</v>
      </c>
      <c r="Y3158" t="s">
        <v>64644</v>
      </c>
    </row>
    <row r="3159" spans="1:25" x14ac:dyDescent="0.3">
      <c r="A3159">
        <v>157900</v>
      </c>
      <c r="B3159" t="s">
        <v>64645</v>
      </c>
      <c r="C3159" t="s">
        <v>64646</v>
      </c>
      <c r="D3159" t="s">
        <v>64647</v>
      </c>
      <c r="E3159" t="s">
        <v>64648</v>
      </c>
      <c r="F3159" t="s">
        <v>64649</v>
      </c>
      <c r="G3159" t="s">
        <v>64650</v>
      </c>
      <c r="H3159" t="s">
        <v>64651</v>
      </c>
      <c r="I3159" t="s">
        <v>64652</v>
      </c>
      <c r="J3159" t="s">
        <v>64653</v>
      </c>
      <c r="K3159" t="s">
        <v>64654</v>
      </c>
      <c r="L3159" t="s">
        <v>64655</v>
      </c>
      <c r="M3159" t="s">
        <v>64656</v>
      </c>
      <c r="N3159" t="s">
        <v>64657</v>
      </c>
      <c r="O3159" t="s">
        <v>64658</v>
      </c>
      <c r="P3159">
        <f>-1042.21696957896 -22.3770000515674 -200.11335049952</f>
        <v>-1264.7073201300475</v>
      </c>
      <c r="Q3159">
        <f>-820.647641298789 -16.1078459612918 -294.551934007006</f>
        <v>-1131.3074212670867</v>
      </c>
      <c r="R3159" t="s">
        <v>64659</v>
      </c>
      <c r="S3159" t="s">
        <v>64660</v>
      </c>
      <c r="T3159" t="s">
        <v>64661</v>
      </c>
      <c r="U3159" t="s">
        <v>64662</v>
      </c>
      <c r="V3159" t="s">
        <v>64663</v>
      </c>
      <c r="W3159" t="s">
        <v>64664</v>
      </c>
      <c r="X3159" t="s">
        <v>64665</v>
      </c>
      <c r="Y3159" t="s">
        <v>64666</v>
      </c>
    </row>
    <row r="3160" spans="1:25" x14ac:dyDescent="0.3">
      <c r="A3160">
        <v>157950</v>
      </c>
      <c r="B3160" t="s">
        <v>64667</v>
      </c>
      <c r="C3160" t="s">
        <v>64668</v>
      </c>
      <c r="D3160" t="s">
        <v>64669</v>
      </c>
      <c r="E3160" t="s">
        <v>64670</v>
      </c>
      <c r="F3160" t="s">
        <v>64671</v>
      </c>
      <c r="G3160" t="s">
        <v>64672</v>
      </c>
      <c r="H3160" t="s">
        <v>64673</v>
      </c>
      <c r="I3160" t="s">
        <v>64674</v>
      </c>
      <c r="J3160" t="s">
        <v>64675</v>
      </c>
      <c r="K3160" t="s">
        <v>64676</v>
      </c>
      <c r="L3160" t="s">
        <v>64677</v>
      </c>
      <c r="M3160" t="s">
        <v>64678</v>
      </c>
      <c r="N3160" t="s">
        <v>64679</v>
      </c>
      <c r="O3160" t="s">
        <v>64680</v>
      </c>
      <c r="P3160">
        <f>-1040.40916915437 -23.9844811700882 -200.14900675807</f>
        <v>-1264.5426570825282</v>
      </c>
      <c r="Q3160">
        <f>-819.391900394003 -19.494380166122 -295.971738615217</f>
        <v>-1134.858019175342</v>
      </c>
      <c r="R3160" t="s">
        <v>64681</v>
      </c>
      <c r="S3160" t="s">
        <v>64682</v>
      </c>
      <c r="T3160" t="s">
        <v>64683</v>
      </c>
      <c r="U3160" t="s">
        <v>64684</v>
      </c>
      <c r="V3160" t="s">
        <v>64685</v>
      </c>
      <c r="W3160" t="s">
        <v>64686</v>
      </c>
      <c r="X3160" t="s">
        <v>64687</v>
      </c>
      <c r="Y3160" t="s">
        <v>64688</v>
      </c>
    </row>
    <row r="3161" spans="1:25" x14ac:dyDescent="0.3">
      <c r="A3161">
        <v>158000</v>
      </c>
      <c r="B3161" t="s">
        <v>64689</v>
      </c>
      <c r="C3161" t="s">
        <v>64690</v>
      </c>
      <c r="D3161" t="s">
        <v>64691</v>
      </c>
      <c r="E3161" t="s">
        <v>64692</v>
      </c>
      <c r="F3161" t="s">
        <v>64693</v>
      </c>
      <c r="G3161" t="s">
        <v>64694</v>
      </c>
      <c r="H3161" t="s">
        <v>64695</v>
      </c>
      <c r="I3161" t="s">
        <v>64696</v>
      </c>
      <c r="J3161" t="s">
        <v>64697</v>
      </c>
      <c r="K3161" t="s">
        <v>64698</v>
      </c>
      <c r="L3161" t="s">
        <v>64699</v>
      </c>
      <c r="M3161" t="s">
        <v>64700</v>
      </c>
      <c r="N3161" t="s">
        <v>64701</v>
      </c>
      <c r="O3161" t="s">
        <v>64702</v>
      </c>
      <c r="P3161">
        <f>-1038.31430653394 -25.8084434434227 -200.114267485876</f>
        <v>-1264.2370174632388</v>
      </c>
      <c r="Q3161">
        <f>-817.121927235524 -25.1357401162572 -295.63598783793</f>
        <v>-1137.8936551897114</v>
      </c>
      <c r="R3161" t="s">
        <v>64703</v>
      </c>
      <c r="S3161" t="s">
        <v>64704</v>
      </c>
      <c r="T3161" t="s">
        <v>64705</v>
      </c>
      <c r="U3161" t="s">
        <v>64706</v>
      </c>
      <c r="V3161" t="s">
        <v>64707</v>
      </c>
      <c r="W3161" t="s">
        <v>64708</v>
      </c>
      <c r="X3161" t="s">
        <v>64709</v>
      </c>
      <c r="Y3161" t="s">
        <v>64710</v>
      </c>
    </row>
    <row r="3162" spans="1:25" x14ac:dyDescent="0.3">
      <c r="A3162">
        <v>158050</v>
      </c>
      <c r="B3162" t="s">
        <v>64711</v>
      </c>
      <c r="C3162" t="s">
        <v>64712</v>
      </c>
      <c r="D3162" t="s">
        <v>64713</v>
      </c>
      <c r="E3162" t="s">
        <v>64714</v>
      </c>
      <c r="F3162" t="s">
        <v>64715</v>
      </c>
      <c r="G3162" t="s">
        <v>64716</v>
      </c>
      <c r="H3162" t="s">
        <v>64717</v>
      </c>
      <c r="I3162" t="s">
        <v>64718</v>
      </c>
      <c r="J3162" t="s">
        <v>64719</v>
      </c>
      <c r="K3162" t="s">
        <v>64720</v>
      </c>
      <c r="L3162" t="s">
        <v>64721</v>
      </c>
      <c r="M3162" t="s">
        <v>64722</v>
      </c>
      <c r="N3162" t="s">
        <v>64723</v>
      </c>
      <c r="O3162">
        <f>-997.499760125921 -0.0441159580777821 -490.431523293849</f>
        <v>-1487.9753993778477</v>
      </c>
      <c r="P3162">
        <f>-1037.71670224088 -26.0224976835825 -200.088748673725</f>
        <v>-1263.8279485981875</v>
      </c>
      <c r="Q3162">
        <f>-815.966378424504 -26.37257128685 -294.309387740666</f>
        <v>-1136.6483374520199</v>
      </c>
      <c r="R3162" t="s">
        <v>64724</v>
      </c>
      <c r="S3162" t="s">
        <v>64725</v>
      </c>
      <c r="T3162" t="s">
        <v>64726</v>
      </c>
      <c r="U3162" t="s">
        <v>64727</v>
      </c>
      <c r="V3162" t="s">
        <v>64728</v>
      </c>
      <c r="W3162" t="s">
        <v>64729</v>
      </c>
      <c r="X3162" t="s">
        <v>64730</v>
      </c>
      <c r="Y3162" t="s">
        <v>64731</v>
      </c>
    </row>
    <row r="3163" spans="1:25" x14ac:dyDescent="0.3">
      <c r="A3163">
        <v>158100</v>
      </c>
      <c r="B3163" t="s">
        <v>64732</v>
      </c>
      <c r="C3163" t="s">
        <v>64733</v>
      </c>
      <c r="D3163" t="s">
        <v>64734</v>
      </c>
      <c r="E3163" t="s">
        <v>64735</v>
      </c>
      <c r="F3163" t="s">
        <v>64736</v>
      </c>
      <c r="G3163" t="s">
        <v>64737</v>
      </c>
      <c r="H3163" t="s">
        <v>64738</v>
      </c>
      <c r="I3163" t="s">
        <v>64739</v>
      </c>
      <c r="J3163" t="s">
        <v>64740</v>
      </c>
      <c r="K3163" t="s">
        <v>64741</v>
      </c>
      <c r="L3163" t="s">
        <v>64742</v>
      </c>
      <c r="M3163" t="s">
        <v>64743</v>
      </c>
      <c r="N3163" t="s">
        <v>64744</v>
      </c>
      <c r="O3163">
        <f>-995.829650071957 -0.350668817778114 -490.288251583362</f>
        <v>-1486.4685704730971</v>
      </c>
      <c r="P3163">
        <f>-1036.49334717923 -24.9325678689561 -199.886128059243</f>
        <v>-1261.3120431074292</v>
      </c>
      <c r="Q3163">
        <f>-813.17927341824 -27.5570859551372 -290.300918568047</f>
        <v>-1131.0372779414242</v>
      </c>
      <c r="R3163" t="s">
        <v>64745</v>
      </c>
      <c r="S3163" t="s">
        <v>64746</v>
      </c>
      <c r="T3163" t="s">
        <v>64747</v>
      </c>
      <c r="U3163" t="s">
        <v>64748</v>
      </c>
      <c r="V3163" t="s">
        <v>64749</v>
      </c>
      <c r="W3163" t="s">
        <v>64750</v>
      </c>
      <c r="X3163" t="s">
        <v>64751</v>
      </c>
      <c r="Y3163" t="s">
        <v>64752</v>
      </c>
    </row>
    <row r="3164" spans="1:25" x14ac:dyDescent="0.3">
      <c r="A3164">
        <v>158150</v>
      </c>
      <c r="B3164" t="s">
        <v>64753</v>
      </c>
      <c r="C3164" t="s">
        <v>64754</v>
      </c>
      <c r="D3164" t="s">
        <v>64755</v>
      </c>
      <c r="E3164" t="s">
        <v>64756</v>
      </c>
      <c r="F3164" t="s">
        <v>64757</v>
      </c>
      <c r="G3164" t="s">
        <v>64758</v>
      </c>
      <c r="H3164" t="s">
        <v>64759</v>
      </c>
      <c r="I3164" t="s">
        <v>64760</v>
      </c>
      <c r="J3164" t="s">
        <v>64761</v>
      </c>
      <c r="K3164" t="s">
        <v>64762</v>
      </c>
      <c r="L3164" t="s">
        <v>64763</v>
      </c>
      <c r="M3164" t="s">
        <v>64764</v>
      </c>
      <c r="N3164" t="s">
        <v>64765</v>
      </c>
      <c r="O3164">
        <f>-995.091426321662 -0.471866864767435 -490.254273999365</f>
        <v>-1485.8175671857944</v>
      </c>
      <c r="P3164">
        <f>-1035.93171570656 -24.0687454655877 -199.795251554807</f>
        <v>-1259.7957127269547</v>
      </c>
      <c r="Q3164">
        <f>-811.874545338072 -28.2085659754971 -288.295066827888</f>
        <v>-1128.3781781414571</v>
      </c>
      <c r="R3164" t="s">
        <v>64766</v>
      </c>
      <c r="S3164" t="s">
        <v>64767</v>
      </c>
      <c r="T3164" t="s">
        <v>64768</v>
      </c>
      <c r="U3164" t="s">
        <v>64769</v>
      </c>
      <c r="V3164" t="s">
        <v>64770</v>
      </c>
      <c r="W3164" t="s">
        <v>64771</v>
      </c>
      <c r="X3164" t="s">
        <v>64772</v>
      </c>
      <c r="Y3164" t="s">
        <v>64773</v>
      </c>
    </row>
    <row r="3165" spans="1:25" x14ac:dyDescent="0.3">
      <c r="A3165">
        <v>158200</v>
      </c>
      <c r="B3165" t="s">
        <v>64774</v>
      </c>
      <c r="C3165" t="s">
        <v>64775</v>
      </c>
      <c r="D3165" t="s">
        <v>64776</v>
      </c>
      <c r="E3165" t="s">
        <v>64777</v>
      </c>
      <c r="F3165" t="s">
        <v>64778</v>
      </c>
      <c r="G3165" t="s">
        <v>64779</v>
      </c>
      <c r="H3165" t="s">
        <v>64780</v>
      </c>
      <c r="I3165" t="s">
        <v>64781</v>
      </c>
      <c r="J3165" t="s">
        <v>64782</v>
      </c>
      <c r="K3165" t="s">
        <v>64783</v>
      </c>
      <c r="L3165" t="s">
        <v>64784</v>
      </c>
      <c r="M3165" t="s">
        <v>64785</v>
      </c>
      <c r="N3165" t="s">
        <v>64786</v>
      </c>
      <c r="O3165">
        <f>-994.072428261836 -0.839779291296054 -490.28835181298</f>
        <v>-1485.200559366112</v>
      </c>
      <c r="P3165">
        <f>-1035.25327271936 -22.2609071547981 -199.708776547603</f>
        <v>-1257.2229564217612</v>
      </c>
      <c r="Q3165">
        <f>-810.378628985954 -30.0220670209023 -285.860176201061</f>
        <v>-1126.2608722079174</v>
      </c>
      <c r="R3165" t="s">
        <v>64787</v>
      </c>
      <c r="S3165" t="s">
        <v>64788</v>
      </c>
      <c r="T3165" t="s">
        <v>64789</v>
      </c>
      <c r="U3165" t="s">
        <v>64790</v>
      </c>
      <c r="V3165" t="s">
        <v>64791</v>
      </c>
      <c r="W3165" t="s">
        <v>64792</v>
      </c>
      <c r="X3165" t="s">
        <v>64793</v>
      </c>
      <c r="Y3165" t="s">
        <v>64794</v>
      </c>
    </row>
    <row r="3166" spans="1:25" x14ac:dyDescent="0.3">
      <c r="A3166">
        <v>158250</v>
      </c>
      <c r="B3166" t="s">
        <v>64795</v>
      </c>
      <c r="C3166" t="s">
        <v>64796</v>
      </c>
      <c r="D3166" t="s">
        <v>64797</v>
      </c>
      <c r="E3166" t="s">
        <v>64798</v>
      </c>
      <c r="F3166" t="s">
        <v>64799</v>
      </c>
      <c r="G3166" t="s">
        <v>64800</v>
      </c>
      <c r="H3166" t="s">
        <v>64801</v>
      </c>
      <c r="I3166" t="s">
        <v>64802</v>
      </c>
      <c r="J3166" t="s">
        <v>64803</v>
      </c>
      <c r="K3166" t="s">
        <v>64804</v>
      </c>
      <c r="L3166" t="s">
        <v>64805</v>
      </c>
      <c r="M3166" t="s">
        <v>64806</v>
      </c>
      <c r="N3166" t="s">
        <v>64807</v>
      </c>
      <c r="O3166">
        <f>-993.480584991103 -0.956967240373615 -490.404893843092</f>
        <v>-1484.8424460745687</v>
      </c>
      <c r="P3166">
        <f>-1035.16782926767 -21.4311490192545 -199.829274581025</f>
        <v>-1256.4282528679494</v>
      </c>
      <c r="Q3166">
        <f>-810.299200632903 -32.5871218551001 -285.622925939196</f>
        <v>-1128.5092484271991</v>
      </c>
      <c r="R3166" t="s">
        <v>64808</v>
      </c>
      <c r="S3166" t="s">
        <v>64809</v>
      </c>
      <c r="T3166" t="s">
        <v>64810</v>
      </c>
      <c r="U3166" t="s">
        <v>64811</v>
      </c>
      <c r="V3166" t="s">
        <v>64812</v>
      </c>
      <c r="W3166" t="s">
        <v>64813</v>
      </c>
      <c r="X3166" t="s">
        <v>64814</v>
      </c>
      <c r="Y3166" t="s">
        <v>64815</v>
      </c>
    </row>
    <row r="3167" spans="1:25" x14ac:dyDescent="0.3">
      <c r="A3167">
        <v>158300</v>
      </c>
      <c r="B3167" t="s">
        <v>64816</v>
      </c>
      <c r="C3167" t="s">
        <v>64817</v>
      </c>
      <c r="D3167" t="s">
        <v>64818</v>
      </c>
      <c r="E3167" t="s">
        <v>64819</v>
      </c>
      <c r="F3167" t="s">
        <v>64820</v>
      </c>
      <c r="G3167" t="s">
        <v>64821</v>
      </c>
      <c r="H3167" t="s">
        <v>64822</v>
      </c>
      <c r="I3167" t="s">
        <v>64823</v>
      </c>
      <c r="J3167" t="s">
        <v>64824</v>
      </c>
      <c r="K3167" t="s">
        <v>64825</v>
      </c>
      <c r="L3167" t="s">
        <v>64826</v>
      </c>
      <c r="M3167" t="s">
        <v>64827</v>
      </c>
      <c r="N3167" t="s">
        <v>64828</v>
      </c>
      <c r="O3167">
        <f>-991.797434411444 -0.663153151119786 -491.014708281365</f>
        <v>-1483.4752958439287</v>
      </c>
      <c r="P3167">
        <f>-1035.55538077806 -21.7556757474003 -200.787825234284</f>
        <v>-1258.0988817597445</v>
      </c>
      <c r="Q3167">
        <f>-809.813990502096 -36.2881445024177 -283.736361863777</f>
        <v>-1129.8384968682908</v>
      </c>
      <c r="R3167" t="s">
        <v>64829</v>
      </c>
      <c r="S3167" t="s">
        <v>64830</v>
      </c>
      <c r="T3167" t="s">
        <v>64831</v>
      </c>
      <c r="U3167" t="s">
        <v>64832</v>
      </c>
      <c r="V3167" t="s">
        <v>64833</v>
      </c>
      <c r="W3167" t="s">
        <v>64834</v>
      </c>
      <c r="X3167" t="s">
        <v>64835</v>
      </c>
      <c r="Y3167" t="s">
        <v>64836</v>
      </c>
    </row>
    <row r="3168" spans="1:25" x14ac:dyDescent="0.3">
      <c r="A3168">
        <v>158350</v>
      </c>
      <c r="B3168" t="s">
        <v>64837</v>
      </c>
      <c r="C3168" t="s">
        <v>64838</v>
      </c>
      <c r="D3168" t="s">
        <v>64839</v>
      </c>
      <c r="E3168" t="s">
        <v>64840</v>
      </c>
      <c r="F3168" t="s">
        <v>64841</v>
      </c>
      <c r="G3168" t="s">
        <v>64842</v>
      </c>
      <c r="H3168" t="s">
        <v>64843</v>
      </c>
      <c r="I3168" t="s">
        <v>64844</v>
      </c>
      <c r="J3168" t="s">
        <v>64845</v>
      </c>
      <c r="K3168" t="s">
        <v>64846</v>
      </c>
      <c r="L3168" t="s">
        <v>64847</v>
      </c>
      <c r="M3168" t="s">
        <v>64848</v>
      </c>
      <c r="N3168" t="s">
        <v>64849</v>
      </c>
      <c r="O3168">
        <f>-990.778687948244 -0.374539551929502 -491.454195904498</f>
        <v>-1482.6074234046716</v>
      </c>
      <c r="P3168">
        <f>-1036.11865973297 -21.6990185250261 -201.487218127603</f>
        <v>-1259.304896385599</v>
      </c>
      <c r="Q3168">
        <f>-809.862488730113 -35.9709392745347 -283.067359991303</f>
        <v>-1128.9007879959506</v>
      </c>
      <c r="R3168" t="s">
        <v>64850</v>
      </c>
      <c r="S3168" t="s">
        <v>64851</v>
      </c>
      <c r="T3168" t="s">
        <v>64852</v>
      </c>
      <c r="U3168" t="s">
        <v>64853</v>
      </c>
      <c r="V3168" t="s">
        <v>64854</v>
      </c>
      <c r="W3168" t="s">
        <v>64855</v>
      </c>
      <c r="X3168" t="s">
        <v>64856</v>
      </c>
      <c r="Y3168" t="s">
        <v>64857</v>
      </c>
    </row>
    <row r="3169" spans="1:25" x14ac:dyDescent="0.3">
      <c r="A3169">
        <v>158400</v>
      </c>
      <c r="B3169" t="s">
        <v>64858</v>
      </c>
      <c r="C3169" t="s">
        <v>64859</v>
      </c>
      <c r="D3169" t="s">
        <v>64860</v>
      </c>
      <c r="E3169" t="s">
        <v>64861</v>
      </c>
      <c r="F3169" t="s">
        <v>64862</v>
      </c>
      <c r="G3169" t="s">
        <v>64863</v>
      </c>
      <c r="H3169" t="s">
        <v>64864</v>
      </c>
      <c r="I3169" t="s">
        <v>64865</v>
      </c>
      <c r="J3169" t="s">
        <v>64866</v>
      </c>
      <c r="K3169" t="s">
        <v>64867</v>
      </c>
      <c r="L3169" t="s">
        <v>64868</v>
      </c>
      <c r="M3169" t="s">
        <v>64869</v>
      </c>
      <c r="N3169" t="s">
        <v>64870</v>
      </c>
      <c r="O3169" t="s">
        <v>64871</v>
      </c>
      <c r="P3169">
        <f>-1037.24674249505 -21.4390090554557 -202.74853472363</f>
        <v>-1261.4342862741357</v>
      </c>
      <c r="Q3169">
        <f>-810.25967266714 -33.4237145538154 -282.649054924926</f>
        <v>-1126.3324421458815</v>
      </c>
      <c r="R3169" t="s">
        <v>64872</v>
      </c>
      <c r="S3169" t="s">
        <v>64873</v>
      </c>
      <c r="T3169" t="s">
        <v>64874</v>
      </c>
      <c r="U3169" t="s">
        <v>64875</v>
      </c>
      <c r="V3169" t="s">
        <v>64876</v>
      </c>
      <c r="W3169" t="s">
        <v>64877</v>
      </c>
      <c r="X3169" t="s">
        <v>64878</v>
      </c>
      <c r="Y3169" t="s">
        <v>64879</v>
      </c>
    </row>
    <row r="3170" spans="1:25" x14ac:dyDescent="0.3">
      <c r="A3170">
        <v>158450</v>
      </c>
      <c r="B3170" t="s">
        <v>64880</v>
      </c>
      <c r="C3170" t="s">
        <v>64881</v>
      </c>
      <c r="D3170" t="s">
        <v>64882</v>
      </c>
      <c r="E3170" t="s">
        <v>64883</v>
      </c>
      <c r="F3170" t="s">
        <v>64884</v>
      </c>
      <c r="G3170" t="s">
        <v>64885</v>
      </c>
      <c r="H3170" t="s">
        <v>64886</v>
      </c>
      <c r="I3170" t="s">
        <v>64887</v>
      </c>
      <c r="J3170" t="s">
        <v>64888</v>
      </c>
      <c r="K3170" t="s">
        <v>64889</v>
      </c>
      <c r="L3170" t="s">
        <v>64890</v>
      </c>
      <c r="M3170" t="s">
        <v>64891</v>
      </c>
      <c r="N3170" t="s">
        <v>64892</v>
      </c>
      <c r="O3170" t="s">
        <v>64893</v>
      </c>
      <c r="P3170">
        <f>-1037.63108043474 -21.2948503048624 -203.112620764367</f>
        <v>-1262.0385515039693</v>
      </c>
      <c r="Q3170">
        <f>-810.274982491699 -32.6212681927382 -282.054760028382</f>
        <v>-1124.9510107128192</v>
      </c>
      <c r="R3170" t="s">
        <v>64894</v>
      </c>
      <c r="S3170" t="s">
        <v>64895</v>
      </c>
      <c r="T3170" t="s">
        <v>64896</v>
      </c>
      <c r="U3170" t="s">
        <v>64897</v>
      </c>
      <c r="V3170" t="s">
        <v>64898</v>
      </c>
      <c r="W3170" t="s">
        <v>64899</v>
      </c>
      <c r="X3170" t="s">
        <v>64900</v>
      </c>
      <c r="Y3170" t="s">
        <v>64901</v>
      </c>
    </row>
    <row r="3171" spans="1:25" x14ac:dyDescent="0.3">
      <c r="A3171">
        <v>158500</v>
      </c>
      <c r="B3171" t="s">
        <v>64902</v>
      </c>
      <c r="C3171" t="s">
        <v>64903</v>
      </c>
      <c r="D3171" t="s">
        <v>64904</v>
      </c>
      <c r="E3171" t="s">
        <v>64905</v>
      </c>
      <c r="F3171" t="s">
        <v>64906</v>
      </c>
      <c r="G3171" t="s">
        <v>64907</v>
      </c>
      <c r="H3171" t="s">
        <v>64908</v>
      </c>
      <c r="I3171" t="s">
        <v>64909</v>
      </c>
      <c r="J3171" t="s">
        <v>64910</v>
      </c>
      <c r="K3171" t="s">
        <v>64911</v>
      </c>
      <c r="L3171" t="s">
        <v>64912</v>
      </c>
      <c r="M3171" t="s">
        <v>64913</v>
      </c>
      <c r="N3171" t="s">
        <v>64914</v>
      </c>
      <c r="O3171">
        <f>-988.121639464829 -1.00381655790761 -492.703883759836</f>
        <v>-1481.8293397825726</v>
      </c>
      <c r="P3171">
        <f>-1037.63627515959 -21.6394780084424 -203.370747595863</f>
        <v>-1262.6465007638953</v>
      </c>
      <c r="Q3171">
        <f>-810.057200692354 -31.7446663821524 -281.834886625591</f>
        <v>-1123.6367537000974</v>
      </c>
      <c r="R3171" t="s">
        <v>64915</v>
      </c>
      <c r="S3171" t="s">
        <v>64916</v>
      </c>
      <c r="T3171" t="s">
        <v>64917</v>
      </c>
      <c r="U3171" t="s">
        <v>64918</v>
      </c>
      <c r="V3171" t="s">
        <v>64919</v>
      </c>
      <c r="W3171" t="s">
        <v>64920</v>
      </c>
      <c r="X3171" t="s">
        <v>64921</v>
      </c>
      <c r="Y3171" t="s">
        <v>64922</v>
      </c>
    </row>
    <row r="3172" spans="1:25" x14ac:dyDescent="0.3">
      <c r="A3172">
        <v>158550</v>
      </c>
      <c r="B3172" t="s">
        <v>64923</v>
      </c>
      <c r="C3172" t="s">
        <v>64924</v>
      </c>
      <c r="D3172" t="s">
        <v>64925</v>
      </c>
      <c r="E3172" t="s">
        <v>64926</v>
      </c>
      <c r="F3172" t="s">
        <v>64927</v>
      </c>
      <c r="G3172" t="s">
        <v>64928</v>
      </c>
      <c r="H3172" t="s">
        <v>64929</v>
      </c>
      <c r="I3172" t="s">
        <v>64930</v>
      </c>
      <c r="J3172" t="s">
        <v>64931</v>
      </c>
      <c r="K3172" t="s">
        <v>64932</v>
      </c>
      <c r="L3172" t="s">
        <v>64933</v>
      </c>
      <c r="M3172" t="s">
        <v>64934</v>
      </c>
      <c r="N3172" t="s">
        <v>64935</v>
      </c>
      <c r="O3172">
        <f>-987.98806487248 -1.43897406659016 -492.772702902235</f>
        <v>-1482.1997418413052</v>
      </c>
      <c r="P3172">
        <f>-1037.42521193693 -21.6561446979922 -203.39665387666</f>
        <v>-1262.4780105115822</v>
      </c>
      <c r="Q3172">
        <f>-809.971773207574 -31.1521534947924 -282.300496710072</f>
        <v>-1123.4244234124385</v>
      </c>
      <c r="R3172" t="s">
        <v>64936</v>
      </c>
      <c r="S3172" t="s">
        <v>64937</v>
      </c>
      <c r="T3172" t="s">
        <v>64938</v>
      </c>
      <c r="U3172" t="s">
        <v>64939</v>
      </c>
      <c r="V3172" t="s">
        <v>64940</v>
      </c>
      <c r="W3172" t="s">
        <v>64941</v>
      </c>
      <c r="X3172" t="s">
        <v>64942</v>
      </c>
      <c r="Y3172" t="s">
        <v>64943</v>
      </c>
    </row>
    <row r="3173" spans="1:25" x14ac:dyDescent="0.3">
      <c r="A3173">
        <v>158600</v>
      </c>
      <c r="B3173" t="s">
        <v>64944</v>
      </c>
      <c r="C3173" t="s">
        <v>64945</v>
      </c>
      <c r="D3173" t="s">
        <v>64946</v>
      </c>
      <c r="E3173" t="s">
        <v>64947</v>
      </c>
      <c r="F3173" t="s">
        <v>64948</v>
      </c>
      <c r="G3173" t="s">
        <v>64949</v>
      </c>
      <c r="H3173" t="s">
        <v>64950</v>
      </c>
      <c r="I3173" t="s">
        <v>64951</v>
      </c>
      <c r="J3173" t="s">
        <v>64952</v>
      </c>
      <c r="K3173" t="s">
        <v>64953</v>
      </c>
      <c r="L3173" t="s">
        <v>64954</v>
      </c>
      <c r="M3173" t="s">
        <v>64955</v>
      </c>
      <c r="N3173" t="s">
        <v>64956</v>
      </c>
      <c r="O3173">
        <f>-987.996666559831 -2.0170280469315 -493.061544402598</f>
        <v>-1483.0752390093605</v>
      </c>
      <c r="P3173">
        <f>-1036.6680333552 -21.7879099688803 -203.524970687773</f>
        <v>-1261.9809140118532</v>
      </c>
      <c r="Q3173">
        <f>-809.668638616342 -30.0299431351632 -283.863183294281</f>
        <v>-1123.5617650457862</v>
      </c>
      <c r="R3173" t="s">
        <v>64957</v>
      </c>
      <c r="S3173" t="s">
        <v>64958</v>
      </c>
      <c r="T3173" t="s">
        <v>64959</v>
      </c>
      <c r="U3173" t="s">
        <v>64960</v>
      </c>
      <c r="V3173" t="s">
        <v>64961</v>
      </c>
      <c r="W3173" t="s">
        <v>64962</v>
      </c>
      <c r="X3173" t="s">
        <v>64963</v>
      </c>
      <c r="Y3173" t="s">
        <v>64964</v>
      </c>
    </row>
    <row r="3174" spans="1:25" x14ac:dyDescent="0.3">
      <c r="A3174">
        <v>158650</v>
      </c>
      <c r="B3174" t="s">
        <v>64965</v>
      </c>
      <c r="C3174" t="s">
        <v>64966</v>
      </c>
      <c r="D3174" t="s">
        <v>64967</v>
      </c>
      <c r="E3174" t="s">
        <v>64968</v>
      </c>
      <c r="F3174" t="s">
        <v>64969</v>
      </c>
      <c r="G3174" t="s">
        <v>64970</v>
      </c>
      <c r="H3174" t="s">
        <v>64971</v>
      </c>
      <c r="I3174" t="s">
        <v>64972</v>
      </c>
      <c r="J3174" t="s">
        <v>64973</v>
      </c>
      <c r="K3174" t="s">
        <v>64974</v>
      </c>
      <c r="L3174" t="s">
        <v>64975</v>
      </c>
      <c r="M3174" t="s">
        <v>64976</v>
      </c>
      <c r="N3174" t="s">
        <v>64977</v>
      </c>
      <c r="O3174">
        <f>-988.119519224159 -1.98996289498064 -493.20843953402</f>
        <v>-1483.3179216531596</v>
      </c>
      <c r="P3174">
        <f>-1036.60448483311 -22.2876769862373 -203.677003032778</f>
        <v>-1262.5691648521254</v>
      </c>
      <c r="Q3174">
        <f>-809.763140380736 -29.7536960367347 -284.536544263538</f>
        <v>-1124.0533806810088</v>
      </c>
      <c r="R3174" t="s">
        <v>64978</v>
      </c>
      <c r="S3174" t="s">
        <v>64979</v>
      </c>
      <c r="T3174" t="s">
        <v>64980</v>
      </c>
      <c r="U3174" t="s">
        <v>64981</v>
      </c>
      <c r="V3174" t="s">
        <v>64982</v>
      </c>
      <c r="W3174" t="s">
        <v>64983</v>
      </c>
      <c r="X3174" t="s">
        <v>64984</v>
      </c>
      <c r="Y3174" t="s">
        <v>64985</v>
      </c>
    </row>
    <row r="3175" spans="1:25" x14ac:dyDescent="0.3">
      <c r="A3175">
        <v>158700</v>
      </c>
      <c r="B3175" t="s">
        <v>64986</v>
      </c>
      <c r="C3175" t="s">
        <v>64987</v>
      </c>
      <c r="D3175" t="s">
        <v>64988</v>
      </c>
      <c r="E3175" t="s">
        <v>64989</v>
      </c>
      <c r="F3175" t="s">
        <v>64990</v>
      </c>
      <c r="G3175" t="s">
        <v>64991</v>
      </c>
      <c r="H3175" t="s">
        <v>64992</v>
      </c>
      <c r="I3175" t="s">
        <v>64993</v>
      </c>
      <c r="J3175" t="s">
        <v>64994</v>
      </c>
      <c r="K3175" t="s">
        <v>64995</v>
      </c>
      <c r="L3175" t="s">
        <v>64996</v>
      </c>
      <c r="M3175" t="s">
        <v>64997</v>
      </c>
      <c r="N3175" t="s">
        <v>64998</v>
      </c>
      <c r="O3175">
        <f>-988.331430731276 -1.96628415257464 -493.554838601819</f>
        <v>-1483.8525534856697</v>
      </c>
      <c r="P3175">
        <f>-1037.36600062953 -23.6532694171992 -204.216843972449</f>
        <v>-1265.2361140191781</v>
      </c>
      <c r="Q3175">
        <f>-810.546653178029 -29.6529751812936 -285.259007352924</f>
        <v>-1125.4586357122466</v>
      </c>
      <c r="R3175" t="s">
        <v>64999</v>
      </c>
      <c r="S3175" t="s">
        <v>65000</v>
      </c>
      <c r="T3175" t="s">
        <v>65001</v>
      </c>
      <c r="U3175" t="s">
        <v>65002</v>
      </c>
      <c r="V3175" t="s">
        <v>65003</v>
      </c>
      <c r="W3175" t="s">
        <v>65004</v>
      </c>
      <c r="X3175" t="s">
        <v>65005</v>
      </c>
      <c r="Y3175" t="s">
        <v>65006</v>
      </c>
    </row>
    <row r="3176" spans="1:25" x14ac:dyDescent="0.3">
      <c r="A3176">
        <v>158750</v>
      </c>
      <c r="B3176" t="s">
        <v>65007</v>
      </c>
      <c r="C3176" t="s">
        <v>65008</v>
      </c>
      <c r="D3176" t="s">
        <v>65009</v>
      </c>
      <c r="E3176" t="s">
        <v>65010</v>
      </c>
      <c r="F3176" t="s">
        <v>65011</v>
      </c>
      <c r="G3176" t="s">
        <v>65012</v>
      </c>
      <c r="H3176" t="s">
        <v>65013</v>
      </c>
      <c r="I3176" t="s">
        <v>65014</v>
      </c>
      <c r="J3176" t="s">
        <v>65015</v>
      </c>
      <c r="K3176" t="s">
        <v>65016</v>
      </c>
      <c r="L3176" t="s">
        <v>65017</v>
      </c>
      <c r="M3176" t="s">
        <v>65018</v>
      </c>
      <c r="N3176" t="s">
        <v>65019</v>
      </c>
      <c r="O3176">
        <f>-988.467021962706 -2.0616695401477 -493.733120958868</f>
        <v>-1484.2618124617218</v>
      </c>
      <c r="P3176">
        <f>-1037.89519755833 -24.1896658569931 -204.495475864033</f>
        <v>-1266.5803392793562</v>
      </c>
      <c r="Q3176">
        <f>-810.881238458786 -29.6867134714907 -285.027055127</f>
        <v>-1125.5950070572767</v>
      </c>
      <c r="R3176" t="s">
        <v>65020</v>
      </c>
      <c r="S3176" t="s">
        <v>65021</v>
      </c>
      <c r="T3176" t="s">
        <v>65022</v>
      </c>
      <c r="U3176" t="s">
        <v>65023</v>
      </c>
      <c r="V3176" t="s">
        <v>65024</v>
      </c>
      <c r="W3176" t="s">
        <v>65025</v>
      </c>
      <c r="X3176" t="s">
        <v>65026</v>
      </c>
      <c r="Y3176" t="s">
        <v>65027</v>
      </c>
    </row>
    <row r="3177" spans="1:25" x14ac:dyDescent="0.3">
      <c r="A3177">
        <v>158800</v>
      </c>
      <c r="B3177" t="s">
        <v>65028</v>
      </c>
      <c r="C3177" t="s">
        <v>65029</v>
      </c>
      <c r="D3177" t="s">
        <v>65030</v>
      </c>
      <c r="E3177" t="s">
        <v>65031</v>
      </c>
      <c r="F3177" t="s">
        <v>65032</v>
      </c>
      <c r="G3177" t="s">
        <v>65033</v>
      </c>
      <c r="H3177" t="s">
        <v>65034</v>
      </c>
      <c r="I3177" t="s">
        <v>65035</v>
      </c>
      <c r="J3177" t="s">
        <v>65036</v>
      </c>
      <c r="K3177" t="s">
        <v>65037</v>
      </c>
      <c r="L3177" t="s">
        <v>65038</v>
      </c>
      <c r="M3177" t="s">
        <v>65039</v>
      </c>
      <c r="N3177" t="s">
        <v>65040</v>
      </c>
      <c r="O3177">
        <f>-988.796601172874 -2.1132478016043 -493.828598012669</f>
        <v>-1484.7384469871472</v>
      </c>
      <c r="P3177">
        <f>-1038.50535045551 -24.5524969744097 -204.662987218286</f>
        <v>-1267.7208346482057</v>
      </c>
      <c r="Q3177">
        <f>-811.02447294048 -28.572635292991 -283.954748441795</f>
        <v>-1123.551856675266</v>
      </c>
      <c r="R3177" t="s">
        <v>65041</v>
      </c>
      <c r="S3177" t="s">
        <v>65042</v>
      </c>
      <c r="T3177" t="s">
        <v>65043</v>
      </c>
      <c r="U3177" t="s">
        <v>65044</v>
      </c>
      <c r="V3177" t="s">
        <v>65045</v>
      </c>
      <c r="W3177" t="s">
        <v>65046</v>
      </c>
      <c r="X3177" t="s">
        <v>65047</v>
      </c>
      <c r="Y3177" t="s">
        <v>65048</v>
      </c>
    </row>
    <row r="3178" spans="1:25" x14ac:dyDescent="0.3">
      <c r="A3178">
        <v>158850</v>
      </c>
      <c r="B3178" t="s">
        <v>65049</v>
      </c>
      <c r="C3178" t="s">
        <v>65050</v>
      </c>
      <c r="D3178" t="s">
        <v>65051</v>
      </c>
      <c r="E3178" t="s">
        <v>65052</v>
      </c>
      <c r="F3178" t="s">
        <v>65053</v>
      </c>
      <c r="G3178" t="s">
        <v>65054</v>
      </c>
      <c r="H3178" t="s">
        <v>65055</v>
      </c>
      <c r="I3178" t="s">
        <v>65056</v>
      </c>
      <c r="J3178" t="s">
        <v>65057</v>
      </c>
      <c r="K3178" t="s">
        <v>65058</v>
      </c>
      <c r="L3178" t="s">
        <v>65059</v>
      </c>
      <c r="M3178" t="s">
        <v>65060</v>
      </c>
      <c r="N3178" t="s">
        <v>65061</v>
      </c>
      <c r="O3178">
        <f>-988.778247416661 -1.96941728325874 -493.886388087131</f>
        <v>-1484.6340527870507</v>
      </c>
      <c r="P3178">
        <f>-1038.53789745203 -24.125702313383 -204.707823661291</f>
        <v>-1267.371423426704</v>
      </c>
      <c r="Q3178">
        <f>-810.685431763465 -27.2227565363332 -282.966629378653</f>
        <v>-1120.8748176784511</v>
      </c>
      <c r="R3178" t="s">
        <v>65062</v>
      </c>
      <c r="S3178" t="s">
        <v>65063</v>
      </c>
      <c r="T3178" t="s">
        <v>65064</v>
      </c>
      <c r="U3178" t="s">
        <v>65065</v>
      </c>
      <c r="V3178" t="s">
        <v>65066</v>
      </c>
      <c r="W3178" t="s">
        <v>65067</v>
      </c>
      <c r="X3178" t="s">
        <v>65068</v>
      </c>
      <c r="Y3178" t="s">
        <v>65069</v>
      </c>
    </row>
    <row r="3179" spans="1:25" x14ac:dyDescent="0.3">
      <c r="A3179">
        <v>158900</v>
      </c>
      <c r="B3179" t="s">
        <v>65070</v>
      </c>
      <c r="C3179" t="s">
        <v>65071</v>
      </c>
      <c r="D3179" t="s">
        <v>65072</v>
      </c>
      <c r="E3179" t="s">
        <v>65073</v>
      </c>
      <c r="F3179" t="s">
        <v>65074</v>
      </c>
      <c r="G3179" t="s">
        <v>65075</v>
      </c>
      <c r="H3179" t="s">
        <v>65076</v>
      </c>
      <c r="I3179" t="s">
        <v>65077</v>
      </c>
      <c r="J3179" t="s">
        <v>65078</v>
      </c>
      <c r="K3179" t="s">
        <v>65079</v>
      </c>
      <c r="L3179" t="s">
        <v>65080</v>
      </c>
      <c r="M3179" t="s">
        <v>65081</v>
      </c>
      <c r="N3179" t="s">
        <v>65082</v>
      </c>
      <c r="O3179">
        <f>-988.50108278057 -1.93569927647923 -493.943935783094</f>
        <v>-1484.3807178401432</v>
      </c>
      <c r="P3179">
        <f>-1038.67437654048 -23.3797588711268 -204.78296635281</f>
        <v>-1266.8371017644167</v>
      </c>
      <c r="Q3179">
        <f>-810.058538441681 -24.6064276803631 -280.836649621362</f>
        <v>-1115.5016157434061</v>
      </c>
      <c r="R3179" t="s">
        <v>65083</v>
      </c>
      <c r="S3179" t="s">
        <v>65084</v>
      </c>
      <c r="T3179" t="s">
        <v>65085</v>
      </c>
      <c r="U3179" t="s">
        <v>65086</v>
      </c>
      <c r="V3179" t="s">
        <v>65087</v>
      </c>
      <c r="W3179" t="s">
        <v>65088</v>
      </c>
      <c r="X3179" t="s">
        <v>65089</v>
      </c>
      <c r="Y3179" t="s">
        <v>65090</v>
      </c>
    </row>
    <row r="3180" spans="1:25" x14ac:dyDescent="0.3">
      <c r="A3180">
        <v>158950</v>
      </c>
      <c r="B3180" t="s">
        <v>65091</v>
      </c>
      <c r="C3180" t="s">
        <v>65092</v>
      </c>
      <c r="D3180" t="s">
        <v>65093</v>
      </c>
      <c r="E3180" t="s">
        <v>65094</v>
      </c>
      <c r="F3180" t="s">
        <v>65095</v>
      </c>
      <c r="G3180" t="s">
        <v>65096</v>
      </c>
      <c r="H3180" t="s">
        <v>65097</v>
      </c>
      <c r="I3180" t="s">
        <v>65098</v>
      </c>
      <c r="J3180" t="s">
        <v>65099</v>
      </c>
      <c r="K3180" t="s">
        <v>65100</v>
      </c>
      <c r="L3180" t="s">
        <v>65101</v>
      </c>
      <c r="M3180" t="s">
        <v>65102</v>
      </c>
      <c r="N3180" t="s">
        <v>65103</v>
      </c>
      <c r="O3180">
        <f>-988.39806396045 -2.04193058388728 -493.960459182652</f>
        <v>-1484.4004537269893</v>
      </c>
      <c r="P3180">
        <f>-1039.438671376 -22.6803721540718 -204.892826742945</f>
        <v>-1267.0118702730169</v>
      </c>
      <c r="Q3180">
        <f>-810.269210288807 -23.3777361498851 -279.267995879933</f>
        <v>-1112.914942318625</v>
      </c>
      <c r="R3180" t="s">
        <v>65104</v>
      </c>
      <c r="S3180" t="s">
        <v>65105</v>
      </c>
      <c r="T3180" t="s">
        <v>65106</v>
      </c>
      <c r="U3180" t="s">
        <v>65107</v>
      </c>
      <c r="V3180" t="s">
        <v>65108</v>
      </c>
      <c r="W3180" t="s">
        <v>65109</v>
      </c>
      <c r="X3180" t="s">
        <v>65110</v>
      </c>
      <c r="Y3180" t="s">
        <v>65111</v>
      </c>
    </row>
    <row r="3181" spans="1:25" x14ac:dyDescent="0.3">
      <c r="A3181">
        <v>159000</v>
      </c>
      <c r="B3181" t="s">
        <v>65112</v>
      </c>
      <c r="C3181" t="s">
        <v>65113</v>
      </c>
      <c r="D3181" t="s">
        <v>65114</v>
      </c>
      <c r="E3181" t="s">
        <v>65115</v>
      </c>
      <c r="F3181" t="s">
        <v>65116</v>
      </c>
      <c r="G3181" t="s">
        <v>65117</v>
      </c>
      <c r="H3181" t="s">
        <v>65118</v>
      </c>
      <c r="I3181" t="s">
        <v>65119</v>
      </c>
      <c r="J3181" t="s">
        <v>65120</v>
      </c>
      <c r="K3181" t="s">
        <v>65121</v>
      </c>
      <c r="L3181" t="s">
        <v>65122</v>
      </c>
      <c r="M3181" t="s">
        <v>65123</v>
      </c>
      <c r="N3181" t="s">
        <v>65124</v>
      </c>
      <c r="O3181">
        <f>-988.309232490449 -1.90738827584255 -494.343898704995</f>
        <v>-1484.5605194712866</v>
      </c>
      <c r="P3181">
        <f>-1041.34913639334 -21.1222186354985 -205.538181778839</f>
        <v>-1268.0095368076775</v>
      </c>
      <c r="Q3181">
        <f>-810.95355883123 -21.5832971760187 -276.025896676473</f>
        <v>-1108.5627526837218</v>
      </c>
      <c r="R3181" t="s">
        <v>65125</v>
      </c>
      <c r="S3181" t="s">
        <v>65126</v>
      </c>
      <c r="T3181" t="s">
        <v>65127</v>
      </c>
      <c r="U3181" t="s">
        <v>65128</v>
      </c>
      <c r="V3181" t="s">
        <v>65129</v>
      </c>
      <c r="W3181" t="s">
        <v>65130</v>
      </c>
      <c r="X3181" t="s">
        <v>65131</v>
      </c>
      <c r="Y3181" t="s">
        <v>65132</v>
      </c>
    </row>
    <row r="3182" spans="1:25" x14ac:dyDescent="0.3">
      <c r="A3182">
        <v>159050</v>
      </c>
      <c r="B3182" t="s">
        <v>65133</v>
      </c>
      <c r="C3182" t="s">
        <v>65134</v>
      </c>
      <c r="D3182" t="s">
        <v>65135</v>
      </c>
      <c r="E3182" t="s">
        <v>65136</v>
      </c>
      <c r="F3182" t="s">
        <v>65137</v>
      </c>
      <c r="G3182" t="s">
        <v>65138</v>
      </c>
      <c r="H3182" t="s">
        <v>65139</v>
      </c>
      <c r="I3182" t="s">
        <v>65140</v>
      </c>
      <c r="J3182" t="s">
        <v>65141</v>
      </c>
      <c r="K3182" t="s">
        <v>65142</v>
      </c>
      <c r="L3182" t="s">
        <v>65143</v>
      </c>
      <c r="M3182" t="s">
        <v>65144</v>
      </c>
      <c r="N3182" t="s">
        <v>65145</v>
      </c>
      <c r="O3182">
        <f>-988.040731136302 -2.05312890281311 -494.676313195232</f>
        <v>-1484.7701732343471</v>
      </c>
      <c r="P3182">
        <f>-1041.84995460341 -21.566942020655 -206.03300499449</f>
        <v>-1269.449901618555</v>
      </c>
      <c r="Q3182">
        <f>-810.949608094907 -21.9717881985462 -274.848743285781</f>
        <v>-1107.7701395792342</v>
      </c>
      <c r="R3182" t="s">
        <v>65146</v>
      </c>
      <c r="S3182" t="s">
        <v>65147</v>
      </c>
      <c r="T3182" t="s">
        <v>65148</v>
      </c>
      <c r="U3182" t="s">
        <v>65149</v>
      </c>
      <c r="V3182" t="s">
        <v>65150</v>
      </c>
      <c r="W3182" t="s">
        <v>65151</v>
      </c>
      <c r="X3182" t="s">
        <v>65152</v>
      </c>
      <c r="Y3182" t="s">
        <v>65153</v>
      </c>
    </row>
    <row r="3183" spans="1:25" x14ac:dyDescent="0.3">
      <c r="A3183">
        <v>159100</v>
      </c>
      <c r="B3183" t="s">
        <v>65154</v>
      </c>
      <c r="C3183" t="s">
        <v>65155</v>
      </c>
      <c r="D3183" t="s">
        <v>65156</v>
      </c>
      <c r="E3183" t="s">
        <v>65157</v>
      </c>
      <c r="F3183" t="s">
        <v>65158</v>
      </c>
      <c r="G3183" t="s">
        <v>65159</v>
      </c>
      <c r="H3183" t="s">
        <v>65160</v>
      </c>
      <c r="I3183" t="s">
        <v>65161</v>
      </c>
      <c r="J3183" t="s">
        <v>65162</v>
      </c>
      <c r="K3183" t="s">
        <v>65163</v>
      </c>
      <c r="L3183" t="s">
        <v>65164</v>
      </c>
      <c r="M3183" t="s">
        <v>65165</v>
      </c>
      <c r="N3183" t="s">
        <v>65166</v>
      </c>
      <c r="O3183">
        <f>-987.592170497999 -2.81708775025118 -495.532759367471</f>
        <v>-1485.9420176157212</v>
      </c>
      <c r="P3183">
        <f>-1041.726595081 -25.0529779951876 -207.14714539386</f>
        <v>-1273.9267184700475</v>
      </c>
      <c r="Q3183">
        <f>-810.021429549716 -22.9223574252446 -273.1710153918</f>
        <v>-1106.1148023667606</v>
      </c>
      <c r="R3183" t="s">
        <v>65167</v>
      </c>
      <c r="S3183" t="s">
        <v>65168</v>
      </c>
      <c r="T3183" t="s">
        <v>65169</v>
      </c>
      <c r="U3183" t="s">
        <v>65170</v>
      </c>
      <c r="V3183" t="s">
        <v>65171</v>
      </c>
      <c r="W3183" t="s">
        <v>65172</v>
      </c>
      <c r="X3183" t="s">
        <v>65173</v>
      </c>
      <c r="Y3183" t="s">
        <v>65174</v>
      </c>
    </row>
    <row r="3184" spans="1:25" x14ac:dyDescent="0.3">
      <c r="A3184">
        <v>159150</v>
      </c>
      <c r="B3184" t="s">
        <v>65175</v>
      </c>
      <c r="C3184" t="s">
        <v>65176</v>
      </c>
      <c r="D3184" t="s">
        <v>65177</v>
      </c>
      <c r="E3184" t="s">
        <v>65178</v>
      </c>
      <c r="F3184" t="s">
        <v>65179</v>
      </c>
      <c r="G3184" t="s">
        <v>65180</v>
      </c>
      <c r="H3184" t="s">
        <v>65181</v>
      </c>
      <c r="I3184" t="s">
        <v>65182</v>
      </c>
      <c r="J3184" t="s">
        <v>65183</v>
      </c>
      <c r="K3184" t="s">
        <v>65184</v>
      </c>
      <c r="L3184" t="s">
        <v>65185</v>
      </c>
      <c r="M3184" t="s">
        <v>65186</v>
      </c>
      <c r="N3184" t="s">
        <v>65187</v>
      </c>
      <c r="O3184">
        <f>-987.35403318822 -3.40231396594527 -495.904333594107</f>
        <v>-1486.6606807482722</v>
      </c>
      <c r="P3184">
        <f>-1041.0673973208 -27.2439179734929 -207.568153104407</f>
        <v>-1275.8794683986998</v>
      </c>
      <c r="Q3184">
        <f>-808.983965594375 -23.5312165173009 -272.177444472438</f>
        <v>-1104.6926265841139</v>
      </c>
      <c r="R3184" t="s">
        <v>65188</v>
      </c>
      <c r="S3184" t="s">
        <v>65189</v>
      </c>
      <c r="T3184" t="s">
        <v>65190</v>
      </c>
      <c r="U3184" t="s">
        <v>65191</v>
      </c>
      <c r="V3184" t="s">
        <v>65192</v>
      </c>
      <c r="W3184" t="s">
        <v>65193</v>
      </c>
      <c r="X3184" t="s">
        <v>65194</v>
      </c>
      <c r="Y3184" t="s">
        <v>65195</v>
      </c>
    </row>
    <row r="3185" spans="1:25" x14ac:dyDescent="0.3">
      <c r="A3185">
        <v>159200</v>
      </c>
      <c r="B3185" t="s">
        <v>65196</v>
      </c>
      <c r="C3185" t="s">
        <v>65197</v>
      </c>
      <c r="D3185" t="s">
        <v>65198</v>
      </c>
      <c r="E3185" t="s">
        <v>65199</v>
      </c>
      <c r="F3185" t="s">
        <v>65200</v>
      </c>
      <c r="G3185" t="s">
        <v>65201</v>
      </c>
      <c r="H3185" t="s">
        <v>65202</v>
      </c>
      <c r="I3185" t="s">
        <v>65203</v>
      </c>
      <c r="J3185" t="s">
        <v>65204</v>
      </c>
      <c r="K3185" t="s">
        <v>65205</v>
      </c>
      <c r="L3185" t="s">
        <v>65206</v>
      </c>
      <c r="M3185" t="s">
        <v>65207</v>
      </c>
      <c r="N3185" t="s">
        <v>65208</v>
      </c>
      <c r="O3185">
        <f>-987.011152286368 -4.86490835403583 -496.47184417724</f>
        <v>-1488.3479048176437</v>
      </c>
      <c r="P3185">
        <f>-1039.93601498549 -31.0318513064794 -208.191731680384</f>
        <v>-1279.1595979723534</v>
      </c>
      <c r="Q3185">
        <f>-807.088192582084 -24.9253756763665 -269.798774351157</f>
        <v>-1101.8123426096076</v>
      </c>
      <c r="R3185" t="s">
        <v>65209</v>
      </c>
      <c r="S3185" t="s">
        <v>65210</v>
      </c>
      <c r="T3185" t="s">
        <v>65211</v>
      </c>
      <c r="U3185" t="s">
        <v>65212</v>
      </c>
      <c r="V3185" t="s">
        <v>65213</v>
      </c>
      <c r="W3185" t="s">
        <v>65214</v>
      </c>
      <c r="X3185" t="s">
        <v>65215</v>
      </c>
      <c r="Y3185" t="s">
        <v>65216</v>
      </c>
    </row>
    <row r="3186" spans="1:25" x14ac:dyDescent="0.3">
      <c r="A3186">
        <v>159250</v>
      </c>
      <c r="B3186" t="s">
        <v>65217</v>
      </c>
      <c r="C3186" t="s">
        <v>65218</v>
      </c>
      <c r="D3186" t="s">
        <v>65219</v>
      </c>
      <c r="E3186" t="s">
        <v>65220</v>
      </c>
      <c r="F3186" t="s">
        <v>65221</v>
      </c>
      <c r="G3186" t="s">
        <v>65222</v>
      </c>
      <c r="H3186" t="s">
        <v>65223</v>
      </c>
      <c r="I3186" t="s">
        <v>65224</v>
      </c>
      <c r="J3186" t="s">
        <v>65225</v>
      </c>
      <c r="K3186" t="s">
        <v>65226</v>
      </c>
      <c r="L3186" t="s">
        <v>65227</v>
      </c>
      <c r="M3186" t="s">
        <v>65228</v>
      </c>
      <c r="N3186" t="s">
        <v>65229</v>
      </c>
      <c r="O3186">
        <f>-986.919410221494 -5.49750617196833 -496.534748177834</f>
        <v>-1488.9516645712963</v>
      </c>
      <c r="P3186">
        <f>-1039.56681000075 -31.9787554376467 -208.232343962121</f>
        <v>-1279.7779094005175</v>
      </c>
      <c r="Q3186">
        <f>-806.41538667646 -25.4360186081799 -268.634435187591</f>
        <v>-1100.4858404722308</v>
      </c>
      <c r="R3186" t="s">
        <v>65230</v>
      </c>
      <c r="S3186" t="s">
        <v>65231</v>
      </c>
      <c r="T3186" t="s">
        <v>65232</v>
      </c>
      <c r="U3186" t="s">
        <v>65233</v>
      </c>
      <c r="V3186" t="s">
        <v>65234</v>
      </c>
      <c r="W3186" t="s">
        <v>65235</v>
      </c>
      <c r="X3186" t="s">
        <v>65236</v>
      </c>
      <c r="Y3186" t="s">
        <v>65237</v>
      </c>
    </row>
    <row r="3187" spans="1:25" x14ac:dyDescent="0.3">
      <c r="A3187">
        <v>159300</v>
      </c>
      <c r="B3187" t="s">
        <v>65238</v>
      </c>
      <c r="C3187" t="s">
        <v>65239</v>
      </c>
      <c r="D3187" t="s">
        <v>65240</v>
      </c>
      <c r="E3187" t="s">
        <v>65241</v>
      </c>
      <c r="F3187" t="s">
        <v>65242</v>
      </c>
      <c r="G3187" t="s">
        <v>65243</v>
      </c>
      <c r="H3187" t="s">
        <v>65244</v>
      </c>
      <c r="I3187" t="s">
        <v>65245</v>
      </c>
      <c r="J3187" t="s">
        <v>65246</v>
      </c>
      <c r="K3187" t="s">
        <v>65247</v>
      </c>
      <c r="L3187" t="s">
        <v>65248</v>
      </c>
      <c r="M3187" t="s">
        <v>65249</v>
      </c>
      <c r="N3187" t="s">
        <v>65250</v>
      </c>
      <c r="O3187">
        <f>-987.390832866643 -6.5535109622283 -496.478078721549</f>
        <v>-1490.4224225504204</v>
      </c>
      <c r="P3187">
        <f>-1040.1592916662 -32.4039697367562 -208.140658912038</f>
        <v>-1280.7039203149941</v>
      </c>
      <c r="Q3187">
        <f>-806.705924287493 -27.6447638662544 -267.535121783876</f>
        <v>-1101.8858099376234</v>
      </c>
      <c r="R3187" t="s">
        <v>65251</v>
      </c>
      <c r="S3187" t="s">
        <v>65252</v>
      </c>
      <c r="T3187" t="s">
        <v>65253</v>
      </c>
      <c r="U3187" t="s">
        <v>65254</v>
      </c>
      <c r="V3187" t="s">
        <v>65255</v>
      </c>
      <c r="W3187" t="s">
        <v>65256</v>
      </c>
      <c r="X3187" t="s">
        <v>65257</v>
      </c>
      <c r="Y3187" t="s">
        <v>65258</v>
      </c>
    </row>
    <row r="3188" spans="1:25" x14ac:dyDescent="0.3">
      <c r="A3188">
        <v>159350</v>
      </c>
      <c r="B3188" t="s">
        <v>65259</v>
      </c>
      <c r="C3188" t="s">
        <v>65260</v>
      </c>
      <c r="D3188" t="s">
        <v>65261</v>
      </c>
      <c r="E3188" t="s">
        <v>65262</v>
      </c>
      <c r="F3188" t="s">
        <v>65263</v>
      </c>
      <c r="G3188" t="s">
        <v>65264</v>
      </c>
      <c r="H3188" t="s">
        <v>65265</v>
      </c>
      <c r="I3188" t="s">
        <v>65266</v>
      </c>
      <c r="J3188" t="s">
        <v>65267</v>
      </c>
      <c r="K3188" t="s">
        <v>65268</v>
      </c>
      <c r="L3188" t="s">
        <v>65269</v>
      </c>
      <c r="M3188" t="s">
        <v>65270</v>
      </c>
      <c r="N3188" t="s">
        <v>65271</v>
      </c>
      <c r="O3188">
        <f>-987.826829421647 -7.09540137345584 -496.47808339261</f>
        <v>-1491.4003141877129</v>
      </c>
      <c r="P3188">
        <f>-1041.03689620798 -32.9893956025112 -208.225824634019</f>
        <v>-1282.2521164445102</v>
      </c>
      <c r="Q3188">
        <f>-807.435586523259 -29.6817419437098 -267.135140932733</f>
        <v>-1104.2524693997018</v>
      </c>
      <c r="R3188" t="s">
        <v>65272</v>
      </c>
      <c r="S3188" t="s">
        <v>65273</v>
      </c>
      <c r="T3188" t="s">
        <v>65274</v>
      </c>
      <c r="U3188" t="s">
        <v>65275</v>
      </c>
      <c r="V3188" t="s">
        <v>65276</v>
      </c>
      <c r="W3188" t="s">
        <v>65277</v>
      </c>
      <c r="X3188" t="s">
        <v>65278</v>
      </c>
      <c r="Y3188" t="s">
        <v>65279</v>
      </c>
    </row>
    <row r="3189" spans="1:25" x14ac:dyDescent="0.3">
      <c r="A3189">
        <v>159400</v>
      </c>
      <c r="B3189" t="s">
        <v>65280</v>
      </c>
      <c r="C3189" t="s">
        <v>65281</v>
      </c>
      <c r="D3189" t="s">
        <v>65282</v>
      </c>
      <c r="E3189" t="s">
        <v>65283</v>
      </c>
      <c r="F3189" t="s">
        <v>65284</v>
      </c>
      <c r="G3189" t="s">
        <v>65285</v>
      </c>
      <c r="H3189" t="s">
        <v>65286</v>
      </c>
      <c r="I3189" t="s">
        <v>65287</v>
      </c>
      <c r="J3189" t="s">
        <v>65288</v>
      </c>
      <c r="K3189" t="s">
        <v>65289</v>
      </c>
      <c r="L3189" t="s">
        <v>65290</v>
      </c>
      <c r="M3189" t="s">
        <v>65291</v>
      </c>
      <c r="N3189" t="s">
        <v>65292</v>
      </c>
      <c r="O3189">
        <f>-988.561772323475 -8.32942669813701 -496.513424533497</f>
        <v>-1493.4046235551091</v>
      </c>
      <c r="P3189">
        <f>-1042.38783827893 -35.4048447631885 -208.483997149517</f>
        <v>-1286.2766801916355</v>
      </c>
      <c r="Q3189">
        <f>-808.560502250657 -31.2549921431478 -266.43674679832</f>
        <v>-1106.2522411921248</v>
      </c>
      <c r="R3189" t="s">
        <v>65293</v>
      </c>
      <c r="S3189" t="s">
        <v>65294</v>
      </c>
      <c r="T3189" t="s">
        <v>65295</v>
      </c>
      <c r="U3189" t="s">
        <v>65296</v>
      </c>
      <c r="V3189" t="s">
        <v>65297</v>
      </c>
      <c r="W3189" t="s">
        <v>65298</v>
      </c>
      <c r="X3189" t="s">
        <v>65299</v>
      </c>
      <c r="Y3189" t="s">
        <v>65300</v>
      </c>
    </row>
    <row r="3190" spans="1:25" x14ac:dyDescent="0.3">
      <c r="A3190">
        <v>159450</v>
      </c>
      <c r="B3190" t="s">
        <v>65301</v>
      </c>
      <c r="C3190" t="s">
        <v>65302</v>
      </c>
      <c r="D3190" t="s">
        <v>65303</v>
      </c>
      <c r="E3190" t="s">
        <v>65304</v>
      </c>
      <c r="F3190" t="s">
        <v>65305</v>
      </c>
      <c r="G3190" t="s">
        <v>65306</v>
      </c>
      <c r="H3190" t="s">
        <v>65307</v>
      </c>
      <c r="I3190" t="s">
        <v>65308</v>
      </c>
      <c r="J3190" t="s">
        <v>65309</v>
      </c>
      <c r="K3190" t="s">
        <v>65310</v>
      </c>
      <c r="L3190" t="s">
        <v>65311</v>
      </c>
      <c r="M3190" t="s">
        <v>65312</v>
      </c>
      <c r="N3190" t="s">
        <v>65313</v>
      </c>
      <c r="O3190">
        <f>-988.878172232862 -8.82667276301254 -496.512955560022</f>
        <v>-1494.2178005558965</v>
      </c>
      <c r="P3190">
        <f>-1043.4548005798 -36.0712377956663 -208.640842676768</f>
        <v>-1288.1668810522342</v>
      </c>
      <c r="Q3190">
        <f>-809.524199270975 -31.4885215691716 -266.141646703722</f>
        <v>-1107.1543675438686</v>
      </c>
      <c r="R3190" t="s">
        <v>65314</v>
      </c>
      <c r="S3190" t="s">
        <v>65315</v>
      </c>
      <c r="T3190" t="s">
        <v>65316</v>
      </c>
      <c r="U3190" t="s">
        <v>65317</v>
      </c>
      <c r="V3190" t="s">
        <v>65318</v>
      </c>
      <c r="W3190" t="s">
        <v>65319</v>
      </c>
      <c r="X3190" t="s">
        <v>65320</v>
      </c>
      <c r="Y3190" t="s">
        <v>65321</v>
      </c>
    </row>
    <row r="3191" spans="1:25" x14ac:dyDescent="0.3">
      <c r="A3191">
        <v>159500</v>
      </c>
      <c r="B3191" t="s">
        <v>65322</v>
      </c>
      <c r="C3191" t="s">
        <v>65323</v>
      </c>
      <c r="D3191" t="s">
        <v>65324</v>
      </c>
      <c r="E3191" t="s">
        <v>65325</v>
      </c>
      <c r="F3191" t="s">
        <v>65326</v>
      </c>
      <c r="G3191" t="s">
        <v>65327</v>
      </c>
      <c r="H3191" t="s">
        <v>65328</v>
      </c>
      <c r="I3191" t="s">
        <v>65329</v>
      </c>
      <c r="J3191" t="s">
        <v>65330</v>
      </c>
      <c r="K3191" t="s">
        <v>65331</v>
      </c>
      <c r="L3191" t="s">
        <v>65332</v>
      </c>
      <c r="M3191" t="s">
        <v>65333</v>
      </c>
      <c r="N3191" t="s">
        <v>65334</v>
      </c>
      <c r="O3191">
        <f>-989.794134538553 -9.7603609965322 -496.377638796681</f>
        <v>-1495.9321343317661</v>
      </c>
      <c r="P3191">
        <f>-1045.46037200199 -36.3767326206932 -208.65542983534</f>
        <v>-1290.4925344580233</v>
      </c>
      <c r="Q3191">
        <f>-811.297289985932 -32.3447642061101 -265.244450327904</f>
        <v>-1108.8865045199461</v>
      </c>
      <c r="R3191" t="s">
        <v>65335</v>
      </c>
      <c r="S3191" t="s">
        <v>65336</v>
      </c>
      <c r="T3191" t="s">
        <v>65337</v>
      </c>
      <c r="U3191" t="s">
        <v>65338</v>
      </c>
      <c r="V3191" t="s">
        <v>65339</v>
      </c>
      <c r="W3191" t="s">
        <v>65340</v>
      </c>
      <c r="X3191" t="s">
        <v>65341</v>
      </c>
      <c r="Y3191" t="s">
        <v>65342</v>
      </c>
    </row>
    <row r="3192" spans="1:25" x14ac:dyDescent="0.3">
      <c r="A3192">
        <v>159550</v>
      </c>
      <c r="B3192" t="s">
        <v>65343</v>
      </c>
      <c r="C3192" t="s">
        <v>65344</v>
      </c>
      <c r="D3192" t="s">
        <v>65345</v>
      </c>
      <c r="E3192" t="s">
        <v>65346</v>
      </c>
      <c r="F3192" t="s">
        <v>65347</v>
      </c>
      <c r="G3192" t="s">
        <v>65348</v>
      </c>
      <c r="H3192" t="s">
        <v>65349</v>
      </c>
      <c r="I3192" t="s">
        <v>65350</v>
      </c>
      <c r="J3192" t="s">
        <v>65351</v>
      </c>
      <c r="K3192" t="s">
        <v>65352</v>
      </c>
      <c r="L3192" t="s">
        <v>65353</v>
      </c>
      <c r="M3192" t="s">
        <v>65354</v>
      </c>
      <c r="N3192" t="s">
        <v>65355</v>
      </c>
      <c r="O3192">
        <f>-990.243661540232 -10.426255073598 -496.194537173982</f>
        <v>-1496.864453787812</v>
      </c>
      <c r="P3192">
        <f>-1046.3959500548 -36.6254591268798 -208.528573842938</f>
        <v>-1291.5499830246179</v>
      </c>
      <c r="Q3192">
        <f>-812.140756616087 -33.018764805684 -264.762947842753</f>
        <v>-1109.9224692645239</v>
      </c>
      <c r="R3192" t="s">
        <v>65356</v>
      </c>
      <c r="S3192" t="s">
        <v>65357</v>
      </c>
      <c r="T3192" t="s">
        <v>65358</v>
      </c>
      <c r="U3192" t="s">
        <v>65359</v>
      </c>
      <c r="V3192" t="s">
        <v>65360</v>
      </c>
      <c r="W3192" t="s">
        <v>65361</v>
      </c>
      <c r="X3192" t="s">
        <v>65362</v>
      </c>
      <c r="Y3192" t="s">
        <v>65363</v>
      </c>
    </row>
    <row r="3193" spans="1:25" x14ac:dyDescent="0.3">
      <c r="A3193">
        <v>159600</v>
      </c>
      <c r="B3193" t="s">
        <v>65364</v>
      </c>
      <c r="C3193" t="s">
        <v>65365</v>
      </c>
      <c r="D3193" t="s">
        <v>65366</v>
      </c>
      <c r="E3193" t="s">
        <v>65367</v>
      </c>
      <c r="F3193" t="s">
        <v>65368</v>
      </c>
      <c r="G3193" t="s">
        <v>65369</v>
      </c>
      <c r="H3193" t="s">
        <v>65370</v>
      </c>
      <c r="I3193" t="s">
        <v>65371</v>
      </c>
      <c r="J3193" t="s">
        <v>65372</v>
      </c>
      <c r="K3193" t="s">
        <v>65373</v>
      </c>
      <c r="L3193" t="s">
        <v>65374</v>
      </c>
      <c r="M3193" t="s">
        <v>65375</v>
      </c>
      <c r="N3193" t="s">
        <v>65376</v>
      </c>
      <c r="O3193">
        <f>-990.634870808823 -11.4025068578585 -495.840585693564</f>
        <v>-1497.8779633602455</v>
      </c>
      <c r="P3193">
        <f>-1048.38170447192 -37.5008168257277 -208.481313746636</f>
        <v>-1294.3638350442839</v>
      </c>
      <c r="Q3193">
        <f>-813.873625523977 -34.6663960766632 -263.697432368896</f>
        <v>-1112.2374539695361</v>
      </c>
      <c r="R3193" t="s">
        <v>65377</v>
      </c>
      <c r="S3193" t="s">
        <v>65378</v>
      </c>
      <c r="T3193" t="s">
        <v>65379</v>
      </c>
      <c r="U3193" t="s">
        <v>65380</v>
      </c>
      <c r="V3193" t="s">
        <v>65381</v>
      </c>
      <c r="W3193" t="s">
        <v>65382</v>
      </c>
      <c r="X3193" t="s">
        <v>65383</v>
      </c>
      <c r="Y3193" t="s">
        <v>65384</v>
      </c>
    </row>
    <row r="3194" spans="1:25" x14ac:dyDescent="0.3">
      <c r="A3194">
        <v>159650</v>
      </c>
      <c r="B3194" t="s">
        <v>65385</v>
      </c>
      <c r="C3194" t="s">
        <v>65386</v>
      </c>
      <c r="D3194" t="s">
        <v>65387</v>
      </c>
      <c r="E3194" t="s">
        <v>65388</v>
      </c>
      <c r="F3194" t="s">
        <v>65389</v>
      </c>
      <c r="G3194" t="s">
        <v>65390</v>
      </c>
      <c r="H3194" t="s">
        <v>65391</v>
      </c>
      <c r="I3194" t="s">
        <v>65392</v>
      </c>
      <c r="J3194" t="s">
        <v>65393</v>
      </c>
      <c r="K3194" t="s">
        <v>65394</v>
      </c>
      <c r="L3194" t="s">
        <v>65395</v>
      </c>
      <c r="M3194" t="s">
        <v>65396</v>
      </c>
      <c r="N3194" t="s">
        <v>65397</v>
      </c>
      <c r="O3194">
        <f>-990.591636405505 -11.6792454479532 -495.776204930803</f>
        <v>-1498.0470867842612</v>
      </c>
      <c r="P3194">
        <f>-1049.42845967214 -37.6148702986015 -208.623270070351</f>
        <v>-1295.6666000410926</v>
      </c>
      <c r="Q3194">
        <f>-814.814674745797 -35.783437363862 -263.431649447631</f>
        <v>-1114.0297615572899</v>
      </c>
      <c r="R3194" t="s">
        <v>65398</v>
      </c>
      <c r="S3194" t="s">
        <v>65399</v>
      </c>
      <c r="T3194" t="s">
        <v>65400</v>
      </c>
      <c r="U3194" t="s">
        <v>65401</v>
      </c>
      <c r="V3194" t="s">
        <v>65402</v>
      </c>
      <c r="W3194" t="s">
        <v>65403</v>
      </c>
      <c r="X3194" t="s">
        <v>65404</v>
      </c>
      <c r="Y3194" t="s">
        <v>65405</v>
      </c>
    </row>
    <row r="3195" spans="1:25" x14ac:dyDescent="0.3">
      <c r="A3195">
        <v>159700</v>
      </c>
      <c r="B3195" t="s">
        <v>65406</v>
      </c>
      <c r="C3195" t="s">
        <v>65407</v>
      </c>
      <c r="D3195" t="s">
        <v>65408</v>
      </c>
      <c r="E3195" t="s">
        <v>65409</v>
      </c>
      <c r="F3195" t="s">
        <v>65410</v>
      </c>
      <c r="G3195" t="s">
        <v>65411</v>
      </c>
      <c r="H3195" t="s">
        <v>65412</v>
      </c>
      <c r="I3195" t="s">
        <v>65413</v>
      </c>
      <c r="J3195" t="s">
        <v>65414</v>
      </c>
      <c r="K3195" t="s">
        <v>65415</v>
      </c>
      <c r="L3195" t="s">
        <v>65416</v>
      </c>
      <c r="M3195" t="s">
        <v>65417</v>
      </c>
      <c r="N3195" t="s">
        <v>65418</v>
      </c>
      <c r="O3195">
        <f>-990.525450680171 -11.8818770117077 -495.754144136596</f>
        <v>-1498.1614718284748</v>
      </c>
      <c r="P3195">
        <f>-1050.63478381811 -37.9008286966462 -208.872503631964</f>
        <v>-1297.4081161467202</v>
      </c>
      <c r="Q3195">
        <f>-816.012740036259 -36.3694979237325 -263.654174272258</f>
        <v>-1116.0364122322494</v>
      </c>
      <c r="R3195" t="s">
        <v>65419</v>
      </c>
      <c r="S3195" t="s">
        <v>65420</v>
      </c>
      <c r="T3195" t="s">
        <v>65421</v>
      </c>
      <c r="U3195" t="s">
        <v>65422</v>
      </c>
      <c r="V3195" t="s">
        <v>65423</v>
      </c>
      <c r="W3195" t="s">
        <v>65424</v>
      </c>
      <c r="X3195" t="s">
        <v>65425</v>
      </c>
      <c r="Y3195" t="s">
        <v>65426</v>
      </c>
    </row>
    <row r="3196" spans="1:25" x14ac:dyDescent="0.3">
      <c r="A3196">
        <v>159750</v>
      </c>
      <c r="B3196" t="s">
        <v>65427</v>
      </c>
      <c r="C3196" t="s">
        <v>65428</v>
      </c>
      <c r="D3196" t="s">
        <v>65429</v>
      </c>
      <c r="E3196" t="s">
        <v>65430</v>
      </c>
      <c r="F3196" t="s">
        <v>65431</v>
      </c>
      <c r="G3196" t="s">
        <v>65432</v>
      </c>
      <c r="H3196" t="s">
        <v>65433</v>
      </c>
      <c r="I3196" t="s">
        <v>65434</v>
      </c>
      <c r="J3196" t="s">
        <v>65435</v>
      </c>
      <c r="K3196" t="s">
        <v>65436</v>
      </c>
      <c r="L3196" t="s">
        <v>65437</v>
      </c>
      <c r="M3196" t="s">
        <v>65438</v>
      </c>
      <c r="N3196" t="s">
        <v>65439</v>
      </c>
      <c r="O3196">
        <f>-990.318221633693 -12.3798530143399 -495.85650359843</f>
        <v>-1498.5545782464628</v>
      </c>
      <c r="P3196">
        <f>-1053.43934040706 -40.0501688696179 -209.777191835198</f>
        <v>-1303.2667011118758</v>
      </c>
      <c r="Q3196">
        <f>-819.282747855729 -33.8301973022021 -266.19360876794</f>
        <v>-1119.3065539258712</v>
      </c>
      <c r="R3196" t="s">
        <v>65440</v>
      </c>
      <c r="S3196" t="s">
        <v>65441</v>
      </c>
      <c r="T3196" t="s">
        <v>65442</v>
      </c>
      <c r="U3196" t="s">
        <v>65443</v>
      </c>
      <c r="V3196" t="s">
        <v>65444</v>
      </c>
      <c r="W3196" t="s">
        <v>65445</v>
      </c>
      <c r="X3196" t="s">
        <v>65446</v>
      </c>
      <c r="Y3196" t="s">
        <v>65447</v>
      </c>
    </row>
    <row r="3197" spans="1:25" x14ac:dyDescent="0.3">
      <c r="A3197">
        <v>159800</v>
      </c>
      <c r="B3197" t="s">
        <v>65448</v>
      </c>
      <c r="C3197" t="s">
        <v>65449</v>
      </c>
      <c r="D3197" t="s">
        <v>65450</v>
      </c>
      <c r="E3197" t="s">
        <v>65451</v>
      </c>
      <c r="F3197" t="s">
        <v>65452</v>
      </c>
      <c r="G3197" t="s">
        <v>65453</v>
      </c>
      <c r="H3197" t="s">
        <v>65454</v>
      </c>
      <c r="I3197" t="s">
        <v>65455</v>
      </c>
      <c r="J3197" t="s">
        <v>65456</v>
      </c>
      <c r="K3197" t="s">
        <v>65457</v>
      </c>
      <c r="L3197" t="s">
        <v>65458</v>
      </c>
      <c r="M3197" t="s">
        <v>65459</v>
      </c>
      <c r="N3197" t="s">
        <v>65460</v>
      </c>
      <c r="O3197">
        <f>-990.267303140219 -12.980352668751 -495.929516651231</f>
        <v>-1499.1771724602011</v>
      </c>
      <c r="P3197">
        <f>-1054.885654531 -41.3327817943207 -210.25163344517</f>
        <v>-1306.4700697704907</v>
      </c>
      <c r="Q3197">
        <f>-821.314261114621 -27.9165688593357 -267.829562209571</f>
        <v>-1117.0603921835277</v>
      </c>
      <c r="R3197" t="s">
        <v>65461</v>
      </c>
      <c r="S3197" t="s">
        <v>65462</v>
      </c>
      <c r="T3197" t="s">
        <v>65463</v>
      </c>
      <c r="U3197" t="s">
        <v>65464</v>
      </c>
      <c r="V3197" t="s">
        <v>65465</v>
      </c>
      <c r="W3197" t="s">
        <v>65466</v>
      </c>
      <c r="X3197" t="s">
        <v>65467</v>
      </c>
      <c r="Y3197" t="s">
        <v>65468</v>
      </c>
    </row>
    <row r="3198" spans="1:25" x14ac:dyDescent="0.3">
      <c r="A3198">
        <v>159850</v>
      </c>
      <c r="B3198" t="s">
        <v>65469</v>
      </c>
      <c r="C3198" t="s">
        <v>65470</v>
      </c>
      <c r="D3198" t="s">
        <v>65471</v>
      </c>
      <c r="E3198" t="s">
        <v>65472</v>
      </c>
      <c r="F3198" t="s">
        <v>65473</v>
      </c>
      <c r="G3198" t="s">
        <v>65474</v>
      </c>
      <c r="H3198" t="s">
        <v>65475</v>
      </c>
      <c r="I3198" t="s">
        <v>65476</v>
      </c>
      <c r="J3198" t="s">
        <v>65477</v>
      </c>
      <c r="K3198" t="s">
        <v>65478</v>
      </c>
      <c r="L3198" t="s">
        <v>65479</v>
      </c>
      <c r="M3198" t="s">
        <v>65480</v>
      </c>
      <c r="N3198" t="s">
        <v>65481</v>
      </c>
      <c r="O3198">
        <f>-990.42622949514 -13.2631965616542 -495.880648542495</f>
        <v>-1499.5700745992892</v>
      </c>
      <c r="P3198">
        <f>-1054.92123230717 -41.3227625226766 -210.145925608851</f>
        <v>-1306.3899204386976</v>
      </c>
      <c r="Q3198">
        <f>-821.51364267477 -25.8862131222013 -267.881568732173</f>
        <v>-1115.2814245291443</v>
      </c>
      <c r="R3198" t="s">
        <v>65482</v>
      </c>
      <c r="S3198" t="s">
        <v>65483</v>
      </c>
      <c r="T3198" t="s">
        <v>65484</v>
      </c>
      <c r="U3198" t="s">
        <v>65485</v>
      </c>
      <c r="V3198" t="s">
        <v>65486</v>
      </c>
      <c r="W3198" t="s">
        <v>65487</v>
      </c>
      <c r="X3198" t="s">
        <v>65488</v>
      </c>
      <c r="Y3198" t="s">
        <v>65489</v>
      </c>
    </row>
    <row r="3199" spans="1:25" x14ac:dyDescent="0.3">
      <c r="A3199">
        <v>159900</v>
      </c>
      <c r="B3199" t="s">
        <v>65490</v>
      </c>
      <c r="C3199" t="s">
        <v>65491</v>
      </c>
      <c r="D3199" t="s">
        <v>65492</v>
      </c>
      <c r="E3199" t="s">
        <v>65493</v>
      </c>
      <c r="F3199" t="s">
        <v>65494</v>
      </c>
      <c r="G3199" t="s">
        <v>65495</v>
      </c>
      <c r="H3199" t="s">
        <v>65496</v>
      </c>
      <c r="I3199" t="s">
        <v>65497</v>
      </c>
      <c r="J3199" t="s">
        <v>65498</v>
      </c>
      <c r="K3199" t="s">
        <v>65499</v>
      </c>
      <c r="L3199" t="s">
        <v>65500</v>
      </c>
      <c r="M3199" t="s">
        <v>65501</v>
      </c>
      <c r="N3199" t="s">
        <v>65502</v>
      </c>
      <c r="O3199">
        <f>-990.527655351044 -13.6233717841806 -495.826892387892</f>
        <v>-1499.9779195231165</v>
      </c>
      <c r="P3199">
        <f>-1054.70463231735 -41.4871478138298 -210.001519758242</f>
        <v>-1306.1932998894217</v>
      </c>
      <c r="Q3199">
        <f>-821.456077626674 -24.1862213861809 -267.851283323015</f>
        <v>-1113.4935823358699</v>
      </c>
      <c r="R3199" t="s">
        <v>65503</v>
      </c>
      <c r="S3199" t="s">
        <v>65504</v>
      </c>
      <c r="T3199" t="s">
        <v>65505</v>
      </c>
      <c r="U3199" t="s">
        <v>65506</v>
      </c>
      <c r="V3199" t="s">
        <v>65507</v>
      </c>
      <c r="W3199" t="s">
        <v>65508</v>
      </c>
      <c r="X3199" t="s">
        <v>65509</v>
      </c>
      <c r="Y3199" t="s">
        <v>65510</v>
      </c>
    </row>
    <row r="3200" spans="1:25" x14ac:dyDescent="0.3">
      <c r="A3200">
        <v>159950</v>
      </c>
      <c r="B3200" t="s">
        <v>65511</v>
      </c>
      <c r="C3200" t="s">
        <v>65512</v>
      </c>
      <c r="D3200" t="s">
        <v>65513</v>
      </c>
      <c r="E3200" t="s">
        <v>65514</v>
      </c>
      <c r="F3200" t="s">
        <v>65515</v>
      </c>
      <c r="G3200" t="s">
        <v>65516</v>
      </c>
      <c r="H3200" t="s">
        <v>65517</v>
      </c>
      <c r="I3200" t="s">
        <v>65518</v>
      </c>
      <c r="J3200" t="s">
        <v>65519</v>
      </c>
      <c r="K3200" t="s">
        <v>65520</v>
      </c>
      <c r="L3200" t="s">
        <v>65521</v>
      </c>
      <c r="M3200" t="s">
        <v>65522</v>
      </c>
      <c r="N3200" t="s">
        <v>65523</v>
      </c>
      <c r="O3200">
        <f>-990.531354134979 -13.6386009101566 -495.818449591356</f>
        <v>-1499.9884046364916</v>
      </c>
      <c r="P3200">
        <f>-1054.70547263819 -41.0929076471348 -209.952834254011</f>
        <v>-1305.7512145393357</v>
      </c>
      <c r="Q3200">
        <f>-821.406879414367 -24.3397826150353 -267.762260677176</f>
        <v>-1113.5089227065785</v>
      </c>
      <c r="R3200" t="s">
        <v>65524</v>
      </c>
      <c r="S3200" t="s">
        <v>65525</v>
      </c>
      <c r="T3200" t="s">
        <v>65526</v>
      </c>
      <c r="U3200" t="s">
        <v>65527</v>
      </c>
      <c r="V3200" t="s">
        <v>65528</v>
      </c>
      <c r="W3200" t="s">
        <v>65529</v>
      </c>
      <c r="X3200" t="s">
        <v>65530</v>
      </c>
      <c r="Y3200" t="s">
        <v>65531</v>
      </c>
    </row>
    <row r="3201" spans="1:25" x14ac:dyDescent="0.3">
      <c r="A3201">
        <v>160000</v>
      </c>
      <c r="B3201" t="s">
        <v>65532</v>
      </c>
      <c r="C3201" t="s">
        <v>65533</v>
      </c>
      <c r="D3201" t="s">
        <v>65534</v>
      </c>
      <c r="E3201" t="s">
        <v>65535</v>
      </c>
      <c r="F3201" t="s">
        <v>65536</v>
      </c>
      <c r="G3201" t="s">
        <v>65537</v>
      </c>
      <c r="H3201" t="s">
        <v>65538</v>
      </c>
      <c r="I3201" t="s">
        <v>65539</v>
      </c>
      <c r="J3201" t="s">
        <v>65540</v>
      </c>
      <c r="K3201" t="s">
        <v>65541</v>
      </c>
      <c r="L3201" t="s">
        <v>65542</v>
      </c>
      <c r="M3201" t="s">
        <v>65543</v>
      </c>
      <c r="N3201" t="s">
        <v>65544</v>
      </c>
      <c r="O3201">
        <f>-990.337977967112 -13.7075608761447 -495.797620763178</f>
        <v>-1499.8431596064347</v>
      </c>
      <c r="P3201">
        <f>-1054.80558145057 -40.7865603089513 -209.962190788923</f>
        <v>-1305.5543325484441</v>
      </c>
      <c r="Q3201">
        <f>-821.199766535125 -25.964626361234 -267.054902974886</f>
        <v>-1114.2192958712449</v>
      </c>
      <c r="R3201" t="s">
        <v>65545</v>
      </c>
      <c r="S3201" t="s">
        <v>65546</v>
      </c>
      <c r="T3201" t="s">
        <v>65547</v>
      </c>
      <c r="U3201" t="s">
        <v>65548</v>
      </c>
      <c r="V3201" t="s">
        <v>65549</v>
      </c>
      <c r="W3201" t="s">
        <v>65550</v>
      </c>
      <c r="X3201" t="s">
        <v>65551</v>
      </c>
      <c r="Y3201" t="s">
        <v>65552</v>
      </c>
    </row>
    <row r="3202" spans="1:25" x14ac:dyDescent="0.3">
      <c r="A3202">
        <v>160050</v>
      </c>
      <c r="B3202" t="s">
        <v>65553</v>
      </c>
      <c r="C3202" t="s">
        <v>65554</v>
      </c>
      <c r="D3202" t="s">
        <v>65555</v>
      </c>
      <c r="E3202" t="s">
        <v>65556</v>
      </c>
      <c r="F3202" t="s">
        <v>65557</v>
      </c>
      <c r="G3202" t="s">
        <v>65558</v>
      </c>
      <c r="H3202" t="s">
        <v>65559</v>
      </c>
      <c r="I3202" t="s">
        <v>65560</v>
      </c>
      <c r="J3202" t="s">
        <v>65561</v>
      </c>
      <c r="K3202" t="s">
        <v>65562</v>
      </c>
      <c r="L3202" t="s">
        <v>65563</v>
      </c>
      <c r="M3202" t="s">
        <v>65564</v>
      </c>
      <c r="N3202" t="s">
        <v>65565</v>
      </c>
      <c r="O3202">
        <f>-990.234469689087 -13.8070060523373 -495.767042821524</f>
        <v>-1499.8085185629484</v>
      </c>
      <c r="P3202">
        <f>-1054.96006397827 -40.9152307460399 -209.992749628626</f>
        <v>-1305.8680443529358</v>
      </c>
      <c r="Q3202">
        <f>-821.215856504017 -26.7016253194838 -266.671271679553</f>
        <v>-1114.5887535030538</v>
      </c>
      <c r="R3202" t="s">
        <v>65566</v>
      </c>
      <c r="S3202" t="s">
        <v>65567</v>
      </c>
      <c r="T3202" t="s">
        <v>65568</v>
      </c>
      <c r="U3202" t="s">
        <v>65569</v>
      </c>
      <c r="V3202" t="s">
        <v>65570</v>
      </c>
      <c r="W3202" t="s">
        <v>65571</v>
      </c>
      <c r="X3202" t="s">
        <v>65572</v>
      </c>
      <c r="Y3202" t="s">
        <v>65573</v>
      </c>
    </row>
    <row r="3203" spans="1:25" x14ac:dyDescent="0.3">
      <c r="A3203">
        <v>160100</v>
      </c>
      <c r="B3203" t="s">
        <v>65574</v>
      </c>
      <c r="C3203" t="s">
        <v>65575</v>
      </c>
      <c r="D3203" t="s">
        <v>65576</v>
      </c>
      <c r="E3203" t="s">
        <v>65577</v>
      </c>
      <c r="F3203" t="s">
        <v>65578</v>
      </c>
      <c r="G3203" t="s">
        <v>65579</v>
      </c>
      <c r="H3203" t="s">
        <v>65580</v>
      </c>
      <c r="I3203" t="s">
        <v>65581</v>
      </c>
      <c r="J3203" t="s">
        <v>65582</v>
      </c>
      <c r="K3203" t="s">
        <v>65583</v>
      </c>
      <c r="L3203" t="s">
        <v>65584</v>
      </c>
      <c r="M3203" t="s">
        <v>65585</v>
      </c>
      <c r="N3203" t="s">
        <v>65586</v>
      </c>
      <c r="O3203">
        <f>-990.118247769445 -13.9333279401048 -495.731121397553</f>
        <v>-1499.7826971071029</v>
      </c>
      <c r="P3203">
        <f>-1055.19563120942 -40.8707655888848 -210.020547630032</f>
        <v>-1306.0869444283369</v>
      </c>
      <c r="Q3203">
        <f>-821.323763435336 -27.2631979316743 -266.319992992601</f>
        <v>-1114.9069543596113</v>
      </c>
      <c r="R3203" t="s">
        <v>65587</v>
      </c>
      <c r="S3203" t="s">
        <v>65588</v>
      </c>
      <c r="T3203" t="s">
        <v>65589</v>
      </c>
      <c r="U3203" t="s">
        <v>65590</v>
      </c>
      <c r="V3203" t="s">
        <v>65591</v>
      </c>
      <c r="W3203" t="s">
        <v>65592</v>
      </c>
      <c r="X3203" t="s">
        <v>65593</v>
      </c>
      <c r="Y3203" t="s">
        <v>65594</v>
      </c>
    </row>
    <row r="3204" spans="1:25" x14ac:dyDescent="0.3">
      <c r="A3204">
        <v>160150</v>
      </c>
      <c r="B3204" t="s">
        <v>65595</v>
      </c>
      <c r="C3204" t="s">
        <v>65596</v>
      </c>
      <c r="D3204" t="s">
        <v>65597</v>
      </c>
      <c r="E3204" t="s">
        <v>65598</v>
      </c>
      <c r="F3204" t="s">
        <v>65599</v>
      </c>
      <c r="G3204" t="s">
        <v>65600</v>
      </c>
      <c r="H3204" t="s">
        <v>65601</v>
      </c>
      <c r="I3204" t="s">
        <v>65602</v>
      </c>
      <c r="J3204" t="s">
        <v>65603</v>
      </c>
      <c r="K3204" t="s">
        <v>65604</v>
      </c>
      <c r="L3204" t="s">
        <v>65605</v>
      </c>
      <c r="M3204" t="s">
        <v>65606</v>
      </c>
      <c r="N3204" t="s">
        <v>65607</v>
      </c>
      <c r="O3204">
        <f>-989.991553497919 -14.4430918274134 -495.639287674061</f>
        <v>-1500.0739329993933</v>
      </c>
      <c r="P3204">
        <f>-1055.38632159184 -41.0349163695946 -209.968702102796</f>
        <v>-1306.3899400642306</v>
      </c>
      <c r="Q3204">
        <f>-821.435151937607 -27.9386077401564 -266.058915677152</f>
        <v>-1115.4326753549153</v>
      </c>
      <c r="R3204" t="s">
        <v>65608</v>
      </c>
      <c r="S3204" t="s">
        <v>65609</v>
      </c>
      <c r="T3204" t="s">
        <v>65610</v>
      </c>
      <c r="U3204" t="s">
        <v>65611</v>
      </c>
      <c r="V3204" t="s">
        <v>65612</v>
      </c>
      <c r="W3204" t="s">
        <v>65613</v>
      </c>
      <c r="X3204" t="s">
        <v>65614</v>
      </c>
      <c r="Y3204" t="s">
        <v>65615</v>
      </c>
    </row>
    <row r="3205" spans="1:25" x14ac:dyDescent="0.3">
      <c r="A3205">
        <v>160200</v>
      </c>
      <c r="B3205" t="s">
        <v>65616</v>
      </c>
      <c r="C3205" t="s">
        <v>65617</v>
      </c>
      <c r="D3205" t="s">
        <v>65618</v>
      </c>
      <c r="E3205" t="s">
        <v>65619</v>
      </c>
      <c r="F3205" t="s">
        <v>65620</v>
      </c>
      <c r="G3205" t="s">
        <v>65621</v>
      </c>
      <c r="H3205" t="s">
        <v>65622</v>
      </c>
      <c r="I3205" t="s">
        <v>65623</v>
      </c>
      <c r="J3205" t="s">
        <v>65624</v>
      </c>
      <c r="K3205" t="s">
        <v>65625</v>
      </c>
      <c r="L3205" t="s">
        <v>65626</v>
      </c>
      <c r="M3205" t="s">
        <v>65627</v>
      </c>
      <c r="N3205" t="s">
        <v>65628</v>
      </c>
      <c r="O3205">
        <f>-988.956020698676 -15.223286932172 -495.485982756084</f>
        <v>-1499.6652903869319</v>
      </c>
      <c r="P3205">
        <f>-1053.86068987069 -41.3090122379904 -209.657329374075</f>
        <v>-1304.8270314827555</v>
      </c>
      <c r="Q3205">
        <f>-820.041932805799 -27.7359579897611 -266.185854027006</f>
        <v>-1113.963744822566</v>
      </c>
      <c r="R3205" t="s">
        <v>65629</v>
      </c>
      <c r="S3205" t="s">
        <v>65630</v>
      </c>
      <c r="T3205" t="s">
        <v>65631</v>
      </c>
      <c r="U3205" t="s">
        <v>65632</v>
      </c>
      <c r="V3205" t="s">
        <v>65633</v>
      </c>
      <c r="W3205" t="s">
        <v>65634</v>
      </c>
      <c r="X3205" t="s">
        <v>65635</v>
      </c>
      <c r="Y3205" t="s">
        <v>65636</v>
      </c>
    </row>
    <row r="3206" spans="1:25" x14ac:dyDescent="0.3">
      <c r="A3206">
        <v>160250</v>
      </c>
      <c r="B3206" t="s">
        <v>65637</v>
      </c>
      <c r="C3206" t="s">
        <v>65638</v>
      </c>
      <c r="D3206" t="s">
        <v>65639</v>
      </c>
      <c r="E3206" t="s">
        <v>65640</v>
      </c>
      <c r="F3206" t="s">
        <v>65641</v>
      </c>
      <c r="G3206" t="s">
        <v>65642</v>
      </c>
      <c r="H3206" t="s">
        <v>65643</v>
      </c>
      <c r="I3206" t="s">
        <v>65644</v>
      </c>
      <c r="J3206" t="s">
        <v>65645</v>
      </c>
      <c r="K3206" t="s">
        <v>65646</v>
      </c>
      <c r="L3206" t="s">
        <v>65647</v>
      </c>
      <c r="M3206" t="s">
        <v>65648</v>
      </c>
      <c r="N3206" t="s">
        <v>65649</v>
      </c>
      <c r="O3206">
        <f>-987.592501045927 -16.2484060210281 -495.358441449236</f>
        <v>-1499.1993485161911</v>
      </c>
      <c r="P3206">
        <f>-1051.58975735562 -42.2041089488105 -209.313220628032</f>
        <v>-1303.1070869324624</v>
      </c>
      <c r="Q3206">
        <f>-818.086156997766 -27.2100401064536 -266.778238461831</f>
        <v>-1112.0744355660506</v>
      </c>
      <c r="R3206" t="s">
        <v>65650</v>
      </c>
      <c r="S3206" t="s">
        <v>65651</v>
      </c>
      <c r="T3206" t="s">
        <v>65652</v>
      </c>
      <c r="U3206" t="s">
        <v>65653</v>
      </c>
      <c r="V3206" t="s">
        <v>65654</v>
      </c>
      <c r="W3206" t="s">
        <v>65655</v>
      </c>
      <c r="X3206" t="s">
        <v>65656</v>
      </c>
      <c r="Y3206" t="s">
        <v>65657</v>
      </c>
    </row>
    <row r="3207" spans="1:25" x14ac:dyDescent="0.3">
      <c r="A3207">
        <v>160300</v>
      </c>
      <c r="B3207" t="s">
        <v>65658</v>
      </c>
      <c r="C3207" t="s">
        <v>65659</v>
      </c>
      <c r="D3207" t="s">
        <v>65660</v>
      </c>
      <c r="E3207" t="s">
        <v>65661</v>
      </c>
      <c r="F3207" t="s">
        <v>65662</v>
      </c>
      <c r="G3207" t="s">
        <v>65663</v>
      </c>
      <c r="H3207" t="s">
        <v>65664</v>
      </c>
      <c r="I3207" t="s">
        <v>65665</v>
      </c>
      <c r="J3207" t="s">
        <v>65666</v>
      </c>
      <c r="K3207" t="s">
        <v>65667</v>
      </c>
      <c r="L3207" t="s">
        <v>65668</v>
      </c>
      <c r="M3207" t="s">
        <v>65669</v>
      </c>
      <c r="N3207" t="s">
        <v>65670</v>
      </c>
      <c r="O3207">
        <f>-986.969844756262 -16.6658502205582 -495.343005833106</f>
        <v>-1498.9787008099263</v>
      </c>
      <c r="P3207">
        <f>-1050.64074011311 -42.3157556644285 -209.197527432655</f>
        <v>-1302.1540232101936</v>
      </c>
      <c r="Q3207">
        <f>-817.267530321722 -27.0709416414693 -267.123267134897</f>
        <v>-1111.4617390980884</v>
      </c>
      <c r="R3207" t="s">
        <v>65671</v>
      </c>
      <c r="S3207" t="s">
        <v>65672</v>
      </c>
      <c r="T3207" t="s">
        <v>65673</v>
      </c>
      <c r="U3207" t="s">
        <v>65674</v>
      </c>
      <c r="V3207" t="s">
        <v>65675</v>
      </c>
      <c r="W3207" t="s">
        <v>65676</v>
      </c>
      <c r="X3207" t="s">
        <v>65677</v>
      </c>
      <c r="Y3207" t="s">
        <v>65678</v>
      </c>
    </row>
    <row r="3208" spans="1:25" x14ac:dyDescent="0.3">
      <c r="A3208">
        <v>160350</v>
      </c>
      <c r="B3208" t="s">
        <v>65679</v>
      </c>
      <c r="C3208" t="s">
        <v>65680</v>
      </c>
      <c r="D3208" t="s">
        <v>65681</v>
      </c>
      <c r="E3208" t="s">
        <v>65682</v>
      </c>
      <c r="F3208" t="s">
        <v>65683</v>
      </c>
      <c r="G3208" t="s">
        <v>65684</v>
      </c>
      <c r="H3208" t="s">
        <v>65685</v>
      </c>
      <c r="I3208" t="s">
        <v>65686</v>
      </c>
      <c r="J3208" t="s">
        <v>65687</v>
      </c>
      <c r="K3208" t="s">
        <v>65688</v>
      </c>
      <c r="L3208" t="s">
        <v>65689</v>
      </c>
      <c r="M3208" t="s">
        <v>65690</v>
      </c>
      <c r="N3208" t="s">
        <v>65691</v>
      </c>
      <c r="O3208">
        <f>-986.408003852228 -16.7628583543346 -495.35697087228</f>
        <v>-1498.5278330788426</v>
      </c>
      <c r="P3208">
        <f>-1049.83064481569 -42.2548540385328 -209.142282825232</f>
        <v>-1301.2277816794549</v>
      </c>
      <c r="Q3208">
        <f>-816.599619587517 -26.7825849482965 -267.578468902407</f>
        <v>-1110.9606734382205</v>
      </c>
      <c r="R3208" t="s">
        <v>65692</v>
      </c>
      <c r="S3208" t="s">
        <v>65693</v>
      </c>
      <c r="T3208" t="s">
        <v>65694</v>
      </c>
      <c r="U3208" t="s">
        <v>65695</v>
      </c>
      <c r="V3208" t="s">
        <v>65696</v>
      </c>
      <c r="W3208" t="s">
        <v>65697</v>
      </c>
      <c r="X3208" t="s">
        <v>65698</v>
      </c>
      <c r="Y3208" t="s">
        <v>65699</v>
      </c>
    </row>
    <row r="3209" spans="1:25" x14ac:dyDescent="0.3">
      <c r="A3209">
        <v>160400</v>
      </c>
      <c r="B3209" t="s">
        <v>65700</v>
      </c>
      <c r="C3209" t="s">
        <v>65701</v>
      </c>
      <c r="D3209" t="s">
        <v>65702</v>
      </c>
      <c r="E3209" t="s">
        <v>65703</v>
      </c>
      <c r="F3209" t="s">
        <v>65704</v>
      </c>
      <c r="G3209" t="s">
        <v>65705</v>
      </c>
      <c r="H3209" t="s">
        <v>65706</v>
      </c>
      <c r="I3209" t="s">
        <v>65707</v>
      </c>
      <c r="J3209" t="s">
        <v>65708</v>
      </c>
      <c r="K3209" t="s">
        <v>65709</v>
      </c>
      <c r="L3209" t="s">
        <v>65710</v>
      </c>
      <c r="M3209" t="s">
        <v>65711</v>
      </c>
      <c r="N3209" t="s">
        <v>65712</v>
      </c>
      <c r="O3209">
        <f>-985.852538965993 -16.2655641244965 -495.547355746176</f>
        <v>-1497.6654588366655</v>
      </c>
      <c r="P3209">
        <f>-1049.10328674394 -41.7810257480312 -209.29668180462</f>
        <v>-1300.1809942965913</v>
      </c>
      <c r="Q3209">
        <f>-816.201442308673 -25.2988895150434 -268.760977459673</f>
        <v>-1110.2613092833894</v>
      </c>
      <c r="R3209" t="s">
        <v>65713</v>
      </c>
      <c r="S3209" t="s">
        <v>65714</v>
      </c>
      <c r="T3209" t="s">
        <v>65715</v>
      </c>
      <c r="U3209" t="s">
        <v>65716</v>
      </c>
      <c r="V3209" t="s">
        <v>65717</v>
      </c>
      <c r="W3209" t="s">
        <v>65718</v>
      </c>
      <c r="X3209" t="s">
        <v>65719</v>
      </c>
      <c r="Y3209" t="s">
        <v>65720</v>
      </c>
    </row>
    <row r="3210" spans="1:25" x14ac:dyDescent="0.3">
      <c r="A3210">
        <v>160450</v>
      </c>
      <c r="B3210" t="s">
        <v>65721</v>
      </c>
      <c r="C3210" t="s">
        <v>65722</v>
      </c>
      <c r="D3210" t="s">
        <v>65723</v>
      </c>
      <c r="E3210" t="s">
        <v>65724</v>
      </c>
      <c r="F3210" t="s">
        <v>65725</v>
      </c>
      <c r="G3210" t="s">
        <v>65726</v>
      </c>
      <c r="H3210" t="s">
        <v>65727</v>
      </c>
      <c r="I3210" t="s">
        <v>65728</v>
      </c>
      <c r="J3210" t="s">
        <v>65729</v>
      </c>
      <c r="K3210" t="s">
        <v>65730</v>
      </c>
      <c r="L3210" t="s">
        <v>65731</v>
      </c>
      <c r="M3210" t="s">
        <v>65732</v>
      </c>
      <c r="N3210" t="s">
        <v>65733</v>
      </c>
      <c r="O3210">
        <f>-985.61844320856 -16.0752794558884 -495.665623240132</f>
        <v>-1497.3593459045806</v>
      </c>
      <c r="P3210">
        <f>-1048.89351198752 -41.8356257887299 -209.44220983036</f>
        <v>-1300.17134760661</v>
      </c>
      <c r="Q3210">
        <f>-816.151519655091 -24.7079521527294 -269.347367433136</f>
        <v>-1110.2068392409565</v>
      </c>
      <c r="R3210" t="s">
        <v>65734</v>
      </c>
      <c r="S3210" t="s">
        <v>65735</v>
      </c>
      <c r="T3210" t="s">
        <v>65736</v>
      </c>
      <c r="U3210" t="s">
        <v>65737</v>
      </c>
      <c r="V3210" t="s">
        <v>65738</v>
      </c>
      <c r="W3210" t="s">
        <v>65739</v>
      </c>
      <c r="X3210" t="s">
        <v>65740</v>
      </c>
      <c r="Y3210" t="s">
        <v>65741</v>
      </c>
    </row>
    <row r="3211" spans="1:25" x14ac:dyDescent="0.3">
      <c r="A3211">
        <v>160500</v>
      </c>
      <c r="B3211" t="s">
        <v>65742</v>
      </c>
      <c r="C3211" t="s">
        <v>65743</v>
      </c>
      <c r="D3211" t="s">
        <v>65744</v>
      </c>
      <c r="E3211" t="s">
        <v>65745</v>
      </c>
      <c r="F3211" t="s">
        <v>65746</v>
      </c>
      <c r="G3211" t="s">
        <v>65747</v>
      </c>
      <c r="H3211" t="s">
        <v>65748</v>
      </c>
      <c r="I3211" t="s">
        <v>65749</v>
      </c>
      <c r="J3211" t="s">
        <v>65750</v>
      </c>
      <c r="K3211" t="s">
        <v>65751</v>
      </c>
      <c r="L3211" t="s">
        <v>65752</v>
      </c>
      <c r="M3211" t="s">
        <v>65753</v>
      </c>
      <c r="N3211" t="s">
        <v>65754</v>
      </c>
      <c r="O3211">
        <f>-984.917944111427 -15.9906355143253 -495.913192475375</f>
        <v>-1496.8217721011274</v>
      </c>
      <c r="P3211">
        <f>-1048.4804779484 -42.1923909032594 -209.793583338514</f>
        <v>-1300.4664521901734</v>
      </c>
      <c r="Q3211">
        <f>-815.926955972943 -24.1797140962954 -270.16864065303</f>
        <v>-1110.2753107222684</v>
      </c>
      <c r="R3211" t="s">
        <v>65755</v>
      </c>
      <c r="S3211" t="s">
        <v>65756</v>
      </c>
      <c r="T3211" t="s">
        <v>65757</v>
      </c>
      <c r="U3211" t="s">
        <v>65758</v>
      </c>
      <c r="V3211" t="s">
        <v>65759</v>
      </c>
      <c r="W3211" t="s">
        <v>65760</v>
      </c>
      <c r="X3211" t="s">
        <v>65761</v>
      </c>
      <c r="Y3211" t="s">
        <v>65762</v>
      </c>
    </row>
    <row r="3212" spans="1:25" x14ac:dyDescent="0.3">
      <c r="A3212">
        <v>160550</v>
      </c>
      <c r="B3212" t="s">
        <v>65763</v>
      </c>
      <c r="C3212" t="s">
        <v>65764</v>
      </c>
      <c r="D3212" t="s">
        <v>65765</v>
      </c>
      <c r="E3212" t="s">
        <v>65766</v>
      </c>
      <c r="F3212" t="s">
        <v>65767</v>
      </c>
      <c r="G3212" t="s">
        <v>65768</v>
      </c>
      <c r="H3212" t="s">
        <v>65769</v>
      </c>
      <c r="I3212" t="s">
        <v>65770</v>
      </c>
      <c r="J3212" t="s">
        <v>65771</v>
      </c>
      <c r="K3212" t="s">
        <v>65772</v>
      </c>
      <c r="L3212" t="s">
        <v>65773</v>
      </c>
      <c r="M3212" t="s">
        <v>65774</v>
      </c>
      <c r="N3212" t="s">
        <v>65775</v>
      </c>
      <c r="O3212">
        <f>-984.498455486746 -16.0895730095594 -496.003508925188</f>
        <v>-1496.5915374214935</v>
      </c>
      <c r="P3212">
        <f>-1048.18446961535 -42.4882698547822 -209.929392284068</f>
        <v>-1300.6021317542002</v>
      </c>
      <c r="Q3212">
        <f>-815.728382007419 -24.0299398964339 -270.545534752062</f>
        <v>-1110.3038566559148</v>
      </c>
      <c r="R3212" t="s">
        <v>65776</v>
      </c>
      <c r="S3212" t="s">
        <v>65777</v>
      </c>
      <c r="T3212" t="s">
        <v>65778</v>
      </c>
      <c r="U3212" t="s">
        <v>65779</v>
      </c>
      <c r="V3212" t="s">
        <v>65780</v>
      </c>
      <c r="W3212" t="s">
        <v>65781</v>
      </c>
      <c r="X3212" t="s">
        <v>65782</v>
      </c>
      <c r="Y3212" t="s">
        <v>65783</v>
      </c>
    </row>
    <row r="3213" spans="1:25" x14ac:dyDescent="0.3">
      <c r="A3213">
        <v>160600</v>
      </c>
      <c r="B3213" t="s">
        <v>65784</v>
      </c>
      <c r="C3213" t="s">
        <v>65785</v>
      </c>
      <c r="D3213" t="s">
        <v>65786</v>
      </c>
      <c r="E3213" t="s">
        <v>65787</v>
      </c>
      <c r="F3213" t="s">
        <v>65788</v>
      </c>
      <c r="G3213" t="s">
        <v>65789</v>
      </c>
      <c r="H3213" t="s">
        <v>65790</v>
      </c>
      <c r="I3213" t="s">
        <v>65791</v>
      </c>
      <c r="J3213" t="s">
        <v>65792</v>
      </c>
      <c r="K3213" t="s">
        <v>65793</v>
      </c>
      <c r="L3213" t="s">
        <v>65794</v>
      </c>
      <c r="M3213" t="s">
        <v>65795</v>
      </c>
      <c r="N3213" t="s">
        <v>65796</v>
      </c>
      <c r="O3213">
        <f>-983.707188055244 -16.1352206531487 -496.170429561184</f>
        <v>-1496.0128382695768</v>
      </c>
      <c r="P3213">
        <f>-1047.1749965246 -43.0417491683447 -210.095083529445</f>
        <v>-1300.3118292223896</v>
      </c>
      <c r="Q3213">
        <f>-814.980004877592 -23.4611350743994 -271.356533794986</f>
        <v>-1109.7976737469774</v>
      </c>
      <c r="R3213" t="s">
        <v>65797</v>
      </c>
      <c r="S3213" t="s">
        <v>65798</v>
      </c>
      <c r="T3213" t="s">
        <v>65799</v>
      </c>
      <c r="U3213" t="s">
        <v>65800</v>
      </c>
      <c r="V3213" t="s">
        <v>65801</v>
      </c>
      <c r="W3213" t="s">
        <v>65802</v>
      </c>
      <c r="X3213" t="s">
        <v>65803</v>
      </c>
      <c r="Y3213" t="s">
        <v>65804</v>
      </c>
    </row>
    <row r="3214" spans="1:25" x14ac:dyDescent="0.3">
      <c r="A3214">
        <v>160650</v>
      </c>
      <c r="B3214" t="s">
        <v>65805</v>
      </c>
      <c r="C3214" t="s">
        <v>65806</v>
      </c>
      <c r="D3214" t="s">
        <v>65807</v>
      </c>
      <c r="E3214" t="s">
        <v>65808</v>
      </c>
      <c r="F3214" t="s">
        <v>65809</v>
      </c>
      <c r="G3214" t="s">
        <v>65810</v>
      </c>
      <c r="H3214" t="s">
        <v>65811</v>
      </c>
      <c r="I3214" t="s">
        <v>65812</v>
      </c>
      <c r="J3214" t="s">
        <v>65813</v>
      </c>
      <c r="K3214" t="s">
        <v>65814</v>
      </c>
      <c r="L3214" t="s">
        <v>65815</v>
      </c>
      <c r="M3214" t="s">
        <v>65816</v>
      </c>
      <c r="N3214" t="s">
        <v>65817</v>
      </c>
      <c r="O3214">
        <f>-983.285920165568 -16.177035107899 -496.230191218615</f>
        <v>-1495.693146492082</v>
      </c>
      <c r="P3214">
        <f>-1046.45807529514 -43.3397497224528 -210.113714950703</f>
        <v>-1299.9115399682958</v>
      </c>
      <c r="Q3214">
        <f>-814.385927144226 -23.2668551344254 -271.680034990688</f>
        <v>-1109.3328172693396</v>
      </c>
      <c r="R3214" t="s">
        <v>65818</v>
      </c>
      <c r="S3214" t="s">
        <v>65819</v>
      </c>
      <c r="T3214" t="s">
        <v>65820</v>
      </c>
      <c r="U3214" t="s">
        <v>65821</v>
      </c>
      <c r="V3214" t="s">
        <v>65822</v>
      </c>
      <c r="W3214" t="s">
        <v>65823</v>
      </c>
      <c r="X3214" t="s">
        <v>65824</v>
      </c>
      <c r="Y3214" t="s">
        <v>65825</v>
      </c>
    </row>
    <row r="3215" spans="1:25" x14ac:dyDescent="0.3">
      <c r="A3215">
        <v>160700</v>
      </c>
      <c r="B3215" t="s">
        <v>65826</v>
      </c>
      <c r="C3215" t="s">
        <v>65827</v>
      </c>
      <c r="D3215" t="s">
        <v>65828</v>
      </c>
      <c r="E3215" t="s">
        <v>65829</v>
      </c>
      <c r="F3215" t="s">
        <v>65830</v>
      </c>
      <c r="G3215" t="s">
        <v>65831</v>
      </c>
      <c r="H3215" t="s">
        <v>65832</v>
      </c>
      <c r="I3215" t="s">
        <v>65833</v>
      </c>
      <c r="J3215" t="s">
        <v>65834</v>
      </c>
      <c r="K3215" t="s">
        <v>65835</v>
      </c>
      <c r="L3215" t="s">
        <v>65836</v>
      </c>
      <c r="M3215" t="s">
        <v>65837</v>
      </c>
      <c r="N3215" t="s">
        <v>65838</v>
      </c>
      <c r="O3215">
        <f>-982.238009486145 -16.0648732024824 -496.34138845417</f>
        <v>-1494.6442711427974</v>
      </c>
      <c r="P3215">
        <f>-1044.84063514287 -43.7277636173367 -210.14768665749</f>
        <v>-1298.7160854176968</v>
      </c>
      <c r="Q3215">
        <f>-813.046372823964 -22.5224930992272 -272.378156620238</f>
        <v>-1107.9470225434293</v>
      </c>
      <c r="R3215" t="s">
        <v>65839</v>
      </c>
      <c r="S3215" t="s">
        <v>65840</v>
      </c>
      <c r="T3215" t="s">
        <v>65841</v>
      </c>
      <c r="U3215" t="s">
        <v>65842</v>
      </c>
      <c r="V3215" t="s">
        <v>65843</v>
      </c>
      <c r="W3215" t="s">
        <v>65844</v>
      </c>
      <c r="X3215" t="s">
        <v>65845</v>
      </c>
      <c r="Y3215" t="s">
        <v>65846</v>
      </c>
    </row>
    <row r="3216" spans="1:25" x14ac:dyDescent="0.3">
      <c r="A3216">
        <v>160750</v>
      </c>
      <c r="B3216" t="s">
        <v>65847</v>
      </c>
      <c r="C3216" t="s">
        <v>65848</v>
      </c>
      <c r="D3216" t="s">
        <v>65849</v>
      </c>
      <c r="E3216" t="s">
        <v>65850</v>
      </c>
      <c r="F3216" t="s">
        <v>65851</v>
      </c>
      <c r="G3216" t="s">
        <v>65852</v>
      </c>
      <c r="H3216" t="s">
        <v>65853</v>
      </c>
      <c r="I3216" t="s">
        <v>65854</v>
      </c>
      <c r="J3216" t="s">
        <v>65855</v>
      </c>
      <c r="K3216" t="s">
        <v>65856</v>
      </c>
      <c r="L3216" t="s">
        <v>65857</v>
      </c>
      <c r="M3216" t="s">
        <v>65858</v>
      </c>
      <c r="N3216" t="s">
        <v>65859</v>
      </c>
      <c r="O3216">
        <f>-981.377674331566 -15.8700741809093 -496.472851465691</f>
        <v>-1493.7205999781663</v>
      </c>
      <c r="P3216">
        <f>-1043.90805117342 -43.7472533665873 -210.284018192174</f>
        <v>-1297.9393227321814</v>
      </c>
      <c r="Q3216">
        <f>-812.214617088935 -22.265210211785 -272.795072827562</f>
        <v>-1107.2749001282821</v>
      </c>
      <c r="R3216" t="s">
        <v>65860</v>
      </c>
      <c r="S3216" t="s">
        <v>65861</v>
      </c>
      <c r="T3216" t="s">
        <v>65862</v>
      </c>
      <c r="U3216" t="s">
        <v>65863</v>
      </c>
      <c r="V3216" t="s">
        <v>65864</v>
      </c>
      <c r="W3216" t="s">
        <v>65865</v>
      </c>
      <c r="X3216" t="s">
        <v>65866</v>
      </c>
      <c r="Y3216" t="s">
        <v>65867</v>
      </c>
    </row>
    <row r="3217" spans="1:25" x14ac:dyDescent="0.3">
      <c r="A3217">
        <v>160800</v>
      </c>
      <c r="B3217" t="s">
        <v>65868</v>
      </c>
      <c r="C3217" t="s">
        <v>65869</v>
      </c>
      <c r="D3217" t="s">
        <v>65870</v>
      </c>
      <c r="E3217" t="s">
        <v>65871</v>
      </c>
      <c r="F3217" t="s">
        <v>65872</v>
      </c>
      <c r="G3217" t="s">
        <v>65873</v>
      </c>
      <c r="H3217" t="s">
        <v>65874</v>
      </c>
      <c r="I3217" t="s">
        <v>65875</v>
      </c>
      <c r="J3217" t="s">
        <v>65876</v>
      </c>
      <c r="K3217" t="s">
        <v>65877</v>
      </c>
      <c r="L3217" t="s">
        <v>65878</v>
      </c>
      <c r="M3217" t="s">
        <v>65879</v>
      </c>
      <c r="N3217" t="s">
        <v>65880</v>
      </c>
      <c r="O3217">
        <f>-979.740737954656 -15.4645577221227 -496.853344300574</f>
        <v>-1492.0586399773526</v>
      </c>
      <c r="P3217">
        <f>-1042.56956133321 -43.8023798334518 -210.77528163292</f>
        <v>-1297.1472227995819</v>
      </c>
      <c r="Q3217">
        <f>-810.960290166979 -21.6872426481068 -273.376924388807</f>
        <v>-1106.0244572038928</v>
      </c>
      <c r="R3217" t="s">
        <v>65881</v>
      </c>
      <c r="S3217" t="s">
        <v>65882</v>
      </c>
      <c r="T3217" t="s">
        <v>65883</v>
      </c>
      <c r="U3217" t="s">
        <v>65884</v>
      </c>
      <c r="V3217" t="s">
        <v>65885</v>
      </c>
      <c r="W3217" t="s">
        <v>65886</v>
      </c>
      <c r="X3217" t="s">
        <v>65887</v>
      </c>
      <c r="Y3217" t="s">
        <v>65888</v>
      </c>
    </row>
    <row r="3218" spans="1:25" x14ac:dyDescent="0.3">
      <c r="A3218">
        <v>160850</v>
      </c>
      <c r="B3218" t="s">
        <v>65889</v>
      </c>
      <c r="C3218" t="s">
        <v>65890</v>
      </c>
      <c r="D3218" t="s">
        <v>65891</v>
      </c>
      <c r="E3218" t="s">
        <v>65892</v>
      </c>
      <c r="F3218" t="s">
        <v>65893</v>
      </c>
      <c r="G3218" t="s">
        <v>65894</v>
      </c>
      <c r="H3218" t="s">
        <v>65895</v>
      </c>
      <c r="I3218" t="s">
        <v>65896</v>
      </c>
      <c r="J3218" t="s">
        <v>65897</v>
      </c>
      <c r="K3218" t="s">
        <v>65898</v>
      </c>
      <c r="L3218" t="s">
        <v>65899</v>
      </c>
      <c r="M3218" t="s">
        <v>65900</v>
      </c>
      <c r="N3218" t="s">
        <v>65901</v>
      </c>
      <c r="O3218">
        <f>-979.013111443678 -15.5131499516806 -496.990478520579</f>
        <v>-1491.5167399159377</v>
      </c>
      <c r="P3218">
        <f>-1041.83467430249 -44.0719084936081 -210.932689689257</f>
        <v>-1296.839272485355</v>
      </c>
      <c r="Q3218">
        <f>-810.314373077552 -21.581483707294 -273.729643827763</f>
        <v>-1105.6255006126089</v>
      </c>
      <c r="R3218" t="s">
        <v>65902</v>
      </c>
      <c r="S3218" t="s">
        <v>65903</v>
      </c>
      <c r="T3218" t="s">
        <v>65904</v>
      </c>
      <c r="U3218" t="s">
        <v>65905</v>
      </c>
      <c r="V3218" t="s">
        <v>65906</v>
      </c>
      <c r="W3218" t="s">
        <v>65907</v>
      </c>
      <c r="X3218" t="s">
        <v>65908</v>
      </c>
      <c r="Y3218" t="s">
        <v>65909</v>
      </c>
    </row>
    <row r="3219" spans="1:25" x14ac:dyDescent="0.3">
      <c r="A3219">
        <v>160900</v>
      </c>
      <c r="B3219" t="s">
        <v>65910</v>
      </c>
      <c r="C3219" t="s">
        <v>65911</v>
      </c>
      <c r="D3219" t="s">
        <v>65912</v>
      </c>
      <c r="E3219" t="s">
        <v>65913</v>
      </c>
      <c r="F3219" t="s">
        <v>65914</v>
      </c>
      <c r="G3219" t="s">
        <v>65915</v>
      </c>
      <c r="H3219" t="s">
        <v>65916</v>
      </c>
      <c r="I3219" t="s">
        <v>65917</v>
      </c>
      <c r="J3219" t="s">
        <v>65918</v>
      </c>
      <c r="K3219" t="s">
        <v>65919</v>
      </c>
      <c r="L3219" t="s">
        <v>65920</v>
      </c>
      <c r="M3219" t="s">
        <v>65921</v>
      </c>
      <c r="N3219" t="s">
        <v>65922</v>
      </c>
      <c r="O3219">
        <f>-977.568786435186 -16.05788392673 -496.960693381753</f>
        <v>-1490.5873637436689</v>
      </c>
      <c r="P3219">
        <f>-1040.15728062962 -44.3312864636368 -210.823324317772</f>
        <v>-1295.3118914110287</v>
      </c>
      <c r="Q3219">
        <f>-808.80490053469 -21.9679562706842 -274.28049442433</f>
        <v>-1105.0533512297043</v>
      </c>
      <c r="R3219" t="s">
        <v>65923</v>
      </c>
      <c r="S3219" t="s">
        <v>65924</v>
      </c>
      <c r="T3219" t="s">
        <v>65925</v>
      </c>
      <c r="U3219" t="s">
        <v>65926</v>
      </c>
      <c r="V3219" t="s">
        <v>65927</v>
      </c>
      <c r="W3219" t="s">
        <v>65928</v>
      </c>
      <c r="X3219" t="s">
        <v>65929</v>
      </c>
      <c r="Y3219" t="s">
        <v>65930</v>
      </c>
    </row>
    <row r="3220" spans="1:25" x14ac:dyDescent="0.3">
      <c r="A3220">
        <v>160950</v>
      </c>
      <c r="B3220" t="s">
        <v>65931</v>
      </c>
      <c r="C3220" t="s">
        <v>65932</v>
      </c>
      <c r="D3220" t="s">
        <v>65933</v>
      </c>
      <c r="E3220" t="s">
        <v>65934</v>
      </c>
      <c r="F3220" t="s">
        <v>65935</v>
      </c>
      <c r="G3220" t="s">
        <v>65936</v>
      </c>
      <c r="H3220" t="s">
        <v>65937</v>
      </c>
      <c r="I3220" t="s">
        <v>65938</v>
      </c>
      <c r="J3220" t="s">
        <v>65939</v>
      </c>
      <c r="K3220" t="s">
        <v>65940</v>
      </c>
      <c r="L3220" t="s">
        <v>65941</v>
      </c>
      <c r="M3220" t="s">
        <v>65942</v>
      </c>
      <c r="N3220" t="s">
        <v>65943</v>
      </c>
      <c r="O3220">
        <f>-976.765014005444 -16.489719092755 -496.819523807637</f>
        <v>-1490.0742569058359</v>
      </c>
      <c r="P3220">
        <f>-1039.34147367351 -44.3344359318876 -210.637570176473</f>
        <v>-1294.3134797818707</v>
      </c>
      <c r="Q3220">
        <f>-808.123759229498 -22.3887568357413 -274.728620901651</f>
        <v>-1105.2411369668903</v>
      </c>
      <c r="R3220" t="s">
        <v>65944</v>
      </c>
      <c r="S3220" t="s">
        <v>65945</v>
      </c>
      <c r="T3220" t="s">
        <v>65946</v>
      </c>
      <c r="U3220" t="s">
        <v>65947</v>
      </c>
      <c r="V3220" t="s">
        <v>65948</v>
      </c>
      <c r="W3220" t="s">
        <v>65949</v>
      </c>
      <c r="X3220" t="s">
        <v>65950</v>
      </c>
      <c r="Y3220" t="s">
        <v>65951</v>
      </c>
    </row>
    <row r="3221" spans="1:25" x14ac:dyDescent="0.3">
      <c r="A3221">
        <v>161000</v>
      </c>
      <c r="B3221" t="s">
        <v>65952</v>
      </c>
      <c r="C3221" t="s">
        <v>65953</v>
      </c>
      <c r="D3221" t="s">
        <v>65954</v>
      </c>
      <c r="E3221" t="s">
        <v>65955</v>
      </c>
      <c r="F3221" t="s">
        <v>65956</v>
      </c>
      <c r="G3221" t="s">
        <v>65957</v>
      </c>
      <c r="H3221" t="s">
        <v>65958</v>
      </c>
      <c r="I3221" t="s">
        <v>65959</v>
      </c>
      <c r="J3221" t="s">
        <v>65960</v>
      </c>
      <c r="K3221" t="s">
        <v>65961</v>
      </c>
      <c r="L3221" t="s">
        <v>65962</v>
      </c>
      <c r="M3221" t="s">
        <v>65963</v>
      </c>
      <c r="N3221" t="s">
        <v>65964</v>
      </c>
      <c r="O3221">
        <f>-974.982441167986 -17.8465288384891 -496.368761009035</f>
        <v>-1489.1977310155103</v>
      </c>
      <c r="P3221">
        <f>-1037.36417858925 -44.2711742652352 -210.009818616686</f>
        <v>-1291.6451714711714</v>
      </c>
      <c r="Q3221">
        <f>-806.621873400512 -24.5016588763478 -276.477687938378</f>
        <v>-1107.6012202152378</v>
      </c>
      <c r="R3221" t="s">
        <v>65965</v>
      </c>
      <c r="S3221" t="s">
        <v>65966</v>
      </c>
      <c r="T3221" t="s">
        <v>65967</v>
      </c>
      <c r="U3221" t="s">
        <v>65968</v>
      </c>
      <c r="V3221" t="s">
        <v>65969</v>
      </c>
      <c r="W3221" t="s">
        <v>65970</v>
      </c>
      <c r="X3221" t="s">
        <v>65971</v>
      </c>
      <c r="Y3221" t="s">
        <v>65972</v>
      </c>
    </row>
    <row r="3222" spans="1:25" x14ac:dyDescent="0.3">
      <c r="A3222">
        <v>161050</v>
      </c>
      <c r="B3222" t="s">
        <v>65973</v>
      </c>
      <c r="C3222" t="s">
        <v>65974</v>
      </c>
      <c r="D3222" t="s">
        <v>65975</v>
      </c>
      <c r="E3222" t="s">
        <v>65976</v>
      </c>
      <c r="F3222" t="s">
        <v>65977</v>
      </c>
      <c r="G3222" t="s">
        <v>65978</v>
      </c>
      <c r="H3222" t="s">
        <v>65979</v>
      </c>
      <c r="I3222" t="s">
        <v>65980</v>
      </c>
      <c r="J3222" t="s">
        <v>65981</v>
      </c>
      <c r="K3222" t="s">
        <v>65982</v>
      </c>
      <c r="L3222" t="s">
        <v>65983</v>
      </c>
      <c r="M3222" t="s">
        <v>65984</v>
      </c>
      <c r="N3222" t="s">
        <v>65985</v>
      </c>
      <c r="O3222">
        <f>-973.952328910963 -18.7394912731488 -496.036328553626</f>
        <v>-1488.7281487377379</v>
      </c>
      <c r="P3222">
        <f>-1035.87812500126 -44.871904092043 -209.551635271262</f>
        <v>-1290.3016643645651</v>
      </c>
      <c r="Q3222">
        <f>-805.634075043955 -26.6052609497324 -278.143651598122</f>
        <v>-1110.3829875918095</v>
      </c>
      <c r="R3222" t="s">
        <v>65986</v>
      </c>
      <c r="S3222" t="s">
        <v>65987</v>
      </c>
      <c r="T3222" t="s">
        <v>65988</v>
      </c>
      <c r="U3222" t="s">
        <v>65989</v>
      </c>
      <c r="V3222" t="s">
        <v>65990</v>
      </c>
      <c r="W3222" t="s">
        <v>65991</v>
      </c>
      <c r="X3222" t="s">
        <v>65992</v>
      </c>
      <c r="Y3222" t="s">
        <v>65993</v>
      </c>
    </row>
    <row r="3223" spans="1:25" x14ac:dyDescent="0.3">
      <c r="A3223">
        <v>161100</v>
      </c>
      <c r="B3223" t="s">
        <v>65994</v>
      </c>
      <c r="C3223" t="s">
        <v>65995</v>
      </c>
      <c r="D3223" t="s">
        <v>65996</v>
      </c>
      <c r="E3223" t="s">
        <v>65997</v>
      </c>
      <c r="F3223" t="s">
        <v>65998</v>
      </c>
      <c r="G3223" t="s">
        <v>65999</v>
      </c>
      <c r="H3223" t="s">
        <v>66000</v>
      </c>
      <c r="I3223" t="s">
        <v>66001</v>
      </c>
      <c r="J3223" t="s">
        <v>66002</v>
      </c>
      <c r="K3223" t="s">
        <v>66003</v>
      </c>
      <c r="L3223" t="s">
        <v>66004</v>
      </c>
      <c r="M3223" t="s">
        <v>66005</v>
      </c>
      <c r="N3223" t="s">
        <v>66006</v>
      </c>
      <c r="O3223">
        <f>-971.955744465461 -20.9077790329984 -495.25776213134</f>
        <v>-1488.1212856297993</v>
      </c>
      <c r="P3223">
        <f>-1032.24315240117 -47.6736408580844 -208.482155007035</f>
        <v>-1288.3989482662894</v>
      </c>
      <c r="Q3223">
        <f>-803.538619999659 -33.4721466429501 -282.93636034757</f>
        <v>-1119.947126990179</v>
      </c>
      <c r="R3223" t="s">
        <v>66007</v>
      </c>
      <c r="S3223" t="s">
        <v>66008</v>
      </c>
      <c r="T3223" t="s">
        <v>66009</v>
      </c>
      <c r="U3223" t="s">
        <v>66010</v>
      </c>
      <c r="V3223" t="s">
        <v>66011</v>
      </c>
      <c r="W3223" t="s">
        <v>66012</v>
      </c>
      <c r="X3223" t="s">
        <v>66013</v>
      </c>
      <c r="Y3223" t="s">
        <v>66014</v>
      </c>
    </row>
    <row r="3224" spans="1:25" x14ac:dyDescent="0.3">
      <c r="A3224">
        <v>161150</v>
      </c>
      <c r="B3224" t="s">
        <v>66015</v>
      </c>
      <c r="C3224" t="s">
        <v>66016</v>
      </c>
      <c r="D3224" t="s">
        <v>66017</v>
      </c>
      <c r="E3224" t="s">
        <v>66018</v>
      </c>
      <c r="F3224" t="s">
        <v>66019</v>
      </c>
      <c r="G3224" t="s">
        <v>66020</v>
      </c>
      <c r="H3224" t="s">
        <v>66021</v>
      </c>
      <c r="I3224" t="s">
        <v>66022</v>
      </c>
      <c r="J3224" t="s">
        <v>66023</v>
      </c>
      <c r="K3224" t="s">
        <v>66024</v>
      </c>
      <c r="L3224" t="s">
        <v>66025</v>
      </c>
      <c r="M3224" t="s">
        <v>66026</v>
      </c>
      <c r="N3224" t="s">
        <v>66027</v>
      </c>
      <c r="O3224">
        <f>-970.774634720066 -21.8485739520329 -494.996760024379</f>
        <v>-1487.6199686964778</v>
      </c>
      <c r="P3224">
        <f>-1029.99968430912 -49.4661098727422 -208.080602482086</f>
        <v>-1287.5463966639484</v>
      </c>
      <c r="Q3224">
        <f>-802.275211854693 -37.3747474739064 -285.837377030981</f>
        <v>-1125.4873363595802</v>
      </c>
      <c r="R3224" t="s">
        <v>66028</v>
      </c>
      <c r="S3224" t="s">
        <v>66029</v>
      </c>
      <c r="T3224" t="s">
        <v>66030</v>
      </c>
      <c r="U3224" t="s">
        <v>66031</v>
      </c>
      <c r="V3224" t="s">
        <v>66032</v>
      </c>
      <c r="W3224" t="s">
        <v>66033</v>
      </c>
      <c r="X3224" t="s">
        <v>66034</v>
      </c>
      <c r="Y3224" t="s">
        <v>66035</v>
      </c>
    </row>
    <row r="3225" spans="1:25" x14ac:dyDescent="0.3">
      <c r="A3225">
        <v>161200</v>
      </c>
      <c r="B3225" t="s">
        <v>66036</v>
      </c>
      <c r="C3225" t="s">
        <v>66037</v>
      </c>
      <c r="D3225" t="s">
        <v>66038</v>
      </c>
      <c r="E3225" t="s">
        <v>66039</v>
      </c>
      <c r="F3225" t="s">
        <v>66040</v>
      </c>
      <c r="G3225" t="s">
        <v>66041</v>
      </c>
      <c r="H3225" t="s">
        <v>66042</v>
      </c>
      <c r="I3225" t="s">
        <v>66043</v>
      </c>
      <c r="J3225" t="s">
        <v>66044</v>
      </c>
      <c r="K3225" t="s">
        <v>66045</v>
      </c>
      <c r="L3225" t="s">
        <v>66046</v>
      </c>
      <c r="M3225" t="s">
        <v>66047</v>
      </c>
      <c r="N3225" t="s">
        <v>66048</v>
      </c>
      <c r="O3225">
        <f>-968.563728715498 -23.2714785004309 -494.487630387484</f>
        <v>-1486.3228376034128</v>
      </c>
      <c r="P3225">
        <f>-1025.27004316655 -52.9608083633561 -207.2696095545</f>
        <v>-1285.5004610844062</v>
      </c>
      <c r="Q3225">
        <f>-800.161126314656 -42.9462969091094 -292.572539028042</f>
        <v>-1135.6799622518074</v>
      </c>
      <c r="R3225" t="s">
        <v>66049</v>
      </c>
      <c r="S3225" t="s">
        <v>66050</v>
      </c>
      <c r="T3225" t="s">
        <v>66051</v>
      </c>
      <c r="U3225" t="s">
        <v>66052</v>
      </c>
      <c r="V3225" t="s">
        <v>66053</v>
      </c>
      <c r="W3225" t="s">
        <v>66054</v>
      </c>
      <c r="X3225" t="s">
        <v>66055</v>
      </c>
      <c r="Y3225" t="s">
        <v>66056</v>
      </c>
    </row>
    <row r="3226" spans="1:25" x14ac:dyDescent="0.3">
      <c r="A3226">
        <v>161250</v>
      </c>
      <c r="B3226" t="s">
        <v>66057</v>
      </c>
      <c r="C3226" t="s">
        <v>66058</v>
      </c>
      <c r="D3226" t="s">
        <v>66059</v>
      </c>
      <c r="E3226" t="s">
        <v>66060</v>
      </c>
      <c r="F3226" t="s">
        <v>66061</v>
      </c>
      <c r="G3226" t="s">
        <v>66062</v>
      </c>
      <c r="H3226" t="s">
        <v>66063</v>
      </c>
      <c r="I3226" t="s">
        <v>66064</v>
      </c>
      <c r="J3226" t="s">
        <v>66065</v>
      </c>
      <c r="K3226" t="s">
        <v>66066</v>
      </c>
      <c r="L3226" t="s">
        <v>66067</v>
      </c>
      <c r="M3226" t="s">
        <v>66068</v>
      </c>
      <c r="N3226" t="s">
        <v>66069</v>
      </c>
      <c r="O3226">
        <f>-967.624100696867 -23.938066158838 -494.181998727718</f>
        <v>-1485.744165583423</v>
      </c>
      <c r="P3226">
        <f>-1022.47778855248 -54.4550469173146 -206.691081823254</f>
        <v>-1283.6239172930486</v>
      </c>
      <c r="Q3226">
        <f>-799.196456013971 -44.92291174356 -296.721316463163</f>
        <v>-1140.8406842206941</v>
      </c>
      <c r="R3226" t="s">
        <v>66070</v>
      </c>
      <c r="S3226" t="s">
        <v>66071</v>
      </c>
      <c r="T3226" t="s">
        <v>66072</v>
      </c>
      <c r="U3226" t="s">
        <v>66073</v>
      </c>
      <c r="V3226" t="s">
        <v>66074</v>
      </c>
      <c r="W3226" t="s">
        <v>66075</v>
      </c>
      <c r="X3226" t="s">
        <v>66076</v>
      </c>
      <c r="Y3226" t="s">
        <v>66077</v>
      </c>
    </row>
    <row r="3227" spans="1:25" x14ac:dyDescent="0.3">
      <c r="A3227">
        <v>161300</v>
      </c>
      <c r="B3227" t="s">
        <v>66078</v>
      </c>
      <c r="C3227" t="s">
        <v>66079</v>
      </c>
      <c r="D3227" t="s">
        <v>66080</v>
      </c>
      <c r="E3227" t="s">
        <v>66081</v>
      </c>
      <c r="F3227" t="s">
        <v>66082</v>
      </c>
      <c r="G3227" t="s">
        <v>66083</v>
      </c>
      <c r="H3227" t="s">
        <v>66084</v>
      </c>
      <c r="I3227" t="s">
        <v>66085</v>
      </c>
      <c r="J3227" t="s">
        <v>66086</v>
      </c>
      <c r="K3227" t="s">
        <v>66087</v>
      </c>
      <c r="L3227" t="s">
        <v>66088</v>
      </c>
      <c r="M3227" t="s">
        <v>66089</v>
      </c>
      <c r="N3227" t="s">
        <v>66090</v>
      </c>
      <c r="O3227">
        <f>-965.741332887375 -24.9801509181948 -493.698557084209</f>
        <v>-1484.4200408897789</v>
      </c>
      <c r="P3227">
        <f>-1014.87610822793 -56.2627020352006 -205.257264175723</f>
        <v>-1276.3960744388537</v>
      </c>
      <c r="Q3227">
        <f>-796.349221073376 -47.4936017968441 -306.3506146623</f>
        <v>-1150.1934375325202</v>
      </c>
      <c r="R3227" t="s">
        <v>66091</v>
      </c>
      <c r="S3227" t="s">
        <v>66092</v>
      </c>
      <c r="T3227" t="s">
        <v>66093</v>
      </c>
      <c r="U3227" t="s">
        <v>66094</v>
      </c>
      <c r="V3227" t="s">
        <v>66095</v>
      </c>
      <c r="W3227" t="s">
        <v>66096</v>
      </c>
      <c r="X3227" t="s">
        <v>66097</v>
      </c>
      <c r="Y3227" t="s">
        <v>66098</v>
      </c>
    </row>
    <row r="3228" spans="1:25" x14ac:dyDescent="0.3">
      <c r="A3228">
        <v>161350</v>
      </c>
      <c r="B3228" t="s">
        <v>66099</v>
      </c>
      <c r="C3228" t="s">
        <v>66100</v>
      </c>
      <c r="D3228" t="s">
        <v>66101</v>
      </c>
      <c r="E3228" t="s">
        <v>66102</v>
      </c>
      <c r="F3228" t="s">
        <v>66103</v>
      </c>
      <c r="G3228" t="s">
        <v>66104</v>
      </c>
      <c r="H3228" t="s">
        <v>66105</v>
      </c>
      <c r="I3228" t="s">
        <v>66106</v>
      </c>
      <c r="J3228" t="s">
        <v>66107</v>
      </c>
      <c r="K3228" t="s">
        <v>66108</v>
      </c>
      <c r="L3228" t="s">
        <v>66109</v>
      </c>
      <c r="M3228" t="s">
        <v>66110</v>
      </c>
      <c r="N3228" t="s">
        <v>66111</v>
      </c>
      <c r="O3228">
        <f>-964.846450972161 -25.3244302879962 -493.522755292201</f>
        <v>-1483.6936365523582</v>
      </c>
      <c r="P3228">
        <f>-1010.38011944753 -56.7555893549463 -204.507233523847</f>
        <v>-1271.6429423263232</v>
      </c>
      <c r="Q3228">
        <f>-794.816090799282 -48.6926726627466 -311.829203184321</f>
        <v>-1155.3379666463497</v>
      </c>
      <c r="R3228" t="s">
        <v>66112</v>
      </c>
      <c r="S3228" t="s">
        <v>66113</v>
      </c>
      <c r="T3228" t="s">
        <v>66114</v>
      </c>
      <c r="U3228" t="s">
        <v>66115</v>
      </c>
      <c r="V3228" t="s">
        <v>66116</v>
      </c>
      <c r="W3228" t="s">
        <v>66117</v>
      </c>
      <c r="X3228" t="s">
        <v>66118</v>
      </c>
      <c r="Y3228" t="s">
        <v>66119</v>
      </c>
    </row>
    <row r="3229" spans="1:25" x14ac:dyDescent="0.3">
      <c r="A3229">
        <v>161400</v>
      </c>
      <c r="B3229" t="s">
        <v>66120</v>
      </c>
      <c r="C3229" t="s">
        <v>66121</v>
      </c>
      <c r="D3229" t="s">
        <v>66122</v>
      </c>
      <c r="E3229" t="s">
        <v>66123</v>
      </c>
      <c r="F3229" t="s">
        <v>66124</v>
      </c>
      <c r="G3229" t="s">
        <v>66125</v>
      </c>
      <c r="H3229" t="s">
        <v>66126</v>
      </c>
      <c r="I3229" t="s">
        <v>66127</v>
      </c>
      <c r="J3229" t="s">
        <v>66128</v>
      </c>
      <c r="K3229" t="s">
        <v>66129</v>
      </c>
      <c r="L3229" t="s">
        <v>66130</v>
      </c>
      <c r="M3229" t="s">
        <v>66131</v>
      </c>
      <c r="N3229" t="s">
        <v>66132</v>
      </c>
      <c r="O3229">
        <f>-962.603841729087 -26.0411950570051 -493.366015162008</f>
        <v>-1482.0110519481</v>
      </c>
      <c r="P3229">
        <f>-1001.2210137476 -57.8875922910559 -203.390647552052</f>
        <v>-1262.4992535907079</v>
      </c>
      <c r="Q3229">
        <f>-791.577334717432 -52.7798412282541 -322.025785240996</f>
        <v>-1166.3829611866822</v>
      </c>
      <c r="R3229" t="s">
        <v>66133</v>
      </c>
      <c r="S3229" t="s">
        <v>66134</v>
      </c>
      <c r="T3229" t="s">
        <v>66135</v>
      </c>
      <c r="U3229" t="s">
        <v>66136</v>
      </c>
      <c r="V3229" t="s">
        <v>66137</v>
      </c>
      <c r="W3229" t="s">
        <v>66138</v>
      </c>
      <c r="X3229" t="s">
        <v>66139</v>
      </c>
      <c r="Y3229" t="s">
        <v>66140</v>
      </c>
    </row>
    <row r="3230" spans="1:25" x14ac:dyDescent="0.3">
      <c r="A3230">
        <v>161450</v>
      </c>
      <c r="B3230" t="s">
        <v>66141</v>
      </c>
      <c r="C3230" t="s">
        <v>66142</v>
      </c>
      <c r="D3230" t="s">
        <v>66143</v>
      </c>
      <c r="E3230" t="s">
        <v>66144</v>
      </c>
      <c r="F3230" t="s">
        <v>66145</v>
      </c>
      <c r="G3230" t="s">
        <v>66146</v>
      </c>
      <c r="H3230" t="s">
        <v>66147</v>
      </c>
      <c r="I3230" t="s">
        <v>66148</v>
      </c>
      <c r="J3230" t="s">
        <v>66149</v>
      </c>
      <c r="K3230" t="s">
        <v>66150</v>
      </c>
      <c r="L3230" t="s">
        <v>66151</v>
      </c>
      <c r="M3230" t="s">
        <v>66152</v>
      </c>
      <c r="N3230" t="s">
        <v>66153</v>
      </c>
      <c r="O3230">
        <f>-961.402009373264 -26.3707794739862 -493.375650228674</f>
        <v>-1481.1484390759242</v>
      </c>
      <c r="P3230">
        <f>-996.887327830387 -58.6421859225909 -203.047393820985</f>
        <v>-1258.5769075739629</v>
      </c>
      <c r="Q3230">
        <f>-790.068418377271 -54.8307098523762 -326.588122961686</f>
        <v>-1171.4872511913331</v>
      </c>
      <c r="R3230" t="s">
        <v>66154</v>
      </c>
      <c r="S3230" t="s">
        <v>66155</v>
      </c>
      <c r="T3230" t="s">
        <v>66156</v>
      </c>
      <c r="U3230" t="s">
        <v>66157</v>
      </c>
      <c r="V3230" t="s">
        <v>66158</v>
      </c>
      <c r="W3230" t="s">
        <v>66159</v>
      </c>
      <c r="X3230" t="s">
        <v>66160</v>
      </c>
      <c r="Y3230" t="s">
        <v>66161</v>
      </c>
    </row>
    <row r="3231" spans="1:25" x14ac:dyDescent="0.3">
      <c r="A3231">
        <v>161500</v>
      </c>
      <c r="B3231" t="s">
        <v>66162</v>
      </c>
      <c r="C3231" t="s">
        <v>66163</v>
      </c>
      <c r="D3231" t="s">
        <v>66164</v>
      </c>
      <c r="E3231" t="s">
        <v>66165</v>
      </c>
      <c r="F3231" t="s">
        <v>66166</v>
      </c>
      <c r="G3231" t="s">
        <v>66167</v>
      </c>
      <c r="H3231" t="s">
        <v>66168</v>
      </c>
      <c r="I3231" t="s">
        <v>66169</v>
      </c>
      <c r="J3231" t="s">
        <v>66170</v>
      </c>
      <c r="K3231" t="s">
        <v>66171</v>
      </c>
      <c r="L3231" t="s">
        <v>66172</v>
      </c>
      <c r="M3231" t="s">
        <v>66173</v>
      </c>
      <c r="N3231" t="s">
        <v>66174</v>
      </c>
      <c r="O3231">
        <f>-959.695630818102 -27.1864305221043 -493.296359033239</f>
        <v>-1480.1784203734453</v>
      </c>
      <c r="P3231">
        <f>-988.859646724551 -60.1733902945161 -202.345327363688</f>
        <v>-1251.3783643827551</v>
      </c>
      <c r="Q3231">
        <f>-787.618312568596 -58.6013599536293 -334.823293741264</f>
        <v>-1181.0429662634892</v>
      </c>
      <c r="R3231" t="s">
        <v>66175</v>
      </c>
      <c r="S3231" t="s">
        <v>66176</v>
      </c>
      <c r="T3231" t="s">
        <v>66177</v>
      </c>
      <c r="U3231" t="s">
        <v>66178</v>
      </c>
      <c r="V3231" t="s">
        <v>66179</v>
      </c>
      <c r="W3231" t="s">
        <v>66180</v>
      </c>
      <c r="X3231" t="s">
        <v>66181</v>
      </c>
      <c r="Y3231" t="s">
        <v>66182</v>
      </c>
    </row>
    <row r="3232" spans="1:25" x14ac:dyDescent="0.3">
      <c r="A3232">
        <v>161550</v>
      </c>
      <c r="B3232" t="s">
        <v>66183</v>
      </c>
      <c r="C3232" t="s">
        <v>66184</v>
      </c>
      <c r="D3232" t="s">
        <v>66185</v>
      </c>
      <c r="E3232" t="s">
        <v>66186</v>
      </c>
      <c r="F3232" t="s">
        <v>66187</v>
      </c>
      <c r="G3232" t="s">
        <v>66188</v>
      </c>
      <c r="H3232" t="s">
        <v>66189</v>
      </c>
      <c r="I3232" t="s">
        <v>66190</v>
      </c>
      <c r="J3232" t="s">
        <v>66191</v>
      </c>
      <c r="K3232" t="s">
        <v>66192</v>
      </c>
      <c r="L3232" t="s">
        <v>66193</v>
      </c>
      <c r="M3232" t="s">
        <v>66194</v>
      </c>
      <c r="N3232" t="s">
        <v>66195</v>
      </c>
      <c r="O3232">
        <f>-959.228199847063 -27.5713829404881 -493.277392286418</f>
        <v>-1480.0769750739692</v>
      </c>
      <c r="P3232">
        <f>-985.18912793918 -60.7836257599367 -202.048525038416</f>
        <v>-1248.0212787375328</v>
      </c>
      <c r="Q3232">
        <f>-786.569249657337 -60.458656198053 -338.433493648848</f>
        <v>-1185.461399504238</v>
      </c>
      <c r="R3232" t="s">
        <v>66196</v>
      </c>
      <c r="S3232" t="s">
        <v>66197</v>
      </c>
      <c r="T3232" t="s">
        <v>66198</v>
      </c>
      <c r="U3232" t="s">
        <v>66199</v>
      </c>
      <c r="V3232" t="s">
        <v>66200</v>
      </c>
      <c r="W3232" t="s">
        <v>66201</v>
      </c>
      <c r="X3232" t="s">
        <v>66202</v>
      </c>
      <c r="Y3232" t="s">
        <v>66203</v>
      </c>
    </row>
    <row r="3233" spans="1:25" x14ac:dyDescent="0.3">
      <c r="A3233">
        <v>161600</v>
      </c>
      <c r="B3233" t="s">
        <v>66204</v>
      </c>
      <c r="C3233" t="s">
        <v>66205</v>
      </c>
      <c r="D3233" t="s">
        <v>66206</v>
      </c>
      <c r="E3233" t="s">
        <v>66207</v>
      </c>
      <c r="F3233" t="s">
        <v>66208</v>
      </c>
      <c r="G3233" t="s">
        <v>66209</v>
      </c>
      <c r="H3233" t="s">
        <v>66210</v>
      </c>
      <c r="I3233" t="s">
        <v>66211</v>
      </c>
      <c r="J3233" t="s">
        <v>66212</v>
      </c>
      <c r="K3233" t="s">
        <v>66213</v>
      </c>
      <c r="L3233" t="s">
        <v>66214</v>
      </c>
      <c r="M3233" t="s">
        <v>66215</v>
      </c>
      <c r="N3233" t="s">
        <v>66216</v>
      </c>
      <c r="O3233">
        <f>-958.382920788002 -28.1893983812047 -493.23661542746</f>
        <v>-1479.8089345966666</v>
      </c>
      <c r="P3233">
        <f>-978.510550408617 -60.8012856683456 -201.47897411073</f>
        <v>-1240.7908101876926</v>
      </c>
      <c r="Q3233">
        <f>-783.830987152008 -64.8829678183174 -343.373659220353</f>
        <v>-1192.0876141906783</v>
      </c>
      <c r="R3233" t="s">
        <v>66217</v>
      </c>
      <c r="S3233" t="s">
        <v>66218</v>
      </c>
      <c r="T3233" t="s">
        <v>66219</v>
      </c>
      <c r="U3233" t="s">
        <v>66220</v>
      </c>
      <c r="V3233" t="s">
        <v>66221</v>
      </c>
      <c r="W3233" t="s">
        <v>66222</v>
      </c>
      <c r="X3233" t="s">
        <v>66223</v>
      </c>
      <c r="Y3233" t="s">
        <v>66224</v>
      </c>
    </row>
    <row r="3234" spans="1:25" x14ac:dyDescent="0.3">
      <c r="A3234">
        <v>161650</v>
      </c>
      <c r="B3234" t="s">
        <v>66225</v>
      </c>
      <c r="C3234" t="s">
        <v>66226</v>
      </c>
      <c r="D3234" t="s">
        <v>66227</v>
      </c>
      <c r="E3234" t="s">
        <v>66228</v>
      </c>
      <c r="F3234" t="s">
        <v>66229</v>
      </c>
      <c r="G3234" t="s">
        <v>66230</v>
      </c>
      <c r="H3234" t="s">
        <v>66231</v>
      </c>
      <c r="I3234" t="s">
        <v>66232</v>
      </c>
      <c r="J3234" t="s">
        <v>66233</v>
      </c>
      <c r="K3234" t="s">
        <v>66234</v>
      </c>
      <c r="L3234" t="s">
        <v>66235</v>
      </c>
      <c r="M3234" t="s">
        <v>66236</v>
      </c>
      <c r="N3234" t="s">
        <v>66237</v>
      </c>
      <c r="O3234">
        <f>-957.947639312668 -28.3700235844835 -493.247537962186</f>
        <v>-1479.5652008593374</v>
      </c>
      <c r="P3234">
        <f>-975.889091564224 -60.53555474531 -201.297755324241</f>
        <v>-1237.722401633775</v>
      </c>
      <c r="Q3234">
        <f>-782.580738223463 -66.6976980033942 -344.980704139957</f>
        <v>-1194.2591403668141</v>
      </c>
      <c r="R3234" t="s">
        <v>66238</v>
      </c>
      <c r="S3234" t="s">
        <v>66239</v>
      </c>
      <c r="T3234" t="s">
        <v>66240</v>
      </c>
      <c r="U3234" t="s">
        <v>66241</v>
      </c>
      <c r="V3234" t="s">
        <v>66242</v>
      </c>
      <c r="W3234" t="s">
        <v>66243</v>
      </c>
      <c r="X3234" t="s">
        <v>66244</v>
      </c>
      <c r="Y3234" t="s">
        <v>66245</v>
      </c>
    </row>
    <row r="3235" spans="1:25" x14ac:dyDescent="0.3">
      <c r="A3235">
        <v>161700</v>
      </c>
      <c r="B3235" t="s">
        <v>66246</v>
      </c>
      <c r="C3235" t="s">
        <v>66247</v>
      </c>
      <c r="D3235" t="s">
        <v>66248</v>
      </c>
      <c r="E3235" t="s">
        <v>66249</v>
      </c>
      <c r="F3235" t="s">
        <v>66250</v>
      </c>
      <c r="G3235" t="s">
        <v>66251</v>
      </c>
      <c r="H3235" t="s">
        <v>66252</v>
      </c>
      <c r="I3235" t="s">
        <v>66253</v>
      </c>
      <c r="J3235" t="s">
        <v>66254</v>
      </c>
      <c r="K3235" t="s">
        <v>66255</v>
      </c>
      <c r="L3235" t="s">
        <v>66256</v>
      </c>
      <c r="M3235" t="s">
        <v>66257</v>
      </c>
      <c r="N3235" t="s">
        <v>66258</v>
      </c>
      <c r="O3235">
        <f>-957.224864583782 -28.9943887926493 -493.51229908687</f>
        <v>-1479.7315524633013</v>
      </c>
      <c r="P3235">
        <f>-972.433321042227 -59.8690673568908 -201.268123831532</f>
        <v>-1233.5705122306497</v>
      </c>
      <c r="Q3235">
        <f>-780.72846128375 -70.1161492848623 -346.853217512385</f>
        <v>-1197.6978280809974</v>
      </c>
      <c r="R3235" t="s">
        <v>66259</v>
      </c>
      <c r="S3235" t="s">
        <v>66260</v>
      </c>
      <c r="T3235" t="s">
        <v>66261</v>
      </c>
      <c r="U3235" t="s">
        <v>66262</v>
      </c>
      <c r="V3235" t="s">
        <v>66263</v>
      </c>
      <c r="W3235" t="s">
        <v>66264</v>
      </c>
      <c r="X3235" t="s">
        <v>66265</v>
      </c>
      <c r="Y3235" t="s">
        <v>66266</v>
      </c>
    </row>
    <row r="3236" spans="1:25" x14ac:dyDescent="0.3">
      <c r="A3236">
        <v>161750</v>
      </c>
      <c r="B3236" t="s">
        <v>66267</v>
      </c>
      <c r="C3236" t="s">
        <v>66268</v>
      </c>
      <c r="D3236" t="s">
        <v>66269</v>
      </c>
      <c r="E3236" t="s">
        <v>66270</v>
      </c>
      <c r="F3236" t="s">
        <v>66271</v>
      </c>
      <c r="G3236" t="s">
        <v>66272</v>
      </c>
      <c r="H3236" t="s">
        <v>66273</v>
      </c>
      <c r="I3236" t="s">
        <v>66274</v>
      </c>
      <c r="J3236" t="s">
        <v>66275</v>
      </c>
      <c r="K3236" t="s">
        <v>66276</v>
      </c>
      <c r="L3236" t="s">
        <v>66277</v>
      </c>
      <c r="M3236" t="s">
        <v>66278</v>
      </c>
      <c r="N3236" t="s">
        <v>66279</v>
      </c>
      <c r="O3236">
        <f>-956.621520376027 -29.4248867138122 -493.650673517005</f>
        <v>-1479.6970806068441</v>
      </c>
      <c r="P3236">
        <f>-971.002002555155 -59.4606179816537 -201.277159251075</f>
        <v>-1231.7397797878837</v>
      </c>
      <c r="Q3236">
        <f>-779.854137657724 -71.4274837527835 -347.462417412991</f>
        <v>-1198.7440388234984</v>
      </c>
      <c r="R3236" t="s">
        <v>66280</v>
      </c>
      <c r="S3236" t="s">
        <v>66281</v>
      </c>
      <c r="T3236" t="s">
        <v>66282</v>
      </c>
      <c r="U3236" t="s">
        <v>66283</v>
      </c>
      <c r="V3236" t="s">
        <v>66284</v>
      </c>
      <c r="W3236" t="s">
        <v>66285</v>
      </c>
      <c r="X3236" t="s">
        <v>66286</v>
      </c>
      <c r="Y3236" t="s">
        <v>66287</v>
      </c>
    </row>
    <row r="3237" spans="1:25" x14ac:dyDescent="0.3">
      <c r="A3237">
        <v>161800</v>
      </c>
      <c r="B3237" t="s">
        <v>66288</v>
      </c>
      <c r="C3237" t="s">
        <v>66289</v>
      </c>
      <c r="D3237" t="s">
        <v>66290</v>
      </c>
      <c r="E3237" t="s">
        <v>66291</v>
      </c>
      <c r="F3237" t="s">
        <v>66292</v>
      </c>
      <c r="G3237" t="s">
        <v>66293</v>
      </c>
      <c r="H3237" t="s">
        <v>66294</v>
      </c>
      <c r="I3237" t="s">
        <v>66295</v>
      </c>
      <c r="J3237" t="s">
        <v>66296</v>
      </c>
      <c r="K3237" t="s">
        <v>66297</v>
      </c>
      <c r="L3237" t="s">
        <v>66298</v>
      </c>
      <c r="M3237" t="s">
        <v>66299</v>
      </c>
      <c r="N3237" t="s">
        <v>66300</v>
      </c>
      <c r="O3237">
        <f>-954.907331812675 -30.6422658994506 -493.798024333464</f>
        <v>-1479.3476220455896</v>
      </c>
      <c r="P3237">
        <f>-968.541562359416 -58.7839382631134 -201.200534790415</f>
        <v>-1228.5260354129446</v>
      </c>
      <c r="Q3237">
        <f>-778.701003048327 -73.5163962403694 -348.829674944587</f>
        <v>-1201.0470742332834</v>
      </c>
      <c r="R3237" t="s">
        <v>66301</v>
      </c>
      <c r="S3237" t="s">
        <v>66302</v>
      </c>
      <c r="T3237" t="s">
        <v>66303</v>
      </c>
      <c r="U3237" t="s">
        <v>66304</v>
      </c>
      <c r="V3237" t="s">
        <v>66305</v>
      </c>
      <c r="W3237" t="s">
        <v>66306</v>
      </c>
      <c r="X3237" t="s">
        <v>66307</v>
      </c>
      <c r="Y3237" t="s">
        <v>66308</v>
      </c>
    </row>
    <row r="3238" spans="1:25" x14ac:dyDescent="0.3">
      <c r="A3238">
        <v>161850</v>
      </c>
      <c r="B3238" t="s">
        <v>66309</v>
      </c>
      <c r="C3238" t="s">
        <v>66310</v>
      </c>
      <c r="D3238" t="s">
        <v>66311</v>
      </c>
      <c r="E3238" t="s">
        <v>66312</v>
      </c>
      <c r="F3238" t="s">
        <v>66313</v>
      </c>
      <c r="G3238" t="s">
        <v>66314</v>
      </c>
      <c r="H3238" t="s">
        <v>66315</v>
      </c>
      <c r="I3238" t="s">
        <v>66316</v>
      </c>
      <c r="J3238" t="s">
        <v>66317</v>
      </c>
      <c r="K3238" t="s">
        <v>66318</v>
      </c>
      <c r="L3238" t="s">
        <v>66319</v>
      </c>
      <c r="M3238" t="s">
        <v>66320</v>
      </c>
      <c r="N3238" t="s">
        <v>66321</v>
      </c>
      <c r="O3238">
        <f>-954.168493393553 -31.2453804443298 -493.837708213634</f>
        <v>-1479.2515820515168</v>
      </c>
      <c r="P3238">
        <f>-967.477984590621 -58.5203892348839 -201.14308882636</f>
        <v>-1227.1414626518649</v>
      </c>
      <c r="Q3238">
        <f>-778.403910737463 -74.403221284919 -349.634210329851</f>
        <v>-1202.4413423522331</v>
      </c>
      <c r="R3238" t="s">
        <v>66322</v>
      </c>
      <c r="S3238" t="s">
        <v>66323</v>
      </c>
      <c r="T3238" t="s">
        <v>66324</v>
      </c>
      <c r="U3238" t="s">
        <v>66325</v>
      </c>
      <c r="V3238" t="s">
        <v>66326</v>
      </c>
      <c r="W3238" t="s">
        <v>66327</v>
      </c>
      <c r="X3238" t="s">
        <v>66328</v>
      </c>
      <c r="Y3238" t="s">
        <v>66329</v>
      </c>
    </row>
    <row r="3239" spans="1:25" x14ac:dyDescent="0.3">
      <c r="A3239">
        <v>161900</v>
      </c>
      <c r="B3239" t="s">
        <v>66330</v>
      </c>
      <c r="C3239" t="s">
        <v>66331</v>
      </c>
      <c r="D3239" t="s">
        <v>66332</v>
      </c>
      <c r="E3239" t="s">
        <v>66333</v>
      </c>
      <c r="F3239" t="s">
        <v>66334</v>
      </c>
      <c r="G3239" t="s">
        <v>66335</v>
      </c>
      <c r="H3239" t="s">
        <v>66336</v>
      </c>
      <c r="I3239" t="s">
        <v>66337</v>
      </c>
      <c r="J3239" t="s">
        <v>66338</v>
      </c>
      <c r="K3239" t="s">
        <v>66339</v>
      </c>
      <c r="L3239" t="s">
        <v>66340</v>
      </c>
      <c r="M3239" t="s">
        <v>66341</v>
      </c>
      <c r="N3239" t="s">
        <v>66342</v>
      </c>
      <c r="O3239">
        <f>-953.457749725458 -31.4598553432156 -494.038257849209</f>
        <v>-1478.9558629178828</v>
      </c>
      <c r="P3239">
        <f>-966.049276769033 -56.6619788365263 -201.126217006799</f>
        <v>-1223.8374726123582</v>
      </c>
      <c r="Q3239">
        <f>-778.165232889943 -75.1760645528057 -350.818248708158</f>
        <v>-1204.1595461509066</v>
      </c>
      <c r="R3239" t="s">
        <v>66343</v>
      </c>
      <c r="S3239" t="s">
        <v>66344</v>
      </c>
      <c r="T3239" t="s">
        <v>66345</v>
      </c>
      <c r="U3239" t="s">
        <v>66346</v>
      </c>
      <c r="V3239" t="s">
        <v>66347</v>
      </c>
      <c r="W3239" t="s">
        <v>66348</v>
      </c>
      <c r="X3239" t="s">
        <v>66349</v>
      </c>
      <c r="Y3239" t="s">
        <v>66350</v>
      </c>
    </row>
    <row r="3240" spans="1:25" x14ac:dyDescent="0.3">
      <c r="A3240">
        <v>161950</v>
      </c>
      <c r="B3240" t="s">
        <v>66351</v>
      </c>
      <c r="C3240" t="s">
        <v>66352</v>
      </c>
      <c r="D3240" t="s">
        <v>66353</v>
      </c>
      <c r="E3240" t="s">
        <v>66354</v>
      </c>
      <c r="F3240" t="s">
        <v>66355</v>
      </c>
      <c r="G3240" t="s">
        <v>66356</v>
      </c>
      <c r="H3240" t="s">
        <v>66357</v>
      </c>
      <c r="I3240" t="s">
        <v>66358</v>
      </c>
      <c r="J3240" t="s">
        <v>66359</v>
      </c>
      <c r="K3240" t="s">
        <v>66360</v>
      </c>
      <c r="L3240" t="s">
        <v>66361</v>
      </c>
      <c r="M3240" t="s">
        <v>66362</v>
      </c>
      <c r="N3240" t="s">
        <v>66363</v>
      </c>
      <c r="O3240">
        <f>-953.268482173896 -31.3419518718842 -494.143050913853</f>
        <v>-1478.7534849596332</v>
      </c>
      <c r="P3240">
        <f>-965.736638370003 -55.3605871052891 -201.126269983126</f>
        <v>-1222.2234954584183</v>
      </c>
      <c r="Q3240">
        <f>-778.096957274507 -75.40600090575 -350.927550021438</f>
        <v>-1204.4305082016949</v>
      </c>
      <c r="R3240" t="s">
        <v>66364</v>
      </c>
      <c r="S3240" t="s">
        <v>66365</v>
      </c>
      <c r="T3240" t="s">
        <v>66366</v>
      </c>
      <c r="U3240" t="s">
        <v>66367</v>
      </c>
      <c r="V3240" t="s">
        <v>66368</v>
      </c>
      <c r="W3240" t="s">
        <v>66369</v>
      </c>
      <c r="X3240" t="s">
        <v>66370</v>
      </c>
      <c r="Y3240" t="s">
        <v>66371</v>
      </c>
    </row>
    <row r="3241" spans="1:25" x14ac:dyDescent="0.3">
      <c r="A3241">
        <v>162000</v>
      </c>
      <c r="B3241" t="s">
        <v>66372</v>
      </c>
      <c r="C3241" t="s">
        <v>66373</v>
      </c>
      <c r="D3241" t="s">
        <v>66374</v>
      </c>
      <c r="E3241" t="s">
        <v>66375</v>
      </c>
      <c r="F3241" t="s">
        <v>66376</v>
      </c>
      <c r="G3241" t="s">
        <v>66377</v>
      </c>
      <c r="H3241" t="s">
        <v>66378</v>
      </c>
      <c r="I3241" t="s">
        <v>66379</v>
      </c>
      <c r="J3241" t="s">
        <v>66380</v>
      </c>
      <c r="K3241" t="s">
        <v>66381</v>
      </c>
      <c r="L3241" t="s">
        <v>66382</v>
      </c>
      <c r="M3241" t="s">
        <v>66383</v>
      </c>
      <c r="N3241" t="s">
        <v>66384</v>
      </c>
      <c r="O3241">
        <f>-953.037598096911 -31.0427974260833 -494.452389463198</f>
        <v>-1478.5327849861924</v>
      </c>
      <c r="P3241">
        <f>-965.808770901543 -53.4742082728048 -201.322893151273</f>
        <v>-1220.6058723256208</v>
      </c>
      <c r="Q3241">
        <f>-777.596522844101 -75.9182396889698 -350.061746442524</f>
        <v>-1203.5765089755948</v>
      </c>
      <c r="R3241" t="s">
        <v>66385</v>
      </c>
      <c r="S3241" t="s">
        <v>66386</v>
      </c>
      <c r="T3241" t="s">
        <v>66387</v>
      </c>
      <c r="U3241" t="s">
        <v>66388</v>
      </c>
      <c r="V3241" t="s">
        <v>66389</v>
      </c>
      <c r="W3241" t="s">
        <v>66390</v>
      </c>
      <c r="X3241" t="s">
        <v>66391</v>
      </c>
      <c r="Y3241" t="s">
        <v>66392</v>
      </c>
    </row>
    <row r="3242" spans="1:25" x14ac:dyDescent="0.3">
      <c r="A3242">
        <v>162050</v>
      </c>
      <c r="B3242" t="s">
        <v>66393</v>
      </c>
      <c r="C3242" t="s">
        <v>66394</v>
      </c>
      <c r="D3242" t="s">
        <v>66395</v>
      </c>
      <c r="E3242" t="s">
        <v>66396</v>
      </c>
      <c r="F3242" t="s">
        <v>66397</v>
      </c>
      <c r="G3242" t="s">
        <v>66398</v>
      </c>
      <c r="H3242" t="s">
        <v>66399</v>
      </c>
      <c r="I3242" t="s">
        <v>66400</v>
      </c>
      <c r="J3242" t="s">
        <v>66401</v>
      </c>
      <c r="K3242" t="s">
        <v>66402</v>
      </c>
      <c r="L3242" t="s">
        <v>66403</v>
      </c>
      <c r="M3242" t="s">
        <v>66404</v>
      </c>
      <c r="N3242" t="s">
        <v>66405</v>
      </c>
      <c r="O3242">
        <f>-952.806545571422 -31.0650120734986 -494.518445477361</f>
        <v>-1478.3900031222815</v>
      </c>
      <c r="P3242">
        <f>-966.082064766258 -52.7263903001328 -201.353469899235</f>
        <v>-1220.1619249656258</v>
      </c>
      <c r="Q3242">
        <f>-777.329141185154 -76.434791297356 -349.208220571646</f>
        <v>-1202.972153054156</v>
      </c>
      <c r="R3242" t="s">
        <v>66406</v>
      </c>
      <c r="S3242" t="s">
        <v>66407</v>
      </c>
      <c r="T3242" t="s">
        <v>66408</v>
      </c>
      <c r="U3242" t="s">
        <v>66409</v>
      </c>
      <c r="V3242" t="s">
        <v>66410</v>
      </c>
      <c r="W3242" t="s">
        <v>66411</v>
      </c>
      <c r="X3242" t="s">
        <v>66412</v>
      </c>
      <c r="Y3242" t="s">
        <v>66413</v>
      </c>
    </row>
    <row r="3243" spans="1:25" x14ac:dyDescent="0.3">
      <c r="A3243">
        <v>162100</v>
      </c>
      <c r="B3243" t="s">
        <v>66414</v>
      </c>
      <c r="C3243" t="s">
        <v>66415</v>
      </c>
      <c r="D3243" t="s">
        <v>66416</v>
      </c>
      <c r="E3243" t="s">
        <v>66417</v>
      </c>
      <c r="F3243" t="s">
        <v>66418</v>
      </c>
      <c r="G3243" t="s">
        <v>66419</v>
      </c>
      <c r="H3243" t="s">
        <v>66420</v>
      </c>
      <c r="I3243" t="s">
        <v>66421</v>
      </c>
      <c r="J3243" t="s">
        <v>66422</v>
      </c>
      <c r="K3243" t="s">
        <v>66423</v>
      </c>
      <c r="L3243" t="s">
        <v>66424</v>
      </c>
      <c r="M3243" t="s">
        <v>66425</v>
      </c>
      <c r="N3243" t="s">
        <v>66426</v>
      </c>
      <c r="O3243">
        <f>-952.516167891459 -31.4659082437101 -494.580873262299</f>
        <v>-1478.5629493974682</v>
      </c>
      <c r="P3243">
        <f>-967.108276614903 -51.0599759819997 -201.333000862152</f>
        <v>-1219.5012534590549</v>
      </c>
      <c r="Q3243">
        <f>-776.647566653064 -77.3066718547755 -346.545369965805</f>
        <v>-1200.4996084736445</v>
      </c>
      <c r="R3243" t="s">
        <v>66427</v>
      </c>
      <c r="S3243" t="s">
        <v>66428</v>
      </c>
      <c r="T3243" t="s">
        <v>66429</v>
      </c>
      <c r="U3243" t="s">
        <v>66430</v>
      </c>
      <c r="V3243" t="s">
        <v>66431</v>
      </c>
      <c r="W3243" t="s">
        <v>66432</v>
      </c>
      <c r="X3243" t="s">
        <v>66433</v>
      </c>
      <c r="Y3243" t="s">
        <v>66434</v>
      </c>
    </row>
    <row r="3244" spans="1:25" x14ac:dyDescent="0.3">
      <c r="A3244">
        <v>162150</v>
      </c>
      <c r="B3244" t="s">
        <v>66435</v>
      </c>
      <c r="C3244" t="s">
        <v>66436</v>
      </c>
      <c r="D3244" t="s">
        <v>66437</v>
      </c>
      <c r="E3244" t="s">
        <v>66438</v>
      </c>
      <c r="F3244" t="s">
        <v>66439</v>
      </c>
      <c r="G3244" t="s">
        <v>66440</v>
      </c>
      <c r="H3244" t="s">
        <v>66441</v>
      </c>
      <c r="I3244" t="s">
        <v>66442</v>
      </c>
      <c r="J3244" t="s">
        <v>66443</v>
      </c>
      <c r="K3244" t="s">
        <v>66444</v>
      </c>
      <c r="L3244" t="s">
        <v>66445</v>
      </c>
      <c r="M3244" t="s">
        <v>66446</v>
      </c>
      <c r="N3244" t="s">
        <v>66447</v>
      </c>
      <c r="O3244">
        <f>-952.567003375628 -31.7120475039837 -494.566612541248</f>
        <v>-1478.8456634208596</v>
      </c>
      <c r="P3244">
        <f>-968.05349526505 -49.7949487167073 -201.267442663741</f>
        <v>-1219.1158866454982</v>
      </c>
      <c r="Q3244">
        <f>-777.016596662869 -78.0652573367227 -345.338573650603</f>
        <v>-1200.4204276501946</v>
      </c>
      <c r="R3244" t="s">
        <v>66448</v>
      </c>
      <c r="S3244" t="s">
        <v>66449</v>
      </c>
      <c r="T3244" t="s">
        <v>66450</v>
      </c>
      <c r="U3244" t="s">
        <v>66451</v>
      </c>
      <c r="V3244" t="s">
        <v>66452</v>
      </c>
      <c r="W3244" t="s">
        <v>66453</v>
      </c>
      <c r="X3244" t="s">
        <v>66454</v>
      </c>
      <c r="Y3244" t="s">
        <v>66455</v>
      </c>
    </row>
    <row r="3245" spans="1:25" x14ac:dyDescent="0.3">
      <c r="A3245">
        <v>162200</v>
      </c>
      <c r="B3245" t="s">
        <v>66456</v>
      </c>
      <c r="C3245" t="s">
        <v>66457</v>
      </c>
      <c r="D3245" t="s">
        <v>66458</v>
      </c>
      <c r="E3245" t="s">
        <v>66459</v>
      </c>
      <c r="F3245" t="s">
        <v>66460</v>
      </c>
      <c r="G3245" t="s">
        <v>66461</v>
      </c>
      <c r="H3245" t="s">
        <v>66462</v>
      </c>
      <c r="I3245" t="s">
        <v>66463</v>
      </c>
      <c r="J3245" t="s">
        <v>66464</v>
      </c>
      <c r="K3245" t="s">
        <v>66465</v>
      </c>
      <c r="L3245" t="s">
        <v>66466</v>
      </c>
      <c r="M3245" t="s">
        <v>66467</v>
      </c>
      <c r="N3245" t="s">
        <v>66468</v>
      </c>
      <c r="O3245">
        <f>-952.858516406812 -32.3331771078069 -494.462700725937</f>
        <v>-1479.654394240556</v>
      </c>
      <c r="P3245">
        <f>-969.974566012254 -47.932287032467 -201.11151027724</f>
        <v>-1219.018363321961</v>
      </c>
      <c r="Q3245">
        <f>-777.891627808358 -79.6443124584521 -343.059681238489</f>
        <v>-1200.5956215052991</v>
      </c>
      <c r="R3245" t="s">
        <v>66469</v>
      </c>
      <c r="S3245" t="s">
        <v>66470</v>
      </c>
      <c r="T3245" t="s">
        <v>66471</v>
      </c>
      <c r="U3245" t="s">
        <v>66472</v>
      </c>
      <c r="V3245" t="s">
        <v>66473</v>
      </c>
      <c r="W3245" t="s">
        <v>66474</v>
      </c>
      <c r="X3245" t="s">
        <v>66475</v>
      </c>
      <c r="Y3245" t="s">
        <v>66476</v>
      </c>
    </row>
    <row r="3246" spans="1:25" x14ac:dyDescent="0.3">
      <c r="A3246">
        <v>162250</v>
      </c>
      <c r="B3246" t="s">
        <v>66477</v>
      </c>
      <c r="C3246" t="s">
        <v>66478</v>
      </c>
      <c r="D3246" t="s">
        <v>66479</v>
      </c>
      <c r="E3246" t="s">
        <v>66480</v>
      </c>
      <c r="F3246" t="s">
        <v>66481</v>
      </c>
      <c r="G3246" t="s">
        <v>66482</v>
      </c>
      <c r="H3246" t="s">
        <v>66483</v>
      </c>
      <c r="I3246" t="s">
        <v>66484</v>
      </c>
      <c r="J3246" t="s">
        <v>66485</v>
      </c>
      <c r="K3246" t="s">
        <v>66486</v>
      </c>
      <c r="L3246" t="s">
        <v>66487</v>
      </c>
      <c r="M3246" t="s">
        <v>66488</v>
      </c>
      <c r="N3246" t="s">
        <v>66489</v>
      </c>
      <c r="O3246">
        <f>-953.072874297882 -32.4547971368884 -494.408500662383</f>
        <v>-1479.9361720971533</v>
      </c>
      <c r="P3246">
        <f>-971.148967679291 -47.3863799792637 -201.080135133768</f>
        <v>-1219.6154827923226</v>
      </c>
      <c r="Q3246">
        <f>-778.794598265518 -80.1620806152459 -342.418512209594</f>
        <v>-1201.3751910903579</v>
      </c>
      <c r="R3246" t="s">
        <v>66490</v>
      </c>
      <c r="S3246" t="s">
        <v>66491</v>
      </c>
      <c r="T3246" t="s">
        <v>66492</v>
      </c>
      <c r="U3246" t="s">
        <v>66493</v>
      </c>
      <c r="V3246" t="s">
        <v>66494</v>
      </c>
      <c r="W3246" t="s">
        <v>66495</v>
      </c>
      <c r="X3246" t="s">
        <v>66496</v>
      </c>
      <c r="Y3246" t="s">
        <v>66497</v>
      </c>
    </row>
    <row r="3247" spans="1:25" x14ac:dyDescent="0.3">
      <c r="A3247">
        <v>162300</v>
      </c>
      <c r="B3247" t="s">
        <v>66498</v>
      </c>
      <c r="C3247" t="s">
        <v>66499</v>
      </c>
      <c r="D3247" t="s">
        <v>66500</v>
      </c>
      <c r="E3247" t="s">
        <v>66501</v>
      </c>
      <c r="F3247" t="s">
        <v>66502</v>
      </c>
      <c r="G3247" t="s">
        <v>66503</v>
      </c>
      <c r="H3247" t="s">
        <v>66504</v>
      </c>
      <c r="I3247" t="s">
        <v>66505</v>
      </c>
      <c r="J3247" t="s">
        <v>66506</v>
      </c>
      <c r="K3247" t="s">
        <v>66507</v>
      </c>
      <c r="L3247" t="s">
        <v>66508</v>
      </c>
      <c r="M3247" t="s">
        <v>66509</v>
      </c>
      <c r="N3247" t="s">
        <v>66510</v>
      </c>
      <c r="O3247">
        <f>-953.644541894567 -32.1966254276599 -494.511510727831</f>
        <v>-1480.3526780500579</v>
      </c>
      <c r="P3247">
        <f>-973.208597349335 -46.9969261769838 -201.272055170141</f>
        <v>-1221.4775786964599</v>
      </c>
      <c r="Q3247">
        <f>-780.940642962798 -80.0271927703011 -342.668031268659</f>
        <v>-1203.635867001758</v>
      </c>
      <c r="R3247" t="s">
        <v>66511</v>
      </c>
      <c r="S3247" t="s">
        <v>66512</v>
      </c>
      <c r="T3247" t="s">
        <v>66513</v>
      </c>
      <c r="U3247" t="s">
        <v>66514</v>
      </c>
      <c r="V3247" t="s">
        <v>66515</v>
      </c>
      <c r="W3247" t="s">
        <v>66516</v>
      </c>
      <c r="X3247" t="s">
        <v>66517</v>
      </c>
      <c r="Y3247" t="s">
        <v>66518</v>
      </c>
    </row>
    <row r="3248" spans="1:25" x14ac:dyDescent="0.3">
      <c r="A3248">
        <v>162350</v>
      </c>
      <c r="B3248" t="s">
        <v>66519</v>
      </c>
      <c r="C3248" t="s">
        <v>66520</v>
      </c>
      <c r="D3248" t="s">
        <v>66521</v>
      </c>
      <c r="E3248" t="s">
        <v>66522</v>
      </c>
      <c r="F3248" t="s">
        <v>66523</v>
      </c>
      <c r="G3248" t="s">
        <v>66524</v>
      </c>
      <c r="H3248" t="s">
        <v>66525</v>
      </c>
      <c r="I3248" t="s">
        <v>66526</v>
      </c>
      <c r="J3248" t="s">
        <v>66527</v>
      </c>
      <c r="K3248" t="s">
        <v>66528</v>
      </c>
      <c r="L3248" t="s">
        <v>66529</v>
      </c>
      <c r="M3248" t="s">
        <v>66530</v>
      </c>
      <c r="N3248" t="s">
        <v>66531</v>
      </c>
      <c r="O3248">
        <f>-954.035271415819 -31.9382406360219 -494.599466716809</f>
        <v>-1480.5729787686498</v>
      </c>
      <c r="P3248">
        <f>-973.925545081436 -47.0776215054157 -201.399103731104</f>
        <v>-1222.4022703179558</v>
      </c>
      <c r="Q3248">
        <f>-782.019360704312 -79.6890943069764 -343.382797366599</f>
        <v>-1205.0912523778875</v>
      </c>
      <c r="R3248" t="s">
        <v>66532</v>
      </c>
      <c r="S3248" t="s">
        <v>66533</v>
      </c>
      <c r="T3248" t="s">
        <v>66534</v>
      </c>
      <c r="U3248" t="s">
        <v>66535</v>
      </c>
      <c r="V3248" t="s">
        <v>66536</v>
      </c>
      <c r="W3248" t="s">
        <v>66537</v>
      </c>
      <c r="X3248" t="s">
        <v>66538</v>
      </c>
      <c r="Y3248" t="s">
        <v>66539</v>
      </c>
    </row>
    <row r="3249" spans="1:25" x14ac:dyDescent="0.3">
      <c r="A3249">
        <v>162400</v>
      </c>
      <c r="B3249" t="s">
        <v>66540</v>
      </c>
      <c r="C3249" t="s">
        <v>66541</v>
      </c>
      <c r="D3249" t="s">
        <v>66542</v>
      </c>
      <c r="E3249" t="s">
        <v>66543</v>
      </c>
      <c r="F3249" t="s">
        <v>66544</v>
      </c>
      <c r="G3249" t="s">
        <v>66545</v>
      </c>
      <c r="H3249" t="s">
        <v>66546</v>
      </c>
      <c r="I3249" t="s">
        <v>66547</v>
      </c>
      <c r="J3249" t="s">
        <v>66548</v>
      </c>
      <c r="K3249" t="s">
        <v>66549</v>
      </c>
      <c r="L3249" t="s">
        <v>66550</v>
      </c>
      <c r="M3249" t="s">
        <v>66551</v>
      </c>
      <c r="N3249" t="s">
        <v>66552</v>
      </c>
      <c r="O3249">
        <f>-955.108234646758 -31.4416564110843 -494.520826454072</f>
        <v>-1481.0707175119142</v>
      </c>
      <c r="P3249">
        <f>-974.773799606552 -46.8706257945078 -201.320390585078</f>
        <v>-1222.9648159861376</v>
      </c>
      <c r="Q3249">
        <f>-783.874577840742 -78.9589501948226 -344.772890703051</f>
        <v>-1207.6064187386155</v>
      </c>
      <c r="R3249" t="s">
        <v>66553</v>
      </c>
      <c r="S3249" t="s">
        <v>66554</v>
      </c>
      <c r="T3249" t="s">
        <v>66555</v>
      </c>
      <c r="U3249" t="s">
        <v>66556</v>
      </c>
      <c r="V3249" t="s">
        <v>66557</v>
      </c>
      <c r="W3249" t="s">
        <v>66558</v>
      </c>
      <c r="X3249" t="s">
        <v>66559</v>
      </c>
      <c r="Y3249" t="s">
        <v>66560</v>
      </c>
    </row>
    <row r="3250" spans="1:25" x14ac:dyDescent="0.3">
      <c r="A3250">
        <v>162450</v>
      </c>
      <c r="B3250" t="s">
        <v>66561</v>
      </c>
      <c r="C3250" t="s">
        <v>66562</v>
      </c>
      <c r="D3250" t="s">
        <v>66563</v>
      </c>
      <c r="E3250" t="s">
        <v>66564</v>
      </c>
      <c r="F3250" t="s">
        <v>66565</v>
      </c>
      <c r="G3250" t="s">
        <v>66566</v>
      </c>
      <c r="H3250" t="s">
        <v>66567</v>
      </c>
      <c r="I3250" t="s">
        <v>66568</v>
      </c>
      <c r="J3250" t="s">
        <v>66569</v>
      </c>
      <c r="K3250" t="s">
        <v>66570</v>
      </c>
      <c r="L3250" t="s">
        <v>66571</v>
      </c>
      <c r="M3250" t="s">
        <v>66572</v>
      </c>
      <c r="N3250" t="s">
        <v>66573</v>
      </c>
      <c r="O3250">
        <f>-955.447662011816 -31.4371256281265 -494.381519497671</f>
        <v>-1481.2663071376135</v>
      </c>
      <c r="P3250">
        <f>-974.660802131323 -47.0256694667144 -201.159641452654</f>
        <v>-1222.8461130506912</v>
      </c>
      <c r="Q3250">
        <f>-784.257547878198 -78.4277159381397 -345.421259334417</f>
        <v>-1208.1065231507548</v>
      </c>
      <c r="R3250" t="s">
        <v>66574</v>
      </c>
      <c r="S3250" t="s">
        <v>66575</v>
      </c>
      <c r="T3250" t="s">
        <v>66576</v>
      </c>
      <c r="U3250" t="s">
        <v>66577</v>
      </c>
      <c r="V3250" t="s">
        <v>66578</v>
      </c>
      <c r="W3250" t="s">
        <v>66579</v>
      </c>
      <c r="X3250" t="s">
        <v>66580</v>
      </c>
      <c r="Y3250" t="s">
        <v>66581</v>
      </c>
    </row>
    <row r="3251" spans="1:25" x14ac:dyDescent="0.3">
      <c r="A3251">
        <v>162500</v>
      </c>
      <c r="B3251" t="s">
        <v>66582</v>
      </c>
      <c r="C3251" t="s">
        <v>66583</v>
      </c>
      <c r="D3251" t="s">
        <v>66584</v>
      </c>
      <c r="E3251" t="s">
        <v>66585</v>
      </c>
      <c r="F3251" t="s">
        <v>66586</v>
      </c>
      <c r="G3251" t="s">
        <v>66587</v>
      </c>
      <c r="H3251" t="s">
        <v>66588</v>
      </c>
      <c r="I3251" t="s">
        <v>66589</v>
      </c>
      <c r="J3251" t="s">
        <v>66590</v>
      </c>
      <c r="K3251" t="s">
        <v>66591</v>
      </c>
      <c r="L3251" t="s">
        <v>66592</v>
      </c>
      <c r="M3251" t="s">
        <v>66593</v>
      </c>
      <c r="N3251" t="s">
        <v>66594</v>
      </c>
      <c r="O3251">
        <f>-955.618040914949 -31.5970206792035 -494.118136741359</f>
        <v>-1481.3331983355115</v>
      </c>
      <c r="P3251">
        <f>-972.518887025376 -49.4753756240607 -200.884502292384</f>
        <v>-1222.8787649418207</v>
      </c>
      <c r="Q3251">
        <f>-784.338234147407 -76.9584533938794 -348.815267213374</f>
        <v>-1210.1119547546605</v>
      </c>
      <c r="R3251" t="s">
        <v>66595</v>
      </c>
      <c r="S3251" t="s">
        <v>66596</v>
      </c>
      <c r="T3251" t="s">
        <v>66597</v>
      </c>
      <c r="U3251" t="s">
        <v>66598</v>
      </c>
      <c r="V3251" t="s">
        <v>66599</v>
      </c>
      <c r="W3251" t="s">
        <v>66600</v>
      </c>
      <c r="X3251" t="s">
        <v>66601</v>
      </c>
      <c r="Y3251" t="s">
        <v>66602</v>
      </c>
    </row>
    <row r="3252" spans="1:25" x14ac:dyDescent="0.3">
      <c r="A3252">
        <v>162550</v>
      </c>
      <c r="B3252" t="s">
        <v>66603</v>
      </c>
      <c r="C3252" t="s">
        <v>66604</v>
      </c>
      <c r="D3252" t="s">
        <v>66605</v>
      </c>
      <c r="E3252" t="s">
        <v>66606</v>
      </c>
      <c r="F3252" t="s">
        <v>66607</v>
      </c>
      <c r="G3252" t="s">
        <v>66608</v>
      </c>
      <c r="H3252" t="s">
        <v>66609</v>
      </c>
      <c r="I3252" t="s">
        <v>66610</v>
      </c>
      <c r="J3252" t="s">
        <v>66611</v>
      </c>
      <c r="K3252" t="s">
        <v>66612</v>
      </c>
      <c r="L3252" t="s">
        <v>66613</v>
      </c>
      <c r="M3252" t="s">
        <v>66614</v>
      </c>
      <c r="N3252" t="s">
        <v>66615</v>
      </c>
      <c r="O3252">
        <f>-955.700075843092 -31.6830339136604 -493.999175443848</f>
        <v>-1481.3822852006006</v>
      </c>
      <c r="P3252">
        <f>-970.193991724668 -51.0039248347709 -200.728291899001</f>
        <v>-1221.92620845844</v>
      </c>
      <c r="Q3252">
        <f>-784.004931567927 -76.6847598617512 -351.476373561058</f>
        <v>-1212.1660649907362</v>
      </c>
      <c r="R3252" t="s">
        <v>66616</v>
      </c>
      <c r="S3252" t="s">
        <v>66617</v>
      </c>
      <c r="T3252" t="s">
        <v>66618</v>
      </c>
      <c r="U3252" t="s">
        <v>66619</v>
      </c>
      <c r="V3252" t="s">
        <v>66620</v>
      </c>
      <c r="W3252" t="s">
        <v>66621</v>
      </c>
      <c r="X3252" t="s">
        <v>66622</v>
      </c>
      <c r="Y3252" t="s">
        <v>66623</v>
      </c>
    </row>
    <row r="3253" spans="1:25" x14ac:dyDescent="0.3">
      <c r="A3253">
        <v>162600</v>
      </c>
      <c r="B3253" t="s">
        <v>66624</v>
      </c>
      <c r="C3253" t="s">
        <v>66625</v>
      </c>
      <c r="D3253" t="s">
        <v>66626</v>
      </c>
      <c r="E3253" t="s">
        <v>66627</v>
      </c>
      <c r="F3253" t="s">
        <v>66628</v>
      </c>
      <c r="G3253" t="s">
        <v>66629</v>
      </c>
      <c r="H3253" t="s">
        <v>66630</v>
      </c>
      <c r="I3253" t="s">
        <v>66631</v>
      </c>
      <c r="J3253" t="s">
        <v>66632</v>
      </c>
      <c r="K3253" t="s">
        <v>66633</v>
      </c>
      <c r="L3253" t="s">
        <v>66634</v>
      </c>
      <c r="M3253" t="s">
        <v>66635</v>
      </c>
      <c r="N3253" t="s">
        <v>66636</v>
      </c>
      <c r="O3253">
        <f>-956.359604951329 -31.5499415245272 -493.76324047163</f>
        <v>-1481.6727869474862</v>
      </c>
      <c r="P3253">
        <f>-964.138401371003 -53.7169431717828 -200.438571360677</f>
        <v>-1218.2939159034629</v>
      </c>
      <c r="Q3253">
        <f>-783.017636685931 -77.2620831566694 -357.574802287479</f>
        <v>-1217.8545221300794</v>
      </c>
      <c r="R3253" t="s">
        <v>66637</v>
      </c>
      <c r="S3253" t="s">
        <v>66638</v>
      </c>
      <c r="T3253" t="s">
        <v>66639</v>
      </c>
      <c r="U3253" t="s">
        <v>66640</v>
      </c>
      <c r="V3253" t="s">
        <v>66641</v>
      </c>
      <c r="W3253" t="s">
        <v>66642</v>
      </c>
      <c r="X3253" t="s">
        <v>66643</v>
      </c>
      <c r="Y3253" t="s">
        <v>66644</v>
      </c>
    </row>
    <row r="3254" spans="1:25" x14ac:dyDescent="0.3">
      <c r="A3254">
        <v>162650</v>
      </c>
      <c r="B3254" t="s">
        <v>66645</v>
      </c>
      <c r="C3254" t="s">
        <v>66646</v>
      </c>
      <c r="D3254" t="s">
        <v>66647</v>
      </c>
      <c r="E3254" t="s">
        <v>66648</v>
      </c>
      <c r="F3254" t="s">
        <v>66649</v>
      </c>
      <c r="G3254" t="s">
        <v>66650</v>
      </c>
      <c r="H3254" t="s">
        <v>66651</v>
      </c>
      <c r="I3254" t="s">
        <v>66652</v>
      </c>
      <c r="J3254" t="s">
        <v>66653</v>
      </c>
      <c r="K3254" t="s">
        <v>66654</v>
      </c>
      <c r="L3254" t="s">
        <v>66655</v>
      </c>
      <c r="M3254" t="s">
        <v>66656</v>
      </c>
      <c r="N3254" t="s">
        <v>66657</v>
      </c>
      <c r="O3254">
        <f>-956.759512970489 -31.4129571445424 -493.730984720419</f>
        <v>-1481.9034548354502</v>
      </c>
      <c r="P3254">
        <f>-960.573544938447 -55.1890853745879 -200.454011524086</f>
        <v>-1216.2166418371207</v>
      </c>
      <c r="Q3254">
        <f>-781.787884652832 -77.8563320985484 -360.36908083763</f>
        <v>-1220.0132975890103</v>
      </c>
      <c r="R3254" t="s">
        <v>66658</v>
      </c>
      <c r="S3254" t="s">
        <v>66659</v>
      </c>
      <c r="T3254" t="s">
        <v>66660</v>
      </c>
      <c r="U3254" t="s">
        <v>66661</v>
      </c>
      <c r="V3254" t="s">
        <v>66662</v>
      </c>
      <c r="W3254" t="s">
        <v>66663</v>
      </c>
      <c r="X3254" t="s">
        <v>66664</v>
      </c>
      <c r="Y3254" t="s">
        <v>66665</v>
      </c>
    </row>
    <row r="3255" spans="1:25" x14ac:dyDescent="0.3">
      <c r="A3255">
        <v>162700</v>
      </c>
      <c r="B3255" t="s">
        <v>66666</v>
      </c>
      <c r="C3255" t="s">
        <v>66667</v>
      </c>
      <c r="D3255" t="s">
        <v>66668</v>
      </c>
      <c r="E3255" t="s">
        <v>66669</v>
      </c>
      <c r="F3255" t="s">
        <v>66670</v>
      </c>
      <c r="G3255" t="s">
        <v>66671</v>
      </c>
      <c r="H3255" t="s">
        <v>66672</v>
      </c>
      <c r="I3255" t="s">
        <v>66673</v>
      </c>
      <c r="J3255" t="s">
        <v>66674</v>
      </c>
      <c r="K3255" t="s">
        <v>66675</v>
      </c>
      <c r="L3255" t="s">
        <v>66676</v>
      </c>
      <c r="M3255" t="s">
        <v>66677</v>
      </c>
      <c r="N3255" t="s">
        <v>66678</v>
      </c>
      <c r="O3255">
        <f>-957.548698722544 -30.6501884535205 -493.887218407409</f>
        <v>-1482.0861055834735</v>
      </c>
      <c r="P3255">
        <f>-953.178777348378 -57.4802363056399 -200.881650851595</f>
        <v>-1211.540664505613</v>
      </c>
      <c r="Q3255">
        <f>-778.825980845757 -79.0442195809949 -365.766155967616</f>
        <v>-1223.6363563943678</v>
      </c>
      <c r="R3255" t="s">
        <v>66679</v>
      </c>
      <c r="S3255" t="s">
        <v>66680</v>
      </c>
      <c r="T3255" t="s">
        <v>66681</v>
      </c>
      <c r="U3255" t="s">
        <v>66682</v>
      </c>
      <c r="V3255" t="s">
        <v>66683</v>
      </c>
      <c r="W3255" t="s">
        <v>66684</v>
      </c>
      <c r="X3255" t="s">
        <v>66685</v>
      </c>
      <c r="Y3255" t="s">
        <v>66686</v>
      </c>
    </row>
    <row r="3256" spans="1:25" x14ac:dyDescent="0.3">
      <c r="A3256">
        <v>162750</v>
      </c>
      <c r="B3256" t="s">
        <v>66687</v>
      </c>
      <c r="C3256" t="s">
        <v>66688</v>
      </c>
      <c r="D3256" t="s">
        <v>66689</v>
      </c>
      <c r="E3256" t="s">
        <v>66690</v>
      </c>
      <c r="F3256" t="s">
        <v>66691</v>
      </c>
      <c r="G3256" t="s">
        <v>66692</v>
      </c>
      <c r="H3256" t="s">
        <v>66693</v>
      </c>
      <c r="I3256" t="s">
        <v>66694</v>
      </c>
      <c r="J3256" t="s">
        <v>66695</v>
      </c>
      <c r="K3256" t="s">
        <v>66696</v>
      </c>
      <c r="L3256" t="s">
        <v>66697</v>
      </c>
      <c r="M3256" t="s">
        <v>66698</v>
      </c>
      <c r="N3256" t="s">
        <v>66699</v>
      </c>
      <c r="O3256">
        <f>-957.874517676137 -30.3556065013854 -493.916869061936</f>
        <v>-1482.1469932394584</v>
      </c>
      <c r="P3256">
        <f>-949.845614184071 -57.8961041689686 -201.054678490198</f>
        <v>-1208.7963968432375</v>
      </c>
      <c r="Q3256">
        <f>-777.498980785065 -79.4725245302889 -368.033707636543</f>
        <v>-1225.0052129518967</v>
      </c>
      <c r="R3256" t="s">
        <v>66700</v>
      </c>
      <c r="S3256" t="s">
        <v>66701</v>
      </c>
      <c r="T3256" t="s">
        <v>66702</v>
      </c>
      <c r="U3256" t="s">
        <v>66703</v>
      </c>
      <c r="V3256" t="s">
        <v>66704</v>
      </c>
      <c r="W3256" t="s">
        <v>66705</v>
      </c>
      <c r="X3256" t="s">
        <v>66706</v>
      </c>
      <c r="Y3256" t="s">
        <v>66707</v>
      </c>
    </row>
    <row r="3257" spans="1:25" x14ac:dyDescent="0.3">
      <c r="A3257">
        <v>162800</v>
      </c>
      <c r="B3257" t="s">
        <v>66708</v>
      </c>
      <c r="C3257" t="s">
        <v>66709</v>
      </c>
      <c r="D3257" t="s">
        <v>66710</v>
      </c>
      <c r="E3257" t="s">
        <v>66711</v>
      </c>
      <c r="F3257" t="s">
        <v>66712</v>
      </c>
      <c r="G3257" t="s">
        <v>66713</v>
      </c>
      <c r="H3257" t="s">
        <v>66714</v>
      </c>
      <c r="I3257" t="s">
        <v>66715</v>
      </c>
      <c r="J3257" t="s">
        <v>66716</v>
      </c>
      <c r="K3257" t="s">
        <v>66717</v>
      </c>
      <c r="L3257" t="s">
        <v>66718</v>
      </c>
      <c r="M3257" t="s">
        <v>66719</v>
      </c>
      <c r="N3257" t="s">
        <v>66720</v>
      </c>
      <c r="O3257">
        <f>-958.080671951268 -30.2292255420025 -493.84237441118</f>
        <v>-1482.1522719044506</v>
      </c>
      <c r="P3257">
        <f>-944.28070653074 -58.5914339058043 -201.273941572417</f>
        <v>-1204.1460820089612</v>
      </c>
      <c r="Q3257">
        <f>-774.41633815747 -80.0436849429502 -370.79273932168</f>
        <v>-1225.2527624221002</v>
      </c>
      <c r="R3257" t="s">
        <v>66721</v>
      </c>
      <c r="S3257" t="s">
        <v>66722</v>
      </c>
      <c r="T3257" t="s">
        <v>66723</v>
      </c>
      <c r="U3257" t="s">
        <v>66724</v>
      </c>
      <c r="V3257" t="s">
        <v>66725</v>
      </c>
      <c r="W3257" t="s">
        <v>66726</v>
      </c>
      <c r="X3257" t="s">
        <v>66727</v>
      </c>
      <c r="Y3257" t="s">
        <v>66728</v>
      </c>
    </row>
    <row r="3258" spans="1:25" x14ac:dyDescent="0.3">
      <c r="A3258">
        <v>162850</v>
      </c>
      <c r="B3258" t="s">
        <v>66729</v>
      </c>
      <c r="C3258" t="s">
        <v>66730</v>
      </c>
      <c r="D3258" t="s">
        <v>66731</v>
      </c>
      <c r="E3258" t="s">
        <v>66732</v>
      </c>
      <c r="F3258" t="s">
        <v>66733</v>
      </c>
      <c r="G3258" t="s">
        <v>66734</v>
      </c>
      <c r="H3258" t="s">
        <v>66735</v>
      </c>
      <c r="I3258" t="s">
        <v>66736</v>
      </c>
      <c r="J3258" t="s">
        <v>66737</v>
      </c>
      <c r="K3258" t="s">
        <v>66738</v>
      </c>
      <c r="L3258" t="s">
        <v>66739</v>
      </c>
      <c r="M3258" t="s">
        <v>66740</v>
      </c>
      <c r="N3258" t="s">
        <v>66741</v>
      </c>
      <c r="O3258">
        <f>-957.738361879325 -30.3517223874042 -493.787933133488</f>
        <v>-1481.8780174002172</v>
      </c>
      <c r="P3258">
        <f>-942.005151513746 -59.0329528773234 -201.348174801995</f>
        <v>-1202.3862791930644</v>
      </c>
      <c r="Q3258">
        <f>-772.875433547487 -80.0146380636243 -371.65869652028</f>
        <v>-1224.5487681313912</v>
      </c>
      <c r="R3258" t="s">
        <v>66742</v>
      </c>
      <c r="S3258" t="s">
        <v>66743</v>
      </c>
      <c r="T3258" t="s">
        <v>66744</v>
      </c>
      <c r="U3258" t="s">
        <v>66745</v>
      </c>
      <c r="V3258" t="s">
        <v>66746</v>
      </c>
      <c r="W3258" t="s">
        <v>66747</v>
      </c>
      <c r="X3258" t="s">
        <v>66748</v>
      </c>
      <c r="Y3258" t="s">
        <v>66749</v>
      </c>
    </row>
    <row r="3259" spans="1:25" x14ac:dyDescent="0.3">
      <c r="A3259">
        <v>162900</v>
      </c>
      <c r="B3259" t="s">
        <v>66750</v>
      </c>
      <c r="C3259" t="s">
        <v>66751</v>
      </c>
      <c r="D3259" t="s">
        <v>66752</v>
      </c>
      <c r="E3259" t="s">
        <v>66753</v>
      </c>
      <c r="F3259" t="s">
        <v>66754</v>
      </c>
      <c r="G3259" t="s">
        <v>66755</v>
      </c>
      <c r="H3259" t="s">
        <v>66756</v>
      </c>
      <c r="I3259" t="s">
        <v>66757</v>
      </c>
      <c r="J3259" t="s">
        <v>66758</v>
      </c>
      <c r="K3259" t="s">
        <v>66759</v>
      </c>
      <c r="L3259" t="s">
        <v>66760</v>
      </c>
      <c r="M3259" t="s">
        <v>66761</v>
      </c>
      <c r="N3259" t="s">
        <v>66762</v>
      </c>
      <c r="O3259">
        <f>-956.84754292974 -30.8359892711665 -493.806138901599</f>
        <v>-1481.4896711025056</v>
      </c>
      <c r="P3259">
        <f>-938.638614582955 -59.7933338416599 -201.537172698675</f>
        <v>-1199.9691211232898</v>
      </c>
      <c r="Q3259">
        <f>-770.225755755802 -79.5028901707065 -372.70811389687</f>
        <v>-1222.4367598233785</v>
      </c>
      <c r="R3259" t="s">
        <v>66763</v>
      </c>
      <c r="S3259" t="s">
        <v>66764</v>
      </c>
      <c r="T3259" t="s">
        <v>66765</v>
      </c>
      <c r="U3259" t="s">
        <v>66766</v>
      </c>
      <c r="V3259" t="s">
        <v>66767</v>
      </c>
      <c r="W3259" t="s">
        <v>66768</v>
      </c>
      <c r="X3259" t="s">
        <v>66769</v>
      </c>
      <c r="Y3259" t="s">
        <v>66770</v>
      </c>
    </row>
    <row r="3260" spans="1:25" x14ac:dyDescent="0.3">
      <c r="A3260">
        <v>162950</v>
      </c>
      <c r="B3260" t="s">
        <v>66771</v>
      </c>
      <c r="C3260" t="s">
        <v>66772</v>
      </c>
      <c r="D3260" t="s">
        <v>66773</v>
      </c>
      <c r="E3260" t="s">
        <v>66774</v>
      </c>
      <c r="F3260" t="s">
        <v>66775</v>
      </c>
      <c r="G3260" t="s">
        <v>66776</v>
      </c>
      <c r="H3260" t="s">
        <v>66777</v>
      </c>
      <c r="I3260" t="s">
        <v>66778</v>
      </c>
      <c r="J3260" t="s">
        <v>66779</v>
      </c>
      <c r="K3260" t="s">
        <v>66780</v>
      </c>
      <c r="L3260" t="s">
        <v>66781</v>
      </c>
      <c r="M3260" t="s">
        <v>66782</v>
      </c>
      <c r="N3260" t="s">
        <v>66783</v>
      </c>
      <c r="O3260">
        <f>-956.439641194304 -31.0546668134334 -493.870523843916</f>
        <v>-1481.3648318516534</v>
      </c>
      <c r="P3260">
        <f>-937.619204326962 -60.2213449425215 -201.66118928121</f>
        <v>-1199.5017385506935</v>
      </c>
      <c r="Q3260">
        <f>-769.123425479126 -78.7581444152961 -372.881618120578</f>
        <v>-1220.7631880150002</v>
      </c>
      <c r="R3260" t="s">
        <v>66784</v>
      </c>
      <c r="S3260" t="s">
        <v>66785</v>
      </c>
      <c r="T3260" t="s">
        <v>66786</v>
      </c>
      <c r="U3260" t="s">
        <v>66787</v>
      </c>
      <c r="V3260" t="s">
        <v>66788</v>
      </c>
      <c r="W3260" t="s">
        <v>66789</v>
      </c>
      <c r="X3260" t="s">
        <v>66790</v>
      </c>
      <c r="Y3260" t="s">
        <v>66791</v>
      </c>
    </row>
    <row r="3261" spans="1:25" x14ac:dyDescent="0.3">
      <c r="A3261">
        <v>163000</v>
      </c>
      <c r="B3261" t="s">
        <v>66792</v>
      </c>
      <c r="C3261" t="s">
        <v>66793</v>
      </c>
      <c r="D3261" t="s">
        <v>66794</v>
      </c>
      <c r="E3261" t="s">
        <v>66795</v>
      </c>
      <c r="F3261" t="s">
        <v>66796</v>
      </c>
      <c r="G3261" t="s">
        <v>66797</v>
      </c>
      <c r="H3261" t="s">
        <v>66798</v>
      </c>
      <c r="I3261" t="s">
        <v>66799</v>
      </c>
      <c r="J3261" t="s">
        <v>66800</v>
      </c>
      <c r="K3261" t="s">
        <v>66801</v>
      </c>
      <c r="L3261" t="s">
        <v>66802</v>
      </c>
      <c r="M3261" t="s">
        <v>66803</v>
      </c>
      <c r="N3261" t="s">
        <v>66804</v>
      </c>
      <c r="O3261">
        <f>-955.318089919527 -31.3365606941761 -494.13998560197</f>
        <v>-1480.7946362156731</v>
      </c>
      <c r="P3261">
        <f>-936.242559815698 -61.1888164139864 -202.01654111753</f>
        <v>-1199.4479173472143</v>
      </c>
      <c r="Q3261">
        <f>-767.250287130928 -76.6071127773332 -373.056518057871</f>
        <v>-1216.9139179661322</v>
      </c>
      <c r="R3261" t="s">
        <v>66805</v>
      </c>
      <c r="S3261" t="s">
        <v>66806</v>
      </c>
      <c r="T3261" t="s">
        <v>66807</v>
      </c>
      <c r="U3261" t="s">
        <v>66808</v>
      </c>
      <c r="V3261" t="s">
        <v>66809</v>
      </c>
      <c r="W3261" t="s">
        <v>66810</v>
      </c>
      <c r="X3261" t="s">
        <v>66811</v>
      </c>
      <c r="Y3261" t="s">
        <v>66812</v>
      </c>
    </row>
    <row r="3262" spans="1:25" x14ac:dyDescent="0.3">
      <c r="A3262">
        <v>163050</v>
      </c>
      <c r="B3262" t="s">
        <v>66813</v>
      </c>
      <c r="C3262" t="s">
        <v>66814</v>
      </c>
      <c r="D3262" t="s">
        <v>66815</v>
      </c>
      <c r="E3262" t="s">
        <v>66816</v>
      </c>
      <c r="F3262" t="s">
        <v>66817</v>
      </c>
      <c r="G3262" t="s">
        <v>66818</v>
      </c>
      <c r="H3262" t="s">
        <v>66819</v>
      </c>
      <c r="I3262" t="s">
        <v>66820</v>
      </c>
      <c r="J3262" t="s">
        <v>66821</v>
      </c>
      <c r="K3262" t="s">
        <v>66822</v>
      </c>
      <c r="L3262" t="s">
        <v>66823</v>
      </c>
      <c r="M3262" t="s">
        <v>66824</v>
      </c>
      <c r="N3262" t="s">
        <v>66825</v>
      </c>
      <c r="O3262">
        <f>-954.711165758372 -31.2330676745378 -494.333551339124</f>
        <v>-1480.2777847720338</v>
      </c>
      <c r="P3262">
        <f>-935.508430998919 -61.3467434373592 -202.245068570944</f>
        <v>-1199.1002430072222</v>
      </c>
      <c r="Q3262">
        <f>-766.320654869307 -75.1950814781419 -373.226593406349</f>
        <v>-1214.742329753798</v>
      </c>
      <c r="R3262" t="s">
        <v>66826</v>
      </c>
      <c r="S3262" t="s">
        <v>66827</v>
      </c>
      <c r="T3262" t="s">
        <v>66828</v>
      </c>
      <c r="U3262" t="s">
        <v>66829</v>
      </c>
      <c r="V3262" t="s">
        <v>66830</v>
      </c>
      <c r="W3262" t="s">
        <v>66831</v>
      </c>
      <c r="X3262" t="s">
        <v>66832</v>
      </c>
      <c r="Y3262" t="s">
        <v>66833</v>
      </c>
    </row>
    <row r="3263" spans="1:25" x14ac:dyDescent="0.3">
      <c r="A3263">
        <v>163100</v>
      </c>
      <c r="B3263" t="s">
        <v>66834</v>
      </c>
      <c r="C3263" t="s">
        <v>66835</v>
      </c>
      <c r="D3263" t="s">
        <v>66836</v>
      </c>
      <c r="E3263" t="s">
        <v>66837</v>
      </c>
      <c r="F3263" t="s">
        <v>66838</v>
      </c>
      <c r="G3263" t="s">
        <v>66839</v>
      </c>
      <c r="H3263" t="s">
        <v>66840</v>
      </c>
      <c r="I3263" t="s">
        <v>66841</v>
      </c>
      <c r="J3263" t="s">
        <v>66842</v>
      </c>
      <c r="K3263" t="s">
        <v>66843</v>
      </c>
      <c r="L3263" t="s">
        <v>66844</v>
      </c>
      <c r="M3263" t="s">
        <v>66845</v>
      </c>
      <c r="N3263" t="s">
        <v>66846</v>
      </c>
      <c r="O3263">
        <f>-953.834954072745 -30.6533017014985 -494.817562977439</f>
        <v>-1479.3058187516826</v>
      </c>
      <c r="P3263">
        <f>-934.493198372004 -60.9752140146775 -202.760010627625</f>
        <v>-1198.2284230143066</v>
      </c>
      <c r="Q3263">
        <f>-764.836732441579 -72.3471278666739 -373.458910649114</f>
        <v>-1210.6427709573668</v>
      </c>
      <c r="R3263" t="s">
        <v>66847</v>
      </c>
      <c r="S3263" t="s">
        <v>66848</v>
      </c>
      <c r="T3263" t="s">
        <v>66849</v>
      </c>
      <c r="U3263" t="s">
        <v>66850</v>
      </c>
      <c r="V3263" t="s">
        <v>66851</v>
      </c>
      <c r="W3263" t="s">
        <v>66852</v>
      </c>
      <c r="X3263" t="s">
        <v>66853</v>
      </c>
      <c r="Y3263" t="s">
        <v>66854</v>
      </c>
    </row>
    <row r="3264" spans="1:25" x14ac:dyDescent="0.3">
      <c r="A3264">
        <v>163150</v>
      </c>
      <c r="B3264" t="s">
        <v>66855</v>
      </c>
      <c r="C3264" t="s">
        <v>66856</v>
      </c>
      <c r="D3264" t="s">
        <v>66857</v>
      </c>
      <c r="E3264" t="s">
        <v>66858</v>
      </c>
      <c r="F3264" t="s">
        <v>66859</v>
      </c>
      <c r="G3264" t="s">
        <v>66860</v>
      </c>
      <c r="H3264" t="s">
        <v>66861</v>
      </c>
      <c r="I3264" t="s">
        <v>66862</v>
      </c>
      <c r="J3264" t="s">
        <v>66863</v>
      </c>
      <c r="K3264" t="s">
        <v>66864</v>
      </c>
      <c r="L3264" t="s">
        <v>66865</v>
      </c>
      <c r="M3264" t="s">
        <v>66866</v>
      </c>
      <c r="N3264" t="s">
        <v>66867</v>
      </c>
      <c r="O3264">
        <f>-953.428674777304 -30.3816273179264 -495.099248327203</f>
        <v>-1478.9095504224333</v>
      </c>
      <c r="P3264">
        <f>-934.200473463627 -60.9763668498429 -203.062590531053</f>
        <v>-1198.2394308445228</v>
      </c>
      <c r="Q3264">
        <f>-764.222240472107 -71.2989164498949 -373.508170932649</f>
        <v>-1209.029327854651</v>
      </c>
      <c r="R3264" t="s">
        <v>66868</v>
      </c>
      <c r="S3264" t="s">
        <v>66869</v>
      </c>
      <c r="T3264" t="s">
        <v>66870</v>
      </c>
      <c r="U3264" t="s">
        <v>66871</v>
      </c>
      <c r="V3264" t="s">
        <v>66872</v>
      </c>
      <c r="W3264" t="s">
        <v>66873</v>
      </c>
      <c r="X3264" t="s">
        <v>66874</v>
      </c>
      <c r="Y3264" t="s">
        <v>66875</v>
      </c>
    </row>
    <row r="3265" spans="1:25" x14ac:dyDescent="0.3">
      <c r="A3265">
        <v>163200</v>
      </c>
      <c r="B3265" t="s">
        <v>66876</v>
      </c>
      <c r="C3265" t="s">
        <v>66877</v>
      </c>
      <c r="D3265" t="s">
        <v>66878</v>
      </c>
      <c r="E3265" t="s">
        <v>66879</v>
      </c>
      <c r="F3265" t="s">
        <v>66880</v>
      </c>
      <c r="G3265" t="s">
        <v>66881</v>
      </c>
      <c r="H3265" t="s">
        <v>66882</v>
      </c>
      <c r="I3265" t="s">
        <v>66883</v>
      </c>
      <c r="J3265" t="s">
        <v>66884</v>
      </c>
      <c r="K3265" t="s">
        <v>66885</v>
      </c>
      <c r="L3265" t="s">
        <v>66886</v>
      </c>
      <c r="M3265" t="s">
        <v>66887</v>
      </c>
      <c r="N3265" t="s">
        <v>66888</v>
      </c>
      <c r="O3265">
        <f>-952.196082719032 -29.6491822236312 -495.758764243607</f>
        <v>-1477.6040291862703</v>
      </c>
      <c r="P3265">
        <f>-933.33095754495 -61.212816486059 -203.801472369272</f>
        <v>-1198.345246400281</v>
      </c>
      <c r="Q3265">
        <f>-762.751765453877 -69.7464536609821 -373.744924669584</f>
        <v>-1206.2431437844432</v>
      </c>
      <c r="R3265" t="s">
        <v>66889</v>
      </c>
      <c r="S3265" t="s">
        <v>66890</v>
      </c>
      <c r="T3265" t="s">
        <v>66891</v>
      </c>
      <c r="U3265" t="s">
        <v>66892</v>
      </c>
      <c r="V3265" t="s">
        <v>66893</v>
      </c>
      <c r="W3265" t="s">
        <v>66894</v>
      </c>
      <c r="X3265" t="s">
        <v>66895</v>
      </c>
      <c r="Y3265" t="s">
        <v>66896</v>
      </c>
    </row>
    <row r="3266" spans="1:25" x14ac:dyDescent="0.3">
      <c r="A3266">
        <v>163250</v>
      </c>
      <c r="B3266" t="s">
        <v>66897</v>
      </c>
      <c r="C3266" t="s">
        <v>66898</v>
      </c>
      <c r="D3266" t="s">
        <v>66899</v>
      </c>
      <c r="E3266" t="s">
        <v>66900</v>
      </c>
      <c r="F3266" t="s">
        <v>66901</v>
      </c>
      <c r="G3266" t="s">
        <v>66902</v>
      </c>
      <c r="H3266" t="s">
        <v>66903</v>
      </c>
      <c r="I3266" t="s">
        <v>66904</v>
      </c>
      <c r="J3266" t="s">
        <v>66905</v>
      </c>
      <c r="K3266" t="s">
        <v>66906</v>
      </c>
      <c r="L3266" t="s">
        <v>66907</v>
      </c>
      <c r="M3266" t="s">
        <v>66908</v>
      </c>
      <c r="N3266" t="s">
        <v>66909</v>
      </c>
      <c r="O3266">
        <f>-951.682992663819 -28.9571415704736 -495.984800632523</f>
        <v>-1476.6249348668157</v>
      </c>
      <c r="P3266">
        <f>-932.967002565376 -60.6534309478955 -204.032376951807</f>
        <v>-1197.6528104650783</v>
      </c>
      <c r="Q3266">
        <f>-762.239118540115 -68.8919588442036 -373.841000888078</f>
        <v>-1204.9720782723966</v>
      </c>
      <c r="R3266" t="s">
        <v>66910</v>
      </c>
      <c r="S3266" t="s">
        <v>66911</v>
      </c>
      <c r="T3266" t="s">
        <v>66912</v>
      </c>
      <c r="U3266" t="s">
        <v>66913</v>
      </c>
      <c r="V3266" t="s">
        <v>66914</v>
      </c>
      <c r="W3266" t="s">
        <v>66915</v>
      </c>
      <c r="X3266" t="s">
        <v>66916</v>
      </c>
      <c r="Y3266" t="s">
        <v>66917</v>
      </c>
    </row>
    <row r="3267" spans="1:25" x14ac:dyDescent="0.3">
      <c r="A3267">
        <v>163300</v>
      </c>
      <c r="B3267" t="s">
        <v>66918</v>
      </c>
      <c r="C3267" t="s">
        <v>66919</v>
      </c>
      <c r="D3267" t="s">
        <v>66920</v>
      </c>
      <c r="E3267" t="s">
        <v>66921</v>
      </c>
      <c r="F3267" t="s">
        <v>66922</v>
      </c>
      <c r="G3267" t="s">
        <v>66923</v>
      </c>
      <c r="H3267" t="s">
        <v>66924</v>
      </c>
      <c r="I3267" t="s">
        <v>66925</v>
      </c>
      <c r="J3267" t="s">
        <v>66926</v>
      </c>
      <c r="K3267" t="s">
        <v>66927</v>
      </c>
      <c r="L3267" t="s">
        <v>66928</v>
      </c>
      <c r="M3267" t="s">
        <v>66929</v>
      </c>
      <c r="N3267" t="s">
        <v>66930</v>
      </c>
      <c r="O3267">
        <f>-950.925922545291 -27.5726300894007 -496.243842260313</f>
        <v>-1474.7423948950047</v>
      </c>
      <c r="P3267">
        <f>-932.566259779019 -59.2250938236616 -204.263909587579</f>
        <v>-1196.0552631902597</v>
      </c>
      <c r="Q3267">
        <f>-761.42597006863 -68.0721036887949 -373.625884021499</f>
        <v>-1203.1239577789238</v>
      </c>
      <c r="R3267" t="s">
        <v>66931</v>
      </c>
      <c r="S3267" t="s">
        <v>66932</v>
      </c>
      <c r="T3267" t="s">
        <v>66933</v>
      </c>
      <c r="U3267" t="s">
        <v>66934</v>
      </c>
      <c r="V3267" t="s">
        <v>66935</v>
      </c>
      <c r="W3267" t="s">
        <v>66936</v>
      </c>
      <c r="X3267" t="s">
        <v>66937</v>
      </c>
      <c r="Y3267" t="s">
        <v>66938</v>
      </c>
    </row>
    <row r="3268" spans="1:25" x14ac:dyDescent="0.3">
      <c r="A3268">
        <v>163350</v>
      </c>
      <c r="B3268" t="s">
        <v>66939</v>
      </c>
      <c r="C3268" t="s">
        <v>66940</v>
      </c>
      <c r="D3268" t="s">
        <v>66941</v>
      </c>
      <c r="E3268" t="s">
        <v>66942</v>
      </c>
      <c r="F3268" t="s">
        <v>66943</v>
      </c>
      <c r="G3268" t="s">
        <v>66944</v>
      </c>
      <c r="H3268" t="s">
        <v>66945</v>
      </c>
      <c r="I3268" t="s">
        <v>66946</v>
      </c>
      <c r="J3268" t="s">
        <v>66947</v>
      </c>
      <c r="K3268" t="s">
        <v>66948</v>
      </c>
      <c r="L3268" t="s">
        <v>66949</v>
      </c>
      <c r="M3268" t="s">
        <v>66950</v>
      </c>
      <c r="N3268" t="s">
        <v>66951</v>
      </c>
      <c r="O3268">
        <f>-950.690541697688 -27.0572137743657 -496.31547686062</f>
        <v>-1474.0632323326736</v>
      </c>
      <c r="P3268">
        <f>-932.632151932607 -58.7567139075873 -204.321791621105</f>
        <v>-1195.7106574612992</v>
      </c>
      <c r="Q3268">
        <f>-761.056723496848 -68.1292873626662 -373.215010165389</f>
        <v>-1202.4010210249032</v>
      </c>
      <c r="R3268" t="s">
        <v>66952</v>
      </c>
      <c r="S3268" t="s">
        <v>66953</v>
      </c>
      <c r="T3268" t="s">
        <v>66954</v>
      </c>
      <c r="U3268" t="s">
        <v>66955</v>
      </c>
      <c r="V3268" t="s">
        <v>66956</v>
      </c>
      <c r="W3268" t="s">
        <v>66957</v>
      </c>
      <c r="X3268" t="s">
        <v>66958</v>
      </c>
      <c r="Y3268" t="s">
        <v>66959</v>
      </c>
    </row>
    <row r="3269" spans="1:25" x14ac:dyDescent="0.3">
      <c r="A3269">
        <v>163400</v>
      </c>
      <c r="B3269" t="s">
        <v>66960</v>
      </c>
      <c r="C3269" t="s">
        <v>66961</v>
      </c>
      <c r="D3269" t="s">
        <v>66962</v>
      </c>
      <c r="E3269" t="s">
        <v>66963</v>
      </c>
      <c r="F3269" t="s">
        <v>66964</v>
      </c>
      <c r="G3269" t="s">
        <v>66965</v>
      </c>
      <c r="H3269" t="s">
        <v>66966</v>
      </c>
      <c r="I3269" t="s">
        <v>66967</v>
      </c>
      <c r="J3269" t="s">
        <v>66968</v>
      </c>
      <c r="K3269" t="s">
        <v>66969</v>
      </c>
      <c r="L3269" t="s">
        <v>66970</v>
      </c>
      <c r="M3269" t="s">
        <v>66971</v>
      </c>
      <c r="N3269" t="s">
        <v>66972</v>
      </c>
      <c r="O3269">
        <f>-950.421877432959 -26.5957479931694 -496.285180509126</f>
        <v>-1473.3028059352546</v>
      </c>
      <c r="P3269">
        <f>-933.503727883025 -58.3237364303568 -204.226398576935</f>
        <v>-1196.0538628903169</v>
      </c>
      <c r="Q3269">
        <f>-760.954848212964 -68.680799396732 -372.067111001491</f>
        <v>-1201.7027586111869</v>
      </c>
      <c r="R3269" t="s">
        <v>66973</v>
      </c>
      <c r="S3269" t="s">
        <v>66974</v>
      </c>
      <c r="T3269" t="s">
        <v>66975</v>
      </c>
      <c r="U3269" t="s">
        <v>66976</v>
      </c>
      <c r="V3269" t="s">
        <v>66977</v>
      </c>
      <c r="W3269" t="s">
        <v>66978</v>
      </c>
      <c r="X3269" t="s">
        <v>66979</v>
      </c>
      <c r="Y3269" t="s">
        <v>66980</v>
      </c>
    </row>
    <row r="3270" spans="1:25" x14ac:dyDescent="0.3">
      <c r="A3270">
        <v>163450</v>
      </c>
      <c r="B3270" t="s">
        <v>66981</v>
      </c>
      <c r="C3270" t="s">
        <v>66982</v>
      </c>
      <c r="D3270" t="s">
        <v>66983</v>
      </c>
      <c r="E3270" t="s">
        <v>66984</v>
      </c>
      <c r="F3270" t="s">
        <v>66985</v>
      </c>
      <c r="G3270" t="s">
        <v>66986</v>
      </c>
      <c r="H3270" t="s">
        <v>66987</v>
      </c>
      <c r="I3270" t="s">
        <v>66988</v>
      </c>
      <c r="J3270" t="s">
        <v>66989</v>
      </c>
      <c r="K3270" t="s">
        <v>66990</v>
      </c>
      <c r="L3270" t="s">
        <v>66991</v>
      </c>
      <c r="M3270" t="s">
        <v>66992</v>
      </c>
      <c r="N3270" t="s">
        <v>66993</v>
      </c>
      <c r="O3270">
        <f>-950.064667978507 -26.4259504734782 -496.230942351808</f>
        <v>-1472.7215608037932</v>
      </c>
      <c r="P3270">
        <f>-933.834064547857 -58.0040945061346 -204.116972257104</f>
        <v>-1195.9551313110956</v>
      </c>
      <c r="Q3270">
        <f>-760.98459094895 -68.7092586041797 -371.6261356983</f>
        <v>-1201.3199852514297</v>
      </c>
      <c r="R3270" t="s">
        <v>66994</v>
      </c>
      <c r="S3270" t="s">
        <v>66995</v>
      </c>
      <c r="T3270" t="s">
        <v>66996</v>
      </c>
      <c r="U3270" t="s">
        <v>66997</v>
      </c>
      <c r="V3270" t="s">
        <v>66998</v>
      </c>
      <c r="W3270" t="s">
        <v>66999</v>
      </c>
      <c r="X3270" t="s">
        <v>67000</v>
      </c>
      <c r="Y3270" t="s">
        <v>67001</v>
      </c>
    </row>
    <row r="3271" spans="1:25" x14ac:dyDescent="0.3">
      <c r="A3271">
        <v>163500</v>
      </c>
      <c r="B3271" t="s">
        <v>67002</v>
      </c>
      <c r="C3271" t="s">
        <v>67003</v>
      </c>
      <c r="D3271" t="s">
        <v>67004</v>
      </c>
      <c r="E3271" t="s">
        <v>67005</v>
      </c>
      <c r="F3271" t="s">
        <v>67006</v>
      </c>
      <c r="G3271" t="s">
        <v>67007</v>
      </c>
      <c r="H3271" t="s">
        <v>67008</v>
      </c>
      <c r="I3271" t="s">
        <v>67009</v>
      </c>
      <c r="J3271" t="s">
        <v>67010</v>
      </c>
      <c r="K3271" t="s">
        <v>67011</v>
      </c>
      <c r="L3271" t="s">
        <v>67012</v>
      </c>
      <c r="M3271" t="s">
        <v>67013</v>
      </c>
      <c r="N3271" t="s">
        <v>67014</v>
      </c>
      <c r="O3271">
        <f>-949.431692031877 -25.8100765311265 -496.250745215134</f>
        <v>-1471.4925137781374</v>
      </c>
      <c r="P3271">
        <f>-934.075857908506 -57.1712231411639 -204.066176689511</f>
        <v>-1195.3132577391809</v>
      </c>
      <c r="Q3271">
        <f>-760.995702164456 -68.3111761786804 -371.308630914256</f>
        <v>-1200.6155092573924</v>
      </c>
      <c r="R3271" t="s">
        <v>67015</v>
      </c>
      <c r="S3271" t="s">
        <v>67016</v>
      </c>
      <c r="T3271" t="s">
        <v>67017</v>
      </c>
      <c r="U3271" t="s">
        <v>67018</v>
      </c>
      <c r="V3271" t="s">
        <v>67019</v>
      </c>
      <c r="W3271" t="s">
        <v>67020</v>
      </c>
      <c r="X3271" t="s">
        <v>67021</v>
      </c>
      <c r="Y3271" t="s">
        <v>67022</v>
      </c>
    </row>
    <row r="3272" spans="1:25" x14ac:dyDescent="0.3">
      <c r="A3272">
        <v>163550</v>
      </c>
      <c r="B3272" t="s">
        <v>67023</v>
      </c>
      <c r="C3272" t="s">
        <v>67024</v>
      </c>
      <c r="D3272" t="s">
        <v>67025</v>
      </c>
      <c r="E3272" t="s">
        <v>67026</v>
      </c>
      <c r="F3272" t="s">
        <v>67027</v>
      </c>
      <c r="G3272" t="s">
        <v>67028</v>
      </c>
      <c r="H3272" t="s">
        <v>67029</v>
      </c>
      <c r="I3272" t="s">
        <v>67030</v>
      </c>
      <c r="J3272" t="s">
        <v>67031</v>
      </c>
      <c r="K3272" t="s">
        <v>67032</v>
      </c>
      <c r="L3272" t="s">
        <v>67033</v>
      </c>
      <c r="M3272" t="s">
        <v>67034</v>
      </c>
      <c r="N3272" t="s">
        <v>67035</v>
      </c>
      <c r="O3272">
        <f>-949.045445015334 -25.3472035330533 -496.41360610236</f>
        <v>-1470.8062546507474</v>
      </c>
      <c r="P3272">
        <f>-934.143538899274 -56.9064083149538 -204.226790526259</f>
        <v>-1195.2767377404866</v>
      </c>
      <c r="Q3272">
        <f>-760.736655665828 -68.0210150894711 -371.131842062391</f>
        <v>-1199.88951281769</v>
      </c>
      <c r="R3272" t="s">
        <v>67036</v>
      </c>
      <c r="S3272" t="s">
        <v>67037</v>
      </c>
      <c r="T3272" t="s">
        <v>67038</v>
      </c>
      <c r="U3272" t="s">
        <v>67039</v>
      </c>
      <c r="V3272" t="s">
        <v>67040</v>
      </c>
      <c r="W3272" t="s">
        <v>67041</v>
      </c>
      <c r="X3272" t="s">
        <v>67042</v>
      </c>
      <c r="Y3272" t="s">
        <v>67043</v>
      </c>
    </row>
    <row r="3273" spans="1:25" x14ac:dyDescent="0.3">
      <c r="A3273">
        <v>163600</v>
      </c>
      <c r="B3273" t="s">
        <v>67044</v>
      </c>
      <c r="C3273" t="s">
        <v>67045</v>
      </c>
      <c r="D3273" t="s">
        <v>67046</v>
      </c>
      <c r="E3273" t="s">
        <v>67047</v>
      </c>
      <c r="F3273" t="s">
        <v>67048</v>
      </c>
      <c r="G3273" t="s">
        <v>67049</v>
      </c>
      <c r="H3273" t="s">
        <v>67050</v>
      </c>
      <c r="I3273" t="s">
        <v>67051</v>
      </c>
      <c r="J3273" t="s">
        <v>67052</v>
      </c>
      <c r="K3273" t="s">
        <v>67053</v>
      </c>
      <c r="L3273" t="s">
        <v>67054</v>
      </c>
      <c r="M3273" t="s">
        <v>67055</v>
      </c>
      <c r="N3273" t="s">
        <v>67056</v>
      </c>
      <c r="O3273">
        <f>-947.75940159311 -24.3064851272316 -496.812372830474</f>
        <v>-1468.8782595508155</v>
      </c>
      <c r="P3273">
        <f>-934.314997691158 -56.1813295538536 -204.589037847141</f>
        <v>-1195.0853650921526</v>
      </c>
      <c r="Q3273">
        <f>-760.521788357134 -68.3755048885353 -371.016456797401</f>
        <v>-1199.9137500430702</v>
      </c>
      <c r="R3273" t="s">
        <v>67057</v>
      </c>
      <c r="S3273" t="s">
        <v>67058</v>
      </c>
      <c r="T3273" t="s">
        <v>67059</v>
      </c>
      <c r="U3273" t="s">
        <v>67060</v>
      </c>
      <c r="V3273" t="s">
        <v>67061</v>
      </c>
      <c r="W3273" t="s">
        <v>67062</v>
      </c>
      <c r="X3273" t="s">
        <v>67063</v>
      </c>
      <c r="Y3273" t="s">
        <v>67064</v>
      </c>
    </row>
    <row r="3274" spans="1:25" x14ac:dyDescent="0.3">
      <c r="A3274">
        <v>163650</v>
      </c>
      <c r="B3274" t="s">
        <v>67065</v>
      </c>
      <c r="C3274" t="s">
        <v>67066</v>
      </c>
      <c r="D3274" t="s">
        <v>67067</v>
      </c>
      <c r="E3274" t="s">
        <v>67068</v>
      </c>
      <c r="F3274" t="s">
        <v>67069</v>
      </c>
      <c r="G3274" t="s">
        <v>67070</v>
      </c>
      <c r="H3274" t="s">
        <v>67071</v>
      </c>
      <c r="I3274" t="s">
        <v>67072</v>
      </c>
      <c r="J3274" t="s">
        <v>67073</v>
      </c>
      <c r="K3274" t="s">
        <v>67074</v>
      </c>
      <c r="L3274" t="s">
        <v>67075</v>
      </c>
      <c r="M3274" t="s">
        <v>67076</v>
      </c>
      <c r="N3274" t="s">
        <v>67077</v>
      </c>
      <c r="O3274">
        <f>-947.141339673877 -23.7321996602395 -497.065227119525</f>
        <v>-1467.9387664536416</v>
      </c>
      <c r="P3274">
        <f>-934.566143248922 -56.0514424214275 -204.852109398961</f>
        <v>-1195.4696950693105</v>
      </c>
      <c r="Q3274">
        <f>-760.382149144702 -68.3142926625214 -370.865583311188</f>
        <v>-1199.5620251184114</v>
      </c>
      <c r="R3274" t="s">
        <v>67078</v>
      </c>
      <c r="S3274" t="s">
        <v>67079</v>
      </c>
      <c r="T3274" t="s">
        <v>67080</v>
      </c>
      <c r="U3274" t="s">
        <v>67081</v>
      </c>
      <c r="V3274" t="s">
        <v>67082</v>
      </c>
      <c r="W3274" t="s">
        <v>67083</v>
      </c>
      <c r="X3274" t="s">
        <v>67084</v>
      </c>
      <c r="Y3274" t="s">
        <v>67085</v>
      </c>
    </row>
    <row r="3275" spans="1:25" x14ac:dyDescent="0.3">
      <c r="A3275">
        <v>163700</v>
      </c>
      <c r="B3275" t="s">
        <v>67086</v>
      </c>
      <c r="C3275" t="s">
        <v>67087</v>
      </c>
      <c r="D3275" t="s">
        <v>67088</v>
      </c>
      <c r="E3275" t="s">
        <v>67089</v>
      </c>
      <c r="F3275" t="s">
        <v>67090</v>
      </c>
      <c r="G3275" t="s">
        <v>67091</v>
      </c>
      <c r="H3275" t="s">
        <v>67092</v>
      </c>
      <c r="I3275" t="s">
        <v>67093</v>
      </c>
      <c r="J3275" t="s">
        <v>67094</v>
      </c>
      <c r="K3275" t="s">
        <v>67095</v>
      </c>
      <c r="L3275" t="s">
        <v>67096</v>
      </c>
      <c r="M3275" t="s">
        <v>67097</v>
      </c>
      <c r="N3275" t="s">
        <v>67098</v>
      </c>
      <c r="O3275">
        <f>-946.227125149071 -22.1314663698677 -497.533216052858</f>
        <v>-1465.8918075717966</v>
      </c>
      <c r="P3275">
        <f>-935.63894893366 -55.2319066637813 -205.328730192045</f>
        <v>-1196.1995857894863</v>
      </c>
      <c r="Q3275">
        <f>-760.570327133512 -68.0071316106566 -370.369717792289</f>
        <v>-1198.9471765364576</v>
      </c>
      <c r="R3275" t="s">
        <v>67099</v>
      </c>
      <c r="S3275" t="s">
        <v>67100</v>
      </c>
      <c r="T3275" t="s">
        <v>67101</v>
      </c>
      <c r="U3275" t="s">
        <v>67102</v>
      </c>
      <c r="V3275" t="s">
        <v>67103</v>
      </c>
      <c r="W3275" t="s">
        <v>67104</v>
      </c>
      <c r="X3275" t="s">
        <v>67105</v>
      </c>
      <c r="Y3275" t="s">
        <v>67106</v>
      </c>
    </row>
    <row r="3276" spans="1:25" x14ac:dyDescent="0.3">
      <c r="A3276">
        <v>163750</v>
      </c>
      <c r="B3276" t="s">
        <v>67107</v>
      </c>
      <c r="C3276" t="s">
        <v>67108</v>
      </c>
      <c r="D3276" t="s">
        <v>67109</v>
      </c>
      <c r="E3276" t="s">
        <v>67110</v>
      </c>
      <c r="F3276" t="s">
        <v>67111</v>
      </c>
      <c r="G3276" t="s">
        <v>67112</v>
      </c>
      <c r="H3276" t="s">
        <v>67113</v>
      </c>
      <c r="I3276" t="s">
        <v>67114</v>
      </c>
      <c r="J3276" t="s">
        <v>67115</v>
      </c>
      <c r="K3276" t="s">
        <v>67116</v>
      </c>
      <c r="L3276" t="s">
        <v>67117</v>
      </c>
      <c r="M3276" t="s">
        <v>67118</v>
      </c>
      <c r="N3276" t="s">
        <v>67119</v>
      </c>
      <c r="O3276">
        <f>-945.985361920862 -21.1772301269821 -497.727459810314</f>
        <v>-1464.8900518581581</v>
      </c>
      <c r="P3276">
        <f>-936.404510998201 -54.5794016752766 -205.522562083498</f>
        <v>-1196.5064747569756</v>
      </c>
      <c r="Q3276">
        <f>-760.95226505135 -67.8302357487287 -370.118527296317</f>
        <v>-1198.9010280963957</v>
      </c>
      <c r="R3276" t="s">
        <v>67120</v>
      </c>
      <c r="S3276" t="s">
        <v>67121</v>
      </c>
      <c r="T3276" t="s">
        <v>67122</v>
      </c>
      <c r="U3276" t="s">
        <v>67123</v>
      </c>
      <c r="V3276" t="s">
        <v>67124</v>
      </c>
      <c r="W3276" t="s">
        <v>67125</v>
      </c>
      <c r="X3276" t="s">
        <v>67126</v>
      </c>
      <c r="Y3276" t="s">
        <v>67127</v>
      </c>
    </row>
    <row r="3277" spans="1:25" x14ac:dyDescent="0.3">
      <c r="A3277">
        <v>163800</v>
      </c>
      <c r="B3277" t="s">
        <v>67128</v>
      </c>
      <c r="C3277" t="s">
        <v>67129</v>
      </c>
      <c r="D3277" t="s">
        <v>67130</v>
      </c>
      <c r="E3277" t="s">
        <v>67131</v>
      </c>
      <c r="F3277" t="s">
        <v>67132</v>
      </c>
      <c r="G3277" t="s">
        <v>67133</v>
      </c>
      <c r="H3277" t="s">
        <v>67134</v>
      </c>
      <c r="I3277" t="s">
        <v>67135</v>
      </c>
      <c r="J3277" t="s">
        <v>67136</v>
      </c>
      <c r="K3277" t="s">
        <v>67137</v>
      </c>
      <c r="L3277" t="s">
        <v>67138</v>
      </c>
      <c r="M3277" t="s">
        <v>67139</v>
      </c>
      <c r="N3277" t="s">
        <v>67140</v>
      </c>
      <c r="O3277">
        <f>-946.056773587981 -18.9223161744071 -498.224262623593</f>
        <v>-1463.2033523859811</v>
      </c>
      <c r="P3277">
        <f>-938.593771725119 -53.0091882973672 -206.036655099035</f>
        <v>-1197.6396151215213</v>
      </c>
      <c r="Q3277">
        <f>-761.642963791169 -67.3382617309744 -368.929187275467</f>
        <v>-1197.9104127976104</v>
      </c>
      <c r="R3277" t="s">
        <v>67141</v>
      </c>
      <c r="S3277" t="s">
        <v>67142</v>
      </c>
      <c r="T3277" t="s">
        <v>67143</v>
      </c>
      <c r="U3277" t="s">
        <v>67144</v>
      </c>
      <c r="V3277" t="s">
        <v>67145</v>
      </c>
      <c r="W3277" t="s">
        <v>67146</v>
      </c>
      <c r="X3277" t="s">
        <v>67147</v>
      </c>
      <c r="Y3277" t="s">
        <v>67148</v>
      </c>
    </row>
    <row r="3278" spans="1:25" x14ac:dyDescent="0.3">
      <c r="A3278">
        <v>163850</v>
      </c>
      <c r="B3278" t="s">
        <v>67149</v>
      </c>
      <c r="C3278" t="s">
        <v>67150</v>
      </c>
      <c r="D3278" t="s">
        <v>67151</v>
      </c>
      <c r="E3278" t="s">
        <v>67152</v>
      </c>
      <c r="F3278" t="s">
        <v>67153</v>
      </c>
      <c r="G3278" t="s">
        <v>67154</v>
      </c>
      <c r="H3278" t="s">
        <v>67155</v>
      </c>
      <c r="I3278" t="s">
        <v>67156</v>
      </c>
      <c r="J3278" t="s">
        <v>67157</v>
      </c>
      <c r="K3278" t="s">
        <v>67158</v>
      </c>
      <c r="L3278" t="s">
        <v>67159</v>
      </c>
      <c r="M3278" t="s">
        <v>67160</v>
      </c>
      <c r="N3278" t="s">
        <v>67161</v>
      </c>
      <c r="O3278">
        <f>-946.052517880729 -17.517869486167 -498.534704205958</f>
        <v>-1462.105091572854</v>
      </c>
      <c r="P3278">
        <f>-940.009192557863 -51.7271770506518 -206.328589290958</f>
        <v>-1198.0649588994729</v>
      </c>
      <c r="Q3278">
        <f>-762.226906966099 -67.0106370558246 -368.225846441291</f>
        <v>-1197.4633904632146</v>
      </c>
      <c r="R3278" t="s">
        <v>67162</v>
      </c>
      <c r="S3278" t="s">
        <v>67163</v>
      </c>
      <c r="T3278" t="s">
        <v>67164</v>
      </c>
      <c r="U3278" t="s">
        <v>67165</v>
      </c>
      <c r="V3278" t="s">
        <v>67166</v>
      </c>
      <c r="W3278" t="s">
        <v>67167</v>
      </c>
      <c r="X3278" t="s">
        <v>67168</v>
      </c>
      <c r="Y3278" t="s">
        <v>67169</v>
      </c>
    </row>
    <row r="3279" spans="1:25" x14ac:dyDescent="0.3">
      <c r="A3279">
        <v>163900</v>
      </c>
      <c r="B3279" t="s">
        <v>67170</v>
      </c>
      <c r="C3279" t="s">
        <v>67171</v>
      </c>
      <c r="D3279" t="s">
        <v>67172</v>
      </c>
      <c r="E3279" t="s">
        <v>67173</v>
      </c>
      <c r="F3279" t="s">
        <v>67174</v>
      </c>
      <c r="G3279" t="s">
        <v>67175</v>
      </c>
      <c r="H3279" t="s">
        <v>67176</v>
      </c>
      <c r="I3279" t="s">
        <v>67177</v>
      </c>
      <c r="J3279" t="s">
        <v>67178</v>
      </c>
      <c r="K3279" t="s">
        <v>67179</v>
      </c>
      <c r="L3279" t="s">
        <v>67180</v>
      </c>
      <c r="M3279" t="s">
        <v>67181</v>
      </c>
      <c r="N3279" t="s">
        <v>67182</v>
      </c>
      <c r="O3279">
        <f>-945.800124403441 -16.1996422754064 -498.83118509444</f>
        <v>-1460.8309517732873</v>
      </c>
      <c r="P3279">
        <f>-941.506212890182 -50.4554212156784 -206.599705568997</f>
        <v>-1198.5613396748574</v>
      </c>
      <c r="Q3279">
        <f>-762.808558333117 -66.873357254771 -367.374131726561</f>
        <v>-1197.0560473144492</v>
      </c>
      <c r="R3279" t="s">
        <v>67183</v>
      </c>
      <c r="S3279" t="s">
        <v>67184</v>
      </c>
      <c r="T3279" t="s">
        <v>67185</v>
      </c>
      <c r="U3279" t="s">
        <v>67186</v>
      </c>
      <c r="V3279" t="s">
        <v>67187</v>
      </c>
      <c r="W3279" t="s">
        <v>67188</v>
      </c>
      <c r="X3279" t="s">
        <v>67189</v>
      </c>
      <c r="Y3279" t="s">
        <v>67190</v>
      </c>
    </row>
    <row r="3280" spans="1:25" x14ac:dyDescent="0.3">
      <c r="A3280">
        <v>163950</v>
      </c>
      <c r="B3280" t="s">
        <v>67191</v>
      </c>
      <c r="C3280" t="s">
        <v>67192</v>
      </c>
      <c r="D3280" t="s">
        <v>67193</v>
      </c>
      <c r="E3280" t="s">
        <v>67194</v>
      </c>
      <c r="F3280" t="s">
        <v>67195</v>
      </c>
      <c r="G3280" t="s">
        <v>67196</v>
      </c>
      <c r="H3280" t="s">
        <v>67197</v>
      </c>
      <c r="I3280" t="s">
        <v>67198</v>
      </c>
      <c r="J3280" t="s">
        <v>67199</v>
      </c>
      <c r="K3280" t="s">
        <v>67200</v>
      </c>
      <c r="L3280" t="s">
        <v>67201</v>
      </c>
      <c r="M3280" t="s">
        <v>67202</v>
      </c>
      <c r="N3280" t="s">
        <v>67203</v>
      </c>
      <c r="O3280">
        <f>-944.7492549607 -13.8752130220901 -499.353994109864</f>
        <v>-1457.9784620926541</v>
      </c>
      <c r="P3280">
        <f>-944.440864658428 -48.4292938507454 -207.126251220219</f>
        <v>-1199.9964097293923</v>
      </c>
      <c r="Q3280">
        <f>-763.592516471323 -66.8971423684211 -365.251606032859</f>
        <v>-1195.7412648726031</v>
      </c>
      <c r="R3280" t="s">
        <v>67204</v>
      </c>
      <c r="S3280" t="s">
        <v>67205</v>
      </c>
      <c r="T3280" t="s">
        <v>67206</v>
      </c>
      <c r="U3280" t="s">
        <v>67207</v>
      </c>
      <c r="V3280" t="s">
        <v>67208</v>
      </c>
      <c r="W3280" t="s">
        <v>67209</v>
      </c>
      <c r="X3280" t="s">
        <v>67210</v>
      </c>
      <c r="Y3280" t="s">
        <v>67211</v>
      </c>
    </row>
    <row r="3281" spans="1:25" x14ac:dyDescent="0.3">
      <c r="A3281">
        <v>164000</v>
      </c>
      <c r="B3281" t="s">
        <v>67212</v>
      </c>
      <c r="C3281" t="s">
        <v>67213</v>
      </c>
      <c r="D3281" t="s">
        <v>67214</v>
      </c>
      <c r="E3281" t="s">
        <v>67215</v>
      </c>
      <c r="F3281" t="s">
        <v>67216</v>
      </c>
      <c r="G3281" t="s">
        <v>67217</v>
      </c>
      <c r="H3281" t="s">
        <v>67218</v>
      </c>
      <c r="I3281" t="s">
        <v>67219</v>
      </c>
      <c r="J3281" t="s">
        <v>67220</v>
      </c>
      <c r="K3281" t="s">
        <v>67221</v>
      </c>
      <c r="L3281" t="s">
        <v>67222</v>
      </c>
      <c r="M3281" t="s">
        <v>67223</v>
      </c>
      <c r="N3281" t="s">
        <v>67224</v>
      </c>
      <c r="O3281">
        <f>-943.391214769239 -11.6907014827889 -499.739824783592</f>
        <v>-1454.8217410356199</v>
      </c>
      <c r="P3281">
        <f>-947.761091381167 -46.3618259342716 -207.558349583829</f>
        <v>-1201.6812668992675</v>
      </c>
      <c r="Q3281">
        <f>-764.845791470682 -67.0380159045467 -363.010367395703</f>
        <v>-1194.8941747709316</v>
      </c>
      <c r="R3281" t="s">
        <v>67225</v>
      </c>
      <c r="S3281" t="s">
        <v>67226</v>
      </c>
      <c r="T3281" t="s">
        <v>67227</v>
      </c>
      <c r="U3281" t="s">
        <v>67228</v>
      </c>
      <c r="V3281" t="s">
        <v>67229</v>
      </c>
      <c r="W3281" t="s">
        <v>67230</v>
      </c>
      <c r="X3281" t="s">
        <v>67231</v>
      </c>
      <c r="Y3281" t="s">
        <v>67232</v>
      </c>
    </row>
    <row r="3282" spans="1:25" x14ac:dyDescent="0.3">
      <c r="A3282">
        <v>164050</v>
      </c>
      <c r="B3282" t="s">
        <v>67233</v>
      </c>
      <c r="C3282" t="s">
        <v>67234</v>
      </c>
      <c r="D3282" t="s">
        <v>67235</v>
      </c>
      <c r="E3282" t="s">
        <v>67236</v>
      </c>
      <c r="F3282" t="s">
        <v>67237</v>
      </c>
      <c r="G3282" t="s">
        <v>67238</v>
      </c>
      <c r="H3282" t="s">
        <v>67239</v>
      </c>
      <c r="I3282" t="s">
        <v>67240</v>
      </c>
      <c r="J3282" t="s">
        <v>67241</v>
      </c>
      <c r="K3282" t="s">
        <v>67242</v>
      </c>
      <c r="L3282" t="s">
        <v>67243</v>
      </c>
      <c r="M3282" t="s">
        <v>67244</v>
      </c>
      <c r="N3282" t="s">
        <v>67245</v>
      </c>
      <c r="O3282">
        <f>-942.626590718183 -10.6782495759949 -499.954370671771</f>
        <v>-1453.259210965949</v>
      </c>
      <c r="P3282">
        <f>-949.437149482493 -45.2861510597527 -207.812069650032</f>
        <v>-1202.5353701922777</v>
      </c>
      <c r="Q3282">
        <f>-765.508711211127 -67.3515007878061 -361.871489550652</f>
        <v>-1194.7317015495851</v>
      </c>
      <c r="R3282" t="s">
        <v>67246</v>
      </c>
      <c r="S3282" t="s">
        <v>67247</v>
      </c>
      <c r="T3282" t="s">
        <v>67248</v>
      </c>
      <c r="U3282" t="s">
        <v>67249</v>
      </c>
      <c r="V3282" t="s">
        <v>67250</v>
      </c>
      <c r="W3282" t="s">
        <v>67251</v>
      </c>
      <c r="X3282" t="s">
        <v>67252</v>
      </c>
      <c r="Y3282" t="s">
        <v>67253</v>
      </c>
    </row>
    <row r="3283" spans="1:25" x14ac:dyDescent="0.3">
      <c r="A3283">
        <v>164100</v>
      </c>
      <c r="B3283" t="s">
        <v>67254</v>
      </c>
      <c r="C3283" t="s">
        <v>67255</v>
      </c>
      <c r="D3283" t="s">
        <v>67256</v>
      </c>
      <c r="E3283" t="s">
        <v>67257</v>
      </c>
      <c r="F3283" t="s">
        <v>67258</v>
      </c>
      <c r="G3283" t="s">
        <v>67259</v>
      </c>
      <c r="H3283" t="s">
        <v>67260</v>
      </c>
      <c r="I3283" t="s">
        <v>67261</v>
      </c>
      <c r="J3283" t="s">
        <v>67262</v>
      </c>
      <c r="K3283" t="s">
        <v>67263</v>
      </c>
      <c r="L3283" t="s">
        <v>67264</v>
      </c>
      <c r="M3283" t="s">
        <v>67265</v>
      </c>
      <c r="N3283" t="s">
        <v>67266</v>
      </c>
      <c r="O3283">
        <f>-940.482589491233 -8.72986995295469 -500.425923197577</f>
        <v>-1449.6383826417648</v>
      </c>
      <c r="P3283">
        <f>-952.288541769158 -43.1586519486295 -208.42170651862</f>
        <v>-1203.8689002364076</v>
      </c>
      <c r="Q3283">
        <f>-765.986406614308 -67.548071648353 -359.244607929095</f>
        <v>-1192.7790861917561</v>
      </c>
      <c r="R3283" t="s">
        <v>67267</v>
      </c>
      <c r="S3283" t="s">
        <v>67268</v>
      </c>
      <c r="T3283" t="s">
        <v>67269</v>
      </c>
      <c r="U3283" t="s">
        <v>67270</v>
      </c>
      <c r="V3283" t="s">
        <v>67271</v>
      </c>
      <c r="W3283" t="s">
        <v>67272</v>
      </c>
      <c r="X3283" t="s">
        <v>67273</v>
      </c>
      <c r="Y3283" t="s">
        <v>67274</v>
      </c>
    </row>
    <row r="3284" spans="1:25" x14ac:dyDescent="0.3">
      <c r="A3284">
        <v>164150</v>
      </c>
      <c r="B3284" t="s">
        <v>67275</v>
      </c>
      <c r="C3284" t="s">
        <v>67276</v>
      </c>
      <c r="D3284" t="s">
        <v>67277</v>
      </c>
      <c r="E3284" t="s">
        <v>67278</v>
      </c>
      <c r="F3284" t="s">
        <v>67279</v>
      </c>
      <c r="G3284" t="s">
        <v>67280</v>
      </c>
      <c r="H3284" t="s">
        <v>67281</v>
      </c>
      <c r="I3284" t="s">
        <v>67282</v>
      </c>
      <c r="J3284" t="s">
        <v>67283</v>
      </c>
      <c r="K3284" t="s">
        <v>67284</v>
      </c>
      <c r="L3284" t="s">
        <v>67285</v>
      </c>
      <c r="M3284" t="s">
        <v>67286</v>
      </c>
      <c r="N3284" t="s">
        <v>67287</v>
      </c>
      <c r="O3284">
        <f>-940.072877603094 -7.87769707764164 -500.653233927056</f>
        <v>-1448.6038086077915</v>
      </c>
      <c r="P3284">
        <f>-954.292533143471 -42.1674826864908 -208.740100757434</f>
        <v>-1205.2001165873958</v>
      </c>
      <c r="Q3284">
        <f>-766.55436575383 -67.4586218465918 -357.621118725013</f>
        <v>-1191.6341063254347</v>
      </c>
      <c r="R3284" t="s">
        <v>67288</v>
      </c>
      <c r="S3284" t="s">
        <v>67289</v>
      </c>
      <c r="T3284" t="s">
        <v>67290</v>
      </c>
      <c r="U3284" t="s">
        <v>67291</v>
      </c>
      <c r="V3284" t="s">
        <v>67292</v>
      </c>
      <c r="W3284" t="s">
        <v>67293</v>
      </c>
      <c r="X3284" t="s">
        <v>67294</v>
      </c>
      <c r="Y3284" t="s">
        <v>67295</v>
      </c>
    </row>
    <row r="3285" spans="1:25" x14ac:dyDescent="0.3">
      <c r="A3285">
        <v>164200</v>
      </c>
      <c r="B3285" t="s">
        <v>67296</v>
      </c>
      <c r="C3285" t="s">
        <v>67297</v>
      </c>
      <c r="D3285" t="s">
        <v>67298</v>
      </c>
      <c r="E3285" t="s">
        <v>67299</v>
      </c>
      <c r="F3285" t="s">
        <v>67300</v>
      </c>
      <c r="G3285" t="s">
        <v>67301</v>
      </c>
      <c r="H3285" t="s">
        <v>67302</v>
      </c>
      <c r="I3285" t="s">
        <v>67303</v>
      </c>
      <c r="J3285" t="s">
        <v>67304</v>
      </c>
      <c r="K3285" t="s">
        <v>67305</v>
      </c>
      <c r="L3285" t="s">
        <v>67306</v>
      </c>
      <c r="M3285" t="s">
        <v>67307</v>
      </c>
      <c r="N3285" t="s">
        <v>67308</v>
      </c>
      <c r="O3285">
        <f>-940.997663178053 -7.02263644724781 -500.906682295717</f>
        <v>-1448.9269819210178</v>
      </c>
      <c r="P3285">
        <f>-959.524199418874 -40.8564425181221 -209.182121742654</f>
        <v>-1209.5627636796501</v>
      </c>
      <c r="Q3285">
        <f>-769.013843965549 -67.3370902331635 -354.286782498665</f>
        <v>-1190.6377166973775</v>
      </c>
      <c r="R3285" t="s">
        <v>67309</v>
      </c>
      <c r="S3285" t="s">
        <v>67310</v>
      </c>
      <c r="T3285" t="s">
        <v>67311</v>
      </c>
      <c r="U3285" t="s">
        <v>67312</v>
      </c>
      <c r="V3285" t="s">
        <v>67313</v>
      </c>
      <c r="W3285" t="s">
        <v>67314</v>
      </c>
      <c r="X3285" t="s">
        <v>67315</v>
      </c>
      <c r="Y3285" t="s">
        <v>67316</v>
      </c>
    </row>
    <row r="3286" spans="1:25" x14ac:dyDescent="0.3">
      <c r="A3286">
        <v>164250</v>
      </c>
      <c r="B3286" t="s">
        <v>67317</v>
      </c>
      <c r="C3286" t="s">
        <v>67318</v>
      </c>
      <c r="D3286" t="s">
        <v>67319</v>
      </c>
      <c r="E3286" t="s">
        <v>67320</v>
      </c>
      <c r="F3286" t="s">
        <v>67321</v>
      </c>
      <c r="G3286" t="s">
        <v>67322</v>
      </c>
      <c r="H3286" t="s">
        <v>67323</v>
      </c>
      <c r="I3286" t="s">
        <v>67324</v>
      </c>
      <c r="J3286" t="s">
        <v>67325</v>
      </c>
      <c r="K3286" t="s">
        <v>67326</v>
      </c>
      <c r="L3286" t="s">
        <v>67327</v>
      </c>
      <c r="M3286" t="s">
        <v>67328</v>
      </c>
      <c r="N3286" t="s">
        <v>67329</v>
      </c>
      <c r="O3286">
        <f>-942.126190175504 -6.8254476759812 -500.931809166392</f>
        <v>-1449.8834470178772</v>
      </c>
      <c r="P3286">
        <f>-962.482752474906 -40.2790070493152 -209.28539654975</f>
        <v>-1212.0471560739711</v>
      </c>
      <c r="Q3286">
        <f>-770.469493660637 -67.0264233251708 -352.346151339786</f>
        <v>-1189.8420683255938</v>
      </c>
      <c r="R3286" t="s">
        <v>67330</v>
      </c>
      <c r="S3286" t="s">
        <v>67331</v>
      </c>
      <c r="T3286" t="s">
        <v>67332</v>
      </c>
      <c r="U3286" t="s">
        <v>67333</v>
      </c>
      <c r="V3286" t="s">
        <v>67334</v>
      </c>
      <c r="W3286" t="s">
        <v>67335</v>
      </c>
      <c r="X3286" t="s">
        <v>67336</v>
      </c>
      <c r="Y3286" t="s">
        <v>67337</v>
      </c>
    </row>
    <row r="3287" spans="1:25" x14ac:dyDescent="0.3">
      <c r="A3287">
        <v>164300</v>
      </c>
      <c r="B3287" t="s">
        <v>67338</v>
      </c>
      <c r="C3287" t="s">
        <v>67339</v>
      </c>
      <c r="D3287" t="s">
        <v>67340</v>
      </c>
      <c r="E3287" t="s">
        <v>67341</v>
      </c>
      <c r="F3287" t="s">
        <v>67342</v>
      </c>
      <c r="G3287" t="s">
        <v>67343</v>
      </c>
      <c r="H3287" t="s">
        <v>67344</v>
      </c>
      <c r="I3287" t="s">
        <v>67345</v>
      </c>
      <c r="J3287" t="s">
        <v>67346</v>
      </c>
      <c r="K3287" t="s">
        <v>67347</v>
      </c>
      <c r="L3287" t="s">
        <v>67348</v>
      </c>
      <c r="M3287" t="s">
        <v>67349</v>
      </c>
      <c r="N3287" t="s">
        <v>67350</v>
      </c>
      <c r="O3287">
        <f>-944.558352586233 -6.88037277476133 -500.935530058811</f>
        <v>-1452.3742554198054</v>
      </c>
      <c r="P3287">
        <f>-968.787906433932 -39.3486293945518 -209.473761703235</f>
        <v>-1217.6102975317187</v>
      </c>
      <c r="Q3287">
        <f>-773.719367753261 -66.4439401603538 -348.272014925001</f>
        <v>-1188.4353228386158</v>
      </c>
      <c r="R3287" t="s">
        <v>67351</v>
      </c>
      <c r="S3287" t="s">
        <v>67352</v>
      </c>
      <c r="T3287" t="s">
        <v>67353</v>
      </c>
      <c r="U3287" t="s">
        <v>67354</v>
      </c>
      <c r="V3287" t="s">
        <v>67355</v>
      </c>
      <c r="W3287" t="s">
        <v>67356</v>
      </c>
      <c r="X3287" t="s">
        <v>67357</v>
      </c>
      <c r="Y3287" t="s">
        <v>67358</v>
      </c>
    </row>
    <row r="3288" spans="1:25" x14ac:dyDescent="0.3">
      <c r="A3288">
        <v>164350</v>
      </c>
      <c r="B3288" t="s">
        <v>67359</v>
      </c>
      <c r="C3288" t="s">
        <v>67360</v>
      </c>
      <c r="D3288" t="s">
        <v>67361</v>
      </c>
      <c r="E3288" t="s">
        <v>67362</v>
      </c>
      <c r="F3288" t="s">
        <v>67363</v>
      </c>
      <c r="G3288" t="s">
        <v>67364</v>
      </c>
      <c r="H3288" t="s">
        <v>67365</v>
      </c>
      <c r="I3288" t="s">
        <v>67366</v>
      </c>
      <c r="J3288" t="s">
        <v>67367</v>
      </c>
      <c r="K3288" t="s">
        <v>67368</v>
      </c>
      <c r="L3288" t="s">
        <v>67369</v>
      </c>
      <c r="M3288" t="s">
        <v>67370</v>
      </c>
      <c r="N3288" t="s">
        <v>67371</v>
      </c>
      <c r="O3288">
        <f>-945.912781845787 -7.06473166036858 -500.917424338721</f>
        <v>-1453.8949378448765</v>
      </c>
      <c r="P3288">
        <f>-971.82442734862 -39.0413069016288 -209.546092001962</f>
        <v>-1220.4118262522109</v>
      </c>
      <c r="Q3288">
        <f>-775.183740766512 -65.8938803186807 -346.155972764598</f>
        <v>-1187.2335938497906</v>
      </c>
      <c r="R3288" t="s">
        <v>67372</v>
      </c>
      <c r="S3288" t="s">
        <v>67373</v>
      </c>
      <c r="T3288" t="s">
        <v>67374</v>
      </c>
      <c r="U3288" t="s">
        <v>67375</v>
      </c>
      <c r="V3288" t="s">
        <v>67376</v>
      </c>
      <c r="W3288" t="s">
        <v>67377</v>
      </c>
      <c r="X3288" t="s">
        <v>67378</v>
      </c>
      <c r="Y3288" t="s">
        <v>67379</v>
      </c>
    </row>
    <row r="3289" spans="1:25" x14ac:dyDescent="0.3">
      <c r="A3289">
        <v>164400</v>
      </c>
      <c r="B3289" t="s">
        <v>67380</v>
      </c>
      <c r="C3289" t="s">
        <v>67381</v>
      </c>
      <c r="D3289" t="s">
        <v>67382</v>
      </c>
      <c r="E3289" t="s">
        <v>67383</v>
      </c>
      <c r="F3289" t="s">
        <v>67384</v>
      </c>
      <c r="G3289" t="s">
        <v>67385</v>
      </c>
      <c r="H3289" t="s">
        <v>67386</v>
      </c>
      <c r="I3289" t="s">
        <v>67387</v>
      </c>
      <c r="J3289" t="s">
        <v>67388</v>
      </c>
      <c r="K3289" t="s">
        <v>67389</v>
      </c>
      <c r="L3289" t="s">
        <v>67390</v>
      </c>
      <c r="M3289" t="s">
        <v>67391</v>
      </c>
      <c r="N3289" t="s">
        <v>67392</v>
      </c>
      <c r="O3289">
        <f>-948.594233508355 -7.79312809347448 -500.815231781389</f>
        <v>-1457.2025933832185</v>
      </c>
      <c r="P3289">
        <f>-977.259965116124 -38.9470295352216 -209.612721358849</f>
        <v>-1225.8197160101947</v>
      </c>
      <c r="Q3289">
        <f>-777.754109452976 -65.4913411803554 -342.065510223074</f>
        <v>-1185.3109608564055</v>
      </c>
      <c r="R3289" t="s">
        <v>67393</v>
      </c>
      <c r="S3289" t="s">
        <v>67394</v>
      </c>
      <c r="T3289" t="s">
        <v>67395</v>
      </c>
      <c r="U3289" t="s">
        <v>67396</v>
      </c>
      <c r="V3289" t="s">
        <v>67397</v>
      </c>
      <c r="W3289" t="s">
        <v>67398</v>
      </c>
      <c r="X3289" t="s">
        <v>67399</v>
      </c>
      <c r="Y3289" t="s">
        <v>67400</v>
      </c>
    </row>
    <row r="3290" spans="1:25" x14ac:dyDescent="0.3">
      <c r="A3290">
        <v>164450</v>
      </c>
      <c r="B3290" t="s">
        <v>67401</v>
      </c>
      <c r="C3290" t="s">
        <v>67402</v>
      </c>
      <c r="D3290" t="s">
        <v>67403</v>
      </c>
      <c r="E3290" t="s">
        <v>67404</v>
      </c>
      <c r="F3290" t="s">
        <v>67405</v>
      </c>
      <c r="G3290" t="s">
        <v>67406</v>
      </c>
      <c r="H3290" t="s">
        <v>67407</v>
      </c>
      <c r="I3290" t="s">
        <v>67408</v>
      </c>
      <c r="J3290" t="s">
        <v>67409</v>
      </c>
      <c r="K3290" t="s">
        <v>67410</v>
      </c>
      <c r="L3290" t="s">
        <v>67411</v>
      </c>
      <c r="M3290" t="s">
        <v>67412</v>
      </c>
      <c r="N3290" t="s">
        <v>67413</v>
      </c>
      <c r="O3290">
        <f>-949.788855023585 -8.19095607068721 -500.761577627934</f>
        <v>-1458.7413887222062</v>
      </c>
      <c r="P3290">
        <f>-979.503054478492 -38.8931336589569 -209.616297542534</f>
        <v>-1228.012485679983</v>
      </c>
      <c r="Q3290">
        <f>-778.791313729493 -65.2624946402821 -340.269581000855</f>
        <v>-1184.3233893706301</v>
      </c>
      <c r="R3290" t="s">
        <v>67414</v>
      </c>
      <c r="S3290" t="s">
        <v>67415</v>
      </c>
      <c r="T3290" t="s">
        <v>67416</v>
      </c>
      <c r="U3290" t="s">
        <v>67417</v>
      </c>
      <c r="V3290" t="s">
        <v>67418</v>
      </c>
      <c r="W3290" t="s">
        <v>67419</v>
      </c>
      <c r="X3290" t="s">
        <v>67420</v>
      </c>
      <c r="Y3290" t="s">
        <v>67421</v>
      </c>
    </row>
    <row r="3291" spans="1:25" x14ac:dyDescent="0.3">
      <c r="A3291">
        <v>164500</v>
      </c>
      <c r="B3291" t="s">
        <v>67422</v>
      </c>
      <c r="C3291" t="s">
        <v>67423</v>
      </c>
      <c r="D3291" t="s">
        <v>67424</v>
      </c>
      <c r="E3291" t="s">
        <v>67425</v>
      </c>
      <c r="F3291" t="s">
        <v>67426</v>
      </c>
      <c r="G3291" t="s">
        <v>67427</v>
      </c>
      <c r="H3291" t="s">
        <v>67428</v>
      </c>
      <c r="I3291" t="s">
        <v>67429</v>
      </c>
      <c r="J3291" t="s">
        <v>67430</v>
      </c>
      <c r="K3291" t="s">
        <v>67431</v>
      </c>
      <c r="L3291" t="s">
        <v>67432</v>
      </c>
      <c r="M3291" t="s">
        <v>67433</v>
      </c>
      <c r="N3291" t="s">
        <v>67434</v>
      </c>
      <c r="O3291">
        <f>-952.066641984123 -8.78062727929273 -500.696792232568</f>
        <v>-1461.5440614959837</v>
      </c>
      <c r="P3291">
        <f>-983.553966928672 -38.5384627074907 -209.639676629581</f>
        <v>-1231.7321062657438</v>
      </c>
      <c r="Q3291">
        <f>-780.800804725654 -65.3053254306665 -337.019409421088</f>
        <v>-1183.1255395774085</v>
      </c>
      <c r="R3291" t="s">
        <v>67435</v>
      </c>
      <c r="S3291" t="s">
        <v>67436</v>
      </c>
      <c r="T3291" t="s">
        <v>67437</v>
      </c>
      <c r="U3291" t="s">
        <v>67438</v>
      </c>
      <c r="V3291" t="s">
        <v>67439</v>
      </c>
      <c r="W3291" t="s">
        <v>67440</v>
      </c>
      <c r="X3291" t="s">
        <v>67441</v>
      </c>
      <c r="Y3291" t="s">
        <v>67442</v>
      </c>
    </row>
    <row r="3292" spans="1:25" x14ac:dyDescent="0.3">
      <c r="A3292">
        <v>164550</v>
      </c>
      <c r="B3292" t="s">
        <v>67443</v>
      </c>
      <c r="C3292" t="s">
        <v>67444</v>
      </c>
      <c r="D3292" t="s">
        <v>67445</v>
      </c>
      <c r="E3292" t="s">
        <v>67446</v>
      </c>
      <c r="F3292" t="s">
        <v>67447</v>
      </c>
      <c r="G3292" t="s">
        <v>67448</v>
      </c>
      <c r="H3292" t="s">
        <v>67449</v>
      </c>
      <c r="I3292" t="s">
        <v>67450</v>
      </c>
      <c r="J3292" t="s">
        <v>67451</v>
      </c>
      <c r="K3292" t="s">
        <v>67452</v>
      </c>
      <c r="L3292" t="s">
        <v>67453</v>
      </c>
      <c r="M3292" t="s">
        <v>67454</v>
      </c>
      <c r="N3292" t="s">
        <v>67455</v>
      </c>
      <c r="O3292">
        <f>-952.982323412721 -9.11055008253334 -500.630106419852</f>
        <v>-1462.7229799151064</v>
      </c>
      <c r="P3292">
        <f>-985.337318711128 -38.4656115041864 -209.627279736096</f>
        <v>-1233.4302099514105</v>
      </c>
      <c r="Q3292">
        <f>-781.842188230334 -65.4994386456658 -335.761357827621</f>
        <v>-1183.1029847036209</v>
      </c>
      <c r="R3292" t="s">
        <v>67456</v>
      </c>
      <c r="S3292" t="s">
        <v>67457</v>
      </c>
      <c r="T3292" t="s">
        <v>67458</v>
      </c>
      <c r="U3292" t="s">
        <v>67459</v>
      </c>
      <c r="V3292" t="s">
        <v>67460</v>
      </c>
      <c r="W3292" t="s">
        <v>67461</v>
      </c>
      <c r="X3292" t="s">
        <v>67462</v>
      </c>
      <c r="Y3292" t="s">
        <v>67463</v>
      </c>
    </row>
    <row r="3293" spans="1:25" x14ac:dyDescent="0.3">
      <c r="A3293">
        <v>164600</v>
      </c>
      <c r="B3293" t="s">
        <v>67464</v>
      </c>
      <c r="C3293" t="s">
        <v>67465</v>
      </c>
      <c r="D3293" t="s">
        <v>67466</v>
      </c>
      <c r="E3293" t="s">
        <v>67467</v>
      </c>
      <c r="F3293" t="s">
        <v>67468</v>
      </c>
      <c r="G3293" t="s">
        <v>67469</v>
      </c>
      <c r="H3293" t="s">
        <v>67470</v>
      </c>
      <c r="I3293" t="s">
        <v>67471</v>
      </c>
      <c r="J3293" t="s">
        <v>67472</v>
      </c>
      <c r="K3293" t="s">
        <v>67473</v>
      </c>
      <c r="L3293" t="s">
        <v>67474</v>
      </c>
      <c r="M3293" t="s">
        <v>67475</v>
      </c>
      <c r="N3293" t="s">
        <v>67476</v>
      </c>
      <c r="O3293">
        <f>-954.564595206911 -9.8066110801592 -500.644574163751</f>
        <v>-1465.0157804508212</v>
      </c>
      <c r="P3293">
        <f>-988.604376038618 -38.5268592414245 -209.770771706542</f>
        <v>-1236.9020069865846</v>
      </c>
      <c r="Q3293">
        <f>-783.72395140238 -66.5176094797807 -333.428846481859</f>
        <v>-1183.6704073640196</v>
      </c>
      <c r="R3293" t="s">
        <v>67477</v>
      </c>
      <c r="S3293" t="s">
        <v>67478</v>
      </c>
      <c r="T3293" t="s">
        <v>67479</v>
      </c>
      <c r="U3293" t="s">
        <v>67480</v>
      </c>
      <c r="V3293" t="s">
        <v>67481</v>
      </c>
      <c r="W3293" t="s">
        <v>67482</v>
      </c>
      <c r="X3293" t="s">
        <v>67483</v>
      </c>
      <c r="Y3293" t="s">
        <v>67484</v>
      </c>
    </row>
    <row r="3294" spans="1:25" x14ac:dyDescent="0.3">
      <c r="A3294">
        <v>164650</v>
      </c>
      <c r="B3294" t="s">
        <v>67485</v>
      </c>
      <c r="C3294" t="s">
        <v>67486</v>
      </c>
      <c r="D3294" t="s">
        <v>67487</v>
      </c>
      <c r="E3294" t="s">
        <v>67488</v>
      </c>
      <c r="F3294" t="s">
        <v>67489</v>
      </c>
      <c r="G3294" t="s">
        <v>67490</v>
      </c>
      <c r="H3294" t="s">
        <v>67491</v>
      </c>
      <c r="I3294" t="s">
        <v>67492</v>
      </c>
      <c r="J3294" t="s">
        <v>67493</v>
      </c>
      <c r="K3294" t="s">
        <v>67494</v>
      </c>
      <c r="L3294" t="s">
        <v>67495</v>
      </c>
      <c r="M3294" t="s">
        <v>67496</v>
      </c>
      <c r="N3294" t="s">
        <v>67497</v>
      </c>
      <c r="O3294">
        <f>-955.443174000274 -10.1543868526855 -500.67307283337</f>
        <v>-1466.2706336863296</v>
      </c>
      <c r="P3294">
        <f>-990.14796020503 -38.6685746314968 -209.857427053711</f>
        <v>-1238.6739618902379</v>
      </c>
      <c r="Q3294">
        <f>-784.748017832367 -67.0775470360231 -332.554915293812</f>
        <v>-1184.3804801622023</v>
      </c>
      <c r="R3294" t="s">
        <v>67498</v>
      </c>
      <c r="S3294" t="s">
        <v>67499</v>
      </c>
      <c r="T3294" t="s">
        <v>67500</v>
      </c>
      <c r="U3294" t="s">
        <v>67501</v>
      </c>
      <c r="V3294" t="s">
        <v>67502</v>
      </c>
      <c r="W3294" t="s">
        <v>67503</v>
      </c>
      <c r="X3294" t="s">
        <v>67504</v>
      </c>
      <c r="Y3294" t="s">
        <v>67505</v>
      </c>
    </row>
    <row r="3295" spans="1:25" x14ac:dyDescent="0.3">
      <c r="A3295">
        <v>164700</v>
      </c>
      <c r="B3295" t="s">
        <v>67506</v>
      </c>
      <c r="C3295" t="s">
        <v>67507</v>
      </c>
      <c r="D3295" t="s">
        <v>67508</v>
      </c>
      <c r="E3295" t="s">
        <v>67509</v>
      </c>
      <c r="F3295" t="s">
        <v>67510</v>
      </c>
      <c r="G3295" t="s">
        <v>67511</v>
      </c>
      <c r="H3295" t="s">
        <v>67512</v>
      </c>
      <c r="I3295" t="s">
        <v>67513</v>
      </c>
      <c r="J3295" t="s">
        <v>67514</v>
      </c>
      <c r="K3295" t="s">
        <v>67515</v>
      </c>
      <c r="L3295" t="s">
        <v>67516</v>
      </c>
      <c r="M3295" t="s">
        <v>67517</v>
      </c>
      <c r="N3295" t="s">
        <v>67518</v>
      </c>
      <c r="O3295">
        <f>-957.182776195589 -10.8485933774318 -500.60193749487</f>
        <v>-1468.6333070678909</v>
      </c>
      <c r="P3295">
        <f>-993.076695112808 -38.7781154561335 -209.873863740686</f>
        <v>-1241.7286743096274</v>
      </c>
      <c r="Q3295">
        <f>-786.76989944104 -68.2406029622771 -330.788344526459</f>
        <v>-1185.7988469297761</v>
      </c>
      <c r="R3295" t="s">
        <v>67519</v>
      </c>
      <c r="S3295" t="s">
        <v>67520</v>
      </c>
      <c r="T3295" t="s">
        <v>67521</v>
      </c>
      <c r="U3295" t="s">
        <v>67522</v>
      </c>
      <c r="V3295" t="s">
        <v>67523</v>
      </c>
      <c r="W3295" t="s">
        <v>67524</v>
      </c>
      <c r="X3295" t="s">
        <v>67525</v>
      </c>
      <c r="Y3295" t="s">
        <v>67526</v>
      </c>
    </row>
    <row r="3296" spans="1:25" x14ac:dyDescent="0.3">
      <c r="A3296">
        <v>164750</v>
      </c>
      <c r="B3296" t="s">
        <v>67527</v>
      </c>
      <c r="C3296" t="s">
        <v>67528</v>
      </c>
      <c r="D3296" t="s">
        <v>67529</v>
      </c>
      <c r="E3296" t="s">
        <v>67530</v>
      </c>
      <c r="F3296" t="s">
        <v>67531</v>
      </c>
      <c r="G3296" t="s">
        <v>67532</v>
      </c>
      <c r="H3296" t="s">
        <v>67533</v>
      </c>
      <c r="I3296" t="s">
        <v>67534</v>
      </c>
      <c r="J3296" t="s">
        <v>67535</v>
      </c>
      <c r="K3296" t="s">
        <v>67536</v>
      </c>
      <c r="L3296" t="s">
        <v>67537</v>
      </c>
      <c r="M3296" t="s">
        <v>67538</v>
      </c>
      <c r="N3296" t="s">
        <v>67539</v>
      </c>
      <c r="O3296">
        <f>-958.068495255443 -11.1418258754925 -500.556743318185</f>
        <v>-1469.7670644491204</v>
      </c>
      <c r="P3296">
        <f>-994.444887949258 -38.6546370663127 -209.84898560261</f>
        <v>-1242.9485106181805</v>
      </c>
      <c r="Q3296">
        <f>-787.813799943773 -68.7073667056345 -330.062734436803</f>
        <v>-1186.5839010862105</v>
      </c>
      <c r="R3296" t="s">
        <v>67540</v>
      </c>
      <c r="S3296" t="s">
        <v>67541</v>
      </c>
      <c r="T3296" t="s">
        <v>67542</v>
      </c>
      <c r="U3296" t="s">
        <v>67543</v>
      </c>
      <c r="V3296" t="s">
        <v>67544</v>
      </c>
      <c r="W3296" t="s">
        <v>67545</v>
      </c>
      <c r="X3296" t="s">
        <v>67546</v>
      </c>
      <c r="Y3296" t="s">
        <v>67547</v>
      </c>
    </row>
    <row r="3297" spans="1:25" x14ac:dyDescent="0.3">
      <c r="A3297">
        <v>164800</v>
      </c>
      <c r="B3297" t="s">
        <v>67548</v>
      </c>
      <c r="C3297" t="s">
        <v>67549</v>
      </c>
      <c r="D3297" t="s">
        <v>67550</v>
      </c>
      <c r="E3297" t="s">
        <v>67551</v>
      </c>
      <c r="F3297" t="s">
        <v>67552</v>
      </c>
      <c r="G3297" t="s">
        <v>67553</v>
      </c>
      <c r="H3297" t="s">
        <v>67554</v>
      </c>
      <c r="I3297" t="s">
        <v>67555</v>
      </c>
      <c r="J3297" t="s">
        <v>67556</v>
      </c>
      <c r="K3297" t="s">
        <v>67557</v>
      </c>
      <c r="L3297" t="s">
        <v>67558</v>
      </c>
      <c r="M3297" t="s">
        <v>67559</v>
      </c>
      <c r="N3297" t="s">
        <v>67560</v>
      </c>
      <c r="O3297">
        <f>-959.636774282773 -11.7151250312468 -500.449339022116</f>
        <v>-1471.8012383361358</v>
      </c>
      <c r="P3297">
        <f>-996.732117961857 -38.3766547666719 -209.753124585724</f>
        <v>-1244.8618973142529</v>
      </c>
      <c r="Q3297">
        <f>-789.565356835917 -69.5593222830221 -328.750368316522</f>
        <v>-1187.8750474354611</v>
      </c>
      <c r="R3297" t="s">
        <v>67561</v>
      </c>
      <c r="S3297" t="s">
        <v>67562</v>
      </c>
      <c r="T3297" t="s">
        <v>67563</v>
      </c>
      <c r="U3297" t="s">
        <v>67564</v>
      </c>
      <c r="V3297" t="s">
        <v>67565</v>
      </c>
      <c r="W3297" t="s">
        <v>67566</v>
      </c>
      <c r="X3297" t="s">
        <v>67567</v>
      </c>
      <c r="Y3297" t="s">
        <v>67568</v>
      </c>
    </row>
    <row r="3298" spans="1:25" x14ac:dyDescent="0.3">
      <c r="A3298">
        <v>164850</v>
      </c>
      <c r="B3298" t="s">
        <v>67569</v>
      </c>
      <c r="C3298" t="s">
        <v>67570</v>
      </c>
      <c r="D3298" t="s">
        <v>67571</v>
      </c>
      <c r="E3298" t="s">
        <v>67572</v>
      </c>
      <c r="F3298" t="s">
        <v>67573</v>
      </c>
      <c r="G3298" t="s">
        <v>67574</v>
      </c>
      <c r="H3298" t="s">
        <v>67575</v>
      </c>
      <c r="I3298" t="s">
        <v>67576</v>
      </c>
      <c r="J3298" t="s">
        <v>67577</v>
      </c>
      <c r="K3298" t="s">
        <v>67578</v>
      </c>
      <c r="L3298" t="s">
        <v>67579</v>
      </c>
      <c r="M3298" t="s">
        <v>67580</v>
      </c>
      <c r="N3298" t="s">
        <v>67581</v>
      </c>
      <c r="O3298">
        <f>-960.332389647774 -11.9492381373761 -500.43129103487</f>
        <v>-1472.7129188200201</v>
      </c>
      <c r="P3298">
        <f>-997.65307467756 -38.3577172332657 -209.740711006956</f>
        <v>-1245.7515029177816</v>
      </c>
      <c r="Q3298">
        <f>-790.212688628864 -69.9702590621202 -328.14700887434</f>
        <v>-1188.3299565653242</v>
      </c>
      <c r="R3298" t="s">
        <v>67582</v>
      </c>
      <c r="S3298" t="s">
        <v>67583</v>
      </c>
      <c r="T3298" t="s">
        <v>67584</v>
      </c>
      <c r="U3298" t="s">
        <v>67585</v>
      </c>
      <c r="V3298" t="s">
        <v>67586</v>
      </c>
      <c r="W3298" t="s">
        <v>67587</v>
      </c>
      <c r="X3298" t="s">
        <v>67588</v>
      </c>
      <c r="Y3298" t="s">
        <v>67589</v>
      </c>
    </row>
    <row r="3299" spans="1:25" x14ac:dyDescent="0.3">
      <c r="A3299">
        <v>164900</v>
      </c>
      <c r="B3299" t="s">
        <v>67590</v>
      </c>
      <c r="C3299" t="s">
        <v>67591</v>
      </c>
      <c r="D3299" t="s">
        <v>67592</v>
      </c>
      <c r="E3299" t="s">
        <v>67593</v>
      </c>
      <c r="F3299" t="s">
        <v>67594</v>
      </c>
      <c r="G3299" t="s">
        <v>67595</v>
      </c>
      <c r="H3299" t="s">
        <v>67596</v>
      </c>
      <c r="I3299" t="s">
        <v>67597</v>
      </c>
      <c r="J3299" t="s">
        <v>67598</v>
      </c>
      <c r="K3299" t="s">
        <v>67599</v>
      </c>
      <c r="L3299" t="s">
        <v>67600</v>
      </c>
      <c r="M3299" t="s">
        <v>67601</v>
      </c>
      <c r="N3299" t="s">
        <v>67602</v>
      </c>
      <c r="O3299">
        <f>-961.482611649982 -12.1767259752987 -500.417801775463</f>
        <v>-1474.0771394007438</v>
      </c>
      <c r="P3299">
        <f>-999.097262271912 -38.1414652135079 -209.725338906477</f>
        <v>-1246.9640663918969</v>
      </c>
      <c r="Q3299">
        <f>-791.088352898164 -70.6261420791111 -326.891661240366</f>
        <v>-1188.606156217641</v>
      </c>
      <c r="R3299" t="s">
        <v>67603</v>
      </c>
      <c r="S3299" t="s">
        <v>67604</v>
      </c>
      <c r="T3299" t="s">
        <v>67605</v>
      </c>
      <c r="U3299" t="s">
        <v>67606</v>
      </c>
      <c r="V3299" t="s">
        <v>67607</v>
      </c>
      <c r="W3299" t="s">
        <v>67608</v>
      </c>
      <c r="X3299" t="s">
        <v>67609</v>
      </c>
      <c r="Y3299" t="s">
        <v>67610</v>
      </c>
    </row>
    <row r="3300" spans="1:25" x14ac:dyDescent="0.3">
      <c r="A3300">
        <v>164950</v>
      </c>
      <c r="B3300" t="s">
        <v>67611</v>
      </c>
      <c r="C3300" t="s">
        <v>67612</v>
      </c>
      <c r="D3300" t="s">
        <v>67613</v>
      </c>
      <c r="E3300" t="s">
        <v>67614</v>
      </c>
      <c r="F3300" t="s">
        <v>67615</v>
      </c>
      <c r="G3300" t="s">
        <v>67616</v>
      </c>
      <c r="H3300" t="s">
        <v>67617</v>
      </c>
      <c r="I3300" t="s">
        <v>67618</v>
      </c>
      <c r="J3300" t="s">
        <v>67619</v>
      </c>
      <c r="K3300" t="s">
        <v>67620</v>
      </c>
      <c r="L3300" t="s">
        <v>67621</v>
      </c>
      <c r="M3300" t="s">
        <v>67622</v>
      </c>
      <c r="N3300" t="s">
        <v>67623</v>
      </c>
      <c r="O3300">
        <f>-962.028297443352 -12.1659337775955 -500.450435891448</f>
        <v>-1474.6446671123954</v>
      </c>
      <c r="P3300">
        <f>-999.860766107 -38.0889757644218 -209.782536037903</f>
        <v>-1247.7322779093247</v>
      </c>
      <c r="Q3300">
        <f>-791.51014958811 -70.7000232061305 -326.3045330059</f>
        <v>-1188.5147058001405</v>
      </c>
      <c r="R3300" t="s">
        <v>67624</v>
      </c>
      <c r="S3300" t="s">
        <v>67625</v>
      </c>
      <c r="T3300" t="s">
        <v>67626</v>
      </c>
      <c r="U3300" t="s">
        <v>67627</v>
      </c>
      <c r="V3300" t="s">
        <v>67628</v>
      </c>
      <c r="W3300" t="s">
        <v>67629</v>
      </c>
      <c r="X3300" t="s">
        <v>67630</v>
      </c>
      <c r="Y3300" t="s">
        <v>67631</v>
      </c>
    </row>
    <row r="3301" spans="1:25" x14ac:dyDescent="0.3">
      <c r="A3301">
        <v>165000</v>
      </c>
      <c r="B3301" t="s">
        <v>67632</v>
      </c>
      <c r="C3301" t="s">
        <v>67633</v>
      </c>
      <c r="D3301" t="s">
        <v>67634</v>
      </c>
      <c r="E3301" t="s">
        <v>67635</v>
      </c>
      <c r="F3301" t="s">
        <v>67636</v>
      </c>
      <c r="G3301" t="s">
        <v>67637</v>
      </c>
      <c r="H3301" t="s">
        <v>67638</v>
      </c>
      <c r="I3301" t="s">
        <v>67639</v>
      </c>
      <c r="J3301" t="s">
        <v>67640</v>
      </c>
      <c r="K3301" t="s">
        <v>67641</v>
      </c>
      <c r="L3301" t="s">
        <v>67642</v>
      </c>
      <c r="M3301" t="s">
        <v>67643</v>
      </c>
      <c r="N3301" t="s">
        <v>67644</v>
      </c>
      <c r="O3301">
        <f>-963.022919540438 -12.1840760288324 -500.559045663458</f>
        <v>-1475.7660412327284</v>
      </c>
      <c r="P3301">
        <f>-1001.28137410423 -37.7983077555743 -209.919476444963</f>
        <v>-1248.9991583047674</v>
      </c>
      <c r="Q3301">
        <f>-792.201160402031 -70.7754496022164 -325.023134643907</f>
        <v>-1187.9997446481543</v>
      </c>
      <c r="R3301" t="s">
        <v>67645</v>
      </c>
      <c r="S3301" t="s">
        <v>67646</v>
      </c>
      <c r="T3301" t="s">
        <v>67647</v>
      </c>
      <c r="U3301" t="s">
        <v>67648</v>
      </c>
      <c r="V3301" t="s">
        <v>67649</v>
      </c>
      <c r="W3301" t="s">
        <v>67650</v>
      </c>
      <c r="X3301" t="s">
        <v>67651</v>
      </c>
      <c r="Y3301" t="s">
        <v>67652</v>
      </c>
    </row>
    <row r="3302" spans="1:25" x14ac:dyDescent="0.3">
      <c r="A3302">
        <v>165050</v>
      </c>
      <c r="B3302" t="s">
        <v>67653</v>
      </c>
      <c r="C3302" t="s">
        <v>67654</v>
      </c>
      <c r="D3302" t="s">
        <v>67655</v>
      </c>
      <c r="E3302" t="s">
        <v>67656</v>
      </c>
      <c r="F3302" t="s">
        <v>67657</v>
      </c>
      <c r="G3302" t="s">
        <v>67658</v>
      </c>
      <c r="H3302" t="s">
        <v>67659</v>
      </c>
      <c r="I3302" t="s">
        <v>67660</v>
      </c>
      <c r="J3302" t="s">
        <v>67661</v>
      </c>
      <c r="K3302" t="s">
        <v>67662</v>
      </c>
      <c r="L3302" t="s">
        <v>67663</v>
      </c>
      <c r="M3302" t="s">
        <v>67664</v>
      </c>
      <c r="N3302" t="s">
        <v>67665</v>
      </c>
      <c r="O3302">
        <f>-963.508938820694 -12.1297516205459 -500.619019261885</f>
        <v>-1476.2577097031249</v>
      </c>
      <c r="P3302">
        <f>-1001.95126218974 -37.7602781376543 -210.005127608424</f>
        <v>-1249.7166679358184</v>
      </c>
      <c r="Q3302">
        <f>-792.556360408217 -70.5308609105591 -324.595046845518</f>
        <v>-1187.6822681642941</v>
      </c>
      <c r="R3302" t="s">
        <v>67666</v>
      </c>
      <c r="S3302" t="s">
        <v>67667</v>
      </c>
      <c r="T3302" t="s">
        <v>67668</v>
      </c>
      <c r="U3302" t="s">
        <v>67669</v>
      </c>
      <c r="V3302" t="s">
        <v>67670</v>
      </c>
      <c r="W3302" t="s">
        <v>67671</v>
      </c>
      <c r="X3302" t="s">
        <v>67672</v>
      </c>
      <c r="Y3302" t="s">
        <v>67673</v>
      </c>
    </row>
    <row r="3303" spans="1:25" x14ac:dyDescent="0.3">
      <c r="A3303">
        <v>165100</v>
      </c>
      <c r="B3303" t="s">
        <v>67674</v>
      </c>
      <c r="C3303" t="s">
        <v>67675</v>
      </c>
      <c r="D3303" t="s">
        <v>67676</v>
      </c>
      <c r="E3303" t="s">
        <v>67677</v>
      </c>
      <c r="F3303" t="s">
        <v>67678</v>
      </c>
      <c r="G3303" t="s">
        <v>67679</v>
      </c>
      <c r="H3303" t="s">
        <v>67680</v>
      </c>
      <c r="I3303" t="s">
        <v>67681</v>
      </c>
      <c r="J3303" t="s">
        <v>67682</v>
      </c>
      <c r="K3303" t="s">
        <v>67683</v>
      </c>
      <c r="L3303" t="s">
        <v>67684</v>
      </c>
      <c r="M3303" t="s">
        <v>67685</v>
      </c>
      <c r="N3303" t="s">
        <v>67686</v>
      </c>
      <c r="O3303">
        <f>-964.33330225056 -12.0693495776145 -500.722544529956</f>
        <v>-1477.1251963581306</v>
      </c>
      <c r="P3303">
        <f>-1003.05655063406 -37.5023483226389 -210.128461524229</f>
        <v>-1250.687360480928</v>
      </c>
      <c r="Q3303">
        <f>-793.010705202009 -69.5507486026577 -323.726203437257</f>
        <v>-1186.2876572419236</v>
      </c>
      <c r="R3303" t="s">
        <v>67687</v>
      </c>
      <c r="S3303" t="s">
        <v>67688</v>
      </c>
      <c r="T3303" t="s">
        <v>67689</v>
      </c>
      <c r="U3303" t="s">
        <v>67690</v>
      </c>
      <c r="V3303" t="s">
        <v>67691</v>
      </c>
      <c r="W3303" t="s">
        <v>67692</v>
      </c>
      <c r="X3303" t="s">
        <v>67693</v>
      </c>
      <c r="Y3303" t="s">
        <v>67694</v>
      </c>
    </row>
    <row r="3304" spans="1:25" x14ac:dyDescent="0.3">
      <c r="A3304">
        <v>165150</v>
      </c>
      <c r="B3304" t="s">
        <v>67695</v>
      </c>
      <c r="C3304" t="s">
        <v>67696</v>
      </c>
      <c r="D3304" t="s">
        <v>67697</v>
      </c>
      <c r="E3304" t="s">
        <v>67698</v>
      </c>
      <c r="F3304" t="s">
        <v>67699</v>
      </c>
      <c r="G3304" t="s">
        <v>67700</v>
      </c>
      <c r="H3304" t="s">
        <v>67701</v>
      </c>
      <c r="I3304" t="s">
        <v>67702</v>
      </c>
      <c r="J3304" t="s">
        <v>67703</v>
      </c>
      <c r="K3304" t="s">
        <v>67704</v>
      </c>
      <c r="L3304" t="s">
        <v>67705</v>
      </c>
      <c r="M3304" t="s">
        <v>67706</v>
      </c>
      <c r="N3304" t="s">
        <v>67707</v>
      </c>
      <c r="O3304">
        <f>-964.45907163463 -12.0960665471694 -500.748898173878</f>
        <v>-1477.3040363556775</v>
      </c>
      <c r="P3304">
        <f>-1003.33159702822 -37.6522425617984 -210.185567820701</f>
        <v>-1251.1694074107193</v>
      </c>
      <c r="Q3304">
        <f>-792.826295724426 -68.8696488680807 -323.163049106477</f>
        <v>-1184.8589936989838</v>
      </c>
      <c r="R3304" t="s">
        <v>67708</v>
      </c>
      <c r="S3304" t="s">
        <v>67709</v>
      </c>
      <c r="T3304" t="s">
        <v>67710</v>
      </c>
      <c r="U3304" t="s">
        <v>67711</v>
      </c>
      <c r="V3304" t="s">
        <v>67712</v>
      </c>
      <c r="W3304" t="s">
        <v>67713</v>
      </c>
      <c r="X3304" t="s">
        <v>67714</v>
      </c>
      <c r="Y3304" t="s">
        <v>67715</v>
      </c>
    </row>
    <row r="3305" spans="1:25" x14ac:dyDescent="0.3">
      <c r="A3305">
        <v>165200</v>
      </c>
      <c r="B3305" t="s">
        <v>67716</v>
      </c>
      <c r="C3305" t="s">
        <v>67717</v>
      </c>
      <c r="D3305" t="s">
        <v>67718</v>
      </c>
      <c r="E3305" t="s">
        <v>67719</v>
      </c>
      <c r="F3305" t="s">
        <v>67720</v>
      </c>
      <c r="G3305" t="s">
        <v>67721</v>
      </c>
      <c r="H3305" t="s">
        <v>67722</v>
      </c>
      <c r="I3305" t="s">
        <v>67723</v>
      </c>
      <c r="J3305" t="s">
        <v>67724</v>
      </c>
      <c r="K3305" t="s">
        <v>67725</v>
      </c>
      <c r="L3305" t="s">
        <v>67726</v>
      </c>
      <c r="M3305" t="s">
        <v>67727</v>
      </c>
      <c r="N3305" t="s">
        <v>67728</v>
      </c>
      <c r="O3305">
        <f>-964.404861350043 -12.0106558213888 -500.732717588357</f>
        <v>-1477.1482347597889</v>
      </c>
      <c r="P3305">
        <f>-1003.60592531131 -37.3645427523111 -210.195956700347</f>
        <v>-1251.1664247639683</v>
      </c>
      <c r="Q3305">
        <f>-792.34572811273 -67.4586288911662 -322.063951825745</f>
        <v>-1181.8683088296411</v>
      </c>
      <c r="R3305" t="s">
        <v>67729</v>
      </c>
      <c r="S3305" t="s">
        <v>67730</v>
      </c>
      <c r="T3305" t="s">
        <v>67731</v>
      </c>
      <c r="U3305" t="s">
        <v>67732</v>
      </c>
      <c r="V3305" t="s">
        <v>67733</v>
      </c>
      <c r="W3305" t="s">
        <v>67734</v>
      </c>
      <c r="X3305" t="s">
        <v>67735</v>
      </c>
      <c r="Y3305" t="s">
        <v>67736</v>
      </c>
    </row>
    <row r="3306" spans="1:25" x14ac:dyDescent="0.3">
      <c r="A3306">
        <v>165250</v>
      </c>
      <c r="B3306" t="s">
        <v>67737</v>
      </c>
      <c r="C3306" t="s">
        <v>67738</v>
      </c>
      <c r="D3306" t="s">
        <v>67739</v>
      </c>
      <c r="E3306" t="s">
        <v>67740</v>
      </c>
      <c r="F3306" t="s">
        <v>67741</v>
      </c>
      <c r="G3306" t="s">
        <v>67742</v>
      </c>
      <c r="H3306" t="s">
        <v>67743</v>
      </c>
      <c r="I3306" t="s">
        <v>67744</v>
      </c>
      <c r="J3306" t="s">
        <v>67745</v>
      </c>
      <c r="K3306" t="s">
        <v>67746</v>
      </c>
      <c r="L3306" t="s">
        <v>67747</v>
      </c>
      <c r="M3306" t="s">
        <v>67748</v>
      </c>
      <c r="N3306" t="s">
        <v>67749</v>
      </c>
      <c r="O3306">
        <f>-964.313418932371 -12.0946260160572 -500.682791190956</f>
        <v>-1477.090836139384</v>
      </c>
      <c r="P3306">
        <f>-1003.53724515884 -37.4037833412835 -210.145227250858</f>
        <v>-1251.0862557509815</v>
      </c>
      <c r="Q3306">
        <f>-791.981561839487 -66.8706671433174 -321.620877040079</f>
        <v>-1180.4731060228833</v>
      </c>
      <c r="R3306" t="s">
        <v>67750</v>
      </c>
      <c r="S3306" t="s">
        <v>67751</v>
      </c>
      <c r="T3306" t="s">
        <v>67752</v>
      </c>
      <c r="U3306" t="s">
        <v>67753</v>
      </c>
      <c r="V3306" t="s">
        <v>67754</v>
      </c>
      <c r="W3306" t="s">
        <v>67755</v>
      </c>
      <c r="X3306" t="s">
        <v>67756</v>
      </c>
      <c r="Y3306" t="s">
        <v>67757</v>
      </c>
    </row>
    <row r="3307" spans="1:25" x14ac:dyDescent="0.3">
      <c r="A3307">
        <v>165300</v>
      </c>
      <c r="B3307" t="s">
        <v>67758</v>
      </c>
      <c r="C3307" t="s">
        <v>67759</v>
      </c>
      <c r="D3307" t="s">
        <v>67760</v>
      </c>
      <c r="E3307" t="s">
        <v>67761</v>
      </c>
      <c r="F3307" t="s">
        <v>67762</v>
      </c>
      <c r="G3307" t="s">
        <v>67763</v>
      </c>
      <c r="H3307" t="s">
        <v>67764</v>
      </c>
      <c r="I3307" t="s">
        <v>67765</v>
      </c>
      <c r="J3307" t="s">
        <v>67766</v>
      </c>
      <c r="K3307" t="s">
        <v>67767</v>
      </c>
      <c r="L3307" t="s">
        <v>67768</v>
      </c>
      <c r="M3307" t="s">
        <v>67769</v>
      </c>
      <c r="N3307" t="s">
        <v>67770</v>
      </c>
      <c r="O3307">
        <f>-963.751642838172 -12.3433626801111 -500.610944198845</f>
        <v>-1476.7059497171281</v>
      </c>
      <c r="P3307">
        <f>-1002.95271271158 -37.5944084644416 -210.065086473227</f>
        <v>-1250.6122076492486</v>
      </c>
      <c r="Q3307">
        <f>-790.911747655746 -65.9061950885534 -320.91621674449</f>
        <v>-1177.7341594887894</v>
      </c>
      <c r="R3307" t="s">
        <v>67771</v>
      </c>
      <c r="S3307" t="s">
        <v>67772</v>
      </c>
      <c r="T3307" t="s">
        <v>67773</v>
      </c>
      <c r="U3307" t="s">
        <v>67774</v>
      </c>
      <c r="V3307" t="s">
        <v>67775</v>
      </c>
      <c r="W3307" t="s">
        <v>67776</v>
      </c>
      <c r="X3307" t="s">
        <v>67777</v>
      </c>
      <c r="Y3307" t="s">
        <v>67778</v>
      </c>
    </row>
    <row r="3308" spans="1:25" x14ac:dyDescent="0.3">
      <c r="A3308">
        <v>165350</v>
      </c>
      <c r="B3308" t="s">
        <v>67779</v>
      </c>
      <c r="C3308" t="s">
        <v>67780</v>
      </c>
      <c r="D3308" t="s">
        <v>67781</v>
      </c>
      <c r="E3308" t="s">
        <v>67782</v>
      </c>
      <c r="F3308" t="s">
        <v>67783</v>
      </c>
      <c r="G3308" t="s">
        <v>67784</v>
      </c>
      <c r="H3308" t="s">
        <v>67785</v>
      </c>
      <c r="I3308" t="s">
        <v>67786</v>
      </c>
      <c r="J3308" t="s">
        <v>67787</v>
      </c>
      <c r="K3308" t="s">
        <v>67788</v>
      </c>
      <c r="L3308" t="s">
        <v>67789</v>
      </c>
      <c r="M3308" t="s">
        <v>67790</v>
      </c>
      <c r="N3308" t="s">
        <v>67791</v>
      </c>
      <c r="O3308">
        <f>-963.16861423101 -12.635477415698 -500.598038729916</f>
        <v>-1476.402130376624</v>
      </c>
      <c r="P3308">
        <f>-1002.62967395325 -37.9354429059038 -210.091751989988</f>
        <v>-1250.6568688491418</v>
      </c>
      <c r="Q3308">
        <f>-790.321813076461 -65.2456389230631 -320.682935790727</f>
        <v>-1176.2503877902511</v>
      </c>
      <c r="R3308" t="s">
        <v>67792</v>
      </c>
      <c r="S3308" t="s">
        <v>67793</v>
      </c>
      <c r="T3308" t="s">
        <v>67794</v>
      </c>
      <c r="U3308" t="s">
        <v>67795</v>
      </c>
      <c r="V3308" t="s">
        <v>67796</v>
      </c>
      <c r="W3308" t="s">
        <v>67797</v>
      </c>
      <c r="X3308" t="s">
        <v>67798</v>
      </c>
      <c r="Y3308" t="s">
        <v>67799</v>
      </c>
    </row>
    <row r="3309" spans="1:25" x14ac:dyDescent="0.3">
      <c r="A3309">
        <v>165400</v>
      </c>
      <c r="B3309" t="s">
        <v>67800</v>
      </c>
      <c r="C3309" t="s">
        <v>67801</v>
      </c>
      <c r="D3309" t="s">
        <v>67802</v>
      </c>
      <c r="E3309" t="s">
        <v>67803</v>
      </c>
      <c r="F3309" t="s">
        <v>67804</v>
      </c>
      <c r="G3309" t="s">
        <v>67805</v>
      </c>
      <c r="H3309" t="s">
        <v>67806</v>
      </c>
      <c r="I3309" t="s">
        <v>67807</v>
      </c>
      <c r="J3309" t="s">
        <v>67808</v>
      </c>
      <c r="K3309" t="s">
        <v>67809</v>
      </c>
      <c r="L3309" t="s">
        <v>67810</v>
      </c>
      <c r="M3309" t="s">
        <v>67811</v>
      </c>
      <c r="N3309" t="s">
        <v>67812</v>
      </c>
      <c r="O3309">
        <f>-962.054157199522 -13.0601836260871 -500.557091524874</f>
        <v>-1475.6714323504832</v>
      </c>
      <c r="P3309">
        <f>-1001.62776516307 -38.1745088481023 -210.049937784853</f>
        <v>-1249.8522117960254</v>
      </c>
      <c r="Q3309">
        <f>-789.080146601618 -63.6379642202078 -320.62151798973</f>
        <v>-1173.3396288115559</v>
      </c>
      <c r="R3309" t="s">
        <v>67813</v>
      </c>
      <c r="S3309" t="s">
        <v>67814</v>
      </c>
      <c r="T3309" t="s">
        <v>67815</v>
      </c>
      <c r="U3309" t="s">
        <v>67816</v>
      </c>
      <c r="V3309" t="s">
        <v>67817</v>
      </c>
      <c r="W3309" t="s">
        <v>67818</v>
      </c>
      <c r="X3309" t="s">
        <v>67819</v>
      </c>
      <c r="Y3309" t="s">
        <v>67820</v>
      </c>
    </row>
    <row r="3310" spans="1:25" x14ac:dyDescent="0.3">
      <c r="A3310">
        <v>165450</v>
      </c>
      <c r="B3310" t="s">
        <v>67821</v>
      </c>
      <c r="C3310" t="s">
        <v>67822</v>
      </c>
      <c r="D3310" t="s">
        <v>67823</v>
      </c>
      <c r="E3310" t="s">
        <v>67824</v>
      </c>
      <c r="F3310" t="s">
        <v>67825</v>
      </c>
      <c r="G3310" t="s">
        <v>67826</v>
      </c>
      <c r="H3310" t="s">
        <v>67827</v>
      </c>
      <c r="I3310" t="s">
        <v>67828</v>
      </c>
      <c r="J3310" t="s">
        <v>67829</v>
      </c>
      <c r="K3310" t="s">
        <v>67830</v>
      </c>
      <c r="L3310" t="s">
        <v>67831</v>
      </c>
      <c r="M3310" t="s">
        <v>67832</v>
      </c>
      <c r="N3310" t="s">
        <v>67833</v>
      </c>
      <c r="O3310">
        <f>-961.671116206831 -13.245658146478 -500.491295395955</f>
        <v>-1475.4080697492641</v>
      </c>
      <c r="P3310">
        <f>-1001.23763352304 -38.0036965909183 -209.952645202693</f>
        <v>-1249.1939753166514</v>
      </c>
      <c r="Q3310">
        <f>-788.768632893685 -63.1141406733213 -320.755642505371</f>
        <v>-1172.6384160723774</v>
      </c>
      <c r="R3310" t="s">
        <v>67834</v>
      </c>
      <c r="S3310" t="s">
        <v>67835</v>
      </c>
      <c r="T3310" t="s">
        <v>67836</v>
      </c>
      <c r="U3310" t="s">
        <v>67837</v>
      </c>
      <c r="V3310" t="s">
        <v>67838</v>
      </c>
      <c r="W3310" t="s">
        <v>67839</v>
      </c>
      <c r="X3310" t="s">
        <v>67840</v>
      </c>
      <c r="Y3310" t="s">
        <v>67841</v>
      </c>
    </row>
    <row r="3311" spans="1:25" x14ac:dyDescent="0.3">
      <c r="A3311">
        <v>165500</v>
      </c>
      <c r="B3311" t="s">
        <v>67842</v>
      </c>
      <c r="C3311" t="s">
        <v>67843</v>
      </c>
      <c r="D3311" t="s">
        <v>67844</v>
      </c>
      <c r="E3311" t="s">
        <v>67845</v>
      </c>
      <c r="F3311" t="s">
        <v>67846</v>
      </c>
      <c r="G3311" t="s">
        <v>67847</v>
      </c>
      <c r="H3311" t="s">
        <v>67848</v>
      </c>
      <c r="I3311" t="s">
        <v>67849</v>
      </c>
      <c r="J3311" t="s">
        <v>67850</v>
      </c>
      <c r="K3311" t="s">
        <v>67851</v>
      </c>
      <c r="L3311" t="s">
        <v>67852</v>
      </c>
      <c r="M3311" t="s">
        <v>67853</v>
      </c>
      <c r="N3311" t="s">
        <v>67854</v>
      </c>
      <c r="O3311">
        <f>-960.684761003828 -13.4775155181055 -500.44410425954</f>
        <v>-1474.6063807814735</v>
      </c>
      <c r="P3311">
        <f>-1000.35624491804 -38.2516330345823 -209.921064914343</f>
        <v>-1248.5289428669653</v>
      </c>
      <c r="Q3311">
        <f>-787.909213005297 -62.0358166894839 -321.057703340945</f>
        <v>-1171.0027330357259</v>
      </c>
      <c r="R3311" t="s">
        <v>67855</v>
      </c>
      <c r="S3311" t="s">
        <v>67856</v>
      </c>
      <c r="T3311" t="s">
        <v>67857</v>
      </c>
      <c r="U3311" t="s">
        <v>67858</v>
      </c>
      <c r="V3311" t="s">
        <v>67859</v>
      </c>
      <c r="W3311" t="s">
        <v>67860</v>
      </c>
      <c r="X3311" t="s">
        <v>67861</v>
      </c>
      <c r="Y3311" t="s">
        <v>67862</v>
      </c>
    </row>
    <row r="3312" spans="1:25" x14ac:dyDescent="0.3">
      <c r="A3312">
        <v>165550</v>
      </c>
      <c r="B3312" t="s">
        <v>67863</v>
      </c>
      <c r="C3312" t="s">
        <v>67864</v>
      </c>
      <c r="D3312" t="s">
        <v>67865</v>
      </c>
      <c r="E3312" t="s">
        <v>67866</v>
      </c>
      <c r="F3312" t="s">
        <v>67867</v>
      </c>
      <c r="G3312" t="s">
        <v>67868</v>
      </c>
      <c r="H3312" t="s">
        <v>67869</v>
      </c>
      <c r="I3312" t="s">
        <v>67870</v>
      </c>
      <c r="J3312" t="s">
        <v>67871</v>
      </c>
      <c r="K3312" t="s">
        <v>67872</v>
      </c>
      <c r="L3312" t="s">
        <v>67873</v>
      </c>
      <c r="M3312" t="s">
        <v>67874</v>
      </c>
      <c r="N3312" t="s">
        <v>67875</v>
      </c>
      <c r="O3312">
        <f>-960.388529160449 -13.4703383857204 -500.452920007296</f>
        <v>-1474.3117875534654</v>
      </c>
      <c r="P3312">
        <f>-999.896305092322 -38.3021120572203 -209.912445264378</f>
        <v>-1248.1108624139204</v>
      </c>
      <c r="Q3312">
        <f>-787.377950350145 -61.9099891954424 -320.951415027116</f>
        <v>-1170.2393545727036</v>
      </c>
      <c r="R3312" t="s">
        <v>67876</v>
      </c>
      <c r="S3312" t="s">
        <v>67877</v>
      </c>
      <c r="T3312" t="s">
        <v>67878</v>
      </c>
      <c r="U3312" t="s">
        <v>67879</v>
      </c>
      <c r="V3312" t="s">
        <v>67880</v>
      </c>
      <c r="W3312" t="s">
        <v>67881</v>
      </c>
      <c r="X3312" t="s">
        <v>67882</v>
      </c>
      <c r="Y3312" t="s">
        <v>67883</v>
      </c>
    </row>
    <row r="3313" spans="1:25" x14ac:dyDescent="0.3">
      <c r="A3313">
        <v>165600</v>
      </c>
      <c r="B3313" t="s">
        <v>67884</v>
      </c>
      <c r="C3313" t="s">
        <v>67885</v>
      </c>
      <c r="D3313" t="s">
        <v>67886</v>
      </c>
      <c r="E3313" t="s">
        <v>67887</v>
      </c>
      <c r="F3313" t="s">
        <v>67888</v>
      </c>
      <c r="G3313" t="s">
        <v>67889</v>
      </c>
      <c r="H3313" t="s">
        <v>67890</v>
      </c>
      <c r="I3313" t="s">
        <v>67891</v>
      </c>
      <c r="J3313" t="s">
        <v>67892</v>
      </c>
      <c r="K3313" t="s">
        <v>67893</v>
      </c>
      <c r="L3313" t="s">
        <v>67894</v>
      </c>
      <c r="M3313" t="s">
        <v>67895</v>
      </c>
      <c r="N3313" t="s">
        <v>67896</v>
      </c>
      <c r="O3313">
        <f>-959.684035111977 -13.7854809823548 -500.355726246476</f>
        <v>-1473.8252423408078</v>
      </c>
      <c r="P3313">
        <f>-999.066986502417 -38.7483403393931 -209.809693127951</f>
        <v>-1247.6250199697611</v>
      </c>
      <c r="Q3313">
        <f>-786.516087602337 -61.447028599403 -320.97487190458</f>
        <v>-1168.9379881063201</v>
      </c>
      <c r="R3313" t="s">
        <v>67897</v>
      </c>
      <c r="S3313" t="s">
        <v>67898</v>
      </c>
      <c r="T3313" t="s">
        <v>67899</v>
      </c>
      <c r="U3313" t="s">
        <v>67900</v>
      </c>
      <c r="V3313" t="s">
        <v>67901</v>
      </c>
      <c r="W3313" t="s">
        <v>67902</v>
      </c>
      <c r="X3313" t="s">
        <v>67903</v>
      </c>
      <c r="Y3313" t="s">
        <v>67904</v>
      </c>
    </row>
    <row r="3314" spans="1:25" x14ac:dyDescent="0.3">
      <c r="A3314">
        <v>165650</v>
      </c>
      <c r="B3314" t="s">
        <v>67905</v>
      </c>
      <c r="C3314" t="s">
        <v>67906</v>
      </c>
      <c r="D3314" t="s">
        <v>67907</v>
      </c>
      <c r="E3314" t="s">
        <v>67908</v>
      </c>
      <c r="F3314" t="s">
        <v>67909</v>
      </c>
      <c r="G3314" t="s">
        <v>67910</v>
      </c>
      <c r="H3314" t="s">
        <v>67911</v>
      </c>
      <c r="I3314" t="s">
        <v>67912</v>
      </c>
      <c r="J3314" t="s">
        <v>67913</v>
      </c>
      <c r="K3314" t="s">
        <v>67914</v>
      </c>
      <c r="L3314" t="s">
        <v>67915</v>
      </c>
      <c r="M3314" t="s">
        <v>67916</v>
      </c>
      <c r="N3314" t="s">
        <v>67917</v>
      </c>
      <c r="O3314">
        <f>-959.524536467665 -13.9524268219152 -500.298699233121</f>
        <v>-1473.7756625227012</v>
      </c>
      <c r="P3314">
        <f>-998.748713471578 -38.7310163954098 -209.715306226865</f>
        <v>-1247.1950360938529</v>
      </c>
      <c r="Q3314">
        <f>-786.309591569342 -61.1134850257909 -321.15822901482</f>
        <v>-1168.5813056099528</v>
      </c>
      <c r="R3314" t="s">
        <v>67918</v>
      </c>
      <c r="S3314" t="s">
        <v>67919</v>
      </c>
      <c r="T3314" t="s">
        <v>67920</v>
      </c>
      <c r="U3314" t="s">
        <v>67921</v>
      </c>
      <c r="V3314" t="s">
        <v>67922</v>
      </c>
      <c r="W3314" t="s">
        <v>67923</v>
      </c>
      <c r="X3314" t="s">
        <v>67924</v>
      </c>
      <c r="Y3314" t="s">
        <v>67925</v>
      </c>
    </row>
    <row r="3315" spans="1:25" x14ac:dyDescent="0.3">
      <c r="A3315">
        <v>165700</v>
      </c>
      <c r="B3315" t="s">
        <v>67926</v>
      </c>
      <c r="C3315" t="s">
        <v>67927</v>
      </c>
      <c r="D3315" t="s">
        <v>67928</v>
      </c>
      <c r="E3315" t="s">
        <v>67929</v>
      </c>
      <c r="F3315" t="s">
        <v>67930</v>
      </c>
      <c r="G3315" t="s">
        <v>67931</v>
      </c>
      <c r="H3315" t="s">
        <v>67932</v>
      </c>
      <c r="I3315" t="s">
        <v>67933</v>
      </c>
      <c r="J3315" t="s">
        <v>67934</v>
      </c>
      <c r="K3315" t="s">
        <v>67935</v>
      </c>
      <c r="L3315" t="s">
        <v>67936</v>
      </c>
      <c r="M3315" t="s">
        <v>67937</v>
      </c>
      <c r="N3315" t="s">
        <v>67938</v>
      </c>
      <c r="O3315">
        <f>-959.496671254725 -14.2763513881509 -500.207460200353</f>
        <v>-1473.9804828432289</v>
      </c>
      <c r="P3315">
        <f>-998.411471748762 -38.7128303331001 -209.553548279549</f>
        <v>-1246.6778503614109</v>
      </c>
      <c r="Q3315">
        <f>-786.290104770795 -60.3757620328261 -321.741640692764</f>
        <v>-1168.4075074963851</v>
      </c>
      <c r="R3315" t="s">
        <v>67939</v>
      </c>
      <c r="S3315" t="s">
        <v>67940</v>
      </c>
      <c r="T3315" t="s">
        <v>67941</v>
      </c>
      <c r="U3315" t="s">
        <v>67942</v>
      </c>
      <c r="V3315" t="s">
        <v>67943</v>
      </c>
      <c r="W3315" t="s">
        <v>67944</v>
      </c>
      <c r="X3315" t="s">
        <v>67945</v>
      </c>
      <c r="Y3315" t="s">
        <v>67946</v>
      </c>
    </row>
    <row r="3316" spans="1:25" x14ac:dyDescent="0.3">
      <c r="A3316">
        <v>165750</v>
      </c>
      <c r="B3316" t="s">
        <v>67947</v>
      </c>
      <c r="C3316" t="s">
        <v>67948</v>
      </c>
      <c r="D3316" t="s">
        <v>67949</v>
      </c>
      <c r="E3316" t="s">
        <v>67950</v>
      </c>
      <c r="F3316" t="s">
        <v>67951</v>
      </c>
      <c r="G3316" t="s">
        <v>67952</v>
      </c>
      <c r="H3316" t="s">
        <v>67953</v>
      </c>
      <c r="I3316" t="s">
        <v>67954</v>
      </c>
      <c r="J3316" t="s">
        <v>67955</v>
      </c>
      <c r="K3316" t="s">
        <v>67956</v>
      </c>
      <c r="L3316" t="s">
        <v>67957</v>
      </c>
      <c r="M3316" t="s">
        <v>67958</v>
      </c>
      <c r="N3316" t="s">
        <v>67959</v>
      </c>
      <c r="O3316">
        <f>-959.531637400722 -14.3142915387734 -500.147276143407</f>
        <v>-1473.9932050829025</v>
      </c>
      <c r="P3316">
        <f>-998.267036526863 -38.6725425429718 -209.462811239852</f>
        <v>-1246.4023903096868</v>
      </c>
      <c r="Q3316">
        <f>-786.257287235692 -60.0698552357715 -321.912023132354</f>
        <v>-1168.2391656038176</v>
      </c>
      <c r="R3316" t="s">
        <v>67960</v>
      </c>
      <c r="S3316" t="s">
        <v>67961</v>
      </c>
      <c r="T3316" t="s">
        <v>67962</v>
      </c>
      <c r="U3316" t="s">
        <v>67963</v>
      </c>
      <c r="V3316" t="s">
        <v>67964</v>
      </c>
      <c r="W3316" t="s">
        <v>67965</v>
      </c>
      <c r="X3316" t="s">
        <v>67966</v>
      </c>
      <c r="Y3316" t="s">
        <v>67967</v>
      </c>
    </row>
    <row r="3317" spans="1:25" x14ac:dyDescent="0.3">
      <c r="A3317">
        <v>165800</v>
      </c>
      <c r="B3317" t="s">
        <v>67968</v>
      </c>
      <c r="C3317" t="s">
        <v>67969</v>
      </c>
      <c r="D3317" t="s">
        <v>67970</v>
      </c>
      <c r="E3317" t="s">
        <v>67971</v>
      </c>
      <c r="F3317" t="s">
        <v>67972</v>
      </c>
      <c r="G3317" t="s">
        <v>67973</v>
      </c>
      <c r="H3317" t="s">
        <v>67974</v>
      </c>
      <c r="I3317" t="s">
        <v>67975</v>
      </c>
      <c r="J3317" t="s">
        <v>67976</v>
      </c>
      <c r="K3317" t="s">
        <v>67977</v>
      </c>
      <c r="L3317" t="s">
        <v>67978</v>
      </c>
      <c r="M3317" t="s">
        <v>67979</v>
      </c>
      <c r="N3317" t="s">
        <v>67980</v>
      </c>
      <c r="O3317">
        <f>-959.764590582267 -14.3677930261847 -500.118892013358</f>
        <v>-1474.2512756218098</v>
      </c>
      <c r="P3317">
        <f>-998.387417438419 -38.7773614057655 -209.423667966022</f>
        <v>-1246.5884468102065</v>
      </c>
      <c r="Q3317">
        <f>-786.46839728575 -59.9881366423519 -322.079527695169</f>
        <v>-1168.5360616232711</v>
      </c>
      <c r="R3317" t="s">
        <v>67981</v>
      </c>
      <c r="S3317" t="s">
        <v>67982</v>
      </c>
      <c r="T3317" t="s">
        <v>67983</v>
      </c>
      <c r="U3317" t="s">
        <v>67984</v>
      </c>
      <c r="V3317" t="s">
        <v>67985</v>
      </c>
      <c r="W3317" t="s">
        <v>67986</v>
      </c>
      <c r="X3317" t="s">
        <v>67987</v>
      </c>
      <c r="Y3317" t="s">
        <v>67988</v>
      </c>
    </row>
    <row r="3318" spans="1:25" x14ac:dyDescent="0.3">
      <c r="A3318">
        <v>165850</v>
      </c>
      <c r="B3318" t="s">
        <v>67989</v>
      </c>
      <c r="C3318" t="s">
        <v>67990</v>
      </c>
      <c r="D3318" t="s">
        <v>67991</v>
      </c>
      <c r="E3318" t="s">
        <v>67992</v>
      </c>
      <c r="F3318" t="s">
        <v>67993</v>
      </c>
      <c r="G3318" t="s">
        <v>67994</v>
      </c>
      <c r="H3318" t="s">
        <v>67995</v>
      </c>
      <c r="I3318" t="s">
        <v>67996</v>
      </c>
      <c r="J3318" t="s">
        <v>67997</v>
      </c>
      <c r="K3318" t="s">
        <v>67998</v>
      </c>
      <c r="L3318" t="s">
        <v>67999</v>
      </c>
      <c r="M3318" t="s">
        <v>68000</v>
      </c>
      <c r="N3318" t="s">
        <v>68001</v>
      </c>
      <c r="O3318">
        <f>-960.848995602682 -14.238077563934 -500.180689971835</f>
        <v>-1475.2677631384508</v>
      </c>
      <c r="P3318">
        <f>-999.33251252492 -38.6738439342084 -209.469289954414</f>
        <v>-1247.4756464135426</v>
      </c>
      <c r="Q3318">
        <f>-787.499668536876 -59.8337618292239 -322.296632898082</f>
        <v>-1169.6300632641819</v>
      </c>
      <c r="R3318" t="s">
        <v>68002</v>
      </c>
      <c r="S3318" t="s">
        <v>68003</v>
      </c>
      <c r="T3318" t="s">
        <v>68004</v>
      </c>
      <c r="U3318" t="s">
        <v>68005</v>
      </c>
      <c r="V3318" t="s">
        <v>68006</v>
      </c>
      <c r="W3318" t="s">
        <v>68007</v>
      </c>
      <c r="X3318" t="s">
        <v>68008</v>
      </c>
      <c r="Y3318" t="s">
        <v>68009</v>
      </c>
    </row>
    <row r="3319" spans="1:25" x14ac:dyDescent="0.3">
      <c r="A3319">
        <v>165900</v>
      </c>
      <c r="B3319" t="s">
        <v>68010</v>
      </c>
      <c r="C3319" t="s">
        <v>68011</v>
      </c>
      <c r="D3319" t="s">
        <v>68012</v>
      </c>
      <c r="E3319" t="s">
        <v>68013</v>
      </c>
      <c r="F3319" t="s">
        <v>68014</v>
      </c>
      <c r="G3319" t="s">
        <v>68015</v>
      </c>
      <c r="H3319" t="s">
        <v>68016</v>
      </c>
      <c r="I3319" t="s">
        <v>68017</v>
      </c>
      <c r="J3319" t="s">
        <v>68018</v>
      </c>
      <c r="K3319" t="s">
        <v>68019</v>
      </c>
      <c r="L3319" t="s">
        <v>68020</v>
      </c>
      <c r="M3319" t="s">
        <v>68021</v>
      </c>
      <c r="N3319" t="s">
        <v>68022</v>
      </c>
      <c r="O3319">
        <f>-962.032831928153 -14.271999852212 -500.178937644092</f>
        <v>-1476.483769424457</v>
      </c>
      <c r="P3319">
        <f>-1000.29236382246 -39.0515115537444 -209.467094818273</f>
        <v>-1248.8109701944772</v>
      </c>
      <c r="Q3319">
        <f>-788.199637033088 -59.394457461276 -321.955819690544</f>
        <v>-1169.5499141849082</v>
      </c>
      <c r="R3319" t="s">
        <v>68023</v>
      </c>
      <c r="S3319" t="s">
        <v>68024</v>
      </c>
      <c r="T3319" t="s">
        <v>68025</v>
      </c>
      <c r="U3319" t="s">
        <v>68026</v>
      </c>
      <c r="V3319" t="s">
        <v>68027</v>
      </c>
      <c r="W3319" t="s">
        <v>68028</v>
      </c>
      <c r="X3319" t="s">
        <v>68029</v>
      </c>
      <c r="Y3319" t="s">
        <v>68030</v>
      </c>
    </row>
    <row r="3320" spans="1:25" x14ac:dyDescent="0.3">
      <c r="A3320">
        <v>165950</v>
      </c>
      <c r="B3320" t="s">
        <v>68031</v>
      </c>
      <c r="C3320" t="s">
        <v>68032</v>
      </c>
      <c r="D3320" t="s">
        <v>68033</v>
      </c>
      <c r="E3320" t="s">
        <v>68034</v>
      </c>
      <c r="F3320" t="s">
        <v>68035</v>
      </c>
      <c r="G3320" t="s">
        <v>68036</v>
      </c>
      <c r="H3320" t="s">
        <v>68037</v>
      </c>
      <c r="I3320" t="s">
        <v>68038</v>
      </c>
      <c r="J3320" t="s">
        <v>68039</v>
      </c>
      <c r="K3320" t="s">
        <v>68040</v>
      </c>
      <c r="L3320" t="s">
        <v>68041</v>
      </c>
      <c r="M3320" t="s">
        <v>68042</v>
      </c>
      <c r="N3320" t="s">
        <v>68043</v>
      </c>
      <c r="O3320">
        <f>-962.564939173273 -14.3383210494194 -500.138809923427</f>
        <v>-1477.0420701461194</v>
      </c>
      <c r="P3320">
        <f>-1000.70306119368 -38.9418309341195 -209.396041537294</f>
        <v>-1249.0409336650935</v>
      </c>
      <c r="Q3320">
        <f>-788.539411705273 -59.2686215931546 -321.753728459384</f>
        <v>-1169.5617617578116</v>
      </c>
      <c r="R3320" t="s">
        <v>68044</v>
      </c>
      <c r="S3320" t="s">
        <v>68045</v>
      </c>
      <c r="T3320" t="s">
        <v>68046</v>
      </c>
      <c r="U3320" t="s">
        <v>68047</v>
      </c>
      <c r="V3320" t="s">
        <v>68048</v>
      </c>
      <c r="W3320" t="s">
        <v>68049</v>
      </c>
      <c r="X3320" t="s">
        <v>68050</v>
      </c>
      <c r="Y3320" t="s">
        <v>68051</v>
      </c>
    </row>
    <row r="3321" spans="1:25" x14ac:dyDescent="0.3">
      <c r="A3321">
        <v>166000</v>
      </c>
      <c r="B3321" t="s">
        <v>68052</v>
      </c>
      <c r="C3321" t="s">
        <v>68053</v>
      </c>
      <c r="D3321" t="s">
        <v>68054</v>
      </c>
      <c r="E3321" t="s">
        <v>68055</v>
      </c>
      <c r="F3321" t="s">
        <v>68056</v>
      </c>
      <c r="G3321" t="s">
        <v>68057</v>
      </c>
      <c r="H3321" t="s">
        <v>68058</v>
      </c>
      <c r="I3321" t="s">
        <v>68059</v>
      </c>
      <c r="J3321" t="s">
        <v>68060</v>
      </c>
      <c r="K3321" t="s">
        <v>68061</v>
      </c>
      <c r="L3321" t="s">
        <v>68062</v>
      </c>
      <c r="M3321" t="s">
        <v>68063</v>
      </c>
      <c r="N3321" t="s">
        <v>68064</v>
      </c>
      <c r="O3321">
        <f>-963.612632569402 -14.1544256382881 -500.12098540901</f>
        <v>-1477.8880436167001</v>
      </c>
      <c r="P3321">
        <f>-1001.98756077807 -38.253566946546 -209.367104713095</f>
        <v>-1249.608232437711</v>
      </c>
      <c r="Q3321">
        <f>-789.736257201726 -58.7894892008217 -321.520783667211</f>
        <v>-1170.0465300697585</v>
      </c>
      <c r="R3321" t="s">
        <v>68065</v>
      </c>
      <c r="S3321" t="s">
        <v>68066</v>
      </c>
      <c r="T3321" t="s">
        <v>68067</v>
      </c>
      <c r="U3321" t="s">
        <v>68068</v>
      </c>
      <c r="V3321" t="s">
        <v>68069</v>
      </c>
      <c r="W3321" t="s">
        <v>68070</v>
      </c>
      <c r="X3321" t="s">
        <v>68071</v>
      </c>
      <c r="Y3321" t="s">
        <v>68072</v>
      </c>
    </row>
    <row r="3322" spans="1:25" x14ac:dyDescent="0.3">
      <c r="A3322">
        <v>166050</v>
      </c>
      <c r="B3322" t="s">
        <v>68073</v>
      </c>
      <c r="C3322" t="s">
        <v>68074</v>
      </c>
      <c r="D3322" t="s">
        <v>68075</v>
      </c>
      <c r="E3322" t="s">
        <v>68076</v>
      </c>
      <c r="F3322" t="s">
        <v>68077</v>
      </c>
      <c r="G3322" t="s">
        <v>68078</v>
      </c>
      <c r="H3322" t="s">
        <v>68079</v>
      </c>
      <c r="I3322" t="s">
        <v>68080</v>
      </c>
      <c r="J3322" t="s">
        <v>68081</v>
      </c>
      <c r="K3322" t="s">
        <v>68082</v>
      </c>
      <c r="L3322" t="s">
        <v>68083</v>
      </c>
      <c r="M3322" t="s">
        <v>68084</v>
      </c>
      <c r="N3322" t="s">
        <v>68085</v>
      </c>
      <c r="O3322">
        <f>-964.058710484639 -14.1595441094669 -500.129220895724</f>
        <v>-1478.34747548983</v>
      </c>
      <c r="P3322">
        <f>-1002.4146238671 -38.1624722467816 -209.364913473033</f>
        <v>-1249.9420095869148</v>
      </c>
      <c r="Q3322">
        <f>-790.197949765112 -58.8197587683512 -321.562192451399</f>
        <v>-1170.5799009848622</v>
      </c>
      <c r="R3322" t="s">
        <v>68086</v>
      </c>
      <c r="S3322" t="s">
        <v>68087</v>
      </c>
      <c r="T3322" t="s">
        <v>68088</v>
      </c>
      <c r="U3322" t="s">
        <v>68089</v>
      </c>
      <c r="V3322" t="s">
        <v>68090</v>
      </c>
      <c r="W3322" t="s">
        <v>68091</v>
      </c>
      <c r="X3322" t="s">
        <v>68092</v>
      </c>
      <c r="Y3322" t="s">
        <v>68093</v>
      </c>
    </row>
    <row r="3323" spans="1:25" x14ac:dyDescent="0.3">
      <c r="A3323">
        <v>166100</v>
      </c>
      <c r="B3323" t="s">
        <v>68094</v>
      </c>
      <c r="C3323" t="s">
        <v>68095</v>
      </c>
      <c r="D3323" t="s">
        <v>68096</v>
      </c>
      <c r="E3323" t="s">
        <v>68097</v>
      </c>
      <c r="F3323" t="s">
        <v>68098</v>
      </c>
      <c r="G3323" t="s">
        <v>68099</v>
      </c>
      <c r="H3323" t="s">
        <v>68100</v>
      </c>
      <c r="I3323" t="s">
        <v>68101</v>
      </c>
      <c r="J3323" t="s">
        <v>68102</v>
      </c>
      <c r="K3323" t="s">
        <v>68103</v>
      </c>
      <c r="L3323" t="s">
        <v>68104</v>
      </c>
      <c r="M3323" t="s">
        <v>68105</v>
      </c>
      <c r="N3323" t="s">
        <v>68106</v>
      </c>
      <c r="O3323">
        <f>-964.77283686323 -14.1916744310802 -500.137205179089</f>
        <v>-1479.1017164733992</v>
      </c>
      <c r="P3323">
        <f>-1002.7606895272 -38.5950036404668 -209.357901225301</f>
        <v>-1250.7135943929679</v>
      </c>
      <c r="Q3323">
        <f>-790.501378184123 -59.0480373172031 -321.511928584963</f>
        <v>-1171.0613440862892</v>
      </c>
      <c r="R3323" t="s">
        <v>68107</v>
      </c>
      <c r="S3323" t="s">
        <v>68108</v>
      </c>
      <c r="T3323" t="s">
        <v>68109</v>
      </c>
      <c r="U3323" t="s">
        <v>68110</v>
      </c>
      <c r="V3323" t="s">
        <v>68111</v>
      </c>
      <c r="W3323" t="s">
        <v>68112</v>
      </c>
      <c r="X3323" t="s">
        <v>68113</v>
      </c>
      <c r="Y3323" t="s">
        <v>68114</v>
      </c>
    </row>
    <row r="3324" spans="1:25" x14ac:dyDescent="0.3">
      <c r="A3324">
        <v>166150</v>
      </c>
      <c r="B3324" t="s">
        <v>68115</v>
      </c>
      <c r="C3324" t="s">
        <v>68116</v>
      </c>
      <c r="D3324" t="s">
        <v>68117</v>
      </c>
      <c r="E3324" t="s">
        <v>68118</v>
      </c>
      <c r="F3324" t="s">
        <v>68119</v>
      </c>
      <c r="G3324" t="s">
        <v>68120</v>
      </c>
      <c r="H3324" t="s">
        <v>68121</v>
      </c>
      <c r="I3324" t="s">
        <v>68122</v>
      </c>
      <c r="J3324" t="s">
        <v>68123</v>
      </c>
      <c r="K3324" t="s">
        <v>68124</v>
      </c>
      <c r="L3324" t="s">
        <v>68125</v>
      </c>
      <c r="M3324" t="s">
        <v>68126</v>
      </c>
      <c r="N3324" t="s">
        <v>68127</v>
      </c>
      <c r="O3324">
        <f>-965.012386489433 -14.4063122582138 -500.119562961078</f>
        <v>-1479.5382617087248</v>
      </c>
      <c r="P3324">
        <f>-1002.88105941017 -39.0721766871582 -209.346811422764</f>
        <v>-1251.3000475200922</v>
      </c>
      <c r="Q3324">
        <f>-790.538639959205 -59.2040082265346 -321.401987538193</f>
        <v>-1171.1446357239327</v>
      </c>
      <c r="R3324" t="s">
        <v>68128</v>
      </c>
      <c r="S3324" t="s">
        <v>68129</v>
      </c>
      <c r="T3324" t="s">
        <v>68130</v>
      </c>
      <c r="U3324" t="s">
        <v>68131</v>
      </c>
      <c r="V3324" t="s">
        <v>68132</v>
      </c>
      <c r="W3324" t="s">
        <v>68133</v>
      </c>
      <c r="X3324" t="s">
        <v>68134</v>
      </c>
      <c r="Y3324" t="s">
        <v>68135</v>
      </c>
    </row>
    <row r="3325" spans="1:25" x14ac:dyDescent="0.3">
      <c r="A3325">
        <v>166200</v>
      </c>
      <c r="B3325" t="s">
        <v>68136</v>
      </c>
      <c r="C3325" t="s">
        <v>68137</v>
      </c>
      <c r="D3325" t="s">
        <v>68138</v>
      </c>
      <c r="E3325" t="s">
        <v>68139</v>
      </c>
      <c r="F3325" t="s">
        <v>68140</v>
      </c>
      <c r="G3325" t="s">
        <v>68141</v>
      </c>
      <c r="H3325" t="s">
        <v>68142</v>
      </c>
      <c r="I3325" t="s">
        <v>68143</v>
      </c>
      <c r="J3325" t="s">
        <v>68144</v>
      </c>
      <c r="K3325" t="s">
        <v>68145</v>
      </c>
      <c r="L3325" t="s">
        <v>68146</v>
      </c>
      <c r="M3325" t="s">
        <v>68147</v>
      </c>
      <c r="N3325" t="s">
        <v>68148</v>
      </c>
      <c r="O3325">
        <f>-965.317430411028 -14.6869643813629 -500.109383503464</f>
        <v>-1480.1137782958549</v>
      </c>
      <c r="P3325">
        <f>-1002.86036020564 -39.4166271955867 -209.299783574905</f>
        <v>-1251.5767709761317</v>
      </c>
      <c r="Q3325">
        <f>-790.576726016931 -58.996625256877 -321.563455268583</f>
        <v>-1171.136806542391</v>
      </c>
      <c r="R3325" t="s">
        <v>68149</v>
      </c>
      <c r="S3325" t="s">
        <v>68150</v>
      </c>
      <c r="T3325" t="s">
        <v>68151</v>
      </c>
      <c r="U3325" t="s">
        <v>68152</v>
      </c>
      <c r="V3325" t="s">
        <v>68153</v>
      </c>
      <c r="W3325" t="s">
        <v>68154</v>
      </c>
      <c r="X3325" t="s">
        <v>68155</v>
      </c>
      <c r="Y3325" t="s">
        <v>68156</v>
      </c>
    </row>
    <row r="3326" spans="1:25" x14ac:dyDescent="0.3">
      <c r="A3326">
        <v>166250</v>
      </c>
      <c r="B3326" t="s">
        <v>68157</v>
      </c>
      <c r="C3326" t="s">
        <v>68158</v>
      </c>
      <c r="D3326" t="s">
        <v>68159</v>
      </c>
      <c r="E3326" t="s">
        <v>68160</v>
      </c>
      <c r="F3326" t="s">
        <v>68161</v>
      </c>
      <c r="G3326" t="s">
        <v>68162</v>
      </c>
      <c r="H3326" t="s">
        <v>68163</v>
      </c>
      <c r="I3326" t="s">
        <v>68164</v>
      </c>
      <c r="J3326" t="s">
        <v>68165</v>
      </c>
      <c r="K3326" t="s">
        <v>68166</v>
      </c>
      <c r="L3326" t="s">
        <v>68167</v>
      </c>
      <c r="M3326" t="s">
        <v>68168</v>
      </c>
      <c r="N3326" t="s">
        <v>68169</v>
      </c>
      <c r="O3326">
        <f>-965.315998480793 -14.9390072063879 -500.077622574357</f>
        <v>-1480.332628261538</v>
      </c>
      <c r="P3326">
        <f>-1002.63780611795 -39.7788301804339 -209.248990261059</f>
        <v>-1251.6656265594429</v>
      </c>
      <c r="Q3326">
        <f>-790.355848893325 -58.91127961145 -321.59280572314</f>
        <v>-1170.8599342279149</v>
      </c>
      <c r="R3326" t="s">
        <v>68170</v>
      </c>
      <c r="S3326" t="s">
        <v>68171</v>
      </c>
      <c r="T3326" t="s">
        <v>68172</v>
      </c>
      <c r="U3326" t="s">
        <v>68173</v>
      </c>
      <c r="V3326" t="s">
        <v>68174</v>
      </c>
      <c r="W3326" t="s">
        <v>68175</v>
      </c>
      <c r="X3326" t="s">
        <v>68176</v>
      </c>
      <c r="Y3326" t="s">
        <v>68177</v>
      </c>
    </row>
    <row r="3327" spans="1:25" x14ac:dyDescent="0.3">
      <c r="A3327">
        <v>166300</v>
      </c>
      <c r="B3327" t="s">
        <v>68178</v>
      </c>
      <c r="C3327" t="s">
        <v>68179</v>
      </c>
      <c r="D3327" t="s">
        <v>68180</v>
      </c>
      <c r="E3327" t="s">
        <v>68181</v>
      </c>
      <c r="F3327" t="s">
        <v>68182</v>
      </c>
      <c r="G3327" t="s">
        <v>68183</v>
      </c>
      <c r="H3327" t="s">
        <v>68184</v>
      </c>
      <c r="I3327" t="s">
        <v>68185</v>
      </c>
      <c r="J3327" t="s">
        <v>68186</v>
      </c>
      <c r="K3327" t="s">
        <v>68187</v>
      </c>
      <c r="L3327" t="s">
        <v>68188</v>
      </c>
      <c r="M3327" t="s">
        <v>68189</v>
      </c>
      <c r="N3327" t="s">
        <v>68190</v>
      </c>
      <c r="O3327">
        <f>-965.112568969604 -15.5384435274723 -499.985670162645</f>
        <v>-1480.6366826597214</v>
      </c>
      <c r="P3327">
        <f>-1001.90847001461 -40.1399140208171 -209.069803820821</f>
        <v>-1251.1181878562479</v>
      </c>
      <c r="Q3327">
        <f>-789.547677300774 -58.8570500093563 -321.334632475236</f>
        <v>-1169.7393597853663</v>
      </c>
      <c r="R3327" t="s">
        <v>68191</v>
      </c>
      <c r="S3327" t="s">
        <v>68192</v>
      </c>
      <c r="T3327" t="s">
        <v>68193</v>
      </c>
      <c r="U3327" t="s">
        <v>68194</v>
      </c>
      <c r="V3327" t="s">
        <v>68195</v>
      </c>
      <c r="W3327" t="s">
        <v>68196</v>
      </c>
      <c r="X3327" t="s">
        <v>68197</v>
      </c>
      <c r="Y3327" t="s">
        <v>68198</v>
      </c>
    </row>
    <row r="3328" spans="1:25" x14ac:dyDescent="0.3">
      <c r="A3328">
        <v>166350</v>
      </c>
      <c r="B3328" t="s">
        <v>68199</v>
      </c>
      <c r="C3328" t="s">
        <v>68200</v>
      </c>
      <c r="D3328" t="s">
        <v>68201</v>
      </c>
      <c r="E3328" t="s">
        <v>68202</v>
      </c>
      <c r="F3328" t="s">
        <v>68203</v>
      </c>
      <c r="G3328" t="s">
        <v>68204</v>
      </c>
      <c r="H3328" t="s">
        <v>68205</v>
      </c>
      <c r="I3328" t="s">
        <v>68206</v>
      </c>
      <c r="J3328" t="s">
        <v>68207</v>
      </c>
      <c r="K3328" t="s">
        <v>68208</v>
      </c>
      <c r="L3328" t="s">
        <v>68209</v>
      </c>
      <c r="M3328" t="s">
        <v>68210</v>
      </c>
      <c r="N3328" t="s">
        <v>68211</v>
      </c>
      <c r="O3328">
        <f>-964.708994755303 -15.886648498948 -499.944476210577</f>
        <v>-1480.540119464828</v>
      </c>
      <c r="P3328">
        <f>-1001.55380418508 -40.3980839345058 -209.027143944322</f>
        <v>-1250.9790320639079</v>
      </c>
      <c r="Q3328">
        <f>-788.958753508636 -58.8798078638436 -320.88670152319</f>
        <v>-1168.7252628956696</v>
      </c>
      <c r="R3328" t="s">
        <v>68212</v>
      </c>
      <c r="S3328" t="s">
        <v>68213</v>
      </c>
      <c r="T3328" t="s">
        <v>68214</v>
      </c>
      <c r="U3328" t="s">
        <v>68215</v>
      </c>
      <c r="V3328" t="s">
        <v>68216</v>
      </c>
      <c r="W3328" t="s">
        <v>68217</v>
      </c>
      <c r="X3328" t="s">
        <v>68218</v>
      </c>
      <c r="Y3328" t="s">
        <v>68219</v>
      </c>
    </row>
    <row r="3329" spans="1:25" x14ac:dyDescent="0.3">
      <c r="A3329">
        <v>166400</v>
      </c>
      <c r="B3329" t="s">
        <v>68220</v>
      </c>
      <c r="C3329" t="s">
        <v>68221</v>
      </c>
      <c r="D3329" t="s">
        <v>68222</v>
      </c>
      <c r="E3329" t="s">
        <v>68223</v>
      </c>
      <c r="F3329" t="s">
        <v>68224</v>
      </c>
      <c r="G3329" t="s">
        <v>68225</v>
      </c>
      <c r="H3329" t="s">
        <v>68226</v>
      </c>
      <c r="I3329" t="s">
        <v>68227</v>
      </c>
      <c r="J3329" t="s">
        <v>68228</v>
      </c>
      <c r="K3329" t="s">
        <v>68229</v>
      </c>
      <c r="L3329" t="s">
        <v>68230</v>
      </c>
      <c r="M3329" t="s">
        <v>68231</v>
      </c>
      <c r="N3329" t="s">
        <v>68232</v>
      </c>
      <c r="O3329">
        <f>-963.273651330426 -16.810340203137 -499.859308104892</f>
        <v>-1479.9432996384551</v>
      </c>
      <c r="P3329">
        <f>-1000.85901228411 -41.0802365122909 -209.016441672417</f>
        <v>-1250.9556904688179</v>
      </c>
      <c r="Q3329">
        <f>-787.656836653755 -58.583360359371 -319.873644410596</f>
        <v>-1166.1138414237221</v>
      </c>
      <c r="R3329" t="s">
        <v>68233</v>
      </c>
      <c r="S3329" t="s">
        <v>68234</v>
      </c>
      <c r="T3329" t="s">
        <v>68235</v>
      </c>
      <c r="U3329" t="s">
        <v>68236</v>
      </c>
      <c r="V3329" t="s">
        <v>68237</v>
      </c>
      <c r="W3329" t="s">
        <v>68238</v>
      </c>
      <c r="X3329" t="s">
        <v>68239</v>
      </c>
      <c r="Y3329" t="s">
        <v>68240</v>
      </c>
    </row>
    <row r="3330" spans="1:25" x14ac:dyDescent="0.3">
      <c r="A3330">
        <v>166450</v>
      </c>
      <c r="B3330" t="s">
        <v>68241</v>
      </c>
      <c r="C3330" t="s">
        <v>68242</v>
      </c>
      <c r="D3330" t="s">
        <v>68243</v>
      </c>
      <c r="E3330" t="s">
        <v>68244</v>
      </c>
      <c r="F3330" t="s">
        <v>68245</v>
      </c>
      <c r="G3330" t="s">
        <v>68246</v>
      </c>
      <c r="H3330" t="s">
        <v>68247</v>
      </c>
      <c r="I3330" t="s">
        <v>68248</v>
      </c>
      <c r="J3330" t="s">
        <v>68249</v>
      </c>
      <c r="K3330" t="s">
        <v>68250</v>
      </c>
      <c r="L3330" t="s">
        <v>68251</v>
      </c>
      <c r="M3330" t="s">
        <v>68252</v>
      </c>
      <c r="N3330" t="s">
        <v>68253</v>
      </c>
      <c r="O3330">
        <f>-962.553515368772 -17.2107814701653 -499.834864727328</f>
        <v>-1479.5991615662654</v>
      </c>
      <c r="P3330">
        <f>-1000.4360519212 -41.292433282674 -209.015044459949</f>
        <v>-1250.743529663823</v>
      </c>
      <c r="Q3330">
        <f>-786.999056484482 -58.2157026859745 -319.509370714815</f>
        <v>-1164.7241298852716</v>
      </c>
      <c r="R3330" t="s">
        <v>68254</v>
      </c>
      <c r="S3330" t="s">
        <v>68255</v>
      </c>
      <c r="T3330" t="s">
        <v>68256</v>
      </c>
      <c r="U3330" t="s">
        <v>68257</v>
      </c>
      <c r="V3330" t="s">
        <v>68258</v>
      </c>
      <c r="W3330" t="s">
        <v>68259</v>
      </c>
      <c r="X3330" t="s">
        <v>68260</v>
      </c>
      <c r="Y3330" t="s">
        <v>68261</v>
      </c>
    </row>
    <row r="3331" spans="1:25" x14ac:dyDescent="0.3">
      <c r="A3331">
        <v>166500</v>
      </c>
      <c r="B3331" t="s">
        <v>68262</v>
      </c>
      <c r="C3331" t="s">
        <v>68263</v>
      </c>
      <c r="D3331" t="s">
        <v>68264</v>
      </c>
      <c r="E3331" t="s">
        <v>68265</v>
      </c>
      <c r="F3331" t="s">
        <v>68266</v>
      </c>
      <c r="G3331" t="s">
        <v>68267</v>
      </c>
      <c r="H3331" t="s">
        <v>68268</v>
      </c>
      <c r="I3331" t="s">
        <v>68269</v>
      </c>
      <c r="J3331" t="s">
        <v>68270</v>
      </c>
      <c r="K3331" t="s">
        <v>68271</v>
      </c>
      <c r="L3331" t="s">
        <v>68272</v>
      </c>
      <c r="M3331" t="s">
        <v>68273</v>
      </c>
      <c r="N3331" t="s">
        <v>68274</v>
      </c>
      <c r="O3331">
        <f>-961.48024148596 -18.0082704486817 -499.758819619045</f>
        <v>-1479.2473315536868</v>
      </c>
      <c r="P3331">
        <f>-999.286111426248 -41.7470722983257 -208.900808989264</f>
        <v>-1249.9339927138378</v>
      </c>
      <c r="Q3331">
        <f>-785.68816361805 -58.2081852052795 -319.153872788629</f>
        <v>-1163.0502216119585</v>
      </c>
      <c r="R3331" t="s">
        <v>68275</v>
      </c>
      <c r="S3331" t="s">
        <v>68276</v>
      </c>
      <c r="T3331" t="s">
        <v>68277</v>
      </c>
      <c r="U3331" t="s">
        <v>68278</v>
      </c>
      <c r="V3331" t="s">
        <v>68279</v>
      </c>
      <c r="W3331" t="s">
        <v>68280</v>
      </c>
      <c r="X3331" t="s">
        <v>68281</v>
      </c>
      <c r="Y3331" t="s">
        <v>68282</v>
      </c>
    </row>
    <row r="3332" spans="1:25" x14ac:dyDescent="0.3">
      <c r="A3332">
        <v>166550</v>
      </c>
      <c r="B3332" t="s">
        <v>68283</v>
      </c>
      <c r="C3332" t="s">
        <v>68284</v>
      </c>
      <c r="D3332" t="s">
        <v>68285</v>
      </c>
      <c r="E3332" t="s">
        <v>68286</v>
      </c>
      <c r="F3332" t="s">
        <v>68287</v>
      </c>
      <c r="G3332" t="s">
        <v>68288</v>
      </c>
      <c r="H3332" t="s">
        <v>68289</v>
      </c>
      <c r="I3332" t="s">
        <v>68290</v>
      </c>
      <c r="J3332" t="s">
        <v>68291</v>
      </c>
      <c r="K3332" t="s">
        <v>68292</v>
      </c>
      <c r="L3332" t="s">
        <v>68293</v>
      </c>
      <c r="M3332" t="s">
        <v>68294</v>
      </c>
      <c r="N3332" t="s">
        <v>68295</v>
      </c>
      <c r="O3332">
        <f>-961.091413018244 -18.3685031575378 -499.756770029454</f>
        <v>-1479.2166862052359</v>
      </c>
      <c r="P3332">
        <f>-998.622324059731 -42.0344120875272 -208.857364360843</f>
        <v>-1249.5141005081014</v>
      </c>
      <c r="Q3332">
        <f>-784.981729347406 -58.377055754871 -319.045411545676</f>
        <v>-1162.4041966479531</v>
      </c>
      <c r="R3332" t="s">
        <v>68296</v>
      </c>
      <c r="S3332" t="s">
        <v>68297</v>
      </c>
      <c r="T3332" t="s">
        <v>68298</v>
      </c>
      <c r="U3332" t="s">
        <v>68299</v>
      </c>
      <c r="V3332" t="s">
        <v>68300</v>
      </c>
      <c r="W3332" t="s">
        <v>68301</v>
      </c>
      <c r="X3332" t="s">
        <v>68302</v>
      </c>
      <c r="Y3332" t="s">
        <v>68303</v>
      </c>
    </row>
    <row r="3333" spans="1:25" x14ac:dyDescent="0.3">
      <c r="A3333">
        <v>166600</v>
      </c>
      <c r="B3333" t="s">
        <v>68304</v>
      </c>
      <c r="C3333" t="s">
        <v>68305</v>
      </c>
      <c r="D3333" t="s">
        <v>68306</v>
      </c>
      <c r="E3333" t="s">
        <v>68307</v>
      </c>
      <c r="F3333" t="s">
        <v>68308</v>
      </c>
      <c r="G3333" t="s">
        <v>68309</v>
      </c>
      <c r="H3333" t="s">
        <v>68310</v>
      </c>
      <c r="I3333" t="s">
        <v>68311</v>
      </c>
      <c r="J3333" t="s">
        <v>68312</v>
      </c>
      <c r="K3333" t="s">
        <v>68313</v>
      </c>
      <c r="L3333" t="s">
        <v>68314</v>
      </c>
      <c r="M3333" t="s">
        <v>68315</v>
      </c>
      <c r="N3333" t="s">
        <v>68316</v>
      </c>
      <c r="O3333">
        <f>-960.313504685452 -19.1693347672722 -499.777841936106</f>
        <v>-1479.2606813888301</v>
      </c>
      <c r="P3333">
        <f>-997.494917316587 -43.1068262439262 -208.855428287858</f>
        <v>-1249.4571718483712</v>
      </c>
      <c r="Q3333">
        <f>-783.756233618813 -58.7814253539241 -318.951049081086</f>
        <v>-1161.4887080538231</v>
      </c>
      <c r="R3333" t="s">
        <v>68317</v>
      </c>
      <c r="S3333" t="s">
        <v>68318</v>
      </c>
      <c r="T3333" t="s">
        <v>68319</v>
      </c>
      <c r="U3333" t="s">
        <v>68320</v>
      </c>
      <c r="V3333" t="s">
        <v>68321</v>
      </c>
      <c r="W3333" t="s">
        <v>68322</v>
      </c>
      <c r="X3333" t="s">
        <v>68323</v>
      </c>
      <c r="Y3333" t="s">
        <v>68324</v>
      </c>
    </row>
    <row r="3334" spans="1:25" x14ac:dyDescent="0.3">
      <c r="A3334">
        <v>166650</v>
      </c>
      <c r="B3334" t="s">
        <v>68304</v>
      </c>
      <c r="C3334" t="s">
        <v>68305</v>
      </c>
      <c r="D3334" t="s">
        <v>68306</v>
      </c>
      <c r="E3334" t="s">
        <v>68307</v>
      </c>
      <c r="F3334" t="s">
        <v>68308</v>
      </c>
      <c r="G3334" t="s">
        <v>68309</v>
      </c>
      <c r="H3334" t="s">
        <v>68310</v>
      </c>
      <c r="I3334" t="s">
        <v>68311</v>
      </c>
      <c r="J3334" t="s">
        <v>68312</v>
      </c>
      <c r="K3334" t="s">
        <v>68313</v>
      </c>
      <c r="L3334" t="s">
        <v>68314</v>
      </c>
      <c r="M3334" t="s">
        <v>68315</v>
      </c>
      <c r="N3334" t="s">
        <v>68316</v>
      </c>
      <c r="O3334">
        <f>-960.313504685452 -19.1693347672722 -499.777841936106</f>
        <v>-1479.2606813888301</v>
      </c>
      <c r="P3334">
        <f>-997.494917316587 -43.1068262439262 -208.855428287858</f>
        <v>-1249.4571718483712</v>
      </c>
      <c r="Q3334">
        <f>-783.756233618813 -58.7814253539241 -318.951049081086</f>
        <v>-1161.4887080538231</v>
      </c>
      <c r="R3334" t="s">
        <v>68317</v>
      </c>
      <c r="S3334" t="s">
        <v>68318</v>
      </c>
      <c r="T3334" t="s">
        <v>68319</v>
      </c>
      <c r="U3334" t="s">
        <v>68320</v>
      </c>
      <c r="V3334" t="s">
        <v>68321</v>
      </c>
      <c r="W3334" t="s">
        <v>68322</v>
      </c>
      <c r="X3334" t="s">
        <v>68323</v>
      </c>
      <c r="Y3334" t="s">
        <v>68324</v>
      </c>
    </row>
    <row r="3335" spans="1:25" x14ac:dyDescent="0.3">
      <c r="A3335">
        <v>166700</v>
      </c>
      <c r="B3335" t="s">
        <v>68325</v>
      </c>
      <c r="C3335" t="s">
        <v>68326</v>
      </c>
      <c r="D3335" t="s">
        <v>68327</v>
      </c>
      <c r="E3335" t="s">
        <v>68328</v>
      </c>
      <c r="F3335" t="s">
        <v>68329</v>
      </c>
      <c r="G3335" t="s">
        <v>68330</v>
      </c>
      <c r="H3335" t="s">
        <v>68331</v>
      </c>
      <c r="I3335" t="s">
        <v>68332</v>
      </c>
      <c r="J3335" t="s">
        <v>68333</v>
      </c>
      <c r="K3335" t="s">
        <v>68334</v>
      </c>
      <c r="L3335" t="s">
        <v>68335</v>
      </c>
      <c r="M3335" t="s">
        <v>68336</v>
      </c>
      <c r="N3335" t="s">
        <v>68337</v>
      </c>
      <c r="O3335">
        <f>-959.911161848624 -19.5983277452124 -499.738175996954</f>
        <v>-1479.2476655907903</v>
      </c>
      <c r="P3335">
        <f>-997.026811629058 -43.5722364792246 -208.810573457493</f>
        <v>-1249.4096215657758</v>
      </c>
      <c r="Q3335">
        <f>-783.295902236149 -58.9055671988483 -318.968746507781</f>
        <v>-1161.1702159427782</v>
      </c>
      <c r="R3335" t="s">
        <v>68338</v>
      </c>
      <c r="S3335" t="s">
        <v>68339</v>
      </c>
      <c r="T3335" t="s">
        <v>68340</v>
      </c>
      <c r="U3335" t="s">
        <v>68341</v>
      </c>
      <c r="V3335" t="s">
        <v>68342</v>
      </c>
      <c r="W3335" t="s">
        <v>68343</v>
      </c>
      <c r="X3335" t="s">
        <v>68344</v>
      </c>
      <c r="Y3335" t="s">
        <v>68345</v>
      </c>
    </row>
    <row r="3336" spans="1:25" x14ac:dyDescent="0.3">
      <c r="A3336">
        <v>166750</v>
      </c>
      <c r="B3336" t="s">
        <v>68346</v>
      </c>
      <c r="C3336" t="s">
        <v>68347</v>
      </c>
      <c r="D3336" t="s">
        <v>68348</v>
      </c>
      <c r="E3336" t="s">
        <v>68349</v>
      </c>
      <c r="F3336" t="s">
        <v>68350</v>
      </c>
      <c r="G3336" t="s">
        <v>68351</v>
      </c>
      <c r="H3336" t="s">
        <v>68352</v>
      </c>
      <c r="I3336" t="s">
        <v>68353</v>
      </c>
      <c r="J3336" t="s">
        <v>68354</v>
      </c>
      <c r="K3336" t="s">
        <v>68355</v>
      </c>
      <c r="L3336" t="s">
        <v>68356</v>
      </c>
      <c r="M3336" t="s">
        <v>68357</v>
      </c>
      <c r="N3336" t="s">
        <v>68358</v>
      </c>
      <c r="O3336">
        <f>-959.115412397009 -21.2822626152351 -499.310923125409</f>
        <v>-1479.7085981376531</v>
      </c>
      <c r="P3336">
        <f>-995.452386639419 -44.6444922720693 -208.235225808103</f>
        <v>-1248.3321047195914</v>
      </c>
      <c r="Q3336">
        <f>-782.123954113141 -59.6183747492958 -319.220652660586</f>
        <v>-1160.9629815230228</v>
      </c>
      <c r="R3336" t="s">
        <v>68359</v>
      </c>
      <c r="S3336" t="s">
        <v>68360</v>
      </c>
      <c r="T3336" t="s">
        <v>68361</v>
      </c>
      <c r="U3336" t="s">
        <v>68362</v>
      </c>
      <c r="V3336" t="s">
        <v>68363</v>
      </c>
      <c r="W3336" t="s">
        <v>68364</v>
      </c>
      <c r="X3336" t="s">
        <v>68365</v>
      </c>
      <c r="Y3336" t="s">
        <v>68366</v>
      </c>
    </row>
    <row r="3337" spans="1:25" x14ac:dyDescent="0.3">
      <c r="A3337">
        <v>166800</v>
      </c>
      <c r="B3337" t="s">
        <v>68367</v>
      </c>
      <c r="C3337" t="s">
        <v>68368</v>
      </c>
      <c r="D3337" t="s">
        <v>68369</v>
      </c>
      <c r="E3337" t="s">
        <v>68370</v>
      </c>
      <c r="F3337" t="s">
        <v>68371</v>
      </c>
      <c r="G3337" t="s">
        <v>68372</v>
      </c>
      <c r="H3337" t="s">
        <v>68373</v>
      </c>
      <c r="I3337" t="s">
        <v>68374</v>
      </c>
      <c r="J3337" t="s">
        <v>68375</v>
      </c>
      <c r="K3337" t="s">
        <v>68376</v>
      </c>
      <c r="L3337" t="s">
        <v>68377</v>
      </c>
      <c r="M3337" t="s">
        <v>68378</v>
      </c>
      <c r="N3337" t="s">
        <v>68379</v>
      </c>
      <c r="O3337">
        <f>-958.924263433091 -21.9625157320584 -499.031708591379</f>
        <v>-1479.9184877565285</v>
      </c>
      <c r="P3337">
        <f>-994.387399105872 -44.7884301513679 -207.80585867721</f>
        <v>-1246.9816879344498</v>
      </c>
      <c r="Q3337">
        <f>-781.565989366377 -59.9481060923767 -319.734997512139</f>
        <v>-1161.2490929708929</v>
      </c>
      <c r="R3337" t="s">
        <v>68380</v>
      </c>
      <c r="S3337" t="s">
        <v>68381</v>
      </c>
      <c r="T3337" t="s">
        <v>68382</v>
      </c>
      <c r="U3337" t="s">
        <v>68383</v>
      </c>
      <c r="V3337" t="s">
        <v>68384</v>
      </c>
      <c r="W3337" t="s">
        <v>68385</v>
      </c>
      <c r="X3337" t="s">
        <v>68386</v>
      </c>
      <c r="Y3337" t="s">
        <v>68387</v>
      </c>
    </row>
    <row r="3338" spans="1:25" x14ac:dyDescent="0.3">
      <c r="A3338">
        <v>166850</v>
      </c>
      <c r="B3338" t="s">
        <v>68388</v>
      </c>
      <c r="C3338" t="s">
        <v>68389</v>
      </c>
      <c r="D3338" t="s">
        <v>68390</v>
      </c>
      <c r="E3338" t="s">
        <v>68391</v>
      </c>
      <c r="F3338" t="s">
        <v>68392</v>
      </c>
      <c r="G3338" t="s">
        <v>68393</v>
      </c>
      <c r="H3338" t="s">
        <v>68394</v>
      </c>
      <c r="I3338" t="s">
        <v>68395</v>
      </c>
      <c r="J3338" t="s">
        <v>68396</v>
      </c>
      <c r="K3338" t="s">
        <v>68397</v>
      </c>
      <c r="L3338" t="s">
        <v>68398</v>
      </c>
      <c r="M3338" t="s">
        <v>68399</v>
      </c>
      <c r="N3338" t="s">
        <v>68400</v>
      </c>
      <c r="O3338">
        <f>-958.835413347971 -22.1291933413027 -498.951326512289</f>
        <v>-1479.9159332015627</v>
      </c>
      <c r="P3338">
        <f>-993.915291547917 -44.8948494385299 -207.674239595018</f>
        <v>-1246.4843805814648</v>
      </c>
      <c r="Q3338">
        <f>-781.266479577232 -59.9663061177064 -319.94270793845</f>
        <v>-1161.1754936333882</v>
      </c>
      <c r="R3338" t="s">
        <v>68401</v>
      </c>
      <c r="S3338" t="s">
        <v>68402</v>
      </c>
      <c r="T3338" t="s">
        <v>68403</v>
      </c>
      <c r="U3338" t="s">
        <v>68404</v>
      </c>
      <c r="V3338" t="s">
        <v>68405</v>
      </c>
      <c r="W3338" t="s">
        <v>68406</v>
      </c>
      <c r="X3338" t="s">
        <v>68407</v>
      </c>
      <c r="Y3338" t="s">
        <v>68408</v>
      </c>
    </row>
    <row r="3339" spans="1:25" x14ac:dyDescent="0.3">
      <c r="A3339">
        <v>166900</v>
      </c>
      <c r="B3339" t="s">
        <v>68409</v>
      </c>
      <c r="C3339" t="s">
        <v>68410</v>
      </c>
      <c r="D3339" t="s">
        <v>68411</v>
      </c>
      <c r="E3339" t="s">
        <v>68412</v>
      </c>
      <c r="F3339" t="s">
        <v>68413</v>
      </c>
      <c r="G3339" t="s">
        <v>68414</v>
      </c>
      <c r="H3339" t="s">
        <v>68415</v>
      </c>
      <c r="I3339" t="s">
        <v>68416</v>
      </c>
      <c r="J3339" t="s">
        <v>68417</v>
      </c>
      <c r="K3339" t="s">
        <v>68418</v>
      </c>
      <c r="L3339" t="s">
        <v>68419</v>
      </c>
      <c r="M3339" t="s">
        <v>68420</v>
      </c>
      <c r="N3339" t="s">
        <v>68421</v>
      </c>
      <c r="O3339">
        <f>-958.513603763873 -22.2015855694158 -498.910954169564</f>
        <v>-1479.6261435028528</v>
      </c>
      <c r="P3339">
        <f>-993.131620321065 -44.815645715342 -207.56671364827</f>
        <v>-1245.513979684677</v>
      </c>
      <c r="Q3339">
        <f>-780.58739922637 -59.6730043937098 -320.061933807453</f>
        <v>-1160.3223374275328</v>
      </c>
      <c r="R3339" t="s">
        <v>68422</v>
      </c>
      <c r="S3339" t="s">
        <v>68423</v>
      </c>
      <c r="T3339" t="s">
        <v>68424</v>
      </c>
      <c r="U3339" t="s">
        <v>68425</v>
      </c>
      <c r="V3339" t="s">
        <v>68426</v>
      </c>
      <c r="W3339" t="s">
        <v>68427</v>
      </c>
      <c r="X3339" t="s">
        <v>68428</v>
      </c>
      <c r="Y3339" t="s">
        <v>68429</v>
      </c>
    </row>
    <row r="3340" spans="1:25" x14ac:dyDescent="0.3">
      <c r="A3340">
        <v>166950</v>
      </c>
      <c r="B3340" t="s">
        <v>68430</v>
      </c>
      <c r="C3340" t="s">
        <v>68431</v>
      </c>
      <c r="D3340" t="s">
        <v>68432</v>
      </c>
      <c r="E3340" t="s">
        <v>68433</v>
      </c>
      <c r="F3340" t="s">
        <v>68434</v>
      </c>
      <c r="G3340" t="s">
        <v>68435</v>
      </c>
      <c r="H3340" t="s">
        <v>68436</v>
      </c>
      <c r="I3340" t="s">
        <v>68437</v>
      </c>
      <c r="J3340" t="s">
        <v>68438</v>
      </c>
      <c r="K3340" t="s">
        <v>68439</v>
      </c>
      <c r="L3340" t="s">
        <v>68440</v>
      </c>
      <c r="M3340" t="s">
        <v>68441</v>
      </c>
      <c r="N3340" t="s">
        <v>68442</v>
      </c>
      <c r="O3340">
        <f>-958.389298896619 -22.3222460165948 -498.938254507735</f>
        <v>-1479.649799420949</v>
      </c>
      <c r="P3340">
        <f>-992.812656315612 -44.7107086772216 -207.553663111281</f>
        <v>-1245.0770281041146</v>
      </c>
      <c r="Q3340">
        <f>-780.165285683849 -59.5674040307952 -319.853104112638</f>
        <v>-1159.585793827282</v>
      </c>
      <c r="R3340" t="s">
        <v>68443</v>
      </c>
      <c r="S3340" t="s">
        <v>68444</v>
      </c>
      <c r="T3340" t="s">
        <v>68445</v>
      </c>
      <c r="U3340" t="s">
        <v>68446</v>
      </c>
      <c r="V3340" t="s">
        <v>68447</v>
      </c>
      <c r="W3340" t="s">
        <v>68448</v>
      </c>
      <c r="X3340" t="s">
        <v>68449</v>
      </c>
      <c r="Y3340" t="s">
        <v>68450</v>
      </c>
    </row>
    <row r="3341" spans="1:25" x14ac:dyDescent="0.3">
      <c r="A3341">
        <v>167000</v>
      </c>
      <c r="B3341" t="s">
        <v>68451</v>
      </c>
      <c r="C3341" t="s">
        <v>68452</v>
      </c>
      <c r="D3341" t="s">
        <v>68453</v>
      </c>
      <c r="E3341" t="s">
        <v>68454</v>
      </c>
      <c r="F3341" t="s">
        <v>68455</v>
      </c>
      <c r="G3341" t="s">
        <v>68456</v>
      </c>
      <c r="H3341" t="s">
        <v>68457</v>
      </c>
      <c r="I3341" t="s">
        <v>68458</v>
      </c>
      <c r="J3341" t="s">
        <v>68459</v>
      </c>
      <c r="K3341" t="s">
        <v>68460</v>
      </c>
      <c r="L3341" t="s">
        <v>68461</v>
      </c>
      <c r="M3341" t="s">
        <v>68462</v>
      </c>
      <c r="N3341" t="s">
        <v>68463</v>
      </c>
      <c r="O3341">
        <f>-958.181226974148 -22.9129969098612 -498.813198706265</f>
        <v>-1479.9074225902741</v>
      </c>
      <c r="P3341">
        <f>-992.402864631942 -45.0862571250668 -207.38837156563</f>
        <v>-1244.8774933226387</v>
      </c>
      <c r="Q3341">
        <f>-779.427052954278 -59.6204048648722 -319.106764993924</f>
        <v>-1158.1542228130743</v>
      </c>
      <c r="R3341" t="s">
        <v>68464</v>
      </c>
      <c r="S3341" t="s">
        <v>68465</v>
      </c>
      <c r="T3341" t="s">
        <v>68466</v>
      </c>
      <c r="U3341" t="s">
        <v>68467</v>
      </c>
      <c r="V3341" t="s">
        <v>68468</v>
      </c>
      <c r="W3341" t="s">
        <v>68469</v>
      </c>
      <c r="X3341" t="s">
        <v>68470</v>
      </c>
      <c r="Y3341" t="s">
        <v>68471</v>
      </c>
    </row>
    <row r="3342" spans="1:25" x14ac:dyDescent="0.3">
      <c r="A3342">
        <v>167050</v>
      </c>
      <c r="B3342" t="s">
        <v>68472</v>
      </c>
      <c r="C3342" t="s">
        <v>68473</v>
      </c>
      <c r="D3342" t="s">
        <v>68474</v>
      </c>
      <c r="E3342" t="s">
        <v>68475</v>
      </c>
      <c r="F3342" t="s">
        <v>68476</v>
      </c>
      <c r="G3342" t="s">
        <v>68477</v>
      </c>
      <c r="H3342" t="s">
        <v>68478</v>
      </c>
      <c r="I3342" t="s">
        <v>68479</v>
      </c>
      <c r="J3342" t="s">
        <v>68480</v>
      </c>
      <c r="K3342" t="s">
        <v>68481</v>
      </c>
      <c r="L3342" t="s">
        <v>68482</v>
      </c>
      <c r="M3342" t="s">
        <v>68483</v>
      </c>
      <c r="N3342" t="s">
        <v>68484</v>
      </c>
      <c r="O3342">
        <f>-958.034696799187 -23.3774609768557 -498.650343996117</f>
        <v>-1480.0625017721597</v>
      </c>
      <c r="P3342">
        <f>-992.414962760158 -45.1848250017888 -207.21656602513</f>
        <v>-1244.8163537870769</v>
      </c>
      <c r="Q3342">
        <f>-779.324211252532 -59.5720859457322 -318.734364871434</f>
        <v>-1157.6306620696982</v>
      </c>
      <c r="R3342" t="s">
        <v>68485</v>
      </c>
      <c r="S3342" t="s">
        <v>68486</v>
      </c>
      <c r="T3342" t="s">
        <v>68487</v>
      </c>
      <c r="U3342" t="s">
        <v>68488</v>
      </c>
      <c r="V3342" t="s">
        <v>68489</v>
      </c>
      <c r="W3342" t="s">
        <v>68490</v>
      </c>
      <c r="X3342" t="s">
        <v>68491</v>
      </c>
      <c r="Y3342" t="s">
        <v>68492</v>
      </c>
    </row>
    <row r="3343" spans="1:25" x14ac:dyDescent="0.3">
      <c r="A3343">
        <v>167100</v>
      </c>
      <c r="B3343" t="s">
        <v>68493</v>
      </c>
      <c r="C3343" t="s">
        <v>68494</v>
      </c>
      <c r="D3343" t="s">
        <v>68495</v>
      </c>
      <c r="E3343" t="s">
        <v>68496</v>
      </c>
      <c r="F3343" t="s">
        <v>68497</v>
      </c>
      <c r="G3343" t="s">
        <v>68498</v>
      </c>
      <c r="H3343" t="s">
        <v>68499</v>
      </c>
      <c r="I3343" t="s">
        <v>68500</v>
      </c>
      <c r="J3343" t="s">
        <v>68501</v>
      </c>
      <c r="K3343" t="s">
        <v>68502</v>
      </c>
      <c r="L3343" t="s">
        <v>68503</v>
      </c>
      <c r="M3343" t="s">
        <v>68504</v>
      </c>
      <c r="N3343" t="s">
        <v>68505</v>
      </c>
      <c r="O3343">
        <f>-957.912189421004 -24.4748053328567 -498.297213896761</f>
        <v>-1480.6842086506217</v>
      </c>
      <c r="P3343">
        <f>-992.409660581122 -45.1269185827953 -206.793096667821</f>
        <v>-1244.3296758317383</v>
      </c>
      <c r="Q3343">
        <f>-779.207043512946 -59.2947610294138 -318.125281914579</f>
        <v>-1156.6270864569387</v>
      </c>
      <c r="R3343" t="s">
        <v>68506</v>
      </c>
      <c r="S3343" t="s">
        <v>68507</v>
      </c>
      <c r="T3343" t="s">
        <v>68508</v>
      </c>
      <c r="U3343" t="s">
        <v>68509</v>
      </c>
      <c r="V3343" t="s">
        <v>68510</v>
      </c>
      <c r="W3343" t="s">
        <v>68511</v>
      </c>
      <c r="X3343" t="s">
        <v>68512</v>
      </c>
      <c r="Y3343" t="s">
        <v>68513</v>
      </c>
    </row>
    <row r="3344" spans="1:25" x14ac:dyDescent="0.3">
      <c r="A3344">
        <v>167150</v>
      </c>
      <c r="B3344" t="s">
        <v>68514</v>
      </c>
      <c r="C3344" t="s">
        <v>68515</v>
      </c>
      <c r="D3344" t="s">
        <v>68516</v>
      </c>
      <c r="E3344" t="s">
        <v>68517</v>
      </c>
      <c r="F3344" t="s">
        <v>68518</v>
      </c>
      <c r="G3344" t="s">
        <v>68519</v>
      </c>
      <c r="H3344" t="s">
        <v>68520</v>
      </c>
      <c r="I3344" t="s">
        <v>68521</v>
      </c>
      <c r="J3344" t="s">
        <v>68522</v>
      </c>
      <c r="K3344" t="s">
        <v>68523</v>
      </c>
      <c r="L3344" t="s">
        <v>68524</v>
      </c>
      <c r="M3344" t="s">
        <v>68525</v>
      </c>
      <c r="N3344" t="s">
        <v>68526</v>
      </c>
      <c r="O3344">
        <f>-957.734667039025 -24.7766144386255 -498.216020483873</f>
        <v>-1480.7273019615236</v>
      </c>
      <c r="P3344">
        <f>-992.293993159011 -45.3540824830054 -206.714129947765</f>
        <v>-1244.3622055897815</v>
      </c>
      <c r="Q3344">
        <f>-778.98949717049 -59.139241502945 -317.898426837174</f>
        <v>-1156.0271655106089</v>
      </c>
      <c r="R3344" t="s">
        <v>68527</v>
      </c>
      <c r="S3344" t="s">
        <v>68528</v>
      </c>
      <c r="T3344" t="s">
        <v>68529</v>
      </c>
      <c r="U3344" t="s">
        <v>68530</v>
      </c>
      <c r="V3344" t="s">
        <v>68531</v>
      </c>
      <c r="W3344" t="s">
        <v>68532</v>
      </c>
      <c r="X3344" t="s">
        <v>68533</v>
      </c>
      <c r="Y3344" t="s">
        <v>68534</v>
      </c>
    </row>
    <row r="3345" spans="1:25" x14ac:dyDescent="0.3">
      <c r="A3345">
        <v>167200</v>
      </c>
      <c r="B3345" t="s">
        <v>68535</v>
      </c>
      <c r="C3345" t="s">
        <v>68536</v>
      </c>
      <c r="D3345" t="s">
        <v>68537</v>
      </c>
      <c r="E3345" t="s">
        <v>68538</v>
      </c>
      <c r="F3345" t="s">
        <v>68539</v>
      </c>
      <c r="G3345" t="s">
        <v>68540</v>
      </c>
      <c r="H3345" t="s">
        <v>68541</v>
      </c>
      <c r="I3345" t="s">
        <v>68542</v>
      </c>
      <c r="J3345" t="s">
        <v>68543</v>
      </c>
      <c r="K3345" t="s">
        <v>68544</v>
      </c>
      <c r="L3345" t="s">
        <v>68545</v>
      </c>
      <c r="M3345" t="s">
        <v>68546</v>
      </c>
      <c r="N3345" t="s">
        <v>68547</v>
      </c>
      <c r="O3345">
        <f>-957.247836787841 -24.5161369873217 -498.371712562563</f>
        <v>-1480.1356863377257</v>
      </c>
      <c r="P3345">
        <f>-991.898530122431 -45.6151707493618 -206.917797606959</f>
        <v>-1244.4314984787518</v>
      </c>
      <c r="Q3345">
        <f>-778.32780891644 -58.8881734231522 -317.652891562557</f>
        <v>-1154.8688739021491</v>
      </c>
      <c r="R3345" t="s">
        <v>68548</v>
      </c>
      <c r="S3345" t="s">
        <v>68549</v>
      </c>
      <c r="T3345" t="s">
        <v>68550</v>
      </c>
      <c r="U3345" t="s">
        <v>68551</v>
      </c>
      <c r="V3345" t="s">
        <v>68552</v>
      </c>
      <c r="W3345" t="s">
        <v>68553</v>
      </c>
      <c r="X3345" t="s">
        <v>68554</v>
      </c>
      <c r="Y3345" t="s">
        <v>68555</v>
      </c>
    </row>
    <row r="3346" spans="1:25" x14ac:dyDescent="0.3">
      <c r="A3346">
        <v>167250</v>
      </c>
      <c r="B3346" t="s">
        <v>68556</v>
      </c>
      <c r="C3346" t="s">
        <v>68557</v>
      </c>
      <c r="D3346" t="s">
        <v>68558</v>
      </c>
      <c r="E3346" t="s">
        <v>68559</v>
      </c>
      <c r="F3346" t="s">
        <v>68560</v>
      </c>
      <c r="G3346" t="s">
        <v>68561</v>
      </c>
      <c r="H3346" t="s">
        <v>68562</v>
      </c>
      <c r="I3346" t="s">
        <v>68563</v>
      </c>
      <c r="J3346" t="s">
        <v>68564</v>
      </c>
      <c r="K3346" t="s">
        <v>68565</v>
      </c>
      <c r="L3346" t="s">
        <v>68566</v>
      </c>
      <c r="M3346" t="s">
        <v>68567</v>
      </c>
      <c r="N3346" t="s">
        <v>68568</v>
      </c>
      <c r="O3346">
        <f>-957.080978839919 -24.265852214457 -498.499602915377</f>
        <v>-1479.846433969753</v>
      </c>
      <c r="P3346">
        <f>-991.687714682658 -45.83290509568 -207.074652173632</f>
        <v>-1244.5952719519701</v>
      </c>
      <c r="Q3346">
        <f>-777.996208328359 -58.9952654387664 -317.590021634857</f>
        <v>-1154.5814954019825</v>
      </c>
      <c r="R3346" t="s">
        <v>68569</v>
      </c>
      <c r="S3346" t="s">
        <v>68570</v>
      </c>
      <c r="T3346" t="s">
        <v>68571</v>
      </c>
      <c r="U3346" t="s">
        <v>68572</v>
      </c>
      <c r="V3346" t="s">
        <v>68573</v>
      </c>
      <c r="W3346" t="s">
        <v>68574</v>
      </c>
      <c r="X3346" t="s">
        <v>68575</v>
      </c>
      <c r="Y3346" t="s">
        <v>68576</v>
      </c>
    </row>
    <row r="3347" spans="1:25" x14ac:dyDescent="0.3">
      <c r="A3347">
        <v>167300</v>
      </c>
      <c r="B3347" t="s">
        <v>68577</v>
      </c>
      <c r="C3347" t="s">
        <v>68578</v>
      </c>
      <c r="D3347" t="s">
        <v>68579</v>
      </c>
      <c r="E3347" t="s">
        <v>68580</v>
      </c>
      <c r="F3347" t="s">
        <v>68581</v>
      </c>
      <c r="G3347" t="s">
        <v>68582</v>
      </c>
      <c r="H3347" t="s">
        <v>68583</v>
      </c>
      <c r="I3347" t="s">
        <v>68584</v>
      </c>
      <c r="J3347" t="s">
        <v>68585</v>
      </c>
      <c r="K3347" t="s">
        <v>68586</v>
      </c>
      <c r="L3347" t="s">
        <v>68587</v>
      </c>
      <c r="M3347" t="s">
        <v>68588</v>
      </c>
      <c r="N3347" t="s">
        <v>68589</v>
      </c>
      <c r="O3347">
        <f>-956.785743765828 -23.2484925585345 -498.828356476755</f>
        <v>-1478.8625928011174</v>
      </c>
      <c r="P3347">
        <f>-991.443200880402 -45.5888486626959 -207.467793458533</f>
        <v>-1244.4998430016308</v>
      </c>
      <c r="Q3347">
        <f>-777.737812615895 -58.4517924548747 -317.991201768397</f>
        <v>-1154.1808068391667</v>
      </c>
      <c r="R3347" t="s">
        <v>68590</v>
      </c>
      <c r="S3347" t="s">
        <v>68591</v>
      </c>
      <c r="T3347" t="s">
        <v>68592</v>
      </c>
      <c r="U3347" t="s">
        <v>68593</v>
      </c>
      <c r="V3347" t="s">
        <v>68594</v>
      </c>
      <c r="W3347" t="s">
        <v>68595</v>
      </c>
      <c r="X3347" t="s">
        <v>68596</v>
      </c>
      <c r="Y3347" t="s">
        <v>68597</v>
      </c>
    </row>
    <row r="3348" spans="1:25" x14ac:dyDescent="0.3">
      <c r="A3348">
        <v>167350</v>
      </c>
      <c r="B3348" t="s">
        <v>68598</v>
      </c>
      <c r="C3348" t="s">
        <v>68599</v>
      </c>
      <c r="D3348" t="s">
        <v>68600</v>
      </c>
      <c r="E3348" t="s">
        <v>68601</v>
      </c>
      <c r="F3348" t="s">
        <v>68602</v>
      </c>
      <c r="G3348" t="s">
        <v>68603</v>
      </c>
      <c r="H3348" t="s">
        <v>68604</v>
      </c>
      <c r="I3348" t="s">
        <v>68605</v>
      </c>
      <c r="J3348" t="s">
        <v>68606</v>
      </c>
      <c r="K3348" t="s">
        <v>68607</v>
      </c>
      <c r="L3348" t="s">
        <v>68608</v>
      </c>
      <c r="M3348" t="s">
        <v>68609</v>
      </c>
      <c r="N3348" t="s">
        <v>68610</v>
      </c>
      <c r="O3348">
        <f>-956.803607101129 -22.6027800682214 -498.926823103155</f>
        <v>-1478.3332102725053</v>
      </c>
      <c r="P3348">
        <f>-991.326421099085 -45.211198696295 -207.57101863443</f>
        <v>-1244.1086384298098</v>
      </c>
      <c r="Q3348">
        <f>-777.72158722271 -58.1151131721529 -318.28308155247</f>
        <v>-1154.1197819473327</v>
      </c>
      <c r="R3348" t="s">
        <v>68611</v>
      </c>
      <c r="S3348" t="s">
        <v>68612</v>
      </c>
      <c r="T3348" t="s">
        <v>68613</v>
      </c>
      <c r="U3348" t="s">
        <v>68614</v>
      </c>
      <c r="V3348" t="s">
        <v>68615</v>
      </c>
      <c r="W3348" t="s">
        <v>68616</v>
      </c>
      <c r="X3348" t="s">
        <v>68617</v>
      </c>
      <c r="Y3348" t="s">
        <v>68618</v>
      </c>
    </row>
    <row r="3349" spans="1:25" x14ac:dyDescent="0.3">
      <c r="A3349">
        <v>167400</v>
      </c>
      <c r="B3349" t="s">
        <v>68619</v>
      </c>
      <c r="C3349" t="s">
        <v>68620</v>
      </c>
      <c r="D3349" t="s">
        <v>68621</v>
      </c>
      <c r="E3349" t="s">
        <v>68622</v>
      </c>
      <c r="F3349" t="s">
        <v>68623</v>
      </c>
      <c r="G3349" t="s">
        <v>68624</v>
      </c>
      <c r="H3349" t="s">
        <v>68625</v>
      </c>
      <c r="I3349" t="s">
        <v>68626</v>
      </c>
      <c r="J3349" t="s">
        <v>68627</v>
      </c>
      <c r="K3349" t="s">
        <v>68628</v>
      </c>
      <c r="L3349" t="s">
        <v>68629</v>
      </c>
      <c r="M3349" t="s">
        <v>68630</v>
      </c>
      <c r="N3349" t="s">
        <v>68631</v>
      </c>
      <c r="O3349">
        <f>-957.159493097825 -21.3384580686757 -499.012085545729</f>
        <v>-1477.5100367122297</v>
      </c>
      <c r="P3349">
        <f>-990.909981742105 -44.7888501928442 -207.63229050035</f>
        <v>-1243.3311224352992</v>
      </c>
      <c r="Q3349">
        <f>-777.343441199049 -56.9185695855108 -318.506333292816</f>
        <v>-1152.7683440773758</v>
      </c>
      <c r="R3349" t="s">
        <v>68632</v>
      </c>
      <c r="S3349" t="s">
        <v>68633</v>
      </c>
      <c r="T3349" t="s">
        <v>68634</v>
      </c>
      <c r="U3349" t="s">
        <v>68635</v>
      </c>
      <c r="V3349" t="s">
        <v>68636</v>
      </c>
      <c r="W3349" t="s">
        <v>68637</v>
      </c>
      <c r="X3349" t="s">
        <v>68638</v>
      </c>
      <c r="Y3349" t="s">
        <v>68639</v>
      </c>
    </row>
    <row r="3350" spans="1:25" x14ac:dyDescent="0.3">
      <c r="A3350">
        <v>167450</v>
      </c>
      <c r="B3350" t="s">
        <v>68640</v>
      </c>
      <c r="C3350" t="s">
        <v>68641</v>
      </c>
      <c r="D3350" t="s">
        <v>68642</v>
      </c>
      <c r="E3350" t="s">
        <v>68643</v>
      </c>
      <c r="F3350" t="s">
        <v>68644</v>
      </c>
      <c r="G3350" t="s">
        <v>68645</v>
      </c>
      <c r="H3350" t="s">
        <v>68646</v>
      </c>
      <c r="I3350" t="s">
        <v>68647</v>
      </c>
      <c r="J3350" t="s">
        <v>68648</v>
      </c>
      <c r="K3350" t="s">
        <v>68649</v>
      </c>
      <c r="L3350" t="s">
        <v>68650</v>
      </c>
      <c r="M3350" t="s">
        <v>68651</v>
      </c>
      <c r="N3350" t="s">
        <v>68652</v>
      </c>
      <c r="O3350">
        <f>-957.342393635273 -20.9609614982455 -499.007579201756</f>
        <v>-1477.3109343352744</v>
      </c>
      <c r="P3350">
        <f>-990.586154889101 -44.8394517991583 -207.604249994365</f>
        <v>-1243.0298566826243</v>
      </c>
      <c r="Q3350">
        <f>-777.096201482065 -56.5214731557594 -318.673360930488</f>
        <v>-1152.2910355683125</v>
      </c>
      <c r="R3350" t="s">
        <v>68653</v>
      </c>
      <c r="S3350" t="s">
        <v>68654</v>
      </c>
      <c r="T3350" t="s">
        <v>68655</v>
      </c>
      <c r="U3350" t="s">
        <v>68656</v>
      </c>
      <c r="V3350" t="s">
        <v>68657</v>
      </c>
      <c r="W3350" t="s">
        <v>68658</v>
      </c>
      <c r="X3350" t="s">
        <v>68659</v>
      </c>
      <c r="Y3350" t="s">
        <v>68660</v>
      </c>
    </row>
    <row r="3351" spans="1:25" x14ac:dyDescent="0.3">
      <c r="A3351">
        <v>167500</v>
      </c>
      <c r="B3351" t="s">
        <v>68661</v>
      </c>
      <c r="C3351" t="s">
        <v>68662</v>
      </c>
      <c r="D3351" t="s">
        <v>68663</v>
      </c>
      <c r="E3351" t="s">
        <v>68664</v>
      </c>
      <c r="F3351" t="s">
        <v>68665</v>
      </c>
      <c r="G3351" t="s">
        <v>68666</v>
      </c>
      <c r="H3351" t="s">
        <v>68667</v>
      </c>
      <c r="I3351" t="s">
        <v>68668</v>
      </c>
      <c r="J3351" t="s">
        <v>68669</v>
      </c>
      <c r="K3351" t="s">
        <v>68670</v>
      </c>
      <c r="L3351" t="s">
        <v>68671</v>
      </c>
      <c r="M3351" t="s">
        <v>68672</v>
      </c>
      <c r="N3351" t="s">
        <v>68673</v>
      </c>
      <c r="O3351">
        <f>-957.487805860812 -20.4169504684023 -499.002460900463</f>
        <v>-1476.9072172296774</v>
      </c>
      <c r="P3351">
        <f>-989.127188108027 -45.2947089479987 -207.504218650016</f>
        <v>-1241.9261157060419</v>
      </c>
      <c r="Q3351">
        <f>-775.822236826469 -55.2899288773799 -319.09261417089</f>
        <v>-1150.204779874739</v>
      </c>
      <c r="R3351" t="s">
        <v>68674</v>
      </c>
      <c r="S3351" t="s">
        <v>68675</v>
      </c>
      <c r="T3351" t="s">
        <v>68676</v>
      </c>
      <c r="U3351" t="s">
        <v>68677</v>
      </c>
      <c r="V3351" t="s">
        <v>68678</v>
      </c>
      <c r="W3351" t="s">
        <v>68679</v>
      </c>
      <c r="X3351" t="s">
        <v>68680</v>
      </c>
      <c r="Y3351" t="s">
        <v>68681</v>
      </c>
    </row>
    <row r="3352" spans="1:25" x14ac:dyDescent="0.3">
      <c r="A3352">
        <v>167550</v>
      </c>
      <c r="B3352" t="s">
        <v>68682</v>
      </c>
      <c r="C3352" t="s">
        <v>68683</v>
      </c>
      <c r="D3352" t="s">
        <v>68684</v>
      </c>
      <c r="E3352" t="s">
        <v>68685</v>
      </c>
      <c r="F3352" t="s">
        <v>68686</v>
      </c>
      <c r="G3352" t="s">
        <v>68687</v>
      </c>
      <c r="H3352" t="s">
        <v>68688</v>
      </c>
      <c r="I3352" t="s">
        <v>68689</v>
      </c>
      <c r="J3352" t="s">
        <v>68690</v>
      </c>
      <c r="K3352" t="s">
        <v>68691</v>
      </c>
      <c r="L3352" t="s">
        <v>68692</v>
      </c>
      <c r="M3352" t="s">
        <v>68693</v>
      </c>
      <c r="N3352" t="s">
        <v>68694</v>
      </c>
      <c r="O3352">
        <f>-957.559957083411 -19.9249858358953 -499.015615133886</f>
        <v>-1476.5005580531922</v>
      </c>
      <c r="P3352">
        <f>-988.471073897774 -45.2425667045288 -207.476979544875</f>
        <v>-1241.1906201471779</v>
      </c>
      <c r="Q3352">
        <f>-775.240489772138 -54.6299257484882 -319.260520912114</f>
        <v>-1149.1309364327401</v>
      </c>
      <c r="R3352" t="s">
        <v>68695</v>
      </c>
      <c r="S3352" t="s">
        <v>68696</v>
      </c>
      <c r="T3352" t="s">
        <v>68697</v>
      </c>
      <c r="U3352" t="s">
        <v>68698</v>
      </c>
      <c r="V3352" t="s">
        <v>68699</v>
      </c>
      <c r="W3352" t="s">
        <v>68700</v>
      </c>
      <c r="X3352" t="s">
        <v>68701</v>
      </c>
      <c r="Y3352" t="s">
        <v>68702</v>
      </c>
    </row>
    <row r="3353" spans="1:25" x14ac:dyDescent="0.3">
      <c r="A3353">
        <v>167600</v>
      </c>
      <c r="B3353" t="s">
        <v>68703</v>
      </c>
      <c r="C3353" t="s">
        <v>68704</v>
      </c>
      <c r="D3353" t="s">
        <v>68705</v>
      </c>
      <c r="E3353" t="s">
        <v>68706</v>
      </c>
      <c r="F3353" t="s">
        <v>68707</v>
      </c>
      <c r="G3353" t="s">
        <v>68708</v>
      </c>
      <c r="H3353" t="s">
        <v>68709</v>
      </c>
      <c r="I3353" t="s">
        <v>68710</v>
      </c>
      <c r="J3353" t="s">
        <v>68711</v>
      </c>
      <c r="K3353" t="s">
        <v>68712</v>
      </c>
      <c r="L3353" t="s">
        <v>68713</v>
      </c>
      <c r="M3353" t="s">
        <v>68714</v>
      </c>
      <c r="N3353" t="s">
        <v>68715</v>
      </c>
      <c r="O3353">
        <f>-957.855745521938 -19.1160531340583 -499.147819448245</f>
        <v>-1476.1196181042415</v>
      </c>
      <c r="P3353">
        <f>-987.162331748051 -45.8991855363811 -207.57461344861</f>
        <v>-1240.6361307330421</v>
      </c>
      <c r="Q3353">
        <f>-774.20542907871 -52.9964683306303 -320.04570423905</f>
        <v>-1147.2476016483902</v>
      </c>
      <c r="R3353" t="s">
        <v>68716</v>
      </c>
      <c r="S3353" t="s">
        <v>68717</v>
      </c>
      <c r="T3353" t="s">
        <v>68718</v>
      </c>
      <c r="U3353" t="s">
        <v>68719</v>
      </c>
      <c r="V3353" t="s">
        <v>68720</v>
      </c>
      <c r="W3353" t="s">
        <v>68721</v>
      </c>
      <c r="X3353" t="s">
        <v>68722</v>
      </c>
      <c r="Y3353" t="s">
        <v>68723</v>
      </c>
    </row>
    <row r="3354" spans="1:25" x14ac:dyDescent="0.3">
      <c r="A3354">
        <v>167650</v>
      </c>
      <c r="B3354" t="s">
        <v>68724</v>
      </c>
      <c r="C3354" t="s">
        <v>68725</v>
      </c>
      <c r="D3354" t="s">
        <v>68726</v>
      </c>
      <c r="E3354" t="s">
        <v>68727</v>
      </c>
      <c r="F3354" t="s">
        <v>68728</v>
      </c>
      <c r="G3354" t="s">
        <v>68729</v>
      </c>
      <c r="H3354" t="s">
        <v>68730</v>
      </c>
      <c r="I3354" t="s">
        <v>68731</v>
      </c>
      <c r="J3354" t="s">
        <v>68732</v>
      </c>
      <c r="K3354" t="s">
        <v>68733</v>
      </c>
      <c r="L3354" t="s">
        <v>68734</v>
      </c>
      <c r="M3354" t="s">
        <v>68735</v>
      </c>
      <c r="N3354" t="s">
        <v>68736</v>
      </c>
      <c r="O3354">
        <f>-958.011252136437 -18.8695888828374 -499.212669687186</f>
        <v>-1476.0935107064604</v>
      </c>
      <c r="P3354">
        <f>-986.600924027651 -46.0087705513499 -207.60108534357</f>
        <v>-1240.210779922571</v>
      </c>
      <c r="Q3354">
        <f>-773.938772326418 -52.7543570973241 -320.650334266008</f>
        <v>-1147.34346368975</v>
      </c>
      <c r="R3354" t="s">
        <v>68737</v>
      </c>
      <c r="S3354" t="s">
        <v>68738</v>
      </c>
      <c r="T3354" t="s">
        <v>68739</v>
      </c>
      <c r="U3354" t="s">
        <v>68740</v>
      </c>
      <c r="V3354" t="s">
        <v>68741</v>
      </c>
      <c r="W3354" t="s">
        <v>68742</v>
      </c>
      <c r="X3354" t="s">
        <v>68743</v>
      </c>
      <c r="Y3354" t="s">
        <v>68744</v>
      </c>
    </row>
    <row r="3355" spans="1:25" x14ac:dyDescent="0.3">
      <c r="A3355">
        <v>167700</v>
      </c>
      <c r="B3355" t="s">
        <v>68745</v>
      </c>
      <c r="C3355" t="s">
        <v>68746</v>
      </c>
      <c r="D3355" t="s">
        <v>68747</v>
      </c>
      <c r="E3355" t="s">
        <v>68748</v>
      </c>
      <c r="F3355" t="s">
        <v>68749</v>
      </c>
      <c r="G3355" t="s">
        <v>68750</v>
      </c>
      <c r="H3355" t="s">
        <v>68751</v>
      </c>
      <c r="I3355" t="s">
        <v>68752</v>
      </c>
      <c r="J3355" t="s">
        <v>68753</v>
      </c>
      <c r="K3355" t="s">
        <v>68754</v>
      </c>
      <c r="L3355" t="s">
        <v>68755</v>
      </c>
      <c r="M3355" t="s">
        <v>68756</v>
      </c>
      <c r="N3355" t="s">
        <v>68757</v>
      </c>
      <c r="O3355">
        <f>-958.263340130533 -18.6173095826171 -499.283572859739</f>
        <v>-1476.1642225728892</v>
      </c>
      <c r="P3355">
        <f>-985.433058181273 -46.1615730431083 -207.574262477234</f>
        <v>-1239.1688937016154</v>
      </c>
      <c r="Q3355">
        <f>-773.672211319458 -53.2316379345298 -322.283391902801</f>
        <v>-1149.1872411567888</v>
      </c>
      <c r="R3355" t="s">
        <v>68758</v>
      </c>
      <c r="S3355" t="s">
        <v>68759</v>
      </c>
      <c r="T3355" t="s">
        <v>68760</v>
      </c>
      <c r="U3355" t="s">
        <v>68761</v>
      </c>
      <c r="V3355" t="s">
        <v>68762</v>
      </c>
      <c r="W3355" t="s">
        <v>68763</v>
      </c>
      <c r="X3355" t="s">
        <v>68764</v>
      </c>
      <c r="Y3355" t="s">
        <v>68765</v>
      </c>
    </row>
    <row r="3356" spans="1:25" x14ac:dyDescent="0.3">
      <c r="A3356">
        <v>167750</v>
      </c>
      <c r="B3356" t="s">
        <v>68766</v>
      </c>
      <c r="C3356" t="s">
        <v>68767</v>
      </c>
      <c r="D3356" t="s">
        <v>68768</v>
      </c>
      <c r="E3356" t="s">
        <v>68769</v>
      </c>
      <c r="F3356" t="s">
        <v>68770</v>
      </c>
      <c r="G3356" t="s">
        <v>68771</v>
      </c>
      <c r="H3356" t="s">
        <v>68772</v>
      </c>
      <c r="I3356" t="s">
        <v>68773</v>
      </c>
      <c r="J3356" t="s">
        <v>68774</v>
      </c>
      <c r="K3356" t="s">
        <v>68775</v>
      </c>
      <c r="L3356" t="s">
        <v>68776</v>
      </c>
      <c r="M3356" t="s">
        <v>68777</v>
      </c>
      <c r="N3356" t="s">
        <v>68778</v>
      </c>
      <c r="O3356">
        <f>-958.31914901531 -18.583952923816 -499.27522838026</f>
        <v>-1476.1783303193861</v>
      </c>
      <c r="P3356">
        <f>-984.886648531322 -46.2741718066682 -207.524262230524</f>
        <v>-1238.6850825685142</v>
      </c>
      <c r="Q3356">
        <f>-773.524546362909 -53.9708548274903 -322.926862954126</f>
        <v>-1150.4222641445253</v>
      </c>
      <c r="R3356" t="s">
        <v>68779</v>
      </c>
      <c r="S3356" t="s">
        <v>68780</v>
      </c>
      <c r="T3356" t="s">
        <v>68781</v>
      </c>
      <c r="U3356" t="s">
        <v>68782</v>
      </c>
      <c r="V3356" t="s">
        <v>68783</v>
      </c>
      <c r="W3356" t="s">
        <v>68784</v>
      </c>
      <c r="X3356" t="s">
        <v>68785</v>
      </c>
      <c r="Y3356" t="s">
        <v>68786</v>
      </c>
    </row>
    <row r="3357" spans="1:25" x14ac:dyDescent="0.3">
      <c r="A3357">
        <v>167800</v>
      </c>
      <c r="B3357" t="s">
        <v>68787</v>
      </c>
      <c r="C3357" t="s">
        <v>68788</v>
      </c>
      <c r="D3357" t="s">
        <v>68789</v>
      </c>
      <c r="E3357" t="s">
        <v>68790</v>
      </c>
      <c r="F3357" t="s">
        <v>68791</v>
      </c>
      <c r="G3357" t="s">
        <v>68792</v>
      </c>
      <c r="H3357" t="s">
        <v>68793</v>
      </c>
      <c r="I3357" t="s">
        <v>68794</v>
      </c>
      <c r="J3357" t="s">
        <v>68795</v>
      </c>
      <c r="K3357" t="s">
        <v>68796</v>
      </c>
      <c r="L3357" t="s">
        <v>68797</v>
      </c>
      <c r="M3357" t="s">
        <v>68798</v>
      </c>
      <c r="N3357" t="s">
        <v>68799</v>
      </c>
      <c r="O3357">
        <f>-958.299388738885 -18.6227836187177 -499.061764788082</f>
        <v>-1475.9839371456846</v>
      </c>
      <c r="P3357">
        <f>-983.70133402022 -46.5343300045565 -207.227973717439</f>
        <v>-1237.4636377422155</v>
      </c>
      <c r="Q3357">
        <f>-772.780155456861 -54.7389937777461 -323.399632066774</f>
        <v>-1150.9187813013812</v>
      </c>
      <c r="R3357" t="s">
        <v>68800</v>
      </c>
      <c r="S3357" t="s">
        <v>68801</v>
      </c>
      <c r="T3357" t="s">
        <v>68802</v>
      </c>
      <c r="U3357" t="s">
        <v>68803</v>
      </c>
      <c r="V3357" t="s">
        <v>68804</v>
      </c>
      <c r="W3357" t="s">
        <v>68805</v>
      </c>
      <c r="X3357" t="s">
        <v>68806</v>
      </c>
      <c r="Y3357" t="s">
        <v>68807</v>
      </c>
    </row>
    <row r="3358" spans="1:25" x14ac:dyDescent="0.3">
      <c r="A3358">
        <v>167850</v>
      </c>
      <c r="B3358" t="s">
        <v>68808</v>
      </c>
      <c r="C3358" t="s">
        <v>68809</v>
      </c>
      <c r="D3358" t="s">
        <v>68810</v>
      </c>
      <c r="E3358" t="s">
        <v>68811</v>
      </c>
      <c r="F3358" t="s">
        <v>68812</v>
      </c>
      <c r="G3358" t="s">
        <v>68813</v>
      </c>
      <c r="H3358" t="s">
        <v>68814</v>
      </c>
      <c r="I3358" t="s">
        <v>68815</v>
      </c>
      <c r="J3358" t="s">
        <v>68816</v>
      </c>
      <c r="K3358" t="s">
        <v>68817</v>
      </c>
      <c r="L3358" t="s">
        <v>68818</v>
      </c>
      <c r="M3358" t="s">
        <v>68819</v>
      </c>
      <c r="N3358" t="s">
        <v>68820</v>
      </c>
      <c r="O3358">
        <f>-958.177733260886 -18.6768808670872 -498.929196193492</f>
        <v>-1475.7838103214654</v>
      </c>
      <c r="P3358">
        <f>-983.340543849506 -46.482350678883 -207.064686869135</f>
        <v>-1236.8875813975239</v>
      </c>
      <c r="Q3358">
        <f>-772.395778226593 -54.698786307446 -323.192041546492</f>
        <v>-1150.2866060805311</v>
      </c>
      <c r="R3358" t="s">
        <v>68821</v>
      </c>
      <c r="S3358" t="s">
        <v>68822</v>
      </c>
      <c r="T3358" t="s">
        <v>68823</v>
      </c>
      <c r="U3358" t="s">
        <v>68824</v>
      </c>
      <c r="V3358" t="s">
        <v>68825</v>
      </c>
      <c r="W3358" t="s">
        <v>68826</v>
      </c>
      <c r="X3358" t="s">
        <v>68827</v>
      </c>
      <c r="Y3358" t="s">
        <v>68828</v>
      </c>
    </row>
    <row r="3359" spans="1:25" x14ac:dyDescent="0.3">
      <c r="A3359">
        <v>167900</v>
      </c>
      <c r="B3359" t="s">
        <v>68829</v>
      </c>
      <c r="C3359" t="s">
        <v>68830</v>
      </c>
      <c r="D3359" t="s">
        <v>68831</v>
      </c>
      <c r="E3359" t="s">
        <v>68832</v>
      </c>
      <c r="F3359" t="s">
        <v>68833</v>
      </c>
      <c r="G3359" t="s">
        <v>68834</v>
      </c>
      <c r="H3359" t="s">
        <v>68835</v>
      </c>
      <c r="I3359" t="s">
        <v>68836</v>
      </c>
      <c r="J3359" t="s">
        <v>68837</v>
      </c>
      <c r="K3359" t="s">
        <v>68838</v>
      </c>
      <c r="L3359" t="s">
        <v>68839</v>
      </c>
      <c r="M3359" t="s">
        <v>68840</v>
      </c>
      <c r="N3359" t="s">
        <v>68841</v>
      </c>
      <c r="O3359">
        <f>-957.884665169405 -19.3315708105702 -498.538217099815</f>
        <v>-1475.7544530797902</v>
      </c>
      <c r="P3359">
        <f>-982.920375308306 -46.2045558313691 -206.575432938944</f>
        <v>-1235.700364078619</v>
      </c>
      <c r="Q3359">
        <f>-771.886429879235 -54.4817505767396 -322.536910146765</f>
        <v>-1148.9050906027396</v>
      </c>
      <c r="R3359" t="s">
        <v>68842</v>
      </c>
      <c r="S3359" t="s">
        <v>68843</v>
      </c>
      <c r="T3359" t="s">
        <v>68844</v>
      </c>
      <c r="U3359" t="s">
        <v>68845</v>
      </c>
      <c r="V3359" t="s">
        <v>68846</v>
      </c>
      <c r="W3359" t="s">
        <v>68847</v>
      </c>
      <c r="X3359" t="s">
        <v>68848</v>
      </c>
      <c r="Y3359" t="s">
        <v>68849</v>
      </c>
    </row>
    <row r="3360" spans="1:25" x14ac:dyDescent="0.3">
      <c r="A3360">
        <v>167950</v>
      </c>
      <c r="B3360" t="s">
        <v>68850</v>
      </c>
      <c r="C3360" t="s">
        <v>68851</v>
      </c>
      <c r="D3360" t="s">
        <v>68852</v>
      </c>
      <c r="E3360" t="s">
        <v>68853</v>
      </c>
      <c r="F3360" t="s">
        <v>68854</v>
      </c>
      <c r="G3360" t="s">
        <v>68855</v>
      </c>
      <c r="H3360" t="s">
        <v>68856</v>
      </c>
      <c r="I3360" t="s">
        <v>68857</v>
      </c>
      <c r="J3360" t="s">
        <v>68858</v>
      </c>
      <c r="K3360" t="s">
        <v>68859</v>
      </c>
      <c r="L3360" t="s">
        <v>68860</v>
      </c>
      <c r="M3360" t="s">
        <v>68861</v>
      </c>
      <c r="N3360" t="s">
        <v>68862</v>
      </c>
      <c r="O3360">
        <f>-957.759651950411 -19.7368689147738 -498.327671166562</f>
        <v>-1475.8241920317469</v>
      </c>
      <c r="P3360">
        <f>-982.740885840625 -46.1668184438488 -206.319814325492</f>
        <v>-1235.2275186099657</v>
      </c>
      <c r="Q3360">
        <f>-771.648668587762 -54.2139815290866 -322.191076166742</f>
        <v>-1148.0537262835905</v>
      </c>
      <c r="R3360" t="s">
        <v>68863</v>
      </c>
      <c r="S3360" t="s">
        <v>68864</v>
      </c>
      <c r="T3360" t="s">
        <v>68865</v>
      </c>
      <c r="U3360" t="s">
        <v>68866</v>
      </c>
      <c r="V3360" t="s">
        <v>68867</v>
      </c>
      <c r="W3360" t="s">
        <v>68868</v>
      </c>
      <c r="X3360" t="s">
        <v>68869</v>
      </c>
      <c r="Y3360" t="s">
        <v>68870</v>
      </c>
    </row>
    <row r="3361" spans="1:25" x14ac:dyDescent="0.3">
      <c r="A3361">
        <v>168000</v>
      </c>
      <c r="B3361" t="s">
        <v>68871</v>
      </c>
      <c r="C3361" t="s">
        <v>68872</v>
      </c>
      <c r="D3361" t="s">
        <v>68873</v>
      </c>
      <c r="E3361" t="s">
        <v>68874</v>
      </c>
      <c r="F3361" t="s">
        <v>68875</v>
      </c>
      <c r="G3361" t="s">
        <v>68876</v>
      </c>
      <c r="H3361" t="s">
        <v>68877</v>
      </c>
      <c r="I3361" t="s">
        <v>68878</v>
      </c>
      <c r="J3361" t="s">
        <v>68879</v>
      </c>
      <c r="K3361" t="s">
        <v>68880</v>
      </c>
      <c r="L3361" t="s">
        <v>68881</v>
      </c>
      <c r="M3361" t="s">
        <v>68882</v>
      </c>
      <c r="N3361" t="s">
        <v>68883</v>
      </c>
      <c r="O3361">
        <f>-957.792931144402 -20.7699741553988 -497.934622275019</f>
        <v>-1476.4975275748197</v>
      </c>
      <c r="P3361">
        <f>-982.479995805484 -46.4940703771413 -205.838814675375</f>
        <v>-1234.8128808580004</v>
      </c>
      <c r="Q3361">
        <f>-771.545872549326 -54.4856333960579 -322.001588045566</f>
        <v>-1148.03309399095</v>
      </c>
      <c r="R3361" t="s">
        <v>68884</v>
      </c>
      <c r="S3361" t="s">
        <v>68885</v>
      </c>
      <c r="T3361" t="s">
        <v>68886</v>
      </c>
      <c r="U3361" t="s">
        <v>68887</v>
      </c>
      <c r="V3361" t="s">
        <v>68888</v>
      </c>
      <c r="W3361" t="s">
        <v>68889</v>
      </c>
      <c r="X3361" t="s">
        <v>68890</v>
      </c>
      <c r="Y3361" t="s">
        <v>68891</v>
      </c>
    </row>
    <row r="3362" spans="1:25" x14ac:dyDescent="0.3">
      <c r="A3362">
        <v>168050</v>
      </c>
      <c r="B3362" t="s">
        <v>68892</v>
      </c>
      <c r="C3362" t="s">
        <v>68893</v>
      </c>
      <c r="D3362" t="s">
        <v>68894</v>
      </c>
      <c r="E3362" t="s">
        <v>68895</v>
      </c>
      <c r="F3362" t="s">
        <v>68896</v>
      </c>
      <c r="G3362" t="s">
        <v>68897</v>
      </c>
      <c r="H3362" t="s">
        <v>68898</v>
      </c>
      <c r="I3362" t="s">
        <v>68899</v>
      </c>
      <c r="J3362" t="s">
        <v>68900</v>
      </c>
      <c r="K3362" t="s">
        <v>68901</v>
      </c>
      <c r="L3362" t="s">
        <v>68902</v>
      </c>
      <c r="M3362" t="s">
        <v>68903</v>
      </c>
      <c r="N3362" t="s">
        <v>68904</v>
      </c>
      <c r="O3362">
        <f>-958.044882875161 -21.0204708916403 -497.80338681669</f>
        <v>-1476.8687405834912</v>
      </c>
      <c r="P3362">
        <f>-982.476844389154 -46.3703046578112 -205.653298478304</f>
        <v>-1234.5004475252695</v>
      </c>
      <c r="Q3362">
        <f>-771.745590637986 -54.4996752638338 -322.174361636169</f>
        <v>-1148.4196275379886</v>
      </c>
      <c r="R3362" t="s">
        <v>68905</v>
      </c>
      <c r="S3362" t="s">
        <v>68906</v>
      </c>
      <c r="T3362" t="s">
        <v>68907</v>
      </c>
      <c r="U3362" t="s">
        <v>68908</v>
      </c>
      <c r="V3362" t="s">
        <v>68909</v>
      </c>
      <c r="W3362" t="s">
        <v>68910</v>
      </c>
      <c r="X3362" t="s">
        <v>68911</v>
      </c>
      <c r="Y3362" t="s">
        <v>68912</v>
      </c>
    </row>
    <row r="3363" spans="1:25" x14ac:dyDescent="0.3">
      <c r="A3363">
        <v>168100</v>
      </c>
      <c r="B3363" t="s">
        <v>68913</v>
      </c>
      <c r="C3363" t="s">
        <v>68914</v>
      </c>
      <c r="D3363" t="s">
        <v>68915</v>
      </c>
      <c r="E3363" t="s">
        <v>68916</v>
      </c>
      <c r="F3363" t="s">
        <v>68917</v>
      </c>
      <c r="G3363" t="s">
        <v>68918</v>
      </c>
      <c r="H3363" t="s">
        <v>68919</v>
      </c>
      <c r="I3363" t="s">
        <v>68920</v>
      </c>
      <c r="J3363" t="s">
        <v>68921</v>
      </c>
      <c r="K3363" t="s">
        <v>68922</v>
      </c>
      <c r="L3363" t="s">
        <v>68923</v>
      </c>
      <c r="M3363" t="s">
        <v>68924</v>
      </c>
      <c r="N3363" t="s">
        <v>68925</v>
      </c>
      <c r="O3363">
        <f>-957.739520843599 -21.3245938854357 -497.898024116678</f>
        <v>-1476.9621388457126</v>
      </c>
      <c r="P3363">
        <f>-982.230208961458 -47.0588183757834 -205.786471994424</f>
        <v>-1235.0754993316655</v>
      </c>
      <c r="Q3363">
        <f>-771.539522730452 -55.000675583942 -322.393778426088</f>
        <v>-1148.933976740482</v>
      </c>
      <c r="R3363" t="s">
        <v>68926</v>
      </c>
      <c r="S3363" t="s">
        <v>68927</v>
      </c>
      <c r="T3363" t="s">
        <v>68928</v>
      </c>
      <c r="U3363" t="s">
        <v>68929</v>
      </c>
      <c r="V3363" t="s">
        <v>68930</v>
      </c>
      <c r="W3363" t="s">
        <v>68931</v>
      </c>
      <c r="X3363" t="s">
        <v>68932</v>
      </c>
      <c r="Y3363" t="s">
        <v>68933</v>
      </c>
    </row>
    <row r="3364" spans="1:25" x14ac:dyDescent="0.3">
      <c r="A3364">
        <v>168150</v>
      </c>
      <c r="B3364" t="s">
        <v>68934</v>
      </c>
      <c r="C3364" t="s">
        <v>68935</v>
      </c>
      <c r="D3364" t="s">
        <v>68936</v>
      </c>
      <c r="E3364" t="s">
        <v>68937</v>
      </c>
      <c r="F3364" t="s">
        <v>68938</v>
      </c>
      <c r="G3364" t="s">
        <v>68939</v>
      </c>
      <c r="H3364" t="s">
        <v>68940</v>
      </c>
      <c r="I3364" t="s">
        <v>68941</v>
      </c>
      <c r="J3364" t="s">
        <v>68942</v>
      </c>
      <c r="K3364" t="s">
        <v>68943</v>
      </c>
      <c r="L3364" t="s">
        <v>68944</v>
      </c>
      <c r="M3364" t="s">
        <v>68945</v>
      </c>
      <c r="N3364" t="s">
        <v>68946</v>
      </c>
      <c r="O3364">
        <f>-957.81231212009 -21.2760492892926 -498.254778666586</f>
        <v>-1477.3431400759687</v>
      </c>
      <c r="P3364">
        <f>-982.509145079709 -47.6836670156963 -206.220628138169</f>
        <v>-1236.4134402335744</v>
      </c>
      <c r="Q3364">
        <f>-771.586501395754 -55.1089270549628 -322.442154297636</f>
        <v>-1149.1375827483528</v>
      </c>
      <c r="R3364" t="s">
        <v>68947</v>
      </c>
      <c r="S3364" t="s">
        <v>68948</v>
      </c>
      <c r="T3364" t="s">
        <v>68949</v>
      </c>
      <c r="U3364" t="s">
        <v>68950</v>
      </c>
      <c r="V3364" t="s">
        <v>68951</v>
      </c>
      <c r="W3364" t="s">
        <v>68952</v>
      </c>
      <c r="X3364" t="s">
        <v>68953</v>
      </c>
      <c r="Y3364" t="s">
        <v>68954</v>
      </c>
    </row>
    <row r="3365" spans="1:25" x14ac:dyDescent="0.3">
      <c r="A3365">
        <v>168200</v>
      </c>
      <c r="B3365" t="s">
        <v>68955</v>
      </c>
      <c r="C3365" t="s">
        <v>68956</v>
      </c>
      <c r="D3365" t="s">
        <v>68957</v>
      </c>
      <c r="E3365" t="s">
        <v>68958</v>
      </c>
      <c r="F3365" t="s">
        <v>68959</v>
      </c>
      <c r="G3365" t="s">
        <v>68960</v>
      </c>
      <c r="H3365" t="s">
        <v>68961</v>
      </c>
      <c r="I3365" t="s">
        <v>68962</v>
      </c>
      <c r="J3365" t="s">
        <v>68963</v>
      </c>
      <c r="K3365" t="s">
        <v>68964</v>
      </c>
      <c r="L3365" t="s">
        <v>68965</v>
      </c>
      <c r="M3365" t="s">
        <v>68966</v>
      </c>
      <c r="N3365" t="s">
        <v>68967</v>
      </c>
      <c r="O3365">
        <f>-958.470505127506 -21.4119178467026 -499.048176316858</f>
        <v>-1478.9305992910668</v>
      </c>
      <c r="P3365">
        <f>-983.049164157329 -49.2220658461667 -207.134321229419</f>
        <v>-1239.4055512329146</v>
      </c>
      <c r="Q3365">
        <f>-771.797241123541 -55.6505955536722 -322.81572362623</f>
        <v>-1150.2635603034432</v>
      </c>
      <c r="R3365" t="s">
        <v>68968</v>
      </c>
      <c r="S3365" t="s">
        <v>68969</v>
      </c>
      <c r="T3365" t="s">
        <v>68970</v>
      </c>
      <c r="U3365" t="s">
        <v>68971</v>
      </c>
      <c r="V3365" t="s">
        <v>68972</v>
      </c>
      <c r="W3365" t="s">
        <v>68973</v>
      </c>
      <c r="X3365" t="s">
        <v>68974</v>
      </c>
      <c r="Y3365" t="s">
        <v>68975</v>
      </c>
    </row>
    <row r="3366" spans="1:25" x14ac:dyDescent="0.3">
      <c r="A3366">
        <v>168250</v>
      </c>
      <c r="B3366" t="s">
        <v>68976</v>
      </c>
      <c r="C3366" t="s">
        <v>68977</v>
      </c>
      <c r="D3366" t="s">
        <v>68978</v>
      </c>
      <c r="E3366" t="s">
        <v>68979</v>
      </c>
      <c r="F3366" t="s">
        <v>68980</v>
      </c>
      <c r="G3366" t="s">
        <v>68981</v>
      </c>
      <c r="H3366" t="s">
        <v>68982</v>
      </c>
      <c r="I3366" t="s">
        <v>68983</v>
      </c>
      <c r="J3366" t="s">
        <v>68984</v>
      </c>
      <c r="K3366" t="s">
        <v>68985</v>
      </c>
      <c r="L3366" t="s">
        <v>68986</v>
      </c>
      <c r="M3366" t="s">
        <v>68987</v>
      </c>
      <c r="N3366" t="s">
        <v>68988</v>
      </c>
      <c r="O3366">
        <f>-959.061757080742 -21.8447374076686 -499.189836769468</f>
        <v>-1480.0963312578788</v>
      </c>
      <c r="P3366">
        <f>-983.285854790311 -49.9379677472082 -207.273396312399</f>
        <v>-1240.4972188499182</v>
      </c>
      <c r="Q3366">
        <f>-772.051848528671 -56.0299067733554 -323.005397341212</f>
        <v>-1151.0871526432384</v>
      </c>
      <c r="R3366" t="s">
        <v>68989</v>
      </c>
      <c r="S3366" t="s">
        <v>68990</v>
      </c>
      <c r="T3366" t="s">
        <v>68991</v>
      </c>
      <c r="U3366" t="s">
        <v>68992</v>
      </c>
      <c r="V3366" t="s">
        <v>68993</v>
      </c>
      <c r="W3366" t="s">
        <v>68994</v>
      </c>
      <c r="X3366" t="s">
        <v>68995</v>
      </c>
      <c r="Y3366" t="s">
        <v>68996</v>
      </c>
    </row>
    <row r="3367" spans="1:25" x14ac:dyDescent="0.3">
      <c r="A3367">
        <v>168300</v>
      </c>
      <c r="B3367" t="s">
        <v>68997</v>
      </c>
      <c r="C3367" t="s">
        <v>68998</v>
      </c>
      <c r="D3367" t="s">
        <v>68999</v>
      </c>
      <c r="E3367" t="s">
        <v>69000</v>
      </c>
      <c r="F3367" t="s">
        <v>69001</v>
      </c>
      <c r="G3367" t="s">
        <v>69002</v>
      </c>
      <c r="H3367" t="s">
        <v>69003</v>
      </c>
      <c r="I3367" t="s">
        <v>69004</v>
      </c>
      <c r="J3367" t="s">
        <v>69005</v>
      </c>
      <c r="K3367" t="s">
        <v>69006</v>
      </c>
      <c r="L3367" t="s">
        <v>69007</v>
      </c>
      <c r="M3367" t="s">
        <v>69008</v>
      </c>
      <c r="N3367" t="s">
        <v>69009</v>
      </c>
      <c r="O3367">
        <f>-959.908397467868 -22.8906381752863 -499.145350074927</f>
        <v>-1481.9443857180813</v>
      </c>
      <c r="P3367">
        <f>-983.240875936281 -50.9061584956839 -207.148944503493</f>
        <v>-1241.2959789354577</v>
      </c>
      <c r="Q3367">
        <f>-772.356759940026 -57.1359283246429 -323.510349084037</f>
        <v>-1153.0030373487059</v>
      </c>
      <c r="R3367" t="s">
        <v>69010</v>
      </c>
      <c r="S3367" t="s">
        <v>69011</v>
      </c>
      <c r="T3367" t="s">
        <v>69012</v>
      </c>
      <c r="U3367" t="s">
        <v>69013</v>
      </c>
      <c r="V3367" t="s">
        <v>69014</v>
      </c>
      <c r="W3367" t="s">
        <v>69015</v>
      </c>
      <c r="X3367" t="s">
        <v>69016</v>
      </c>
      <c r="Y3367" t="s">
        <v>69017</v>
      </c>
    </row>
    <row r="3368" spans="1:25" x14ac:dyDescent="0.3">
      <c r="A3368">
        <v>168350</v>
      </c>
      <c r="B3368" t="s">
        <v>69018</v>
      </c>
      <c r="C3368" t="s">
        <v>69019</v>
      </c>
      <c r="D3368" t="s">
        <v>69020</v>
      </c>
      <c r="E3368" t="s">
        <v>69021</v>
      </c>
      <c r="F3368" t="s">
        <v>69022</v>
      </c>
      <c r="G3368" t="s">
        <v>69023</v>
      </c>
      <c r="H3368" t="s">
        <v>69024</v>
      </c>
      <c r="I3368" t="s">
        <v>69025</v>
      </c>
      <c r="J3368" t="s">
        <v>69026</v>
      </c>
      <c r="K3368" t="s">
        <v>69027</v>
      </c>
      <c r="L3368" t="s">
        <v>69028</v>
      </c>
      <c r="M3368" t="s">
        <v>69029</v>
      </c>
      <c r="N3368" t="s">
        <v>69030</v>
      </c>
      <c r="O3368">
        <f>-959.653752959174 -23.3757311634845 -499.044416506241</f>
        <v>-1482.0739006288995</v>
      </c>
      <c r="P3368">
        <f>-982.599934973909 -51.4399848704122 -207.022076697607</f>
        <v>-1241.061996541928</v>
      </c>
      <c r="Q3368">
        <f>-771.929677726048 -57.7198219902177 -323.767476515623</f>
        <v>-1153.4169762318888</v>
      </c>
      <c r="R3368" t="s">
        <v>69031</v>
      </c>
      <c r="S3368" t="s">
        <v>69032</v>
      </c>
      <c r="T3368" t="s">
        <v>69033</v>
      </c>
      <c r="U3368" t="s">
        <v>69034</v>
      </c>
      <c r="V3368" t="s">
        <v>69035</v>
      </c>
      <c r="W3368" t="s">
        <v>69036</v>
      </c>
      <c r="X3368" t="s">
        <v>69037</v>
      </c>
      <c r="Y3368" t="s">
        <v>69038</v>
      </c>
    </row>
    <row r="3369" spans="1:25" x14ac:dyDescent="0.3">
      <c r="A3369">
        <v>168400</v>
      </c>
      <c r="B3369" t="s">
        <v>69039</v>
      </c>
      <c r="C3369" t="s">
        <v>69040</v>
      </c>
      <c r="D3369" t="s">
        <v>69041</v>
      </c>
      <c r="E3369" t="s">
        <v>69042</v>
      </c>
      <c r="F3369" t="s">
        <v>69043</v>
      </c>
      <c r="G3369" t="s">
        <v>69044</v>
      </c>
      <c r="H3369" t="s">
        <v>69045</v>
      </c>
      <c r="I3369" t="s">
        <v>69046</v>
      </c>
      <c r="J3369" t="s">
        <v>69047</v>
      </c>
      <c r="K3369" t="s">
        <v>69048</v>
      </c>
      <c r="L3369" t="s">
        <v>69049</v>
      </c>
      <c r="M3369" t="s">
        <v>69050</v>
      </c>
      <c r="N3369" t="s">
        <v>69051</v>
      </c>
      <c r="O3369">
        <f>-959.162091465265 -23.6888482585177 -499.02145230991</f>
        <v>-1481.8723920336927</v>
      </c>
      <c r="P3369">
        <f>-981.733061995717 -51.9736490194468 -206.99107791069</f>
        <v>-1240.6977889258537</v>
      </c>
      <c r="Q3369">
        <f>-771.416099548054 -58.8406870649126 -324.338297745883</f>
        <v>-1154.5950843588496</v>
      </c>
      <c r="R3369" t="s">
        <v>69052</v>
      </c>
      <c r="S3369" t="s">
        <v>69053</v>
      </c>
      <c r="T3369" t="s">
        <v>69054</v>
      </c>
      <c r="U3369" t="s">
        <v>69055</v>
      </c>
      <c r="V3369" t="s">
        <v>69056</v>
      </c>
      <c r="W3369" t="s">
        <v>69057</v>
      </c>
      <c r="X3369" t="s">
        <v>69058</v>
      </c>
      <c r="Y3369" t="s">
        <v>69059</v>
      </c>
    </row>
    <row r="3370" spans="1:25" x14ac:dyDescent="0.3">
      <c r="A3370">
        <v>168450</v>
      </c>
      <c r="B3370" t="s">
        <v>69060</v>
      </c>
      <c r="C3370" t="s">
        <v>69061</v>
      </c>
      <c r="D3370" t="s">
        <v>69062</v>
      </c>
      <c r="E3370" t="s">
        <v>69063</v>
      </c>
      <c r="F3370" t="s">
        <v>69064</v>
      </c>
      <c r="G3370" t="s">
        <v>69065</v>
      </c>
      <c r="H3370" t="s">
        <v>69066</v>
      </c>
      <c r="I3370" t="s">
        <v>69067</v>
      </c>
      <c r="J3370" t="s">
        <v>69068</v>
      </c>
      <c r="K3370" t="s">
        <v>69069</v>
      </c>
      <c r="L3370" t="s">
        <v>69070</v>
      </c>
      <c r="M3370" t="s">
        <v>69071</v>
      </c>
      <c r="N3370" t="s">
        <v>69072</v>
      </c>
      <c r="O3370">
        <f>-959.234583383937 -23.7385608615323 -499.014773320681</f>
        <v>-1481.9879175661504</v>
      </c>
      <c r="P3370">
        <f>-981.726469268646 -52.1465685017984 -206.990385822474</f>
        <v>-1240.8634235929185</v>
      </c>
      <c r="Q3370">
        <f>-771.572940490593 -59.4405282278292 -324.604688707564</f>
        <v>-1155.6181574259863</v>
      </c>
      <c r="R3370" t="s">
        <v>69073</v>
      </c>
      <c r="S3370" t="s">
        <v>69074</v>
      </c>
      <c r="T3370" t="s">
        <v>69075</v>
      </c>
      <c r="U3370" t="s">
        <v>69076</v>
      </c>
      <c r="V3370" t="s">
        <v>69077</v>
      </c>
      <c r="W3370" t="s">
        <v>69078</v>
      </c>
      <c r="X3370" t="s">
        <v>69079</v>
      </c>
      <c r="Y3370" t="s">
        <v>69080</v>
      </c>
    </row>
    <row r="3371" spans="1:25" x14ac:dyDescent="0.3">
      <c r="A3371">
        <v>168500</v>
      </c>
      <c r="B3371" t="s">
        <v>69081</v>
      </c>
      <c r="C3371" t="s">
        <v>69082</v>
      </c>
      <c r="D3371" t="s">
        <v>69083</v>
      </c>
      <c r="E3371" t="s">
        <v>69084</v>
      </c>
      <c r="F3371" t="s">
        <v>69085</v>
      </c>
      <c r="G3371" t="s">
        <v>69086</v>
      </c>
      <c r="H3371" t="s">
        <v>69087</v>
      </c>
      <c r="I3371" t="s">
        <v>69088</v>
      </c>
      <c r="J3371" t="s">
        <v>69089</v>
      </c>
      <c r="K3371" t="s">
        <v>69090</v>
      </c>
      <c r="L3371" t="s">
        <v>69091</v>
      </c>
      <c r="M3371" t="s">
        <v>69092</v>
      </c>
      <c r="N3371" t="s">
        <v>69093</v>
      </c>
      <c r="O3371">
        <f>-959.859333561185 -24.2060493512154 -498.925205063256</f>
        <v>-1482.9905879756564</v>
      </c>
      <c r="P3371">
        <f>-982.080979456001 -52.2844075954456 -206.848175902828</f>
        <v>-1241.2135629542747</v>
      </c>
      <c r="Q3371">
        <f>-772.220302766237 -61.0861833791005 -324.881924361798</f>
        <v>-1158.1884105071354</v>
      </c>
      <c r="R3371" t="s">
        <v>69094</v>
      </c>
      <c r="S3371" t="s">
        <v>69095</v>
      </c>
      <c r="T3371" t="s">
        <v>69096</v>
      </c>
      <c r="U3371" t="s">
        <v>69097</v>
      </c>
      <c r="V3371" t="s">
        <v>69098</v>
      </c>
      <c r="W3371" t="s">
        <v>69099</v>
      </c>
      <c r="X3371" t="s">
        <v>69100</v>
      </c>
      <c r="Y3371" t="s">
        <v>69101</v>
      </c>
    </row>
    <row r="3372" spans="1:25" x14ac:dyDescent="0.3">
      <c r="A3372">
        <v>168550</v>
      </c>
      <c r="B3372" t="s">
        <v>69102</v>
      </c>
      <c r="C3372" t="s">
        <v>69103</v>
      </c>
      <c r="D3372" t="s">
        <v>69104</v>
      </c>
      <c r="E3372" t="s">
        <v>69105</v>
      </c>
      <c r="F3372" t="s">
        <v>69106</v>
      </c>
      <c r="G3372" t="s">
        <v>69107</v>
      </c>
      <c r="H3372" t="s">
        <v>69108</v>
      </c>
      <c r="I3372" t="s">
        <v>69109</v>
      </c>
      <c r="J3372" t="s">
        <v>69110</v>
      </c>
      <c r="K3372" t="s">
        <v>69111</v>
      </c>
      <c r="L3372" t="s">
        <v>69112</v>
      </c>
      <c r="M3372" t="s">
        <v>69113</v>
      </c>
      <c r="N3372" t="s">
        <v>69114</v>
      </c>
      <c r="O3372">
        <f>-960.454783348491 -24.2616374233726 -498.865409748467</f>
        <v>-1483.5818305203306</v>
      </c>
      <c r="P3372">
        <f>-982.465493759776 -52.1032881071276 -206.749602757079</f>
        <v>-1241.3183846239826</v>
      </c>
      <c r="Q3372">
        <f>-772.686583322449 -61.470539069712 -324.88459442346</f>
        <v>-1159.0417168156209</v>
      </c>
      <c r="R3372" t="s">
        <v>69115</v>
      </c>
      <c r="S3372" t="s">
        <v>69116</v>
      </c>
      <c r="T3372" t="s">
        <v>69117</v>
      </c>
      <c r="U3372" t="s">
        <v>69118</v>
      </c>
      <c r="V3372" t="s">
        <v>69119</v>
      </c>
      <c r="W3372" t="s">
        <v>69120</v>
      </c>
      <c r="X3372" t="s">
        <v>69121</v>
      </c>
      <c r="Y3372" t="s">
        <v>69122</v>
      </c>
    </row>
    <row r="3373" spans="1:25" x14ac:dyDescent="0.3">
      <c r="A3373">
        <v>168600</v>
      </c>
      <c r="B3373" t="s">
        <v>69123</v>
      </c>
      <c r="C3373" t="s">
        <v>69124</v>
      </c>
      <c r="D3373" t="s">
        <v>69125</v>
      </c>
      <c r="E3373" t="s">
        <v>69126</v>
      </c>
      <c r="F3373" t="s">
        <v>69127</v>
      </c>
      <c r="G3373" t="s">
        <v>69128</v>
      </c>
      <c r="H3373" t="s">
        <v>69129</v>
      </c>
      <c r="I3373" t="s">
        <v>69130</v>
      </c>
      <c r="J3373" t="s">
        <v>69131</v>
      </c>
      <c r="K3373" t="s">
        <v>69132</v>
      </c>
      <c r="L3373" t="s">
        <v>69133</v>
      </c>
      <c r="M3373" t="s">
        <v>69134</v>
      </c>
      <c r="N3373" t="s">
        <v>69135</v>
      </c>
      <c r="O3373">
        <f>-961.86203954181 -24.1596454160926 -498.82092584194</f>
        <v>-1484.8426107998425</v>
      </c>
      <c r="P3373">
        <f>-983.669688491161 -51.7715902735508 -206.668094214869</f>
        <v>-1242.1093729795807</v>
      </c>
      <c r="Q3373">
        <f>-774.029003397953 -61.8991985253024 -324.986180106496</f>
        <v>-1160.9143820297513</v>
      </c>
      <c r="R3373" t="s">
        <v>69136</v>
      </c>
      <c r="S3373" t="s">
        <v>69137</v>
      </c>
      <c r="T3373" t="s">
        <v>69138</v>
      </c>
      <c r="U3373" t="s">
        <v>69139</v>
      </c>
      <c r="V3373" t="s">
        <v>69140</v>
      </c>
      <c r="W3373" t="s">
        <v>69141</v>
      </c>
      <c r="X3373" t="s">
        <v>69142</v>
      </c>
      <c r="Y3373" t="s">
        <v>69143</v>
      </c>
    </row>
    <row r="3374" spans="1:25" x14ac:dyDescent="0.3">
      <c r="A3374">
        <v>168650</v>
      </c>
      <c r="B3374" t="s">
        <v>69144</v>
      </c>
      <c r="C3374" t="s">
        <v>69145</v>
      </c>
      <c r="D3374" t="s">
        <v>69146</v>
      </c>
      <c r="E3374" t="s">
        <v>69147</v>
      </c>
      <c r="F3374" t="s">
        <v>69148</v>
      </c>
      <c r="G3374" t="s">
        <v>69149</v>
      </c>
      <c r="H3374" t="s">
        <v>69150</v>
      </c>
      <c r="I3374" t="s">
        <v>69151</v>
      </c>
      <c r="J3374" t="s">
        <v>69152</v>
      </c>
      <c r="K3374" t="s">
        <v>69153</v>
      </c>
      <c r="L3374" t="s">
        <v>69154</v>
      </c>
      <c r="M3374" t="s">
        <v>69155</v>
      </c>
      <c r="N3374" t="s">
        <v>69156</v>
      </c>
      <c r="O3374">
        <f>-962.580844954195 -24.0126581176046 -498.789744972781</f>
        <v>-1485.3832480445806</v>
      </c>
      <c r="P3374">
        <f>-984.245974525547 -51.5094888611734 -206.615624399225</f>
        <v>-1242.3710877859455</v>
      </c>
      <c r="Q3374">
        <f>-774.646181174339 -61.7183090708847 -324.998598137036</f>
        <v>-1161.3630883822598</v>
      </c>
      <c r="R3374" t="s">
        <v>69157</v>
      </c>
      <c r="S3374" t="s">
        <v>69158</v>
      </c>
      <c r="T3374" t="s">
        <v>69159</v>
      </c>
      <c r="U3374" t="s">
        <v>69160</v>
      </c>
      <c r="V3374" t="s">
        <v>69161</v>
      </c>
      <c r="W3374" t="s">
        <v>69162</v>
      </c>
      <c r="X3374" t="s">
        <v>69163</v>
      </c>
      <c r="Y3374" t="s">
        <v>69164</v>
      </c>
    </row>
    <row r="3375" spans="1:25" x14ac:dyDescent="0.3">
      <c r="A3375">
        <v>168700</v>
      </c>
      <c r="B3375" t="s">
        <v>69165</v>
      </c>
      <c r="C3375" t="s">
        <v>69166</v>
      </c>
      <c r="D3375" t="s">
        <v>69167</v>
      </c>
      <c r="E3375" t="s">
        <v>69168</v>
      </c>
      <c r="F3375" t="s">
        <v>69169</v>
      </c>
      <c r="G3375" t="s">
        <v>69170</v>
      </c>
      <c r="H3375" t="s">
        <v>69171</v>
      </c>
      <c r="I3375" t="s">
        <v>69172</v>
      </c>
      <c r="J3375" t="s">
        <v>69173</v>
      </c>
      <c r="K3375" t="s">
        <v>69174</v>
      </c>
      <c r="L3375" t="s">
        <v>69175</v>
      </c>
      <c r="M3375" t="s">
        <v>69176</v>
      </c>
      <c r="N3375" t="s">
        <v>69177</v>
      </c>
      <c r="O3375">
        <f>-964.483291014282 -23.6242055277212 -498.583568584086</f>
        <v>-1486.6910651260891</v>
      </c>
      <c r="P3375">
        <f>-985.812433007604 -50.6445247728573 -206.340329807448</f>
        <v>-1242.7972875879093</v>
      </c>
      <c r="Q3375">
        <f>-776.277183823531 -60.7184485774924 -324.849577018677</f>
        <v>-1161.8452094197005</v>
      </c>
      <c r="R3375" t="s">
        <v>69178</v>
      </c>
      <c r="S3375" t="s">
        <v>69179</v>
      </c>
      <c r="T3375" t="s">
        <v>69180</v>
      </c>
      <c r="U3375" t="s">
        <v>69181</v>
      </c>
      <c r="V3375" t="s">
        <v>69182</v>
      </c>
      <c r="W3375" t="s">
        <v>69183</v>
      </c>
      <c r="X3375" t="s">
        <v>69184</v>
      </c>
      <c r="Y3375" t="s">
        <v>69185</v>
      </c>
    </row>
    <row r="3376" spans="1:25" x14ac:dyDescent="0.3">
      <c r="A3376">
        <v>168750</v>
      </c>
      <c r="B3376" t="s">
        <v>69186</v>
      </c>
      <c r="C3376" t="s">
        <v>69187</v>
      </c>
      <c r="D3376" t="s">
        <v>69188</v>
      </c>
      <c r="E3376" t="s">
        <v>69189</v>
      </c>
      <c r="F3376" t="s">
        <v>69190</v>
      </c>
      <c r="G3376" t="s">
        <v>69191</v>
      </c>
      <c r="H3376" t="s">
        <v>69192</v>
      </c>
      <c r="I3376" t="s">
        <v>69193</v>
      </c>
      <c r="J3376" t="s">
        <v>69194</v>
      </c>
      <c r="K3376" t="s">
        <v>69195</v>
      </c>
      <c r="L3376" t="s">
        <v>69196</v>
      </c>
      <c r="M3376" t="s">
        <v>69197</v>
      </c>
      <c r="N3376" t="s">
        <v>69198</v>
      </c>
      <c r="O3376">
        <f>-965.538464831361 -23.4202104542869 -498.434628616448</f>
        <v>-1487.3933039020958</v>
      </c>
      <c r="P3376">
        <f>-986.695686832536 -50.1759682997979 -206.154494488888</f>
        <v>-1243.026149621222</v>
      </c>
      <c r="Q3376">
        <f>-777.195982050652 -60.1448059747863 -324.735319241106</f>
        <v>-1162.0761072665443</v>
      </c>
      <c r="R3376" t="s">
        <v>69199</v>
      </c>
      <c r="S3376" t="s">
        <v>69200</v>
      </c>
      <c r="T3376" t="s">
        <v>69201</v>
      </c>
      <c r="U3376" t="s">
        <v>69202</v>
      </c>
      <c r="V3376" t="s">
        <v>69203</v>
      </c>
      <c r="W3376" t="s">
        <v>69204</v>
      </c>
      <c r="X3376" t="s">
        <v>69205</v>
      </c>
      <c r="Y3376" t="s">
        <v>69206</v>
      </c>
    </row>
    <row r="3377" spans="1:25" x14ac:dyDescent="0.3">
      <c r="A3377">
        <v>168800</v>
      </c>
      <c r="B3377" t="s">
        <v>69207</v>
      </c>
      <c r="C3377" t="s">
        <v>69208</v>
      </c>
      <c r="D3377" t="s">
        <v>69209</v>
      </c>
      <c r="E3377" t="s">
        <v>69210</v>
      </c>
      <c r="F3377" t="s">
        <v>69211</v>
      </c>
      <c r="G3377" t="s">
        <v>69212</v>
      </c>
      <c r="H3377" t="s">
        <v>69213</v>
      </c>
      <c r="I3377" t="s">
        <v>69214</v>
      </c>
      <c r="J3377" t="s">
        <v>69215</v>
      </c>
      <c r="K3377" t="s">
        <v>69216</v>
      </c>
      <c r="L3377" t="s">
        <v>69217</v>
      </c>
      <c r="M3377" t="s">
        <v>69218</v>
      </c>
      <c r="N3377" t="s">
        <v>69219</v>
      </c>
      <c r="O3377">
        <f>-965.712927177776 -23.5873024882185 -498.237027487277</f>
        <v>-1487.5372571532714</v>
      </c>
      <c r="P3377">
        <f>-987.093366096861 -49.9106299290142 -205.933869962534</f>
        <v>-1242.9378659884092</v>
      </c>
      <c r="Q3377">
        <f>-777.583046061246 -59.5637598363317 -324.52216185472</f>
        <v>-1161.6689677522977</v>
      </c>
      <c r="R3377" t="s">
        <v>69220</v>
      </c>
      <c r="S3377" t="s">
        <v>69221</v>
      </c>
      <c r="T3377" t="s">
        <v>69222</v>
      </c>
      <c r="U3377" t="s">
        <v>69223</v>
      </c>
      <c r="V3377" t="s">
        <v>69224</v>
      </c>
      <c r="W3377" t="s">
        <v>69225</v>
      </c>
      <c r="X3377" t="s">
        <v>69226</v>
      </c>
      <c r="Y3377" t="s">
        <v>69227</v>
      </c>
    </row>
    <row r="3378" spans="1:25" x14ac:dyDescent="0.3">
      <c r="A3378">
        <v>168850</v>
      </c>
      <c r="B3378" t="s">
        <v>69228</v>
      </c>
      <c r="C3378" t="s">
        <v>69229</v>
      </c>
      <c r="D3378" t="s">
        <v>69230</v>
      </c>
      <c r="E3378" t="s">
        <v>69231</v>
      </c>
      <c r="F3378" t="s">
        <v>69232</v>
      </c>
      <c r="G3378" t="s">
        <v>69233</v>
      </c>
      <c r="H3378" t="s">
        <v>69234</v>
      </c>
      <c r="I3378" t="s">
        <v>69235</v>
      </c>
      <c r="J3378" t="s">
        <v>69236</v>
      </c>
      <c r="K3378" t="s">
        <v>69237</v>
      </c>
      <c r="L3378" t="s">
        <v>69238</v>
      </c>
      <c r="M3378" t="s">
        <v>69239</v>
      </c>
      <c r="N3378" t="s">
        <v>69240</v>
      </c>
      <c r="O3378">
        <f>-965.275092338201 -23.7295155681691 -498.287219670217</f>
        <v>-1487.2918275765871</v>
      </c>
      <c r="P3378">
        <f>-986.912894740383 -50.0502659322885 -206.002622900778</f>
        <v>-1242.9657835734495</v>
      </c>
      <c r="Q3378">
        <f>-777.30905407304 -59.5009738216017 -324.441754870433</f>
        <v>-1161.2517827650747</v>
      </c>
      <c r="R3378" t="s">
        <v>69241</v>
      </c>
      <c r="S3378" t="s">
        <v>69242</v>
      </c>
      <c r="T3378" t="s">
        <v>69243</v>
      </c>
      <c r="U3378" t="s">
        <v>69244</v>
      </c>
      <c r="V3378" t="s">
        <v>69245</v>
      </c>
      <c r="W3378" t="s">
        <v>69246</v>
      </c>
      <c r="X3378" t="s">
        <v>69247</v>
      </c>
      <c r="Y3378" t="s">
        <v>69248</v>
      </c>
    </row>
    <row r="3379" spans="1:25" x14ac:dyDescent="0.3">
      <c r="A3379">
        <v>168900</v>
      </c>
      <c r="B3379" t="s">
        <v>69249</v>
      </c>
      <c r="C3379" t="s">
        <v>69250</v>
      </c>
      <c r="D3379" t="s">
        <v>69251</v>
      </c>
      <c r="E3379" t="s">
        <v>69252</v>
      </c>
      <c r="F3379" t="s">
        <v>69253</v>
      </c>
      <c r="G3379" t="s">
        <v>69254</v>
      </c>
      <c r="H3379" t="s">
        <v>69255</v>
      </c>
      <c r="I3379" t="s">
        <v>69256</v>
      </c>
      <c r="J3379" t="s">
        <v>69257</v>
      </c>
      <c r="K3379" t="s">
        <v>69258</v>
      </c>
      <c r="L3379" t="s">
        <v>69259</v>
      </c>
      <c r="M3379" t="s">
        <v>69260</v>
      </c>
      <c r="N3379" t="s">
        <v>69261</v>
      </c>
      <c r="O3379">
        <f>-964.820941781098 -23.9885181421137 -498.406118129097</f>
        <v>-1487.2155780523087</v>
      </c>
      <c r="P3379">
        <f>-986.123263062411 -50.5690326743866 -206.120426883641</f>
        <v>-1242.8127226204385</v>
      </c>
      <c r="Q3379">
        <f>-776.349870719393 -59.6409372662229 -324.288949101551</f>
        <v>-1160.2797570871669</v>
      </c>
      <c r="R3379" t="s">
        <v>69262</v>
      </c>
      <c r="S3379" t="s">
        <v>69263</v>
      </c>
      <c r="T3379" t="s">
        <v>69264</v>
      </c>
      <c r="U3379" t="s">
        <v>69265</v>
      </c>
      <c r="V3379" t="s">
        <v>69266</v>
      </c>
      <c r="W3379" t="s">
        <v>69267</v>
      </c>
      <c r="X3379" t="s">
        <v>69268</v>
      </c>
      <c r="Y3379" t="s">
        <v>69269</v>
      </c>
    </row>
    <row r="3380" spans="1:25" x14ac:dyDescent="0.3">
      <c r="A3380">
        <v>168950</v>
      </c>
      <c r="B3380" t="s">
        <v>69270</v>
      </c>
      <c r="C3380" t="s">
        <v>69271</v>
      </c>
      <c r="D3380" t="s">
        <v>69272</v>
      </c>
      <c r="E3380" t="s">
        <v>69273</v>
      </c>
      <c r="F3380" t="s">
        <v>69274</v>
      </c>
      <c r="G3380" t="s">
        <v>69275</v>
      </c>
      <c r="H3380" t="s">
        <v>69276</v>
      </c>
      <c r="I3380" t="s">
        <v>69277</v>
      </c>
      <c r="J3380" t="s">
        <v>69278</v>
      </c>
      <c r="K3380" t="s">
        <v>69279</v>
      </c>
      <c r="L3380" t="s">
        <v>69280</v>
      </c>
      <c r="M3380" t="s">
        <v>69281</v>
      </c>
      <c r="N3380" t="s">
        <v>69282</v>
      </c>
      <c r="O3380">
        <f>-964.61539305674 -24.1513525806263 -498.34212572568</f>
        <v>-1487.1088713630463</v>
      </c>
      <c r="P3380">
        <f>-985.593565899285 -50.6329182417981 -206.024114292711</f>
        <v>-1242.250598433794</v>
      </c>
      <c r="Q3380">
        <f>-775.914215459927 -59.7655669775759 -324.354400474738</f>
        <v>-1160.0341829122408</v>
      </c>
      <c r="R3380" t="s">
        <v>69283</v>
      </c>
      <c r="S3380" t="s">
        <v>69284</v>
      </c>
      <c r="T3380" t="s">
        <v>69285</v>
      </c>
      <c r="U3380" t="s">
        <v>69286</v>
      </c>
      <c r="V3380" t="s">
        <v>69287</v>
      </c>
      <c r="W3380" t="s">
        <v>69288</v>
      </c>
      <c r="X3380" t="s">
        <v>69289</v>
      </c>
      <c r="Y3380" t="s">
        <v>69290</v>
      </c>
    </row>
    <row r="3381" spans="1:25" x14ac:dyDescent="0.3">
      <c r="A3381">
        <v>169000</v>
      </c>
      <c r="B3381" t="s">
        <v>69291</v>
      </c>
      <c r="C3381" t="s">
        <v>69292</v>
      </c>
      <c r="D3381" t="s">
        <v>69293</v>
      </c>
      <c r="E3381" t="s">
        <v>69294</v>
      </c>
      <c r="F3381" t="s">
        <v>69295</v>
      </c>
      <c r="G3381" t="s">
        <v>69296</v>
      </c>
      <c r="H3381" t="s">
        <v>69297</v>
      </c>
      <c r="I3381" t="s">
        <v>69298</v>
      </c>
      <c r="J3381" t="s">
        <v>69299</v>
      </c>
      <c r="K3381" t="s">
        <v>69300</v>
      </c>
      <c r="L3381" t="s">
        <v>69301</v>
      </c>
      <c r="M3381" t="s">
        <v>69302</v>
      </c>
      <c r="N3381" t="s">
        <v>69303</v>
      </c>
      <c r="O3381">
        <f>-964.231467698469 -24.4899922299414 -498.194669820881</f>
        <v>-1486.9161297492915</v>
      </c>
      <c r="P3381">
        <f>-985.065244601979 -50.4982916084343 -205.823858514566</f>
        <v>-1241.3873947249792</v>
      </c>
      <c r="Q3381">
        <f>-775.748395017717 -59.8833637529037 -324.774689811672</f>
        <v>-1160.4064485822928</v>
      </c>
      <c r="R3381" t="s">
        <v>69304</v>
      </c>
      <c r="S3381" t="s">
        <v>69305</v>
      </c>
      <c r="T3381" t="s">
        <v>69306</v>
      </c>
      <c r="U3381" t="s">
        <v>69307</v>
      </c>
      <c r="V3381" t="s">
        <v>69308</v>
      </c>
      <c r="W3381" t="s">
        <v>69309</v>
      </c>
      <c r="X3381" t="s">
        <v>69310</v>
      </c>
      <c r="Y3381" t="s">
        <v>69311</v>
      </c>
    </row>
    <row r="3382" spans="1:25" x14ac:dyDescent="0.3">
      <c r="A3382">
        <v>169050</v>
      </c>
      <c r="B3382" t="s">
        <v>69312</v>
      </c>
      <c r="C3382" t="s">
        <v>69313</v>
      </c>
      <c r="D3382" t="s">
        <v>69314</v>
      </c>
      <c r="E3382" t="s">
        <v>69315</v>
      </c>
      <c r="F3382" t="s">
        <v>69316</v>
      </c>
      <c r="G3382" t="s">
        <v>69317</v>
      </c>
      <c r="H3382" t="s">
        <v>69318</v>
      </c>
      <c r="I3382" t="s">
        <v>69319</v>
      </c>
      <c r="J3382" t="s">
        <v>69320</v>
      </c>
      <c r="K3382" t="s">
        <v>69321</v>
      </c>
      <c r="L3382" t="s">
        <v>69322</v>
      </c>
      <c r="M3382" t="s">
        <v>69323</v>
      </c>
      <c r="N3382" t="s">
        <v>69324</v>
      </c>
      <c r="O3382">
        <f>-964.118084540672 -24.6592541096184 -498.159678023388</f>
        <v>-1486.9370166736785</v>
      </c>
      <c r="P3382">
        <f>-984.961539213442 -50.4601920752675 -205.771109367763</f>
        <v>-1241.1928406564725</v>
      </c>
      <c r="Q3382">
        <f>-775.747880981107 -60.0737406283838 -324.88478836245</f>
        <v>-1160.7064099719407</v>
      </c>
      <c r="R3382" t="s">
        <v>69325</v>
      </c>
      <c r="S3382" t="s">
        <v>69326</v>
      </c>
      <c r="T3382" t="s">
        <v>69327</v>
      </c>
      <c r="U3382" t="s">
        <v>69328</v>
      </c>
      <c r="V3382" t="s">
        <v>69329</v>
      </c>
      <c r="W3382" t="s">
        <v>69330</v>
      </c>
      <c r="X3382" t="s">
        <v>69331</v>
      </c>
      <c r="Y3382" t="s">
        <v>69332</v>
      </c>
    </row>
    <row r="3383" spans="1:25" x14ac:dyDescent="0.3">
      <c r="A3383">
        <v>169100</v>
      </c>
      <c r="B3383" t="s">
        <v>69333</v>
      </c>
      <c r="C3383" t="s">
        <v>69334</v>
      </c>
      <c r="D3383" t="s">
        <v>69335</v>
      </c>
      <c r="E3383" t="s">
        <v>69336</v>
      </c>
      <c r="F3383" t="s">
        <v>69337</v>
      </c>
      <c r="G3383" t="s">
        <v>69338</v>
      </c>
      <c r="H3383" t="s">
        <v>69339</v>
      </c>
      <c r="I3383" t="s">
        <v>69340</v>
      </c>
      <c r="J3383" t="s">
        <v>69341</v>
      </c>
      <c r="K3383" t="s">
        <v>69342</v>
      </c>
      <c r="L3383" t="s">
        <v>69343</v>
      </c>
      <c r="M3383" t="s">
        <v>69344</v>
      </c>
      <c r="N3383" t="s">
        <v>69345</v>
      </c>
      <c r="O3383">
        <f>-963.909966461247 -24.7317739675627 -498.082218808088</f>
        <v>-1486.7239592368978</v>
      </c>
      <c r="P3383">
        <f>-984.811109093345 -50.3854029279817 -205.684845131286</f>
        <v>-1240.8813571526127</v>
      </c>
      <c r="Q3383">
        <f>-775.659280826373 -60.5492580170187 -324.861614104632</f>
        <v>-1161.0701529480236</v>
      </c>
      <c r="R3383" t="s">
        <v>69346</v>
      </c>
      <c r="S3383" t="s">
        <v>69347</v>
      </c>
      <c r="T3383" t="s">
        <v>69348</v>
      </c>
      <c r="U3383" t="s">
        <v>69349</v>
      </c>
      <c r="V3383" t="s">
        <v>69350</v>
      </c>
      <c r="W3383" t="s">
        <v>69351</v>
      </c>
      <c r="X3383" t="s">
        <v>69352</v>
      </c>
      <c r="Y3383" t="s">
        <v>69353</v>
      </c>
    </row>
    <row r="3384" spans="1:25" x14ac:dyDescent="0.3">
      <c r="A3384">
        <v>169150</v>
      </c>
      <c r="B3384" t="s">
        <v>69354</v>
      </c>
      <c r="C3384" t="s">
        <v>69355</v>
      </c>
      <c r="D3384" t="s">
        <v>69356</v>
      </c>
      <c r="E3384" t="s">
        <v>69357</v>
      </c>
      <c r="F3384" t="s">
        <v>69358</v>
      </c>
      <c r="G3384" t="s">
        <v>69359</v>
      </c>
      <c r="H3384" t="s">
        <v>69360</v>
      </c>
      <c r="I3384" t="s">
        <v>69361</v>
      </c>
      <c r="J3384" t="s">
        <v>69362</v>
      </c>
      <c r="K3384" t="s">
        <v>69363</v>
      </c>
      <c r="L3384" t="s">
        <v>69364</v>
      </c>
      <c r="M3384" t="s">
        <v>69365</v>
      </c>
      <c r="N3384" t="s">
        <v>69366</v>
      </c>
      <c r="O3384">
        <f>-963.813384419979 -24.7378791634342 -498.060153082652</f>
        <v>-1486.6114166660652</v>
      </c>
      <c r="P3384">
        <f>-984.749831726548 -50.2514178271756 -205.653114113596</f>
        <v>-1240.6543636673196</v>
      </c>
      <c r="Q3384">
        <f>-775.601856701842 -60.8075420690436 -324.802456022392</f>
        <v>-1161.2118547932778</v>
      </c>
      <c r="R3384" t="s">
        <v>69367</v>
      </c>
      <c r="S3384" t="s">
        <v>69368</v>
      </c>
      <c r="T3384" t="s">
        <v>69369</v>
      </c>
      <c r="U3384" t="s">
        <v>69370</v>
      </c>
      <c r="V3384" t="s">
        <v>69371</v>
      </c>
      <c r="W3384" t="s">
        <v>69372</v>
      </c>
      <c r="X3384" t="s">
        <v>69373</v>
      </c>
      <c r="Y3384" t="s">
        <v>69374</v>
      </c>
    </row>
    <row r="3385" spans="1:25" x14ac:dyDescent="0.3">
      <c r="A3385">
        <v>169200</v>
      </c>
      <c r="B3385" t="s">
        <v>69375</v>
      </c>
      <c r="C3385" t="s">
        <v>69376</v>
      </c>
      <c r="D3385" t="s">
        <v>69377</v>
      </c>
      <c r="E3385" t="s">
        <v>69378</v>
      </c>
      <c r="F3385" t="s">
        <v>69379</v>
      </c>
      <c r="G3385" t="s">
        <v>69380</v>
      </c>
      <c r="H3385" t="s">
        <v>69381</v>
      </c>
      <c r="I3385" t="s">
        <v>69382</v>
      </c>
      <c r="J3385" t="s">
        <v>69383</v>
      </c>
      <c r="K3385" t="s">
        <v>69384</v>
      </c>
      <c r="L3385" t="s">
        <v>69385</v>
      </c>
      <c r="M3385" t="s">
        <v>69386</v>
      </c>
      <c r="N3385" t="s">
        <v>69387</v>
      </c>
      <c r="O3385">
        <f>-963.519884535974 -24.9470859387293 -497.987716461139</f>
        <v>-1486.4546869358423</v>
      </c>
      <c r="P3385">
        <f>-984.561578476061 -50.0026610624145 -205.548593117999</f>
        <v>-1240.1128326564744</v>
      </c>
      <c r="Q3385">
        <f>-775.459007570186 -61.6211148203058 -324.67884518927</f>
        <v>-1161.7589675797619</v>
      </c>
      <c r="R3385" t="s">
        <v>69388</v>
      </c>
      <c r="S3385" t="s">
        <v>69389</v>
      </c>
      <c r="T3385" t="s">
        <v>69390</v>
      </c>
      <c r="U3385" t="s">
        <v>69391</v>
      </c>
      <c r="V3385" t="s">
        <v>69392</v>
      </c>
      <c r="W3385" t="s">
        <v>69393</v>
      </c>
      <c r="X3385" t="s">
        <v>69394</v>
      </c>
      <c r="Y3385" t="s">
        <v>69395</v>
      </c>
    </row>
    <row r="3386" spans="1:25" x14ac:dyDescent="0.3">
      <c r="A3386">
        <v>169250</v>
      </c>
      <c r="B3386" t="s">
        <v>69396</v>
      </c>
      <c r="C3386" t="s">
        <v>69397</v>
      </c>
      <c r="D3386" t="s">
        <v>69398</v>
      </c>
      <c r="E3386" t="s">
        <v>69399</v>
      </c>
      <c r="F3386" t="s">
        <v>69400</v>
      </c>
      <c r="G3386" t="s">
        <v>69401</v>
      </c>
      <c r="H3386" t="s">
        <v>69402</v>
      </c>
      <c r="I3386" t="s">
        <v>69403</v>
      </c>
      <c r="J3386" t="s">
        <v>69404</v>
      </c>
      <c r="K3386" t="s">
        <v>69405</v>
      </c>
      <c r="L3386" t="s">
        <v>69406</v>
      </c>
      <c r="M3386" t="s">
        <v>69407</v>
      </c>
      <c r="N3386" t="s">
        <v>69408</v>
      </c>
      <c r="O3386">
        <f>-963.394746359406 -24.951382350826 -497.953619330197</f>
        <v>-1486.299748040429</v>
      </c>
      <c r="P3386">
        <f>-984.466524261602 -49.7752498557484 -205.496864301693</f>
        <v>-1239.7386384190434</v>
      </c>
      <c r="Q3386">
        <f>-775.382558002274 -61.8018804153419 -324.619556314055</f>
        <v>-1161.8039947316709</v>
      </c>
      <c r="R3386" t="s">
        <v>69409</v>
      </c>
      <c r="S3386" t="s">
        <v>69410</v>
      </c>
      <c r="T3386" t="s">
        <v>69411</v>
      </c>
      <c r="U3386" t="s">
        <v>69412</v>
      </c>
      <c r="V3386" t="s">
        <v>69413</v>
      </c>
      <c r="W3386" t="s">
        <v>69414</v>
      </c>
      <c r="X3386" t="s">
        <v>69415</v>
      </c>
      <c r="Y3386" t="s">
        <v>69416</v>
      </c>
    </row>
    <row r="3387" spans="1:25" x14ac:dyDescent="0.3">
      <c r="A3387">
        <v>169300</v>
      </c>
      <c r="B3387" t="s">
        <v>69417</v>
      </c>
      <c r="C3387" t="s">
        <v>69418</v>
      </c>
      <c r="D3387" t="s">
        <v>69419</v>
      </c>
      <c r="E3387" t="s">
        <v>69420</v>
      </c>
      <c r="F3387" t="s">
        <v>69421</v>
      </c>
      <c r="G3387" t="s">
        <v>69422</v>
      </c>
      <c r="H3387" t="s">
        <v>69423</v>
      </c>
      <c r="I3387" t="s">
        <v>69424</v>
      </c>
      <c r="J3387" t="s">
        <v>69425</v>
      </c>
      <c r="K3387" t="s">
        <v>69426</v>
      </c>
      <c r="L3387" t="s">
        <v>69427</v>
      </c>
      <c r="M3387" t="s">
        <v>69428</v>
      </c>
      <c r="N3387" t="s">
        <v>69429</v>
      </c>
      <c r="O3387">
        <f>-963.379604933887 -24.8508974807155 -497.909317357777</f>
        <v>-1486.1398197723795</v>
      </c>
      <c r="P3387">
        <f>-984.402786240128 -49.4147818723993 -205.427129538021</f>
        <v>-1239.2446976505482</v>
      </c>
      <c r="Q3387">
        <f>-775.447717190844 -61.9361708849531 -324.724452931908</f>
        <v>-1162.1083410077049</v>
      </c>
      <c r="R3387" t="s">
        <v>69430</v>
      </c>
      <c r="S3387" t="s">
        <v>69431</v>
      </c>
      <c r="T3387" t="s">
        <v>69432</v>
      </c>
      <c r="U3387" t="s">
        <v>69433</v>
      </c>
      <c r="V3387" t="s">
        <v>69434</v>
      </c>
      <c r="W3387" t="s">
        <v>69435</v>
      </c>
      <c r="X3387" t="s">
        <v>69436</v>
      </c>
      <c r="Y3387" t="s">
        <v>69437</v>
      </c>
    </row>
    <row r="3388" spans="1:25" x14ac:dyDescent="0.3">
      <c r="A3388">
        <v>169350</v>
      </c>
      <c r="B3388" t="s">
        <v>69438</v>
      </c>
      <c r="C3388" t="s">
        <v>69439</v>
      </c>
      <c r="D3388" t="s">
        <v>69440</v>
      </c>
      <c r="E3388" t="s">
        <v>69441</v>
      </c>
      <c r="F3388" t="s">
        <v>69442</v>
      </c>
      <c r="G3388" t="s">
        <v>69443</v>
      </c>
      <c r="H3388" t="s">
        <v>69444</v>
      </c>
      <c r="I3388" t="s">
        <v>69445</v>
      </c>
      <c r="J3388" t="s">
        <v>69446</v>
      </c>
      <c r="K3388" t="s">
        <v>69447</v>
      </c>
      <c r="L3388" t="s">
        <v>69448</v>
      </c>
      <c r="M3388" t="s">
        <v>69449</v>
      </c>
      <c r="N3388" t="s">
        <v>69450</v>
      </c>
      <c r="O3388">
        <f>-963.230596385279 -24.8127292152726 -497.882833487611</f>
        <v>-1485.9261590881626</v>
      </c>
      <c r="P3388">
        <f>-984.136065580505 -49.298982183919 -205.3856388154</f>
        <v>-1238.820686579824</v>
      </c>
      <c r="Q3388">
        <f>-775.295839841635 -61.9712603645517 -324.868311993474</f>
        <v>-1162.1354121996605</v>
      </c>
      <c r="R3388" t="s">
        <v>69451</v>
      </c>
      <c r="S3388" t="s">
        <v>69452</v>
      </c>
      <c r="T3388" t="s">
        <v>69453</v>
      </c>
      <c r="U3388" t="s">
        <v>69454</v>
      </c>
      <c r="V3388" t="s">
        <v>69455</v>
      </c>
      <c r="W3388" t="s">
        <v>69456</v>
      </c>
      <c r="X3388" t="s">
        <v>69457</v>
      </c>
      <c r="Y3388" t="s">
        <v>69458</v>
      </c>
    </row>
    <row r="3389" spans="1:25" x14ac:dyDescent="0.3">
      <c r="A3389">
        <v>169400</v>
      </c>
      <c r="B3389" t="s">
        <v>69459</v>
      </c>
      <c r="C3389" t="s">
        <v>69460</v>
      </c>
      <c r="D3389" t="s">
        <v>69461</v>
      </c>
      <c r="E3389" t="s">
        <v>69462</v>
      </c>
      <c r="F3389" t="s">
        <v>69463</v>
      </c>
      <c r="G3389" t="s">
        <v>69464</v>
      </c>
      <c r="H3389" t="s">
        <v>69465</v>
      </c>
      <c r="I3389" t="s">
        <v>69466</v>
      </c>
      <c r="J3389" t="s">
        <v>69467</v>
      </c>
      <c r="K3389" t="s">
        <v>69468</v>
      </c>
      <c r="L3389" t="s">
        <v>69469</v>
      </c>
      <c r="M3389" t="s">
        <v>69470</v>
      </c>
      <c r="N3389" t="s">
        <v>69471</v>
      </c>
      <c r="O3389">
        <f>-962.724331796888 -25.0251237477887 -497.817753571696</f>
        <v>-1485.5672091163729</v>
      </c>
      <c r="P3389">
        <f>-983.406782929545 -49.4217090726888 -205.297307412602</f>
        <v>-1238.1257994148359</v>
      </c>
      <c r="Q3389">
        <f>-774.854192521883 -62.1000081763659 -325.280500160054</f>
        <v>-1162.2347008583029</v>
      </c>
      <c r="R3389" t="s">
        <v>69472</v>
      </c>
      <c r="S3389" t="s">
        <v>69473</v>
      </c>
      <c r="T3389" t="s">
        <v>69474</v>
      </c>
      <c r="U3389" t="s">
        <v>69475</v>
      </c>
      <c r="V3389" t="s">
        <v>69476</v>
      </c>
      <c r="W3389" t="s">
        <v>69477</v>
      </c>
      <c r="X3389" t="s">
        <v>69478</v>
      </c>
      <c r="Y3389" t="s">
        <v>69479</v>
      </c>
    </row>
    <row r="3390" spans="1:25" x14ac:dyDescent="0.3">
      <c r="A3390">
        <v>169450</v>
      </c>
      <c r="B3390" t="s">
        <v>69480</v>
      </c>
      <c r="C3390" t="s">
        <v>69481</v>
      </c>
      <c r="D3390" t="s">
        <v>69482</v>
      </c>
      <c r="E3390" t="s">
        <v>69483</v>
      </c>
      <c r="F3390" t="s">
        <v>69484</v>
      </c>
      <c r="G3390" t="s">
        <v>69485</v>
      </c>
      <c r="H3390" t="s">
        <v>69486</v>
      </c>
      <c r="I3390" t="s">
        <v>69487</v>
      </c>
      <c r="J3390" t="s">
        <v>69488</v>
      </c>
      <c r="K3390" t="s">
        <v>69489</v>
      </c>
      <c r="L3390" t="s">
        <v>69490</v>
      </c>
      <c r="M3390" t="s">
        <v>69491</v>
      </c>
      <c r="N3390" t="s">
        <v>69492</v>
      </c>
      <c r="O3390">
        <f>-962.453001749003 -25.1311916688351 -497.799720207468</f>
        <v>-1485.3839136253059</v>
      </c>
      <c r="P3390">
        <f>-983.090619205949 -49.5440571256561 -205.277388685175</f>
        <v>-1237.9120650167802</v>
      </c>
      <c r="Q3390">
        <f>-774.618308595941 -61.8774176913246 -325.435295691642</f>
        <v>-1161.9310219789077</v>
      </c>
      <c r="R3390" t="s">
        <v>69493</v>
      </c>
      <c r="S3390" t="s">
        <v>69494</v>
      </c>
      <c r="T3390" t="s">
        <v>69495</v>
      </c>
      <c r="U3390" t="s">
        <v>69496</v>
      </c>
      <c r="V3390" t="s">
        <v>69497</v>
      </c>
      <c r="W3390" t="s">
        <v>69498</v>
      </c>
      <c r="X3390" t="s">
        <v>69499</v>
      </c>
      <c r="Y3390" t="s">
        <v>69500</v>
      </c>
    </row>
    <row r="3391" spans="1:25" x14ac:dyDescent="0.3">
      <c r="A3391">
        <v>169500</v>
      </c>
      <c r="B3391" t="s">
        <v>69501</v>
      </c>
      <c r="C3391" t="s">
        <v>69502</v>
      </c>
      <c r="D3391" t="s">
        <v>69503</v>
      </c>
      <c r="E3391" t="s">
        <v>69504</v>
      </c>
      <c r="F3391" t="s">
        <v>69505</v>
      </c>
      <c r="G3391" t="s">
        <v>69506</v>
      </c>
      <c r="H3391" t="s">
        <v>69507</v>
      </c>
      <c r="I3391" t="s">
        <v>69508</v>
      </c>
      <c r="J3391" t="s">
        <v>69509</v>
      </c>
      <c r="K3391" t="s">
        <v>69510</v>
      </c>
      <c r="L3391" t="s">
        <v>69511</v>
      </c>
      <c r="M3391" t="s">
        <v>69512</v>
      </c>
      <c r="N3391" t="s">
        <v>69513</v>
      </c>
      <c r="O3391">
        <f>-961.852085507585 -25.3390081884081 -497.789619863212</f>
        <v>-1484.980713559205</v>
      </c>
      <c r="P3391">
        <f>-982.462824739131 -49.6865871338057 -205.259924646469</f>
        <v>-1237.4093365194058</v>
      </c>
      <c r="Q3391">
        <f>-774.091028317423 -61.6006871828913 -325.63495046726</f>
        <v>-1161.3266659675744</v>
      </c>
      <c r="R3391" t="s">
        <v>69514</v>
      </c>
      <c r="S3391" t="s">
        <v>69515</v>
      </c>
      <c r="T3391" t="s">
        <v>69516</v>
      </c>
      <c r="U3391" t="s">
        <v>69517</v>
      </c>
      <c r="V3391" t="s">
        <v>69518</v>
      </c>
      <c r="W3391" t="s">
        <v>69519</v>
      </c>
      <c r="X3391" t="s">
        <v>69520</v>
      </c>
      <c r="Y3391" t="s">
        <v>69521</v>
      </c>
    </row>
    <row r="3392" spans="1:25" x14ac:dyDescent="0.3">
      <c r="A3392">
        <v>169550</v>
      </c>
      <c r="B3392" t="s">
        <v>69522</v>
      </c>
      <c r="C3392" t="s">
        <v>69523</v>
      </c>
      <c r="D3392" t="s">
        <v>69524</v>
      </c>
      <c r="E3392" t="s">
        <v>69525</v>
      </c>
      <c r="F3392" t="s">
        <v>69526</v>
      </c>
      <c r="G3392" t="s">
        <v>69527</v>
      </c>
      <c r="H3392" t="s">
        <v>69528</v>
      </c>
      <c r="I3392" t="s">
        <v>69529</v>
      </c>
      <c r="J3392" t="s">
        <v>69530</v>
      </c>
      <c r="K3392" t="s">
        <v>69531</v>
      </c>
      <c r="L3392" t="s">
        <v>69532</v>
      </c>
      <c r="M3392" t="s">
        <v>69533</v>
      </c>
      <c r="N3392" t="s">
        <v>69534</v>
      </c>
      <c r="O3392">
        <f>-961.709084806487 -25.358025499841 -497.780101574147</f>
        <v>-1484.847211880475</v>
      </c>
      <c r="P3392">
        <f>-982.215179993708 -49.6784939313025 -205.240796054797</f>
        <v>-1237.1344699798074</v>
      </c>
      <c r="Q3392">
        <f>-773.89884473996 -61.5295853918328 -325.717932095876</f>
        <v>-1161.1463622276688</v>
      </c>
      <c r="R3392" t="s">
        <v>69535</v>
      </c>
      <c r="S3392" t="s">
        <v>69536</v>
      </c>
      <c r="T3392" t="s">
        <v>69537</v>
      </c>
      <c r="U3392" t="s">
        <v>69538</v>
      </c>
      <c r="V3392" t="s">
        <v>69539</v>
      </c>
      <c r="W3392" t="s">
        <v>69540</v>
      </c>
      <c r="X3392" t="s">
        <v>69541</v>
      </c>
      <c r="Y3392" t="s">
        <v>69542</v>
      </c>
    </row>
    <row r="3393" spans="1:25" x14ac:dyDescent="0.3">
      <c r="A3393">
        <v>169600</v>
      </c>
      <c r="B3393" t="s">
        <v>69543</v>
      </c>
      <c r="C3393" t="s">
        <v>69544</v>
      </c>
      <c r="D3393" t="s">
        <v>69545</v>
      </c>
      <c r="E3393" t="s">
        <v>69546</v>
      </c>
      <c r="F3393" t="s">
        <v>69547</v>
      </c>
      <c r="G3393" t="s">
        <v>69548</v>
      </c>
      <c r="H3393" t="s">
        <v>69549</v>
      </c>
      <c r="I3393" t="s">
        <v>69550</v>
      </c>
      <c r="J3393" t="s">
        <v>69551</v>
      </c>
      <c r="K3393" t="s">
        <v>69552</v>
      </c>
      <c r="L3393" t="s">
        <v>69553</v>
      </c>
      <c r="M3393" t="s">
        <v>69554</v>
      </c>
      <c r="N3393" t="s">
        <v>69555</v>
      </c>
      <c r="O3393">
        <f>-961.390735894294 -25.3796361452878 -497.805604011573</f>
        <v>-1484.5759760511548</v>
      </c>
      <c r="P3393">
        <f>-981.769493759603 -49.670031500043 -205.254865486135</f>
        <v>-1236.694390745781</v>
      </c>
      <c r="Q3393">
        <f>-773.509800452561 -61.7139363269273 -325.810719948107</f>
        <v>-1161.0344567275952</v>
      </c>
      <c r="R3393" t="s">
        <v>69556</v>
      </c>
      <c r="S3393" t="s">
        <v>69557</v>
      </c>
      <c r="T3393" t="s">
        <v>69558</v>
      </c>
      <c r="U3393" t="s">
        <v>69559</v>
      </c>
      <c r="V3393" t="s">
        <v>69560</v>
      </c>
      <c r="W3393" t="s">
        <v>69561</v>
      </c>
      <c r="X3393" t="s">
        <v>69562</v>
      </c>
      <c r="Y3393" t="s">
        <v>69563</v>
      </c>
    </row>
    <row r="3394" spans="1:25" x14ac:dyDescent="0.3">
      <c r="A3394">
        <v>169650</v>
      </c>
      <c r="B3394" t="s">
        <v>69564</v>
      </c>
      <c r="C3394" t="s">
        <v>69565</v>
      </c>
      <c r="D3394" t="s">
        <v>69566</v>
      </c>
      <c r="E3394" t="s">
        <v>69567</v>
      </c>
      <c r="F3394" t="s">
        <v>69568</v>
      </c>
      <c r="G3394" t="s">
        <v>69569</v>
      </c>
      <c r="H3394" t="s">
        <v>69570</v>
      </c>
      <c r="I3394" t="s">
        <v>69571</v>
      </c>
      <c r="J3394" t="s">
        <v>69572</v>
      </c>
      <c r="K3394" t="s">
        <v>69573</v>
      </c>
      <c r="L3394" t="s">
        <v>69574</v>
      </c>
      <c r="M3394" t="s">
        <v>69575</v>
      </c>
      <c r="N3394" t="s">
        <v>69576</v>
      </c>
      <c r="O3394">
        <f>-961.358352338869 -25.3834714992713 -497.801999059728</f>
        <v>-1484.5438228978683</v>
      </c>
      <c r="P3394">
        <f>-981.736135091652 -49.6403844585291 -205.248446551446</f>
        <v>-1236.6249661016273</v>
      </c>
      <c r="Q3394">
        <f>-773.515819451372 -61.7564654323339 -325.865430370961</f>
        <v>-1161.137715254667</v>
      </c>
      <c r="R3394" t="s">
        <v>69577</v>
      </c>
      <c r="S3394" t="s">
        <v>69578</v>
      </c>
      <c r="T3394" t="s">
        <v>69579</v>
      </c>
      <c r="U3394" t="s">
        <v>69580</v>
      </c>
      <c r="V3394" t="s">
        <v>69581</v>
      </c>
      <c r="W3394" t="s">
        <v>69582</v>
      </c>
      <c r="X3394" t="s">
        <v>69583</v>
      </c>
      <c r="Y3394" t="s">
        <v>69584</v>
      </c>
    </row>
    <row r="3395" spans="1:25" x14ac:dyDescent="0.3">
      <c r="A3395">
        <v>169700</v>
      </c>
      <c r="B3395" t="s">
        <v>69585</v>
      </c>
      <c r="C3395" t="s">
        <v>69586</v>
      </c>
      <c r="D3395" t="s">
        <v>69587</v>
      </c>
      <c r="E3395" t="s">
        <v>69588</v>
      </c>
      <c r="F3395" t="s">
        <v>69589</v>
      </c>
      <c r="G3395" t="s">
        <v>69590</v>
      </c>
      <c r="H3395" t="s">
        <v>69591</v>
      </c>
      <c r="I3395" t="s">
        <v>69592</v>
      </c>
      <c r="J3395" t="s">
        <v>69593</v>
      </c>
      <c r="K3395" t="s">
        <v>69594</v>
      </c>
      <c r="L3395" t="s">
        <v>69595</v>
      </c>
      <c r="M3395" t="s">
        <v>69596</v>
      </c>
      <c r="N3395" t="s">
        <v>69597</v>
      </c>
      <c r="O3395">
        <f>-961.232756570035 -25.331067502269 -497.761604687148</f>
        <v>-1484.3254287594521</v>
      </c>
      <c r="P3395">
        <f>-981.634252531924 -49.3706866616749 -205.191879585368</f>
        <v>-1236.1968187789669</v>
      </c>
      <c r="Q3395">
        <f>-773.4627085166 -61.8576158493147 -325.854553676587</f>
        <v>-1161.1748780425016</v>
      </c>
      <c r="R3395" t="s">
        <v>69598</v>
      </c>
      <c r="S3395" t="s">
        <v>69599</v>
      </c>
      <c r="T3395" t="s">
        <v>69600</v>
      </c>
      <c r="U3395" t="s">
        <v>69601</v>
      </c>
      <c r="V3395" t="s">
        <v>69602</v>
      </c>
      <c r="W3395" t="s">
        <v>69603</v>
      </c>
      <c r="X3395" t="s">
        <v>69604</v>
      </c>
      <c r="Y3395" t="s">
        <v>69605</v>
      </c>
    </row>
    <row r="3396" spans="1:25" x14ac:dyDescent="0.3">
      <c r="A3396">
        <v>169750</v>
      </c>
      <c r="B3396" t="s">
        <v>69606</v>
      </c>
      <c r="C3396" t="s">
        <v>69607</v>
      </c>
      <c r="D3396" t="s">
        <v>69608</v>
      </c>
      <c r="E3396" t="s">
        <v>69609</v>
      </c>
      <c r="F3396" t="s">
        <v>69610</v>
      </c>
      <c r="G3396" t="s">
        <v>69611</v>
      </c>
      <c r="H3396" t="s">
        <v>69612</v>
      </c>
      <c r="I3396" t="s">
        <v>69613</v>
      </c>
      <c r="J3396" t="s">
        <v>69614</v>
      </c>
      <c r="K3396" t="s">
        <v>69615</v>
      </c>
      <c r="L3396" t="s">
        <v>69616</v>
      </c>
      <c r="M3396" t="s">
        <v>69617</v>
      </c>
      <c r="N3396" t="s">
        <v>69618</v>
      </c>
      <c r="O3396">
        <f>-961.070485914949 -25.2934880028974 -497.770880209684</f>
        <v>-1484.1348541275304</v>
      </c>
      <c r="P3396">
        <f>-981.53831102747 -49.2529950371809 -205.19920476158</f>
        <v>-1235.9905108262308</v>
      </c>
      <c r="Q3396">
        <f>-773.336714378887 -61.9219263658317 -325.791286255397</f>
        <v>-1161.0499270001158</v>
      </c>
      <c r="R3396" t="s">
        <v>69619</v>
      </c>
      <c r="S3396" t="s">
        <v>69620</v>
      </c>
      <c r="T3396" t="s">
        <v>69621</v>
      </c>
      <c r="U3396" t="s">
        <v>69622</v>
      </c>
      <c r="V3396" t="s">
        <v>69623</v>
      </c>
      <c r="W3396" t="s">
        <v>69624</v>
      </c>
      <c r="X3396" t="s">
        <v>69625</v>
      </c>
      <c r="Y3396" t="s">
        <v>69626</v>
      </c>
    </row>
    <row r="3397" spans="1:25" x14ac:dyDescent="0.3">
      <c r="A3397">
        <v>169800</v>
      </c>
      <c r="B3397" t="s">
        <v>69627</v>
      </c>
      <c r="C3397" t="s">
        <v>69628</v>
      </c>
      <c r="D3397" t="s">
        <v>69629</v>
      </c>
      <c r="E3397" t="s">
        <v>69630</v>
      </c>
      <c r="F3397" t="s">
        <v>69631</v>
      </c>
      <c r="G3397" t="s">
        <v>69632</v>
      </c>
      <c r="H3397" t="s">
        <v>69633</v>
      </c>
      <c r="I3397" t="s">
        <v>69634</v>
      </c>
      <c r="J3397" t="s">
        <v>69635</v>
      </c>
      <c r="K3397" t="s">
        <v>69636</v>
      </c>
      <c r="L3397" t="s">
        <v>69637</v>
      </c>
      <c r="M3397" t="s">
        <v>69638</v>
      </c>
      <c r="N3397" t="s">
        <v>69639</v>
      </c>
      <c r="O3397">
        <f>-961.11110678573 -25.2526078736837 -497.786586702885</f>
        <v>-1484.1503013622987</v>
      </c>
      <c r="P3397">
        <f>-981.713872142473 -49.1148880585047 -205.216357246041</f>
        <v>-1236.0451174470188</v>
      </c>
      <c r="Q3397">
        <f>-773.416991848524 -62.0915654706055 -325.610964832775</f>
        <v>-1161.1195221519044</v>
      </c>
      <c r="R3397" t="s">
        <v>69640</v>
      </c>
      <c r="S3397" t="s">
        <v>69641</v>
      </c>
      <c r="T3397" t="s">
        <v>69642</v>
      </c>
      <c r="U3397" t="s">
        <v>69643</v>
      </c>
      <c r="V3397" t="s">
        <v>69644</v>
      </c>
      <c r="W3397" t="s">
        <v>69645</v>
      </c>
      <c r="X3397" t="s">
        <v>69646</v>
      </c>
      <c r="Y3397" t="s">
        <v>69647</v>
      </c>
    </row>
    <row r="3398" spans="1:25" x14ac:dyDescent="0.3">
      <c r="A3398">
        <v>169850</v>
      </c>
      <c r="B3398" t="s">
        <v>69648</v>
      </c>
      <c r="C3398" t="s">
        <v>69649</v>
      </c>
      <c r="D3398" t="s">
        <v>69650</v>
      </c>
      <c r="E3398" t="s">
        <v>69651</v>
      </c>
      <c r="F3398" t="s">
        <v>69652</v>
      </c>
      <c r="G3398" t="s">
        <v>69653</v>
      </c>
      <c r="H3398" t="s">
        <v>69654</v>
      </c>
      <c r="I3398" t="s">
        <v>69655</v>
      </c>
      <c r="J3398" t="s">
        <v>69656</v>
      </c>
      <c r="K3398" t="s">
        <v>69657</v>
      </c>
      <c r="L3398" t="s">
        <v>69658</v>
      </c>
      <c r="M3398" t="s">
        <v>69659</v>
      </c>
      <c r="N3398" t="s">
        <v>69660</v>
      </c>
      <c r="O3398">
        <f>-961.134083337315 -25.3202564146582 -497.772403004005</f>
        <v>-1484.2267427559782</v>
      </c>
      <c r="P3398">
        <f>-981.808939467722 -49.141721094197 -205.204071985865</f>
        <v>-1236.1547325477841</v>
      </c>
      <c r="Q3398">
        <f>-773.469428909485 -62.1927271254915 -325.516737640031</f>
        <v>-1161.1788936750077</v>
      </c>
      <c r="R3398" t="s">
        <v>69661</v>
      </c>
      <c r="S3398" t="s">
        <v>69662</v>
      </c>
      <c r="T3398" t="s">
        <v>69663</v>
      </c>
      <c r="U3398" t="s">
        <v>69664</v>
      </c>
      <c r="V3398" t="s">
        <v>69665</v>
      </c>
      <c r="W3398" t="s">
        <v>69666</v>
      </c>
      <c r="X3398" t="s">
        <v>69667</v>
      </c>
      <c r="Y3398" t="s">
        <v>69668</v>
      </c>
    </row>
    <row r="3399" spans="1:25" x14ac:dyDescent="0.3">
      <c r="A3399">
        <v>169900</v>
      </c>
      <c r="B3399" t="s">
        <v>69669</v>
      </c>
      <c r="C3399" t="s">
        <v>69670</v>
      </c>
      <c r="D3399" t="s">
        <v>69671</v>
      </c>
      <c r="E3399" t="s">
        <v>69672</v>
      </c>
      <c r="F3399" t="s">
        <v>69673</v>
      </c>
      <c r="G3399" t="s">
        <v>69674</v>
      </c>
      <c r="H3399" t="s">
        <v>69675</v>
      </c>
      <c r="I3399" t="s">
        <v>69676</v>
      </c>
      <c r="J3399" t="s">
        <v>69677</v>
      </c>
      <c r="K3399" t="s">
        <v>69678</v>
      </c>
      <c r="L3399" t="s">
        <v>69679</v>
      </c>
      <c r="M3399" t="s">
        <v>69680</v>
      </c>
      <c r="N3399" t="s">
        <v>69681</v>
      </c>
      <c r="O3399">
        <f>-961.333807086841 -25.3123040886885 -497.710758954938</f>
        <v>-1484.3568701304675</v>
      </c>
      <c r="P3399">
        <f>-982.035457512314 -48.8409116434095 -205.120539299152</f>
        <v>-1235.9969084548754</v>
      </c>
      <c r="Q3399">
        <f>-773.801139768111 -62.4420202816768 -325.554653472865</f>
        <v>-1161.7978135226529</v>
      </c>
      <c r="R3399" t="s">
        <v>69682</v>
      </c>
      <c r="S3399" t="s">
        <v>69683</v>
      </c>
      <c r="T3399" t="s">
        <v>69684</v>
      </c>
      <c r="U3399" t="s">
        <v>69685</v>
      </c>
      <c r="V3399" t="s">
        <v>69686</v>
      </c>
      <c r="W3399" t="s">
        <v>69687</v>
      </c>
      <c r="X3399" t="s">
        <v>69688</v>
      </c>
      <c r="Y3399" t="s">
        <v>69689</v>
      </c>
    </row>
    <row r="3400" spans="1:25" x14ac:dyDescent="0.3">
      <c r="A3400">
        <v>169950</v>
      </c>
      <c r="B3400" t="s">
        <v>69690</v>
      </c>
      <c r="C3400" t="s">
        <v>69691</v>
      </c>
      <c r="D3400" t="s">
        <v>69692</v>
      </c>
      <c r="E3400" t="s">
        <v>69693</v>
      </c>
      <c r="F3400" t="s">
        <v>69694</v>
      </c>
      <c r="G3400" t="s">
        <v>69695</v>
      </c>
      <c r="H3400" t="s">
        <v>69696</v>
      </c>
      <c r="I3400" t="s">
        <v>69697</v>
      </c>
      <c r="J3400" t="s">
        <v>69698</v>
      </c>
      <c r="K3400" t="s">
        <v>69699</v>
      </c>
      <c r="L3400" t="s">
        <v>69700</v>
      </c>
      <c r="M3400" t="s">
        <v>69701</v>
      </c>
      <c r="N3400" t="s">
        <v>69702</v>
      </c>
      <c r="O3400">
        <f>-961.453451750038 -25.3365678117807 -497.684604240276</f>
        <v>-1484.4746238020946</v>
      </c>
      <c r="P3400">
        <f>-982.073757233035 -48.7845206683278 -205.082212756142</f>
        <v>-1235.9404906575051</v>
      </c>
      <c r="Q3400">
        <f>-773.891026986737 -62.5629610131423 -325.585214508641</f>
        <v>-1162.0392025085202</v>
      </c>
      <c r="R3400" t="s">
        <v>69703</v>
      </c>
      <c r="S3400" t="s">
        <v>69704</v>
      </c>
      <c r="T3400" t="s">
        <v>69705</v>
      </c>
      <c r="U3400" t="s">
        <v>69706</v>
      </c>
      <c r="V3400" t="s">
        <v>69707</v>
      </c>
      <c r="W3400" t="s">
        <v>69708</v>
      </c>
      <c r="X3400" t="s">
        <v>69709</v>
      </c>
      <c r="Y3400" t="s">
        <v>69710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20170724T1109-50ms-XSens-Positi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2017-08-31T15:38:26Z</dcterms:created>
  <dcterms:modified xsi:type="dcterms:W3CDTF">2017-08-31T15:38:30Z</dcterms:modified>
</cp:coreProperties>
</file>